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8612267f7bb4ef/Desktop/"/>
    </mc:Choice>
  </mc:AlternateContent>
  <xr:revisionPtr revIDLastSave="0" documentId="8_{922C8794-3CD1-43A4-B70F-ED499DB8F19B}" xr6:coauthVersionLast="46" xr6:coauthVersionMax="46" xr10:uidLastSave="{00000000-0000-0000-0000-000000000000}"/>
  <bookViews>
    <workbookView xWindow="51600" yWindow="13575" windowWidth="21600" windowHeight="12600"/>
  </bookViews>
  <sheets>
    <sheet name="Focus Students Feburary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D675" i="1"/>
  <c r="E675" i="1"/>
  <c r="A676" i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A689" i="1"/>
  <c r="B689" i="1"/>
  <c r="C689" i="1"/>
  <c r="D689" i="1"/>
  <c r="E689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797" i="1"/>
  <c r="B797" i="1"/>
  <c r="C797" i="1"/>
  <c r="D797" i="1"/>
  <c r="E797" i="1"/>
  <c r="A798" i="1"/>
  <c r="B798" i="1"/>
  <c r="C798" i="1"/>
  <c r="D798" i="1"/>
  <c r="E798" i="1"/>
  <c r="A799" i="1"/>
  <c r="B799" i="1"/>
  <c r="C799" i="1"/>
  <c r="D799" i="1"/>
  <c r="E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E802" i="1"/>
  <c r="A803" i="1"/>
  <c r="B803" i="1"/>
  <c r="C803" i="1"/>
  <c r="D803" i="1"/>
  <c r="E803" i="1"/>
  <c r="A804" i="1"/>
  <c r="B804" i="1"/>
  <c r="C804" i="1"/>
  <c r="D804" i="1"/>
  <c r="E804" i="1"/>
  <c r="A805" i="1"/>
  <c r="B805" i="1"/>
  <c r="C805" i="1"/>
  <c r="D805" i="1"/>
  <c r="E805" i="1"/>
  <c r="A806" i="1"/>
  <c r="B806" i="1"/>
  <c r="C806" i="1"/>
  <c r="D806" i="1"/>
  <c r="E806" i="1"/>
  <c r="A807" i="1"/>
  <c r="B807" i="1"/>
  <c r="C807" i="1"/>
  <c r="D807" i="1"/>
  <c r="E807" i="1"/>
  <c r="A808" i="1"/>
  <c r="B808" i="1"/>
  <c r="C808" i="1"/>
  <c r="D808" i="1"/>
  <c r="E808" i="1"/>
  <c r="A809" i="1"/>
  <c r="B809" i="1"/>
  <c r="C809" i="1"/>
  <c r="D809" i="1"/>
  <c r="E809" i="1"/>
  <c r="A810" i="1"/>
  <c r="B810" i="1"/>
  <c r="C810" i="1"/>
  <c r="D810" i="1"/>
  <c r="E810" i="1"/>
  <c r="A811" i="1"/>
  <c r="B811" i="1"/>
  <c r="C811" i="1"/>
  <c r="D811" i="1"/>
  <c r="E811" i="1"/>
  <c r="A812" i="1"/>
  <c r="B812" i="1"/>
  <c r="C812" i="1"/>
  <c r="D812" i="1"/>
  <c r="E812" i="1"/>
  <c r="A813" i="1"/>
  <c r="B813" i="1"/>
  <c r="C813" i="1"/>
  <c r="D813" i="1"/>
  <c r="E813" i="1"/>
  <c r="A814" i="1"/>
  <c r="B814" i="1"/>
  <c r="C814" i="1"/>
  <c r="D814" i="1"/>
  <c r="E814" i="1"/>
  <c r="A815" i="1"/>
  <c r="B815" i="1"/>
  <c r="C815" i="1"/>
  <c r="D815" i="1"/>
  <c r="E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E818" i="1"/>
  <c r="A819" i="1"/>
  <c r="B819" i="1"/>
  <c r="C819" i="1"/>
  <c r="D819" i="1"/>
  <c r="E819" i="1"/>
  <c r="A820" i="1"/>
  <c r="B820" i="1"/>
  <c r="C820" i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/>
  <c r="D824" i="1"/>
  <c r="E824" i="1"/>
  <c r="A825" i="1"/>
  <c r="B825" i="1"/>
  <c r="C825" i="1"/>
  <c r="D825" i="1"/>
  <c r="E825" i="1"/>
  <c r="A826" i="1"/>
  <c r="B826" i="1"/>
  <c r="C826" i="1"/>
  <c r="D826" i="1"/>
  <c r="E826" i="1"/>
  <c r="A827" i="1"/>
  <c r="B827" i="1"/>
  <c r="C827" i="1"/>
  <c r="D827" i="1"/>
  <c r="E827" i="1"/>
  <c r="A828" i="1"/>
  <c r="B828" i="1"/>
  <c r="C828" i="1"/>
  <c r="D828" i="1"/>
  <c r="E828" i="1"/>
  <c r="A829" i="1"/>
  <c r="B829" i="1"/>
  <c r="C829" i="1"/>
  <c r="D829" i="1"/>
  <c r="E829" i="1"/>
  <c r="A830" i="1"/>
  <c r="B830" i="1"/>
  <c r="C830" i="1"/>
  <c r="D830" i="1"/>
  <c r="E830" i="1"/>
  <c r="A831" i="1"/>
  <c r="B831" i="1"/>
  <c r="C831" i="1"/>
  <c r="D831" i="1"/>
  <c r="E831" i="1"/>
  <c r="A832" i="1"/>
  <c r="B832" i="1"/>
  <c r="C832" i="1"/>
  <c r="D832" i="1"/>
  <c r="E832" i="1"/>
  <c r="A833" i="1"/>
  <c r="B833" i="1"/>
  <c r="C833" i="1"/>
  <c r="D833" i="1"/>
  <c r="E833" i="1"/>
  <c r="A834" i="1"/>
  <c r="B834" i="1"/>
  <c r="C834" i="1"/>
  <c r="D834" i="1"/>
  <c r="E834" i="1"/>
  <c r="A835" i="1"/>
  <c r="B835" i="1"/>
  <c r="C835" i="1"/>
  <c r="D835" i="1"/>
  <c r="E835" i="1"/>
  <c r="A836" i="1"/>
  <c r="B836" i="1"/>
  <c r="C836" i="1"/>
  <c r="D836" i="1"/>
  <c r="E836" i="1"/>
  <c r="A837" i="1"/>
  <c r="B837" i="1"/>
  <c r="C837" i="1"/>
  <c r="D837" i="1"/>
  <c r="E837" i="1"/>
  <c r="A838" i="1"/>
  <c r="B838" i="1"/>
  <c r="C838" i="1"/>
  <c r="D838" i="1"/>
  <c r="E838" i="1"/>
  <c r="A839" i="1"/>
  <c r="B839" i="1"/>
  <c r="C839" i="1"/>
  <c r="D839" i="1"/>
  <c r="E839" i="1"/>
  <c r="A840" i="1"/>
  <c r="B840" i="1"/>
  <c r="C840" i="1"/>
  <c r="D840" i="1"/>
  <c r="E840" i="1"/>
  <c r="A841" i="1"/>
  <c r="B841" i="1"/>
  <c r="C841" i="1"/>
  <c r="D841" i="1"/>
  <c r="E841" i="1"/>
  <c r="A842" i="1"/>
  <c r="B842" i="1"/>
  <c r="C842" i="1"/>
  <c r="D842" i="1"/>
  <c r="E842" i="1"/>
  <c r="A843" i="1"/>
  <c r="B843" i="1"/>
  <c r="C843" i="1"/>
  <c r="D843" i="1"/>
  <c r="E843" i="1"/>
  <c r="A844" i="1"/>
  <c r="B844" i="1"/>
  <c r="C844" i="1"/>
  <c r="D844" i="1"/>
  <c r="E844" i="1"/>
  <c r="A845" i="1"/>
  <c r="B845" i="1"/>
  <c r="C845" i="1"/>
  <c r="D845" i="1"/>
  <c r="E845" i="1"/>
  <c r="A846" i="1"/>
  <c r="B846" i="1"/>
  <c r="C846" i="1"/>
  <c r="D846" i="1"/>
  <c r="E846" i="1"/>
</calcChain>
</file>

<file path=xl/sharedStrings.xml><?xml version="1.0" encoding="utf-8"?>
<sst xmlns="http://schemas.openxmlformats.org/spreadsheetml/2006/main" count="5" uniqueCount="5">
  <si>
    <t>Student ID</t>
  </si>
  <si>
    <t>Last</t>
  </si>
  <si>
    <t>First</t>
  </si>
  <si>
    <t>Student E-mail Address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</si>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</sst>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6"/>
  <sheetViews>
    <sheetView tabSelected="1" workbookViewId="0">
      <selection sqref="A1:A1048576"/>
    </sheetView>
  </sheetViews>
  <sheetFormatPr defaultRowHeight="15" x14ac:dyDescent="0.25"/>
  <cols>
    <col min="1" max="1" width="11" bestFit="1" customWidth="1"/>
    <col min="2" max="2" width="20" bestFit="1" customWidth="1"/>
    <col min="3" max="3" width="18" bestFit="1" customWidth="1"/>
    <col min="4" max="4" width="46" bestFit="1" customWidth="1"/>
    <col min="5" max="5" width="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1920001513</f>
        <v>1920001513</v>
      </c>
      <c r="B2" t="str">
        <f>"Abbott"</f>
        <v>Abbott</v>
      </c>
      <c r="C2" t="str">
        <f>"Aaliyah"</f>
        <v>Aaliyah</v>
      </c>
      <c r="D2" t="str">
        <f>"22AAbbott@franklincountyschools.org"</f>
        <v>22AAbbott@franklincountyschools.org</v>
      </c>
      <c r="E2">
        <f>11</f>
        <v>11</v>
      </c>
    </row>
    <row r="3" spans="1:5" x14ac:dyDescent="0.25">
      <c r="A3">
        <f>1909002537</f>
        <v>1909002537</v>
      </c>
      <c r="B3" t="str">
        <f>"Abel"</f>
        <v>Abel</v>
      </c>
      <c r="C3" t="str">
        <f>"Caleb"</f>
        <v>Caleb</v>
      </c>
      <c r="D3" t="str">
        <f>"22cabel@franklincountyschools.org"</f>
        <v>22cabel@franklincountyschools.org</v>
      </c>
      <c r="E3">
        <f>10</f>
        <v>10</v>
      </c>
    </row>
    <row r="4" spans="1:5" x14ac:dyDescent="0.25">
      <c r="A4">
        <f>1910002987</f>
        <v>1910002987</v>
      </c>
      <c r="B4" t="str">
        <f>"Abel"</f>
        <v>Abel</v>
      </c>
      <c r="C4" t="str">
        <f>"Hannah'Grace"</f>
        <v>Hannah'Grace</v>
      </c>
      <c r="D4" t="str">
        <f>"24habel@franklincountyschools.org"</f>
        <v>24habel@franklincountyschools.org</v>
      </c>
      <c r="E4" t="str">
        <f>"09"</f>
        <v>09</v>
      </c>
    </row>
    <row r="5" spans="1:5" x14ac:dyDescent="0.25">
      <c r="A5">
        <f>1910002988</f>
        <v>1910002988</v>
      </c>
      <c r="B5" t="str">
        <f>"Abercrombie"</f>
        <v>Abercrombie</v>
      </c>
      <c r="C5" t="str">
        <f>"Cody"</f>
        <v>Cody</v>
      </c>
      <c r="D5" t="str">
        <f>"24cabercrombie@franklincountyschools.org"</f>
        <v>24cabercrombie@franklincountyschools.org</v>
      </c>
      <c r="E5" t="str">
        <f>"09"</f>
        <v>09</v>
      </c>
    </row>
    <row r="6" spans="1:5" x14ac:dyDescent="0.25">
      <c r="A6">
        <f>1909002730</f>
        <v>1909002730</v>
      </c>
      <c r="B6" t="str">
        <f>"Abercrombie"</f>
        <v>Abercrombie</v>
      </c>
      <c r="C6" t="str">
        <f>"Henry"</f>
        <v>Henry</v>
      </c>
      <c r="D6" t="str">
        <f>"23HAbercrombie@franklincountyschools.org"</f>
        <v>23HAbercrombie@franklincountyschools.org</v>
      </c>
      <c r="E6">
        <f>10</f>
        <v>10</v>
      </c>
    </row>
    <row r="7" spans="1:5" x14ac:dyDescent="0.25">
      <c r="A7">
        <f>1920001278</f>
        <v>1920001278</v>
      </c>
      <c r="B7" t="str">
        <f>"Adair"</f>
        <v>Adair</v>
      </c>
      <c r="C7" t="str">
        <f>"Grace"</f>
        <v>Grace</v>
      </c>
      <c r="D7" t="str">
        <f>"23GAdair@franklincountyschools.org"</f>
        <v>23GAdair@franklincountyschools.org</v>
      </c>
      <c r="E7">
        <f>10</f>
        <v>10</v>
      </c>
    </row>
    <row r="8" spans="1:5" x14ac:dyDescent="0.25">
      <c r="A8">
        <f>1920001279</f>
        <v>1920001279</v>
      </c>
      <c r="B8" t="str">
        <f>"Adair"</f>
        <v>Adair</v>
      </c>
      <c r="C8" t="str">
        <f>"James"</f>
        <v>James</v>
      </c>
      <c r="D8" t="str">
        <f>"22JAdair@franklincountyschools.org"</f>
        <v>22JAdair@franklincountyschools.org</v>
      </c>
      <c r="E8">
        <f>10</f>
        <v>10</v>
      </c>
    </row>
    <row r="9" spans="1:5" x14ac:dyDescent="0.25">
      <c r="A9">
        <f>1920001995</f>
        <v>1920001995</v>
      </c>
      <c r="B9" t="str">
        <f>"Adkins"</f>
        <v>Adkins</v>
      </c>
      <c r="C9" t="str">
        <f>"Carson"</f>
        <v>Carson</v>
      </c>
      <c r="D9" t="str">
        <f>"34cadkins@franklincountyschools.org"</f>
        <v>34cadkins@franklincountyschools.org</v>
      </c>
      <c r="E9" t="str">
        <f>"PK"</f>
        <v>PK</v>
      </c>
    </row>
    <row r="10" spans="1:5" x14ac:dyDescent="0.25">
      <c r="A10">
        <f>1920001039</f>
        <v>1920001039</v>
      </c>
      <c r="B10" t="str">
        <f>"Aguirre"</f>
        <v>Aguirre</v>
      </c>
      <c r="C10" t="str">
        <f>"Jahzarra"</f>
        <v>Jahzarra</v>
      </c>
      <c r="D10" t="str">
        <f>"31jaguirre@franklincountyschools.org"</f>
        <v>31jaguirre@franklincountyschools.org</v>
      </c>
      <c r="E10" t="str">
        <f>"02"</f>
        <v>02</v>
      </c>
    </row>
    <row r="11" spans="1:5" x14ac:dyDescent="0.25">
      <c r="A11">
        <f>1912003300</f>
        <v>1912003300</v>
      </c>
      <c r="B11" t="str">
        <f>"Aikens"</f>
        <v>Aikens</v>
      </c>
      <c r="C11" t="str">
        <f>"Zachery"</f>
        <v>Zachery</v>
      </c>
      <c r="D11" t="str">
        <f>"26zaikens@franklincountyschools.org"</f>
        <v>26zaikens@franklincountyschools.org</v>
      </c>
      <c r="E11" t="str">
        <f>"07"</f>
        <v>07</v>
      </c>
    </row>
    <row r="12" spans="1:5" x14ac:dyDescent="0.25">
      <c r="A12">
        <f>1920001734</f>
        <v>1920001734</v>
      </c>
      <c r="B12" t="str">
        <f>"Alday"</f>
        <v>Alday</v>
      </c>
      <c r="C12" t="str">
        <f>"Ayden"</f>
        <v>Ayden</v>
      </c>
      <c r="D12" t="str">
        <f>"33aalday@franklincountyschools.org"</f>
        <v>33aalday@franklincountyschools.org</v>
      </c>
      <c r="E12" t="str">
        <f>"KG"</f>
        <v>KG</v>
      </c>
    </row>
    <row r="13" spans="1:5" x14ac:dyDescent="0.25">
      <c r="A13">
        <f>1910002887</f>
        <v>1910002887</v>
      </c>
      <c r="B13" t="str">
        <f>"Alday"</f>
        <v>Alday</v>
      </c>
      <c r="C13" t="str">
        <f>"Jessie"</f>
        <v>Jessie</v>
      </c>
      <c r="D13" t="str">
        <f>"24JAlday@franklincountyschools.org"</f>
        <v>24JAlday@franklincountyschools.org</v>
      </c>
      <c r="E13" t="str">
        <f>"09"</f>
        <v>09</v>
      </c>
    </row>
    <row r="14" spans="1:5" x14ac:dyDescent="0.25">
      <c r="A14">
        <f>1909002731</f>
        <v>1909002731</v>
      </c>
      <c r="B14" t="str">
        <f>"Alford"</f>
        <v>Alford</v>
      </c>
      <c r="C14" t="str">
        <f>"Meredith"</f>
        <v>Meredith</v>
      </c>
      <c r="D14" t="str">
        <f>"22malford@franklincountyschools.org"</f>
        <v>22malford@franklincountyschools.org</v>
      </c>
      <c r="E14">
        <f>11</f>
        <v>11</v>
      </c>
    </row>
    <row r="15" spans="1:5" x14ac:dyDescent="0.25">
      <c r="A15">
        <f>1920002062</f>
        <v>1920002062</v>
      </c>
      <c r="B15" t="str">
        <f>"Allen"</f>
        <v>Allen</v>
      </c>
      <c r="C15" t="str">
        <f>"Jackson"</f>
        <v>Jackson</v>
      </c>
      <c r="D15" t="str">
        <f>"25jallen@franklincountyschools.org"</f>
        <v>25jallen@franklincountyschools.org</v>
      </c>
      <c r="E15" t="str">
        <f>"08"</f>
        <v>08</v>
      </c>
    </row>
    <row r="16" spans="1:5" x14ac:dyDescent="0.25">
      <c r="A16">
        <f>1912003404</f>
        <v>1912003404</v>
      </c>
      <c r="B16" t="str">
        <f>"Allen"</f>
        <v>Allen</v>
      </c>
      <c r="C16" t="str">
        <f>"Jada"</f>
        <v>Jada</v>
      </c>
      <c r="D16" t="str">
        <f>"24jallen@franklincountyschools.org"</f>
        <v>24jallen@franklincountyschools.org</v>
      </c>
      <c r="E16" t="str">
        <f>"09"</f>
        <v>09</v>
      </c>
    </row>
    <row r="17" spans="1:5" x14ac:dyDescent="0.25">
      <c r="A17">
        <f>1920000120</f>
        <v>1920000120</v>
      </c>
      <c r="B17" t="str">
        <f>"Allen"</f>
        <v>Allen</v>
      </c>
      <c r="C17" t="str">
        <f>"Jeremiah"</f>
        <v>Jeremiah</v>
      </c>
      <c r="D17" t="str">
        <f>"27jeremiahallen@franklincountyschools.org"</f>
        <v>27jeremiahallen@franklincountyschools.org</v>
      </c>
      <c r="E17" t="str">
        <f>"06"</f>
        <v>06</v>
      </c>
    </row>
    <row r="18" spans="1:5" x14ac:dyDescent="0.25">
      <c r="A18">
        <f>1920001016</f>
        <v>1920001016</v>
      </c>
      <c r="B18" t="str">
        <f>"Allen"</f>
        <v>Allen</v>
      </c>
      <c r="C18" t="str">
        <f>"Kenyon"</f>
        <v>Kenyon</v>
      </c>
      <c r="D18" t="str">
        <f>"31kallen@franklincountyschools.org"</f>
        <v>31kallen@franklincountyschools.org</v>
      </c>
      <c r="E18" t="str">
        <f>"02"</f>
        <v>02</v>
      </c>
    </row>
    <row r="19" spans="1:5" x14ac:dyDescent="0.25">
      <c r="A19">
        <f>1920000771</f>
        <v>1920000771</v>
      </c>
      <c r="B19" t="str">
        <f>"Anderson"</f>
        <v>Anderson</v>
      </c>
      <c r="C19" t="str">
        <f>"Brantley"</f>
        <v>Brantley</v>
      </c>
      <c r="D19" t="str">
        <f>"29BAnderson@franklincountyschools.org"</f>
        <v>29BAnderson@franklincountyschools.org</v>
      </c>
      <c r="E19" t="str">
        <f>"04"</f>
        <v>04</v>
      </c>
    </row>
    <row r="20" spans="1:5" x14ac:dyDescent="0.25">
      <c r="A20">
        <f>1912003420</f>
        <v>1912003420</v>
      </c>
      <c r="B20" t="str">
        <f>"Anderson"</f>
        <v>Anderson</v>
      </c>
      <c r="C20" t="str">
        <f>"Ethan"</f>
        <v>Ethan</v>
      </c>
      <c r="D20" t="str">
        <f>"21EAnderson@franklincountyschools.org"</f>
        <v>21EAnderson@franklincountyschools.org</v>
      </c>
      <c r="E20">
        <f>12</f>
        <v>12</v>
      </c>
    </row>
    <row r="21" spans="1:5" x14ac:dyDescent="0.25">
      <c r="A21">
        <f>1920000799</f>
        <v>1920000799</v>
      </c>
      <c r="B21" t="str">
        <f>"Anderson"</f>
        <v>Anderson</v>
      </c>
      <c r="C21" t="str">
        <f>"Samantha"</f>
        <v>Samantha</v>
      </c>
      <c r="D21" t="str">
        <f>"23SAnderson@franklincountyschools.org"</f>
        <v>23SAnderson@franklincountyschools.org</v>
      </c>
      <c r="E21">
        <f>10</f>
        <v>10</v>
      </c>
    </row>
    <row r="22" spans="1:5" x14ac:dyDescent="0.25">
      <c r="A22">
        <f>1920001050</f>
        <v>1920001050</v>
      </c>
      <c r="B22" t="str">
        <f>"Andres"</f>
        <v>Andres</v>
      </c>
      <c r="C22" t="str">
        <f>"Edgar"</f>
        <v>Edgar</v>
      </c>
      <c r="D22" t="str">
        <f>"30EAndres@franklincountyschools.org"</f>
        <v>30EAndres@franklincountyschools.org</v>
      </c>
      <c r="E22" t="str">
        <f>"03"</f>
        <v>03</v>
      </c>
    </row>
    <row r="23" spans="1:5" x14ac:dyDescent="0.25">
      <c r="A23">
        <f>1920001062</f>
        <v>1920001062</v>
      </c>
      <c r="B23" t="str">
        <f>"Andres-Bartolome"</f>
        <v>Andres-Bartolome</v>
      </c>
      <c r="C23" t="str">
        <f>"Leiry"</f>
        <v>Leiry</v>
      </c>
      <c r="D23" t="str">
        <f>"30landresbartolome@franklincountyschools.org"</f>
        <v>30landresbartolome@franklincountyschools.org</v>
      </c>
      <c r="E23" t="str">
        <f>"03"</f>
        <v>03</v>
      </c>
    </row>
    <row r="24" spans="1:5" x14ac:dyDescent="0.25">
      <c r="A24">
        <f>1920001569</f>
        <v>1920001569</v>
      </c>
      <c r="B24" t="str">
        <f>"Andres Pedro"</f>
        <v>Andres Pedro</v>
      </c>
      <c r="C24" t="str">
        <f>"Anali"</f>
        <v>Anali</v>
      </c>
      <c r="D24" t="str">
        <f>"26APedro@franklincountyschools.org"</f>
        <v>26APedro@franklincountyschools.org</v>
      </c>
      <c r="E24" t="str">
        <f>"07"</f>
        <v>07</v>
      </c>
    </row>
    <row r="25" spans="1:5" x14ac:dyDescent="0.25">
      <c r="A25">
        <f>1909002594</f>
        <v>1909002594</v>
      </c>
      <c r="B25" t="str">
        <f>"Andrews"</f>
        <v>Andrews</v>
      </c>
      <c r="C25" t="str">
        <f>"Ariel"</f>
        <v>Ariel</v>
      </c>
      <c r="D25" t="str">
        <f>"22AAndrews@franklincountyschools.org"</f>
        <v>22AAndrews@franklincountyschools.org</v>
      </c>
      <c r="E25">
        <f>11</f>
        <v>11</v>
      </c>
    </row>
    <row r="26" spans="1:5" x14ac:dyDescent="0.25">
      <c r="A26">
        <f>1910002995</f>
        <v>1910002995</v>
      </c>
      <c r="B26" t="str">
        <f>"Austin"</f>
        <v>Austin</v>
      </c>
      <c r="C26" t="str">
        <f>"Amontaye"</f>
        <v>Amontaye</v>
      </c>
      <c r="D26" t="str">
        <f>"24aaustin@franklincountyschools.org"</f>
        <v>24aaustin@franklincountyschools.org</v>
      </c>
      <c r="E26" t="str">
        <f>"09"</f>
        <v>09</v>
      </c>
    </row>
    <row r="27" spans="1:5" x14ac:dyDescent="0.25">
      <c r="A27">
        <f>1920001498</f>
        <v>1920001498</v>
      </c>
      <c r="B27" t="str">
        <f>"Baltazar-Andres"</f>
        <v>Baltazar-Andres</v>
      </c>
      <c r="C27" t="str">
        <f>"Juan"</f>
        <v>Juan</v>
      </c>
      <c r="D27" t="str">
        <f>"32jandres@franklincountyschools.org"</f>
        <v>32jandres@franklincountyschools.org</v>
      </c>
      <c r="E27" t="str">
        <f>"01"</f>
        <v>01</v>
      </c>
    </row>
    <row r="28" spans="1:5" x14ac:dyDescent="0.25">
      <c r="A28">
        <f>1911003066</f>
        <v>1911003066</v>
      </c>
      <c r="B28" t="str">
        <f t="shared" ref="B28:B33" si="0">"Banks"</f>
        <v>Banks</v>
      </c>
      <c r="C28" t="str">
        <f>"Elijah"</f>
        <v>Elijah</v>
      </c>
      <c r="D28" t="str">
        <f>"26EBanks@franklincountyschools.org"</f>
        <v>26EBanks@franklincountyschools.org</v>
      </c>
      <c r="E28" t="str">
        <f>"07"</f>
        <v>07</v>
      </c>
    </row>
    <row r="29" spans="1:5" x14ac:dyDescent="0.25">
      <c r="A29">
        <f>1920000142</f>
        <v>1920000142</v>
      </c>
      <c r="B29" t="str">
        <f t="shared" si="0"/>
        <v>Banks</v>
      </c>
      <c r="C29" t="str">
        <f>"Jamie"</f>
        <v>Jamie</v>
      </c>
      <c r="D29" t="str">
        <f>"26JBanks@franklincountyschools.org"</f>
        <v>26JBanks@franklincountyschools.org</v>
      </c>
      <c r="E29" t="str">
        <f>"07"</f>
        <v>07</v>
      </c>
    </row>
    <row r="30" spans="1:5" x14ac:dyDescent="0.25">
      <c r="A30">
        <f>1920000302</f>
        <v>1920000302</v>
      </c>
      <c r="B30" t="str">
        <f t="shared" si="0"/>
        <v>Banks</v>
      </c>
      <c r="C30" t="str">
        <f>"Kelsie"</f>
        <v>Kelsie</v>
      </c>
      <c r="D30" t="str">
        <f>"27KBanks@franklincountyschools.org"</f>
        <v>27KBanks@franklincountyschools.org</v>
      </c>
      <c r="E30" t="str">
        <f>"05"</f>
        <v>05</v>
      </c>
    </row>
    <row r="31" spans="1:5" x14ac:dyDescent="0.25">
      <c r="A31">
        <f>1920000628</f>
        <v>1920000628</v>
      </c>
      <c r="B31" t="str">
        <f t="shared" si="0"/>
        <v>Banks</v>
      </c>
      <c r="C31" t="str">
        <f>"Kylen"</f>
        <v>Kylen</v>
      </c>
      <c r="D31" t="str">
        <f>"28KBanks@franklincountyschools.org"</f>
        <v>28KBanks@franklincountyschools.org</v>
      </c>
      <c r="E31" t="str">
        <f>"05"</f>
        <v>05</v>
      </c>
    </row>
    <row r="32" spans="1:5" x14ac:dyDescent="0.25">
      <c r="A32">
        <f>1920001571</f>
        <v>1920001571</v>
      </c>
      <c r="B32" t="str">
        <f t="shared" si="0"/>
        <v>Banks</v>
      </c>
      <c r="C32" t="str">
        <f>"Zayla"</f>
        <v>Zayla</v>
      </c>
      <c r="D32" t="str">
        <f>"30ZBanks@franklincountyschools.org"</f>
        <v>30ZBanks@franklincountyschools.org</v>
      </c>
      <c r="E32" t="str">
        <f>"03"</f>
        <v>03</v>
      </c>
    </row>
    <row r="33" spans="1:5" x14ac:dyDescent="0.25">
      <c r="A33">
        <f>1920001570</f>
        <v>1920001570</v>
      </c>
      <c r="B33" t="str">
        <f t="shared" si="0"/>
        <v>Banks</v>
      </c>
      <c r="C33" t="str">
        <f>"Zi'Anna"</f>
        <v>Zi'Anna</v>
      </c>
      <c r="D33" t="str">
        <f>"31ZBanks@franklincountyschools.org"</f>
        <v>31ZBanks@franklincountyschools.org</v>
      </c>
      <c r="E33" t="str">
        <f>"02"</f>
        <v>02</v>
      </c>
    </row>
    <row r="34" spans="1:5" x14ac:dyDescent="0.25">
      <c r="A34">
        <f>1911003067</f>
        <v>1911003067</v>
      </c>
      <c r="B34" t="str">
        <f>"Barber"</f>
        <v>Barber</v>
      </c>
      <c r="C34" t="str">
        <f>"Devin"</f>
        <v>Devin</v>
      </c>
      <c r="D34" t="str">
        <f>"25DBarber@franklincountyschools.org"</f>
        <v>25DBarber@franklincountyschools.org</v>
      </c>
      <c r="E34" t="str">
        <f>"08"</f>
        <v>08</v>
      </c>
    </row>
    <row r="35" spans="1:5" x14ac:dyDescent="0.25">
      <c r="A35">
        <f>1920001710</f>
        <v>1920001710</v>
      </c>
      <c r="B35" t="str">
        <f>"Barber"</f>
        <v>Barber</v>
      </c>
      <c r="C35" t="str">
        <f>"Emory"</f>
        <v>Emory</v>
      </c>
      <c r="D35" t="str">
        <f>"33ebarber@franklincountyschools.org"</f>
        <v>33ebarber@franklincountyschools.org</v>
      </c>
      <c r="E35" t="str">
        <f>"KG"</f>
        <v>KG</v>
      </c>
    </row>
    <row r="36" spans="1:5" x14ac:dyDescent="0.25">
      <c r="A36">
        <f>1920001681</f>
        <v>1920001681</v>
      </c>
      <c r="B36" t="str">
        <f>"Barber"</f>
        <v>Barber</v>
      </c>
      <c r="C36" t="str">
        <f>"Marina"</f>
        <v>Marina</v>
      </c>
      <c r="D36" t="str">
        <f>"33mbarber@franklincountyschools.org"</f>
        <v>33mbarber@franklincountyschools.org</v>
      </c>
      <c r="E36" t="str">
        <f>"KG"</f>
        <v>KG</v>
      </c>
    </row>
    <row r="37" spans="1:5" x14ac:dyDescent="0.25">
      <c r="A37">
        <f>1920000976</f>
        <v>1920000976</v>
      </c>
      <c r="B37" t="str">
        <f>"Barber"</f>
        <v>Barber</v>
      </c>
      <c r="C37" t="str">
        <f>"Mya"</f>
        <v>Mya</v>
      </c>
      <c r="D37" t="str">
        <f>"30MBarber@franklincountyschools.org"</f>
        <v>30MBarber@franklincountyschools.org</v>
      </c>
      <c r="E37" t="str">
        <f>"03"</f>
        <v>03</v>
      </c>
    </row>
    <row r="38" spans="1:5" x14ac:dyDescent="0.25">
      <c r="A38">
        <f>1920000632</f>
        <v>1920000632</v>
      </c>
      <c r="B38" t="str">
        <f>"Barber"</f>
        <v>Barber</v>
      </c>
      <c r="C38" t="str">
        <f>"Saige"</f>
        <v>Saige</v>
      </c>
      <c r="D38" t="str">
        <f>"28SBarber@franklincountyschools.org"</f>
        <v>28SBarber@franklincountyschools.org</v>
      </c>
      <c r="E38" t="str">
        <f>"05"</f>
        <v>05</v>
      </c>
    </row>
    <row r="39" spans="1:5" x14ac:dyDescent="0.25">
      <c r="A39">
        <f>1920002031</f>
        <v>1920002031</v>
      </c>
      <c r="B39" t="str">
        <f>"Barber Jr"</f>
        <v>Barber Jr</v>
      </c>
      <c r="C39" t="str">
        <f>"Caden "</f>
        <v xml:space="preserve">Caden </v>
      </c>
      <c r="D39" t="str">
        <f>"34cbarberjr@franklincountyschools.org"</f>
        <v>34cbarberjr@franklincountyschools.org</v>
      </c>
      <c r="E39" t="str">
        <f>"PK"</f>
        <v>PK</v>
      </c>
    </row>
    <row r="40" spans="1:5" x14ac:dyDescent="0.25">
      <c r="A40">
        <f>1920000496</f>
        <v>1920000496</v>
      </c>
      <c r="B40" t="str">
        <f>"Barineau"</f>
        <v>Barineau</v>
      </c>
      <c r="C40" t="str">
        <f>"Olivia"</f>
        <v>Olivia</v>
      </c>
      <c r="D40" t="str">
        <f>"23obarineau@franklincountyschools.org"</f>
        <v>23obarineau@franklincountyschools.org</v>
      </c>
      <c r="E40" t="str">
        <f>"09"</f>
        <v>09</v>
      </c>
    </row>
    <row r="41" spans="1:5" x14ac:dyDescent="0.25">
      <c r="A41">
        <f>1920001987</f>
        <v>1920001987</v>
      </c>
      <c r="B41" t="str">
        <f>"Barnett"</f>
        <v>Barnett</v>
      </c>
      <c r="C41" t="str">
        <f>"Kathleen"</f>
        <v>Kathleen</v>
      </c>
      <c r="D41" t="str">
        <f>"25kbarnett@franklincountyschools.org"</f>
        <v>25kbarnett@franklincountyschools.org</v>
      </c>
      <c r="E41" t="str">
        <f>"08"</f>
        <v>08</v>
      </c>
    </row>
    <row r="42" spans="1:5" x14ac:dyDescent="0.25">
      <c r="A42">
        <f>1920001260</f>
        <v>1920001260</v>
      </c>
      <c r="B42" t="str">
        <f>"Barnett"</f>
        <v>Barnett</v>
      </c>
      <c r="C42" t="str">
        <f>"October"</f>
        <v>October</v>
      </c>
      <c r="D42" t="str">
        <f>"31obarnett@franklincountyschools.org"</f>
        <v>31obarnett@franklincountyschools.org</v>
      </c>
      <c r="E42" t="str">
        <f>"02"</f>
        <v>02</v>
      </c>
    </row>
    <row r="43" spans="1:5" x14ac:dyDescent="0.25">
      <c r="A43">
        <f>1920001732</f>
        <v>1920001732</v>
      </c>
      <c r="B43" t="str">
        <f>"Barnett"</f>
        <v>Barnett</v>
      </c>
      <c r="C43" t="str">
        <f>"Willow"</f>
        <v>Willow</v>
      </c>
      <c r="D43" t="str">
        <f>"33wbarnett@franklincountyschools.org"</f>
        <v>33wbarnett@franklincountyschools.org</v>
      </c>
      <c r="E43" t="str">
        <f>"KG"</f>
        <v>KG</v>
      </c>
    </row>
    <row r="44" spans="1:5" x14ac:dyDescent="0.25">
      <c r="A44">
        <f>1912003303</f>
        <v>1912003303</v>
      </c>
      <c r="B44" t="str">
        <f>"Barrack"</f>
        <v>Barrack</v>
      </c>
      <c r="C44" t="str">
        <f>"Dalton"</f>
        <v>Dalton</v>
      </c>
      <c r="D44" t="str">
        <f>"25DBarrack@franklincountyschools.org"</f>
        <v>25DBarrack@franklincountyschools.org</v>
      </c>
      <c r="E44" t="str">
        <f>"08"</f>
        <v>08</v>
      </c>
    </row>
    <row r="45" spans="1:5" x14ac:dyDescent="0.25">
      <c r="A45">
        <f>1920000290</f>
        <v>1920000290</v>
      </c>
      <c r="B45" t="str">
        <f>"Barrack"</f>
        <v>Barrack</v>
      </c>
      <c r="C45" t="str">
        <f>"Kaeson"</f>
        <v>Kaeson</v>
      </c>
      <c r="D45" t="str">
        <f>"27KaesonBarrack@franklincountyschools.org"</f>
        <v>27KaesonBarrack@franklincountyschools.org</v>
      </c>
      <c r="E45" t="str">
        <f>"06"</f>
        <v>06</v>
      </c>
    </row>
    <row r="46" spans="1:5" x14ac:dyDescent="0.25">
      <c r="A46">
        <f>1920000289</f>
        <v>1920000289</v>
      </c>
      <c r="B46" t="str">
        <f>"Barrack"</f>
        <v>Barrack</v>
      </c>
      <c r="C46" t="str">
        <f>"Korbyn"</f>
        <v>Korbyn</v>
      </c>
      <c r="D46" t="str">
        <f>"27KBarrack@franklincountyschools.org"</f>
        <v>27KBarrack@franklincountyschools.org</v>
      </c>
      <c r="E46" t="str">
        <f>"06"</f>
        <v>06</v>
      </c>
    </row>
    <row r="47" spans="1:5" x14ac:dyDescent="0.25">
      <c r="A47">
        <f>1920001853</f>
        <v>1920001853</v>
      </c>
      <c r="B47" t="str">
        <f>"Bartlett"</f>
        <v>Bartlett</v>
      </c>
      <c r="C47" t="str">
        <f>"Mynor"</f>
        <v>Mynor</v>
      </c>
      <c r="D47" t="str">
        <f>"34mbartlett@franklincountyschools.org"</f>
        <v>34mbartlett@franklincountyschools.org</v>
      </c>
      <c r="E47" t="str">
        <f>"PK"</f>
        <v>PK</v>
      </c>
    </row>
    <row r="48" spans="1:5" x14ac:dyDescent="0.25">
      <c r="A48">
        <f>1920000123</f>
        <v>1920000123</v>
      </c>
      <c r="B48" t="str">
        <f>"Bartlett"</f>
        <v>Bartlett</v>
      </c>
      <c r="C48" t="str">
        <f>"Sy"</f>
        <v>Sy</v>
      </c>
      <c r="D48" t="str">
        <f>"25SBartlett@franklincountyschools.org"</f>
        <v>25SBartlett@franklincountyschools.org</v>
      </c>
      <c r="E48" t="str">
        <f>"08"</f>
        <v>08</v>
      </c>
    </row>
    <row r="49" spans="1:5" x14ac:dyDescent="0.25">
      <c r="A49">
        <f>1920002065</f>
        <v>1920002065</v>
      </c>
      <c r="B49" t="str">
        <f>"Beasley"</f>
        <v>Beasley</v>
      </c>
      <c r="C49" t="str">
        <f>"Avery"</f>
        <v>Avery</v>
      </c>
      <c r="D49" t="str">
        <f>"carrabelleleigh@yahoo.com"</f>
        <v>carrabelleleigh@yahoo.com</v>
      </c>
      <c r="E49" t="str">
        <f>"PK"</f>
        <v>PK</v>
      </c>
    </row>
    <row r="50" spans="1:5" x14ac:dyDescent="0.25">
      <c r="A50">
        <f>1920000970</f>
        <v>1920000970</v>
      </c>
      <c r="B50" t="str">
        <f>"Beasley"</f>
        <v>Beasley</v>
      </c>
      <c r="C50" t="str">
        <f>"Myleigh"</f>
        <v>Myleigh</v>
      </c>
      <c r="D50" t="str">
        <f>"30MBeasley@franklincountyschools.org"</f>
        <v>30MBeasley@franklincountyschools.org</v>
      </c>
      <c r="E50" t="str">
        <f>"03"</f>
        <v>03</v>
      </c>
    </row>
    <row r="51" spans="1:5" x14ac:dyDescent="0.25">
      <c r="A51">
        <f>1920000125</f>
        <v>1920000125</v>
      </c>
      <c r="B51" t="str">
        <f>"Beebe"</f>
        <v>Beebe</v>
      </c>
      <c r="C51" t="str">
        <f>"Kyler"</f>
        <v>Kyler</v>
      </c>
      <c r="D51" t="str">
        <f>"26KBeebe@franklincountyschools.org"</f>
        <v>26KBeebe@franklincountyschools.org</v>
      </c>
      <c r="E51" t="str">
        <f>"07"</f>
        <v>07</v>
      </c>
    </row>
    <row r="52" spans="1:5" x14ac:dyDescent="0.25">
      <c r="A52">
        <f>1920000552</f>
        <v>1920000552</v>
      </c>
      <c r="B52" t="str">
        <f>"Beebe"</f>
        <v>Beebe</v>
      </c>
      <c r="C52" t="str">
        <f>"Trailen"</f>
        <v>Trailen</v>
      </c>
      <c r="D52" t="str">
        <f>"29TBeebe@franklincountyschools.org"</f>
        <v>29TBeebe@franklincountyschools.org</v>
      </c>
      <c r="E52" t="str">
        <f>"04"</f>
        <v>04</v>
      </c>
    </row>
    <row r="53" spans="1:5" x14ac:dyDescent="0.25">
      <c r="A53">
        <f>1920001209</f>
        <v>1920001209</v>
      </c>
      <c r="B53" t="str">
        <f>"Belknap"</f>
        <v>Belknap</v>
      </c>
      <c r="C53" t="str">
        <f>"Allyssia"</f>
        <v>Allyssia</v>
      </c>
      <c r="D53" t="str">
        <f>"28ABelknap@franklincountyschools.org"</f>
        <v>28ABelknap@franklincountyschools.org</v>
      </c>
      <c r="E53" t="str">
        <f>"05"</f>
        <v>05</v>
      </c>
    </row>
    <row r="54" spans="1:5" x14ac:dyDescent="0.25">
      <c r="A54">
        <f>1920001207</f>
        <v>1920001207</v>
      </c>
      <c r="B54" t="str">
        <f>"Belknap"</f>
        <v>Belknap</v>
      </c>
      <c r="C54" t="str">
        <f>"Mark"</f>
        <v>Mark</v>
      </c>
      <c r="D54" t="str">
        <f>"26MBelknap@franklincountyschools.org"</f>
        <v>26MBelknap@franklincountyschools.org</v>
      </c>
      <c r="E54" t="str">
        <f>"07"</f>
        <v>07</v>
      </c>
    </row>
    <row r="55" spans="1:5" x14ac:dyDescent="0.25">
      <c r="A55">
        <f>1920002080</f>
        <v>1920002080</v>
      </c>
      <c r="B55" t="str">
        <f>"Bellew"</f>
        <v>Bellew</v>
      </c>
      <c r="C55" t="str">
        <f>"John"</f>
        <v>John</v>
      </c>
      <c r="D55" t="str">
        <f>" - "</f>
        <v xml:space="preserve"> - </v>
      </c>
      <c r="E55" t="str">
        <f>"KG"</f>
        <v>KG</v>
      </c>
    </row>
    <row r="56" spans="1:5" x14ac:dyDescent="0.25">
      <c r="A56">
        <f>1920002083</f>
        <v>1920002083</v>
      </c>
      <c r="B56" t="str">
        <f>"Bellew"</f>
        <v>Bellew</v>
      </c>
      <c r="C56" t="str">
        <f>"Keanu"</f>
        <v>Keanu</v>
      </c>
      <c r="D56" t="str">
        <f>" - "</f>
        <v xml:space="preserve"> - </v>
      </c>
      <c r="E56" t="str">
        <f>"PK"</f>
        <v>PK</v>
      </c>
    </row>
    <row r="57" spans="1:5" x14ac:dyDescent="0.25">
      <c r="A57">
        <f>1920001711</f>
        <v>1920001711</v>
      </c>
      <c r="B57" t="str">
        <f>"Benjamin"</f>
        <v>Benjamin</v>
      </c>
      <c r="C57" t="str">
        <f>"Riah"</f>
        <v>Riah</v>
      </c>
      <c r="D57" t="str">
        <f>"33rbenjamin@franklincountyschools.org"</f>
        <v>33rbenjamin@franklincountyschools.org</v>
      </c>
      <c r="E57" t="str">
        <f>"KG"</f>
        <v>KG</v>
      </c>
    </row>
    <row r="58" spans="1:5" x14ac:dyDescent="0.25">
      <c r="A58">
        <f>1920001070</f>
        <v>1920001070</v>
      </c>
      <c r="B58" t="str">
        <f>"Bennett"</f>
        <v>Bennett</v>
      </c>
      <c r="C58" t="str">
        <f>"Hunter"</f>
        <v>Hunter</v>
      </c>
      <c r="D58" t="str">
        <f>"30HBennett@franklincountyschools.org"</f>
        <v>30HBennett@franklincountyschools.org</v>
      </c>
      <c r="E58" t="str">
        <f>"02"</f>
        <v>02</v>
      </c>
    </row>
    <row r="59" spans="1:5" x14ac:dyDescent="0.25">
      <c r="A59">
        <f>1912003396</f>
        <v>1912003396</v>
      </c>
      <c r="B59" t="str">
        <f>"Bentley"</f>
        <v>Bentley</v>
      </c>
      <c r="C59" t="str">
        <f>"Logan"</f>
        <v>Logan</v>
      </c>
      <c r="D59" t="str">
        <f>"24lbentley@franklincountyschools.org"</f>
        <v>24lbentley@franklincountyschools.org</v>
      </c>
      <c r="E59" t="str">
        <f>"09"</f>
        <v>09</v>
      </c>
    </row>
    <row r="60" spans="1:5" x14ac:dyDescent="0.25">
      <c r="A60">
        <f>1920000305</f>
        <v>1920000305</v>
      </c>
      <c r="B60" t="str">
        <f>"Bernabe"</f>
        <v>Bernabe</v>
      </c>
      <c r="C60" t="str">
        <f>"Franco"</f>
        <v>Franco</v>
      </c>
      <c r="D60" t="str">
        <f>"28FBernabe@franklincountyschools.org"</f>
        <v>28FBernabe@franklincountyschools.org</v>
      </c>
      <c r="E60" t="str">
        <f>"05"</f>
        <v>05</v>
      </c>
    </row>
    <row r="61" spans="1:5" x14ac:dyDescent="0.25">
      <c r="A61">
        <f>1920000789</f>
        <v>1920000789</v>
      </c>
      <c r="B61" t="str">
        <f>"Bernabe"</f>
        <v>Bernabe</v>
      </c>
      <c r="C61" t="str">
        <f>"Marialicia"</f>
        <v>Marialicia</v>
      </c>
      <c r="D61" t="str">
        <f>"30mbernabe@franklincountyschools.org"</f>
        <v>30mbernabe@franklincountyschools.org</v>
      </c>
      <c r="E61" t="str">
        <f>"03"</f>
        <v>03</v>
      </c>
    </row>
    <row r="62" spans="1:5" x14ac:dyDescent="0.25">
      <c r="A62">
        <f>1920000790</f>
        <v>1920000790</v>
      </c>
      <c r="B62" t="str">
        <f>"Bernabe"</f>
        <v>Bernabe</v>
      </c>
      <c r="C62" t="str">
        <f>"Marisol"</f>
        <v>Marisol</v>
      </c>
      <c r="D62" t="str">
        <f>"29marisolbernabe@franklincountyschools.org"</f>
        <v>29marisolbernabe@franklincountyschools.org</v>
      </c>
      <c r="E62" t="str">
        <f>"04"</f>
        <v>04</v>
      </c>
    </row>
    <row r="63" spans="1:5" x14ac:dyDescent="0.25">
      <c r="A63">
        <f>1911003140</f>
        <v>1911003140</v>
      </c>
      <c r="B63" t="str">
        <f>"Bernabe Juan"</f>
        <v>Bernabe Juan</v>
      </c>
      <c r="C63" t="str">
        <f>"Esteban"</f>
        <v>Esteban</v>
      </c>
      <c r="D63" t="str">
        <f>"24ebernabe@franklincountyschools.org"</f>
        <v>24ebernabe@franklincountyschools.org</v>
      </c>
      <c r="E63" t="str">
        <f>"09"</f>
        <v>09</v>
      </c>
    </row>
    <row r="64" spans="1:5" x14ac:dyDescent="0.25">
      <c r="A64">
        <f>1911003072</f>
        <v>1911003072</v>
      </c>
      <c r="B64" t="str">
        <f>"Blackburn"</f>
        <v>Blackburn</v>
      </c>
      <c r="C64" t="str">
        <f>"Peyton"</f>
        <v>Peyton</v>
      </c>
      <c r="D64" t="str">
        <f>"24pblackburn@franklincountyschools.org"</f>
        <v>24pblackburn@franklincountyschools.org</v>
      </c>
      <c r="E64" t="str">
        <f>"09"</f>
        <v>09</v>
      </c>
    </row>
    <row r="65" spans="1:5" x14ac:dyDescent="0.25">
      <c r="A65">
        <f>1920000688</f>
        <v>1920000688</v>
      </c>
      <c r="B65" t="str">
        <f>"Blackburn"</f>
        <v>Blackburn</v>
      </c>
      <c r="C65" t="str">
        <f>"Stanley"</f>
        <v>Stanley</v>
      </c>
      <c r="D65" t="str">
        <f>"28SBlackburn@franklincountyschools.org"</f>
        <v>28SBlackburn@franklincountyschools.org</v>
      </c>
      <c r="E65" t="str">
        <f>"05"</f>
        <v>05</v>
      </c>
    </row>
    <row r="66" spans="1:5" x14ac:dyDescent="0.25">
      <c r="A66">
        <f>1920001688</f>
        <v>1920001688</v>
      </c>
      <c r="B66" t="str">
        <f>"Blevins"</f>
        <v>Blevins</v>
      </c>
      <c r="C66" t="str">
        <f>"Colby"</f>
        <v>Colby</v>
      </c>
      <c r="D66" t="str">
        <f>"33cblevins@franklincountyschools.org"</f>
        <v>33cblevins@franklincountyschools.org</v>
      </c>
      <c r="E66" t="str">
        <f>"KG"</f>
        <v>KG</v>
      </c>
    </row>
    <row r="67" spans="1:5" x14ac:dyDescent="0.25">
      <c r="A67">
        <f>1909002575</f>
        <v>1909002575</v>
      </c>
      <c r="B67" t="str">
        <f>"Boatwright"</f>
        <v>Boatwright</v>
      </c>
      <c r="C67" t="str">
        <f>"Rileigh"</f>
        <v>Rileigh</v>
      </c>
      <c r="D67" t="str">
        <f>"22RBoatwright@franklincountyschools.org"</f>
        <v>22RBoatwright@franklincountyschools.org</v>
      </c>
      <c r="E67">
        <f>11</f>
        <v>11</v>
      </c>
    </row>
    <row r="68" spans="1:5" x14ac:dyDescent="0.25">
      <c r="A68">
        <f>1909002732</f>
        <v>1909002732</v>
      </c>
      <c r="B68" t="str">
        <f>"Bockelman"</f>
        <v>Bockelman</v>
      </c>
      <c r="C68" t="str">
        <f>"Weston"</f>
        <v>Weston</v>
      </c>
      <c r="D68" t="str">
        <f>"22wbockelman@franklincountyschools.org"</f>
        <v>22wbockelman@franklincountyschools.org</v>
      </c>
      <c r="E68">
        <f>11</f>
        <v>11</v>
      </c>
    </row>
    <row r="69" spans="1:5" x14ac:dyDescent="0.25">
      <c r="A69">
        <f>1920001417</f>
        <v>1920001417</v>
      </c>
      <c r="B69" t="str">
        <f>"Bowden"</f>
        <v>Bowden</v>
      </c>
      <c r="C69" t="str">
        <f>"Cooper"</f>
        <v>Cooper</v>
      </c>
      <c r="D69" t="str">
        <f>"22CBowden@franklincountyschools.org"</f>
        <v>22CBowden@franklincountyschools.org</v>
      </c>
      <c r="E69">
        <f>11</f>
        <v>11</v>
      </c>
    </row>
    <row r="70" spans="1:5" x14ac:dyDescent="0.25">
      <c r="A70">
        <f>1920002028</f>
        <v>1920002028</v>
      </c>
      <c r="B70" t="str">
        <f>"Bower"</f>
        <v>Bower</v>
      </c>
      <c r="C70" t="str">
        <f>"Alyssa"</f>
        <v>Alyssa</v>
      </c>
      <c r="D70" t="str">
        <f>"24ABower@franklincountyschools.org"</f>
        <v>24ABower@franklincountyschools.org</v>
      </c>
      <c r="E70" t="str">
        <f>"09"</f>
        <v>09</v>
      </c>
    </row>
    <row r="71" spans="1:5" x14ac:dyDescent="0.25">
      <c r="A71">
        <f>1920002029</f>
        <v>1920002029</v>
      </c>
      <c r="B71" t="str">
        <f>"Bower"</f>
        <v>Bower</v>
      </c>
      <c r="C71" t="str">
        <f>"Greyson"</f>
        <v>Greyson</v>
      </c>
      <c r="D71" t="str">
        <f>"31GBower@franklincountyschools.org"</f>
        <v>31GBower@franklincountyschools.org</v>
      </c>
      <c r="E71" t="str">
        <f>"02"</f>
        <v>02</v>
      </c>
    </row>
    <row r="72" spans="1:5" x14ac:dyDescent="0.25">
      <c r="A72">
        <f>1911003074</f>
        <v>1911003074</v>
      </c>
      <c r="B72" t="str">
        <f>"Branch"</f>
        <v>Branch</v>
      </c>
      <c r="C72" t="str">
        <f>"Maryssa"</f>
        <v>Maryssa</v>
      </c>
      <c r="D72" t="str">
        <f>"24MBranch@franklincountyschools.org"</f>
        <v>24MBranch@franklincountyschools.org</v>
      </c>
      <c r="E72" t="str">
        <f>"09"</f>
        <v>09</v>
      </c>
    </row>
    <row r="73" spans="1:5" x14ac:dyDescent="0.25">
      <c r="A73">
        <f>1920001538</f>
        <v>1920001538</v>
      </c>
      <c r="B73" t="str">
        <f>"Brannan"</f>
        <v>Brannan</v>
      </c>
      <c r="C73" t="str">
        <f>"Elijah"</f>
        <v>Elijah</v>
      </c>
      <c r="D73" t="str">
        <f>"22EBrannan@franklincountyschools.org"</f>
        <v>22EBrannan@franklincountyschools.org</v>
      </c>
      <c r="E73">
        <f>10</f>
        <v>10</v>
      </c>
    </row>
    <row r="74" spans="1:5" x14ac:dyDescent="0.25">
      <c r="A74">
        <f>1920001051</f>
        <v>1920001051</v>
      </c>
      <c r="B74" t="str">
        <f>"Brannan"</f>
        <v>Brannan</v>
      </c>
      <c r="C74" t="str">
        <f>"Kayten"</f>
        <v>Kayten</v>
      </c>
      <c r="D74" t="str">
        <f>"31kbrannan@franklincountyschools.org"</f>
        <v>31kbrannan@franklincountyschools.org</v>
      </c>
      <c r="E74" t="str">
        <f>"02"</f>
        <v>02</v>
      </c>
    </row>
    <row r="75" spans="1:5" x14ac:dyDescent="0.25">
      <c r="A75">
        <f>1920000635</f>
        <v>1920000635</v>
      </c>
      <c r="B75" t="str">
        <f>"Brannan"</f>
        <v>Brannan</v>
      </c>
      <c r="C75" t="str">
        <f>"Madilynn"</f>
        <v>Madilynn</v>
      </c>
      <c r="D75" t="str">
        <f>"29MBrannan@franklincountyschools.org"</f>
        <v>29MBrannan@franklincountyschools.org</v>
      </c>
      <c r="E75" t="str">
        <f>"03"</f>
        <v>03</v>
      </c>
    </row>
    <row r="76" spans="1:5" x14ac:dyDescent="0.25">
      <c r="A76">
        <f>1909002576</f>
        <v>1909002576</v>
      </c>
      <c r="B76" t="str">
        <f>"Brannan"</f>
        <v>Brannan</v>
      </c>
      <c r="C76" t="str">
        <f>"Savannah"</f>
        <v>Savannah</v>
      </c>
      <c r="D76" t="str">
        <f>"22SBrannan@franklincountyschools.org"</f>
        <v>22SBrannan@franklincountyschools.org</v>
      </c>
      <c r="E76">
        <f>11</f>
        <v>11</v>
      </c>
    </row>
    <row r="77" spans="1:5" x14ac:dyDescent="0.25">
      <c r="A77">
        <f>1920001020</f>
        <v>1920001020</v>
      </c>
      <c r="B77" t="str">
        <f>"Brannen"</f>
        <v>Brannen</v>
      </c>
      <c r="C77" t="str">
        <f>"Jescelyn"</f>
        <v>Jescelyn</v>
      </c>
      <c r="D77" t="str">
        <f>"31jbrannen@franklincountyschools.org"</f>
        <v>31jbrannen@franklincountyschools.org</v>
      </c>
      <c r="E77" t="str">
        <f>"02"</f>
        <v>02</v>
      </c>
    </row>
    <row r="78" spans="1:5" x14ac:dyDescent="0.25">
      <c r="A78">
        <f>1911003075</f>
        <v>1911003075</v>
      </c>
      <c r="B78" t="str">
        <f>"Braswell"</f>
        <v>Braswell</v>
      </c>
      <c r="C78" t="str">
        <f>"Bentley"</f>
        <v>Bentley</v>
      </c>
      <c r="D78" t="str">
        <f>"24BBraswell@franklincountyschools.org"</f>
        <v>24BBraswell@franklincountyschools.org</v>
      </c>
      <c r="E78" t="str">
        <f>"09"</f>
        <v>09</v>
      </c>
    </row>
    <row r="79" spans="1:5" x14ac:dyDescent="0.25">
      <c r="A79">
        <f>1912003305</f>
        <v>1912003305</v>
      </c>
      <c r="B79" t="str">
        <f>"Braswell"</f>
        <v>Braswell</v>
      </c>
      <c r="C79" t="str">
        <f>"Chelsey"</f>
        <v>Chelsey</v>
      </c>
      <c r="D79" t="str">
        <f>"25CBraswell@franklincountyschools.org"</f>
        <v>25CBraswell@franklincountyschools.org</v>
      </c>
      <c r="E79" t="str">
        <f>"07"</f>
        <v>07</v>
      </c>
    </row>
    <row r="80" spans="1:5" x14ac:dyDescent="0.25">
      <c r="A80">
        <f>1920001427</f>
        <v>1920001427</v>
      </c>
      <c r="B80" t="str">
        <f>"Brathwaite"</f>
        <v>Brathwaite</v>
      </c>
      <c r="C80" t="str">
        <f>"Eden "</f>
        <v xml:space="preserve">Eden </v>
      </c>
      <c r="D80" t="str">
        <f>"21EBrathwaite@franklincountyschools.org"</f>
        <v>21EBrathwaite@franklincountyschools.org</v>
      </c>
      <c r="E80">
        <f>12</f>
        <v>12</v>
      </c>
    </row>
    <row r="81" spans="1:5" x14ac:dyDescent="0.25">
      <c r="A81">
        <f>1920001428</f>
        <v>1920001428</v>
      </c>
      <c r="B81" t="str">
        <f>"Brathwaite"</f>
        <v>Brathwaite</v>
      </c>
      <c r="C81" t="str">
        <f>"Jahneese"</f>
        <v>Jahneese</v>
      </c>
      <c r="D81" t="str">
        <f>"22JBrathwaite@franklincountyschools.org"</f>
        <v>22JBrathwaite@franklincountyschools.org</v>
      </c>
      <c r="E81">
        <f>11</f>
        <v>11</v>
      </c>
    </row>
    <row r="82" spans="1:5" x14ac:dyDescent="0.25">
      <c r="A82">
        <f>1920001564</f>
        <v>1920001564</v>
      </c>
      <c r="B82" t="str">
        <f>"Breedlove"</f>
        <v>Breedlove</v>
      </c>
      <c r="C82" t="str">
        <f>"Tea'"</f>
        <v>Tea'</v>
      </c>
      <c r="D82" t="str">
        <f>"24TBreedlove@franklincountyschools.org"</f>
        <v>24TBreedlove@franklincountyschools.org</v>
      </c>
      <c r="E82" t="str">
        <f>"09"</f>
        <v>09</v>
      </c>
    </row>
    <row r="83" spans="1:5" x14ac:dyDescent="0.25">
      <c r="A83">
        <f>1920001222</f>
        <v>1920001222</v>
      </c>
      <c r="B83" t="str">
        <f>"Brice"</f>
        <v>Brice</v>
      </c>
      <c r="C83" t="str">
        <f>"Elijah"</f>
        <v>Elijah</v>
      </c>
      <c r="D83" t="str">
        <f>"29EBrice@franklincountyschools.org"</f>
        <v>29EBrice@franklincountyschools.org</v>
      </c>
      <c r="E83" t="str">
        <f>"04"</f>
        <v>04</v>
      </c>
    </row>
    <row r="84" spans="1:5" x14ac:dyDescent="0.25">
      <c r="A84">
        <f>1920001660</f>
        <v>1920001660</v>
      </c>
      <c r="B84" t="str">
        <f>"Brice"</f>
        <v>Brice</v>
      </c>
      <c r="C84" t="str">
        <f>"Hunter"</f>
        <v>Hunter</v>
      </c>
      <c r="D84" t="str">
        <f>"32hbrice@franklincountyschools.org"</f>
        <v>32hbrice@franklincountyschools.org</v>
      </c>
      <c r="E84" t="str">
        <f>"01"</f>
        <v>01</v>
      </c>
    </row>
    <row r="85" spans="1:5" x14ac:dyDescent="0.25">
      <c r="A85">
        <f>1920001220</f>
        <v>1920001220</v>
      </c>
      <c r="B85" t="str">
        <f>"Brice"</f>
        <v>Brice</v>
      </c>
      <c r="C85" t="str">
        <f>"Sarah"</f>
        <v>Sarah</v>
      </c>
      <c r="D85" t="str">
        <f>"28SBrice@franklincountyschools.org"</f>
        <v>28SBrice@franklincountyschools.org</v>
      </c>
      <c r="E85" t="str">
        <f>"05"</f>
        <v>05</v>
      </c>
    </row>
    <row r="86" spans="1:5" x14ac:dyDescent="0.25">
      <c r="A86">
        <f>1920000949</f>
        <v>1920000949</v>
      </c>
      <c r="B86" t="str">
        <f>"Bridges"</f>
        <v>Bridges</v>
      </c>
      <c r="C86" t="str">
        <f>"Max"</f>
        <v>Max</v>
      </c>
      <c r="D86" t="str">
        <f>"30mbridges@franklincountyschools.org"</f>
        <v>30mbridges@franklincountyschools.org</v>
      </c>
      <c r="E86" t="str">
        <f>"03"</f>
        <v>03</v>
      </c>
    </row>
    <row r="87" spans="1:5" x14ac:dyDescent="0.25">
      <c r="A87">
        <f>1920000776</f>
        <v>1920000776</v>
      </c>
      <c r="B87" t="str">
        <f>"Brim"</f>
        <v>Brim</v>
      </c>
      <c r="C87" t="str">
        <f>"Colt"</f>
        <v>Colt</v>
      </c>
      <c r="D87" t="str">
        <f>"29CBrim@franklincountyschools.org"</f>
        <v>29CBrim@franklincountyschools.org</v>
      </c>
      <c r="E87" t="str">
        <f>"04"</f>
        <v>04</v>
      </c>
    </row>
    <row r="88" spans="1:5" x14ac:dyDescent="0.25">
      <c r="A88">
        <f>1920002068</f>
        <v>1920002068</v>
      </c>
      <c r="B88" t="str">
        <f>"Brinton"</f>
        <v>Brinton</v>
      </c>
      <c r="C88" t="str">
        <f>"Mark"</f>
        <v>Mark</v>
      </c>
      <c r="D88" t="str">
        <f>"cmbrinton@aol.com"</f>
        <v>cmbrinton@aol.com</v>
      </c>
      <c r="E88" t="str">
        <f>"07"</f>
        <v>07</v>
      </c>
    </row>
    <row r="89" spans="1:5" x14ac:dyDescent="0.25">
      <c r="A89">
        <f>1912003429</f>
        <v>1912003429</v>
      </c>
      <c r="B89" t="str">
        <f>"Britcher"</f>
        <v>Britcher</v>
      </c>
      <c r="C89" t="str">
        <f>"Alexis"</f>
        <v>Alexis</v>
      </c>
      <c r="D89" t="str">
        <f>"22ABritcher@franklincountyschools.org"</f>
        <v>22ABritcher@franklincountyschools.org</v>
      </c>
      <c r="E89">
        <f>11</f>
        <v>11</v>
      </c>
    </row>
    <row r="90" spans="1:5" x14ac:dyDescent="0.25">
      <c r="A90">
        <f>1912003405</f>
        <v>1912003405</v>
      </c>
      <c r="B90" t="str">
        <f>"Britcher"</f>
        <v>Britcher</v>
      </c>
      <c r="C90" t="str">
        <f>"Ryan"</f>
        <v>Ryan</v>
      </c>
      <c r="D90" t="str">
        <f>"24RBritcher@franklincountyschools.org"</f>
        <v>24RBritcher@franklincountyschools.org</v>
      </c>
      <c r="E90" t="str">
        <f>"09"</f>
        <v>09</v>
      </c>
    </row>
    <row r="91" spans="1:5" x14ac:dyDescent="0.25">
      <c r="A91">
        <f>1912003523</f>
        <v>1912003523</v>
      </c>
      <c r="B91" t="str">
        <f>"Broker"</f>
        <v>Broker</v>
      </c>
      <c r="C91" t="str">
        <f>"Jamison"</f>
        <v>Jamison</v>
      </c>
      <c r="D91" t="str">
        <f>"26JBroker@franklincountyschools.org"</f>
        <v>26JBroker@franklincountyschools.org</v>
      </c>
      <c r="E91" t="str">
        <f>"07"</f>
        <v>07</v>
      </c>
    </row>
    <row r="92" spans="1:5" x14ac:dyDescent="0.25">
      <c r="A92">
        <f>1920001372</f>
        <v>1920001372</v>
      </c>
      <c r="B92" t="str">
        <f t="shared" ref="B92:B97" si="1">"Brown"</f>
        <v>Brown</v>
      </c>
      <c r="C92" t="str">
        <f>"Artcules"</f>
        <v>Artcules</v>
      </c>
      <c r="D92" t="str">
        <f>"28ABrown@franklincountyschools.org"</f>
        <v>28ABrown@franklincountyschools.org</v>
      </c>
      <c r="E92" t="str">
        <f>"04"</f>
        <v>04</v>
      </c>
    </row>
    <row r="93" spans="1:5" x14ac:dyDescent="0.25">
      <c r="A93">
        <f>1920001188</f>
        <v>1920001188</v>
      </c>
      <c r="B93" t="str">
        <f t="shared" si="1"/>
        <v>Brown</v>
      </c>
      <c r="C93" t="str">
        <f>"Aubree"</f>
        <v>Aubree</v>
      </c>
      <c r="D93" t="str">
        <f>"30ABrown@franklincountyschools.org"</f>
        <v>30ABrown@franklincountyschools.org</v>
      </c>
      <c r="E93" t="str">
        <f>"03"</f>
        <v>03</v>
      </c>
    </row>
    <row r="94" spans="1:5" x14ac:dyDescent="0.25">
      <c r="A94">
        <f>1920000636</f>
        <v>1920000636</v>
      </c>
      <c r="B94" t="str">
        <f t="shared" si="1"/>
        <v>Brown</v>
      </c>
      <c r="C94" t="str">
        <f>"Isabella"</f>
        <v>Isabella</v>
      </c>
      <c r="D94" t="str">
        <f>"29IBrown@franklincountyschools.org"</f>
        <v>29IBrown@franklincountyschools.org</v>
      </c>
      <c r="E94" t="str">
        <f>"04"</f>
        <v>04</v>
      </c>
    </row>
    <row r="95" spans="1:5" x14ac:dyDescent="0.25">
      <c r="A95">
        <f>1920001466</f>
        <v>1920001466</v>
      </c>
      <c r="B95" t="str">
        <f t="shared" si="1"/>
        <v>Brown</v>
      </c>
      <c r="C95" t="str">
        <f>"Jaz'Anay"</f>
        <v>Jaz'Anay</v>
      </c>
      <c r="D95" t="str">
        <f>"31jbrown@franklincountyschools.org"</f>
        <v>31jbrown@franklincountyschools.org</v>
      </c>
      <c r="E95" t="str">
        <f>"02"</f>
        <v>02</v>
      </c>
    </row>
    <row r="96" spans="1:5" x14ac:dyDescent="0.25">
      <c r="A96">
        <f>1920001631</f>
        <v>1920001631</v>
      </c>
      <c r="B96" t="str">
        <f t="shared" si="1"/>
        <v>Brown</v>
      </c>
      <c r="C96" t="str">
        <f>"Mya"</f>
        <v>Mya</v>
      </c>
      <c r="D96" t="str">
        <f>"23MBrown@franklincountyschools.org"</f>
        <v>23MBrown@franklincountyschools.org</v>
      </c>
      <c r="E96">
        <f>10</f>
        <v>10</v>
      </c>
    </row>
    <row r="97" spans="1:5" x14ac:dyDescent="0.25">
      <c r="A97">
        <f>1920001628</f>
        <v>1920001628</v>
      </c>
      <c r="B97" t="str">
        <f t="shared" si="1"/>
        <v>Brown</v>
      </c>
      <c r="C97" t="str">
        <f>"Ryan"</f>
        <v>Ryan</v>
      </c>
      <c r="D97" t="str">
        <f>"25RBrown@franklincountyschools.org"</f>
        <v>25RBrown@franklincountyschools.org</v>
      </c>
      <c r="E97" t="str">
        <f>"08"</f>
        <v>08</v>
      </c>
    </row>
    <row r="98" spans="1:5" x14ac:dyDescent="0.25">
      <c r="A98">
        <f>1920000102</f>
        <v>1920000102</v>
      </c>
      <c r="B98" t="str">
        <f>"Bunnell"</f>
        <v>Bunnell</v>
      </c>
      <c r="C98" t="str">
        <f>"Summer"</f>
        <v>Summer</v>
      </c>
      <c r="D98" t="str">
        <f>"25SBunnell@franklincountyschools.org"</f>
        <v>25SBunnell@franklincountyschools.org</v>
      </c>
      <c r="E98" t="str">
        <f>"08"</f>
        <v>08</v>
      </c>
    </row>
    <row r="99" spans="1:5" x14ac:dyDescent="0.25">
      <c r="A99">
        <f>1920000879</f>
        <v>1920000879</v>
      </c>
      <c r="B99" t="str">
        <f>"Burrows"</f>
        <v>Burrows</v>
      </c>
      <c r="C99" t="str">
        <f>"Robert"</f>
        <v>Robert</v>
      </c>
      <c r="D99" t="str">
        <f>"30RBurrows@franklincountyschools.org"</f>
        <v>30RBurrows@franklincountyschools.org</v>
      </c>
      <c r="E99" t="str">
        <f>"03"</f>
        <v>03</v>
      </c>
    </row>
    <row r="100" spans="1:5" x14ac:dyDescent="0.25">
      <c r="A100">
        <f>1920000423</f>
        <v>1920000423</v>
      </c>
      <c r="B100" t="str">
        <f>"Busby"</f>
        <v>Busby</v>
      </c>
      <c r="C100" t="str">
        <f>"Jasmine"</f>
        <v>Jasmine</v>
      </c>
      <c r="D100" t="str">
        <f>"27JBusby@franklincountyschools.org"</f>
        <v>27JBusby@franklincountyschools.org</v>
      </c>
      <c r="E100" t="str">
        <f>"06"</f>
        <v>06</v>
      </c>
    </row>
    <row r="101" spans="1:5" x14ac:dyDescent="0.25">
      <c r="A101">
        <f>1920001244</f>
        <v>1920001244</v>
      </c>
      <c r="B101" t="str">
        <f>"Busby"</f>
        <v>Busby</v>
      </c>
      <c r="C101" t="str">
        <f>"Joseph"</f>
        <v>Joseph</v>
      </c>
      <c r="D101" t="str">
        <f>"31jbusby@franklincountyschools.org"</f>
        <v>31jbusby@franklincountyschools.org</v>
      </c>
      <c r="E101" t="str">
        <f>"02"</f>
        <v>02</v>
      </c>
    </row>
    <row r="102" spans="1:5" x14ac:dyDescent="0.25">
      <c r="A102">
        <f>1920000350</f>
        <v>1920000350</v>
      </c>
      <c r="B102" t="str">
        <f>"Busby"</f>
        <v>Busby</v>
      </c>
      <c r="C102" t="str">
        <f>"Kassidi"</f>
        <v>Kassidi</v>
      </c>
      <c r="D102" t="str">
        <f>"26KBusby@franklincountyschools.org"</f>
        <v>26KBusby@franklincountyschools.org</v>
      </c>
      <c r="E102" t="str">
        <f>"07"</f>
        <v>07</v>
      </c>
    </row>
    <row r="103" spans="1:5" x14ac:dyDescent="0.25">
      <c r="A103">
        <f>1920000103</f>
        <v>1920000103</v>
      </c>
      <c r="B103" t="str">
        <f>"Busby"</f>
        <v>Busby</v>
      </c>
      <c r="C103" t="str">
        <f>"Taylor"</f>
        <v>Taylor</v>
      </c>
      <c r="D103" t="str">
        <f>"24TBusby@franklincountyschools.org"</f>
        <v>24TBusby@franklincountyschools.org</v>
      </c>
      <c r="E103" t="str">
        <f>"09"</f>
        <v>09</v>
      </c>
    </row>
    <row r="104" spans="1:5" x14ac:dyDescent="0.25">
      <c r="A104">
        <f>1910002747</f>
        <v>1910002747</v>
      </c>
      <c r="B104" t="str">
        <f>"Butler"</f>
        <v>Butler</v>
      </c>
      <c r="C104" t="str">
        <f>"Hayden"</f>
        <v>Hayden</v>
      </c>
      <c r="D104" t="str">
        <f>"24HButler@franklincountyschools.org"</f>
        <v>24HButler@franklincountyschools.org</v>
      </c>
      <c r="E104" t="str">
        <f>"08"</f>
        <v>08</v>
      </c>
    </row>
    <row r="105" spans="1:5" x14ac:dyDescent="0.25">
      <c r="A105">
        <f>1920001027</f>
        <v>1920001027</v>
      </c>
      <c r="B105" t="str">
        <f>"Butler"</f>
        <v>Butler</v>
      </c>
      <c r="C105" t="str">
        <f>"Izzabella"</f>
        <v>Izzabella</v>
      </c>
      <c r="D105" t="str">
        <f>"30IButler@franklincountyschools.org"</f>
        <v>30IButler@franklincountyschools.org</v>
      </c>
      <c r="E105" t="str">
        <f>"03"</f>
        <v>03</v>
      </c>
    </row>
    <row r="106" spans="1:5" x14ac:dyDescent="0.25">
      <c r="A106">
        <f>1920001148</f>
        <v>1920001148</v>
      </c>
      <c r="B106" t="str">
        <f>"Butt"</f>
        <v>Butt</v>
      </c>
      <c r="C106" t="str">
        <f>"Peyton"</f>
        <v>Peyton</v>
      </c>
      <c r="D106" t="str">
        <f>"30PButt@franklincountyschools.org"</f>
        <v>30PButt@franklincountyschools.org</v>
      </c>
      <c r="E106" t="str">
        <f>"03"</f>
        <v>03</v>
      </c>
    </row>
    <row r="107" spans="1:5" x14ac:dyDescent="0.25">
      <c r="A107">
        <f>1920000608</f>
        <v>1920000608</v>
      </c>
      <c r="B107" t="str">
        <f>"Byrd"</f>
        <v>Byrd</v>
      </c>
      <c r="C107" t="str">
        <f>"Kelvion"</f>
        <v>Kelvion</v>
      </c>
      <c r="D107" t="str">
        <f>"28KByrd@franklincountyschools.org"</f>
        <v>28KByrd@franklincountyschools.org</v>
      </c>
      <c r="E107" t="str">
        <f>"05"</f>
        <v>05</v>
      </c>
    </row>
    <row r="108" spans="1:5" x14ac:dyDescent="0.25">
      <c r="A108">
        <f>1920002074</f>
        <v>1920002074</v>
      </c>
      <c r="B108" t="str">
        <f>"Carden"</f>
        <v>Carden</v>
      </c>
      <c r="C108" t="str">
        <f>"Callie "</f>
        <v xml:space="preserve">Callie </v>
      </c>
      <c r="D108" t="str">
        <f>"32ccarden@franklincountyschools.org"</f>
        <v>32ccarden@franklincountyschools.org</v>
      </c>
      <c r="E108" t="str">
        <f>"01"</f>
        <v>01</v>
      </c>
    </row>
    <row r="109" spans="1:5" x14ac:dyDescent="0.25">
      <c r="A109">
        <f>1920000808</f>
        <v>1920000808</v>
      </c>
      <c r="B109" t="str">
        <f>"Carden"</f>
        <v>Carden</v>
      </c>
      <c r="C109" t="str">
        <f>"Jayce"</f>
        <v>Jayce</v>
      </c>
      <c r="D109" t="str">
        <f>"30JCarden@franklincountyschools.org"</f>
        <v>30JCarden@franklincountyschools.org</v>
      </c>
      <c r="E109" t="str">
        <f>"03"</f>
        <v>03</v>
      </c>
    </row>
    <row r="110" spans="1:5" x14ac:dyDescent="0.25">
      <c r="A110">
        <f>1920000298</f>
        <v>1920000298</v>
      </c>
      <c r="B110" t="str">
        <f>"Carey"</f>
        <v>Carey</v>
      </c>
      <c r="C110" t="str">
        <f>"Ashton"</f>
        <v>Ashton</v>
      </c>
      <c r="D110" t="str">
        <f>"27ACarey@franklincountyschools.org"</f>
        <v>27ACarey@franklincountyschools.org</v>
      </c>
      <c r="E110" t="str">
        <f>"06"</f>
        <v>06</v>
      </c>
    </row>
    <row r="111" spans="1:5" x14ac:dyDescent="0.25">
      <c r="A111">
        <f>1920001866</f>
        <v>1920001866</v>
      </c>
      <c r="B111" t="str">
        <f>"Carlson"</f>
        <v>Carlson</v>
      </c>
      <c r="C111" t="str">
        <f>"Bradee"</f>
        <v>Bradee</v>
      </c>
      <c r="D111" t="str">
        <f>"33bcarlson@franklincountyschools.org"</f>
        <v>33bcarlson@franklincountyschools.org</v>
      </c>
      <c r="E111" t="str">
        <f>"KG"</f>
        <v>KG</v>
      </c>
    </row>
    <row r="112" spans="1:5" x14ac:dyDescent="0.25">
      <c r="A112">
        <f>1920000341</f>
        <v>1920000341</v>
      </c>
      <c r="B112" t="str">
        <f>"Carmichael"</f>
        <v>Carmichael</v>
      </c>
      <c r="C112" t="str">
        <f>"Alexander"</f>
        <v>Alexander</v>
      </c>
      <c r="D112" t="str">
        <f>"26ACarmichael@franklincountyschools.org"</f>
        <v>26ACarmichael@franklincountyschools.org</v>
      </c>
      <c r="E112" t="str">
        <f>"07"</f>
        <v>07</v>
      </c>
    </row>
    <row r="113" spans="1:5" x14ac:dyDescent="0.25">
      <c r="A113">
        <f>1920000293</f>
        <v>1920000293</v>
      </c>
      <c r="B113" t="str">
        <f>"Carranza"</f>
        <v>Carranza</v>
      </c>
      <c r="C113" t="str">
        <f>"Laelah"</f>
        <v>Laelah</v>
      </c>
      <c r="D113" t="str">
        <f>"24LCarranza@franklincountyschools.org"</f>
        <v>24LCarranza@franklincountyschools.org</v>
      </c>
      <c r="E113" t="str">
        <f>"09"</f>
        <v>09</v>
      </c>
    </row>
    <row r="114" spans="1:5" x14ac:dyDescent="0.25">
      <c r="A114">
        <f>1920000299</f>
        <v>1920000299</v>
      </c>
      <c r="B114" t="str">
        <f>"Carranza"</f>
        <v>Carranza</v>
      </c>
      <c r="C114" t="str">
        <f>"Olivia"</f>
        <v>Olivia</v>
      </c>
      <c r="D114" t="str">
        <f>"27OCarranza@franklincountyschools.org"</f>
        <v>27OCarranza@franklincountyschools.org</v>
      </c>
      <c r="E114" t="str">
        <f>"06"</f>
        <v>06</v>
      </c>
    </row>
    <row r="115" spans="1:5" x14ac:dyDescent="0.25">
      <c r="A115">
        <f>1920002056</f>
        <v>1920002056</v>
      </c>
      <c r="B115" t="str">
        <f>"Carroll"</f>
        <v>Carroll</v>
      </c>
      <c r="C115" t="str">
        <f>"Jesse"</f>
        <v>Jesse</v>
      </c>
      <c r="D115" t="str">
        <f>"34jcarroll@franklincountyschools.org"</f>
        <v>34jcarroll@franklincountyschools.org</v>
      </c>
      <c r="E115" t="str">
        <f>"PK"</f>
        <v>PK</v>
      </c>
    </row>
    <row r="116" spans="1:5" x14ac:dyDescent="0.25">
      <c r="A116">
        <f>1920000409</f>
        <v>1920000409</v>
      </c>
      <c r="B116" t="str">
        <f>"Carter"</f>
        <v>Carter</v>
      </c>
      <c r="C116" t="str">
        <f>"Adyn"</f>
        <v>Adyn</v>
      </c>
      <c r="D116" t="str">
        <f>"27ACarter@franklincountyschools.org"</f>
        <v>27ACarter@franklincountyschools.org</v>
      </c>
      <c r="E116" t="str">
        <f>"06"</f>
        <v>06</v>
      </c>
    </row>
    <row r="117" spans="1:5" x14ac:dyDescent="0.25">
      <c r="A117">
        <f>1920000382</f>
        <v>1920000382</v>
      </c>
      <c r="B117" t="str">
        <f>"Carver"</f>
        <v>Carver</v>
      </c>
      <c r="C117" t="str">
        <f>"Loghan"</f>
        <v>Loghan</v>
      </c>
      <c r="D117" t="str">
        <f>"25LCarver@franklincountyschools.org"</f>
        <v>25LCarver@franklincountyschools.org</v>
      </c>
      <c r="E117" t="str">
        <f>"08"</f>
        <v>08</v>
      </c>
    </row>
    <row r="118" spans="1:5" x14ac:dyDescent="0.25">
      <c r="A118">
        <f>1910002866</f>
        <v>1910002866</v>
      </c>
      <c r="B118" t="str">
        <f>"Cassidy"</f>
        <v>Cassidy</v>
      </c>
      <c r="C118" t="str">
        <f>"Caleb"</f>
        <v>Caleb</v>
      </c>
      <c r="D118" t="str">
        <f>"24ccassidy@franklincountyschools.org"</f>
        <v>24ccassidy@franklincountyschools.org</v>
      </c>
      <c r="E118" t="str">
        <f>"09"</f>
        <v>09</v>
      </c>
    </row>
    <row r="119" spans="1:5" x14ac:dyDescent="0.25">
      <c r="A119">
        <f>1909002536</f>
        <v>1909002536</v>
      </c>
      <c r="B119" t="str">
        <f>"Cassidy"</f>
        <v>Cassidy</v>
      </c>
      <c r="C119" t="str">
        <f>"Cody"</f>
        <v>Cody</v>
      </c>
      <c r="D119" t="str">
        <f>"21ccassidy@franklincountyschools.org"</f>
        <v>21ccassidy@franklincountyschools.org</v>
      </c>
      <c r="E119">
        <f>12</f>
        <v>12</v>
      </c>
    </row>
    <row r="120" spans="1:5" x14ac:dyDescent="0.25">
      <c r="A120">
        <f>1920002043</f>
        <v>1920002043</v>
      </c>
      <c r="B120" t="str">
        <f>"Chadwell"</f>
        <v>Chadwell</v>
      </c>
      <c r="C120" t="str">
        <f>"Rebekah"</f>
        <v>Rebekah</v>
      </c>
      <c r="D120" t="str">
        <f>"34rchadwell@franklincountyschools.org"</f>
        <v>34rchadwell@franklincountyschools.org</v>
      </c>
      <c r="E120" t="str">
        <f>"PK"</f>
        <v>PK</v>
      </c>
    </row>
    <row r="121" spans="1:5" x14ac:dyDescent="0.25">
      <c r="A121">
        <f>1920002051</f>
        <v>1920002051</v>
      </c>
      <c r="B121" t="str">
        <f>"Chalut"</f>
        <v>Chalut</v>
      </c>
      <c r="C121" t="str">
        <f>"Gabrielle"</f>
        <v>Gabrielle</v>
      </c>
      <c r="D121" t="str">
        <f>"27gchalut@franklincountyschools.org"</f>
        <v>27gchalut@franklincountyschools.org</v>
      </c>
      <c r="E121" t="str">
        <f>"06"</f>
        <v>06</v>
      </c>
    </row>
    <row r="122" spans="1:5" x14ac:dyDescent="0.25">
      <c r="A122">
        <f>1920002052</f>
        <v>1920002052</v>
      </c>
      <c r="B122" t="str">
        <f>"Chalut"</f>
        <v>Chalut</v>
      </c>
      <c r="C122" t="str">
        <f>"Skyler"</f>
        <v>Skyler</v>
      </c>
      <c r="D122" t="str">
        <f>"27schalut@franklincountyschools.org"</f>
        <v>27schalut@franklincountyschools.org</v>
      </c>
      <c r="E122" t="str">
        <f>"06"</f>
        <v>06</v>
      </c>
    </row>
    <row r="123" spans="1:5" x14ac:dyDescent="0.25">
      <c r="A123">
        <f>1912003308</f>
        <v>1912003308</v>
      </c>
      <c r="B123" t="str">
        <f>"Chandler"</f>
        <v>Chandler</v>
      </c>
      <c r="C123" t="str">
        <f>"Billy"</f>
        <v>Billy</v>
      </c>
      <c r="D123" t="str">
        <f>"26BChandler@franklincountyschools.org"</f>
        <v>26BChandler@franklincountyschools.org</v>
      </c>
      <c r="E123" t="str">
        <f>"07"</f>
        <v>07</v>
      </c>
    </row>
    <row r="124" spans="1:5" x14ac:dyDescent="0.25">
      <c r="A124">
        <f>1911003277</f>
        <v>1911003277</v>
      </c>
      <c r="B124" t="str">
        <f>"Chapman"</f>
        <v>Chapman</v>
      </c>
      <c r="C124" t="str">
        <f>"Austin"</f>
        <v>Austin</v>
      </c>
      <c r="D124" t="str">
        <f>"24AChapman@franklincountyschools.org"</f>
        <v>24AChapman@franklincountyschools.org</v>
      </c>
      <c r="E124" t="str">
        <f>"09"</f>
        <v>09</v>
      </c>
    </row>
    <row r="125" spans="1:5" x14ac:dyDescent="0.25">
      <c r="A125">
        <f>1920000196</f>
        <v>1920000196</v>
      </c>
      <c r="B125" t="str">
        <f>"Charles"</f>
        <v>Charles</v>
      </c>
      <c r="C125" t="str">
        <f>"Brett"</f>
        <v>Brett</v>
      </c>
      <c r="D125" t="str">
        <f>"25BCharles@franklincountyschools.org"</f>
        <v>25BCharles@franklincountyschools.org</v>
      </c>
      <c r="E125" t="str">
        <f>"08"</f>
        <v>08</v>
      </c>
    </row>
    <row r="126" spans="1:5" x14ac:dyDescent="0.25">
      <c r="A126">
        <f>1920000991</f>
        <v>1920000991</v>
      </c>
      <c r="B126" t="str">
        <f>"Charlton"</f>
        <v>Charlton</v>
      </c>
      <c r="C126" t="str">
        <f>"Damien"</f>
        <v>Damien</v>
      </c>
      <c r="D126" t="str">
        <f>"30DCharlton@franklincountyschools.org"</f>
        <v>30DCharlton@franklincountyschools.org</v>
      </c>
      <c r="E126" t="str">
        <f>"03"</f>
        <v>03</v>
      </c>
    </row>
    <row r="127" spans="1:5" x14ac:dyDescent="0.25">
      <c r="A127">
        <f>1909002666</f>
        <v>1909002666</v>
      </c>
      <c r="B127" t="str">
        <f>"Chastain"</f>
        <v>Chastain</v>
      </c>
      <c r="C127" t="str">
        <f>"Blake"</f>
        <v>Blake</v>
      </c>
      <c r="D127" t="str">
        <f>"21BChastain@franklincountyschools.org"</f>
        <v>21BChastain@franklincountyschools.org</v>
      </c>
      <c r="E127">
        <f>12</f>
        <v>12</v>
      </c>
    </row>
    <row r="128" spans="1:5" x14ac:dyDescent="0.25">
      <c r="A128">
        <f>1912003395</f>
        <v>1912003395</v>
      </c>
      <c r="B128" t="str">
        <f>"Chastine"</f>
        <v>Chastine</v>
      </c>
      <c r="C128" t="str">
        <f>"William"</f>
        <v>William</v>
      </c>
      <c r="D128" t="str">
        <f>"25WChastine@franklincountyschools.org"</f>
        <v>25WChastine@franklincountyschools.org</v>
      </c>
      <c r="E128" t="str">
        <f>"08"</f>
        <v>08</v>
      </c>
    </row>
    <row r="129" spans="1:5" x14ac:dyDescent="0.25">
      <c r="A129">
        <f>1910002869</f>
        <v>1910002869</v>
      </c>
      <c r="B129" t="str">
        <f>"Chipman"</f>
        <v>Chipman</v>
      </c>
      <c r="C129" t="str">
        <f>"William"</f>
        <v>William</v>
      </c>
      <c r="D129" t="str">
        <f>"24WChipman@franklincountyschools.org"</f>
        <v>24WChipman@franklincountyschools.org</v>
      </c>
      <c r="E129" t="str">
        <f>"09"</f>
        <v>09</v>
      </c>
    </row>
    <row r="130" spans="1:5" x14ac:dyDescent="0.25">
      <c r="A130">
        <f>1920000368</f>
        <v>1920000368</v>
      </c>
      <c r="B130" t="str">
        <f>"Chisholm"</f>
        <v>Chisholm</v>
      </c>
      <c r="C130" t="str">
        <f>"Gracie"</f>
        <v>Gracie</v>
      </c>
      <c r="D130" t="str">
        <f>"26GChisholm@franklincountyschools.org"</f>
        <v>26GChisholm@franklincountyschools.org</v>
      </c>
      <c r="E130" t="str">
        <f>"07"</f>
        <v>07</v>
      </c>
    </row>
    <row r="131" spans="1:5" x14ac:dyDescent="0.25">
      <c r="A131">
        <f>1908002360</f>
        <v>1908002360</v>
      </c>
      <c r="B131" t="str">
        <f>"Chisholm"</f>
        <v>Chisholm</v>
      </c>
      <c r="C131" t="str">
        <f>"Layla"</f>
        <v>Layla</v>
      </c>
      <c r="D131" t="str">
        <f>"21LChisholm@franklincountyschools.org"</f>
        <v>21LChisholm@franklincountyschools.org</v>
      </c>
      <c r="E131">
        <f>12</f>
        <v>12</v>
      </c>
    </row>
    <row r="132" spans="1:5" x14ac:dyDescent="0.25">
      <c r="A132">
        <f>1920000591</f>
        <v>1920000591</v>
      </c>
      <c r="B132" t="str">
        <f>"Chisholm"</f>
        <v>Chisholm</v>
      </c>
      <c r="C132" t="str">
        <f>"Raina"</f>
        <v>Raina</v>
      </c>
      <c r="D132" t="str">
        <f>"27RChisholm@franklincountyschools.org"</f>
        <v>27RChisholm@franklincountyschools.org</v>
      </c>
      <c r="E132" t="str">
        <f>"06"</f>
        <v>06</v>
      </c>
    </row>
    <row r="133" spans="1:5" x14ac:dyDescent="0.25">
      <c r="A133">
        <f>1911003089</f>
        <v>1911003089</v>
      </c>
      <c r="B133" t="str">
        <f>"Clayton"</f>
        <v>Clayton</v>
      </c>
      <c r="C133" t="str">
        <f>"Marcus"</f>
        <v>Marcus</v>
      </c>
      <c r="D133" t="str">
        <f>"24MClayton@franklincountyschools.org"</f>
        <v>24MClayton@franklincountyschools.org</v>
      </c>
      <c r="E133" t="str">
        <f>"09"</f>
        <v>09</v>
      </c>
    </row>
    <row r="134" spans="1:5" x14ac:dyDescent="0.25">
      <c r="A134">
        <f>1920001960</f>
        <v>1920001960</v>
      </c>
      <c r="B134" t="str">
        <f>"Clemons"</f>
        <v>Clemons</v>
      </c>
      <c r="C134" t="str">
        <f>"Antonio"</f>
        <v>Antonio</v>
      </c>
      <c r="D134" t="str">
        <f>"33aclemons@franklincountyschools.org"</f>
        <v>33aclemons@franklincountyschools.org</v>
      </c>
      <c r="E134" t="str">
        <f>"KG"</f>
        <v>KG</v>
      </c>
    </row>
    <row r="135" spans="1:5" x14ac:dyDescent="0.25">
      <c r="A135">
        <f>1909002582</f>
        <v>1909002582</v>
      </c>
      <c r="B135" t="str">
        <f>"Cogburn"</f>
        <v>Cogburn</v>
      </c>
      <c r="C135" t="str">
        <f>"Destin"</f>
        <v>Destin</v>
      </c>
      <c r="D135" t="str">
        <f>"23dcogburn@franklincountyschools.org"</f>
        <v>23dcogburn@franklincountyschools.org</v>
      </c>
      <c r="E135" t="str">
        <f>"08"</f>
        <v>08</v>
      </c>
    </row>
    <row r="136" spans="1:5" x14ac:dyDescent="0.25">
      <c r="A136">
        <f>1911003274</f>
        <v>1911003274</v>
      </c>
      <c r="B136" t="str">
        <f>"Cogburn"</f>
        <v>Cogburn</v>
      </c>
      <c r="C136" t="str">
        <f>"Josaph  "</f>
        <v xml:space="preserve">Josaph  </v>
      </c>
      <c r="D136" t="str">
        <f>"27JCogburn@franklincountyschools.org"</f>
        <v>27JCogburn@franklincountyschools.org</v>
      </c>
      <c r="E136" t="str">
        <f>"06"</f>
        <v>06</v>
      </c>
    </row>
    <row r="137" spans="1:5" x14ac:dyDescent="0.25">
      <c r="A137">
        <f>1920001455</f>
        <v>1920001455</v>
      </c>
      <c r="B137" t="str">
        <f>"Coley"</f>
        <v>Coley</v>
      </c>
      <c r="C137" t="str">
        <f>"Glen"</f>
        <v>Glen</v>
      </c>
      <c r="D137" t="str">
        <f>"32gcoley@franklincountyschools.org"</f>
        <v>32gcoley@franklincountyschools.org</v>
      </c>
      <c r="E137" t="str">
        <f>"01"</f>
        <v>01</v>
      </c>
    </row>
    <row r="138" spans="1:5" x14ac:dyDescent="0.25">
      <c r="A138">
        <f>1920002059</f>
        <v>1920002059</v>
      </c>
      <c r="B138" t="str">
        <f>"Collins"</f>
        <v>Collins</v>
      </c>
      <c r="C138" t="str">
        <f>"Raiya"</f>
        <v>Raiya</v>
      </c>
      <c r="D138" t="str">
        <f>"34rcollins@franklincountyschools.org"</f>
        <v>34rcollins@franklincountyschools.org</v>
      </c>
      <c r="E138" t="str">
        <f>"PK"</f>
        <v>PK</v>
      </c>
    </row>
    <row r="139" spans="1:5" x14ac:dyDescent="0.25">
      <c r="A139">
        <f>1909002724</f>
        <v>1909002724</v>
      </c>
      <c r="B139" t="str">
        <f>"Conway"</f>
        <v>Conway</v>
      </c>
      <c r="C139" t="str">
        <f>"Lauren"</f>
        <v>Lauren</v>
      </c>
      <c r="D139" t="str">
        <f>"22lconway@franklincountyschools.org"</f>
        <v>22lconway@franklincountyschools.org</v>
      </c>
      <c r="E139">
        <f>11</f>
        <v>11</v>
      </c>
    </row>
    <row r="140" spans="1:5" x14ac:dyDescent="0.25">
      <c r="A140">
        <f>1911003056</f>
        <v>1911003056</v>
      </c>
      <c r="B140" t="str">
        <f>"Conway"</f>
        <v>Conway</v>
      </c>
      <c r="C140" t="str">
        <f>"Leonard"</f>
        <v>Leonard</v>
      </c>
      <c r="D140" t="str">
        <f>"24lconway@franklincountyschools.org"</f>
        <v>24lconway@franklincountyschools.org</v>
      </c>
      <c r="E140" t="str">
        <f>"09"</f>
        <v>09</v>
      </c>
    </row>
    <row r="141" spans="1:5" x14ac:dyDescent="0.25">
      <c r="A141">
        <f>1911003127</f>
        <v>1911003127</v>
      </c>
      <c r="B141" t="str">
        <f>"Cook"</f>
        <v>Cook</v>
      </c>
      <c r="C141" t="str">
        <f>"Steven"</f>
        <v>Steven</v>
      </c>
      <c r="D141" t="str">
        <f>"22scook@franklincountyschools.org"</f>
        <v>22scook@franklincountyschools.org</v>
      </c>
      <c r="E141">
        <f>11</f>
        <v>11</v>
      </c>
    </row>
    <row r="142" spans="1:5" x14ac:dyDescent="0.25">
      <c r="A142">
        <f>1920001646</f>
        <v>1920001646</v>
      </c>
      <c r="B142" t="str">
        <f t="shared" ref="B142:B148" si="2">"Cooper"</f>
        <v>Cooper</v>
      </c>
      <c r="C142" t="str">
        <f>"Andray"</f>
        <v>Andray</v>
      </c>
      <c r="D142" t="str">
        <f>"30ACooper@franklincountyschools.org"</f>
        <v>30ACooper@franklincountyschools.org</v>
      </c>
      <c r="E142" t="str">
        <f>"03"</f>
        <v>03</v>
      </c>
    </row>
    <row r="143" spans="1:5" x14ac:dyDescent="0.25">
      <c r="A143">
        <f>1909002703</f>
        <v>1909002703</v>
      </c>
      <c r="B143" t="str">
        <f t="shared" si="2"/>
        <v>Cooper</v>
      </c>
      <c r="C143" t="str">
        <f>"Andrea"</f>
        <v>Andrea</v>
      </c>
      <c r="D143" t="str">
        <f>"21ACooper@franklincountyschools.org"</f>
        <v>21ACooper@franklincountyschools.org</v>
      </c>
      <c r="E143">
        <f>12</f>
        <v>12</v>
      </c>
    </row>
    <row r="144" spans="1:5" x14ac:dyDescent="0.25">
      <c r="A144">
        <f>1920001723</f>
        <v>1920001723</v>
      </c>
      <c r="B144" t="str">
        <f t="shared" si="2"/>
        <v>Cooper</v>
      </c>
      <c r="C144" t="str">
        <f>"Bentley"</f>
        <v>Bentley</v>
      </c>
      <c r="D144" t="str">
        <f>"33bcooper@franklincountyschools.org"</f>
        <v>33bcooper@franklincountyschools.org</v>
      </c>
      <c r="E144" t="str">
        <f>"KG"</f>
        <v>KG</v>
      </c>
    </row>
    <row r="145" spans="1:5" x14ac:dyDescent="0.25">
      <c r="A145">
        <f>1909002710</f>
        <v>1909002710</v>
      </c>
      <c r="B145" t="str">
        <f t="shared" si="2"/>
        <v>Cooper</v>
      </c>
      <c r="C145" t="str">
        <f>"Brianna"</f>
        <v>Brianna</v>
      </c>
      <c r="D145" t="str">
        <f>"22BCooper@franklincountyschools.org"</f>
        <v>22BCooper@franklincountyschools.org</v>
      </c>
      <c r="E145">
        <f>11</f>
        <v>11</v>
      </c>
    </row>
    <row r="146" spans="1:5" x14ac:dyDescent="0.25">
      <c r="A146">
        <f>1910002838</f>
        <v>1910002838</v>
      </c>
      <c r="B146" t="str">
        <f t="shared" si="2"/>
        <v>Cooper</v>
      </c>
      <c r="C146" t="str">
        <f>"Nicholas"</f>
        <v>Nicholas</v>
      </c>
      <c r="D146" t="str">
        <f>"24NCooper@franklincountyschools.org"</f>
        <v>24NCooper@franklincountyschools.org</v>
      </c>
      <c r="E146" t="str">
        <f>"09"</f>
        <v>09</v>
      </c>
    </row>
    <row r="147" spans="1:5" x14ac:dyDescent="0.25">
      <c r="A147">
        <f>1912003493</f>
        <v>1912003493</v>
      </c>
      <c r="B147" t="str">
        <f t="shared" si="2"/>
        <v>Cooper</v>
      </c>
      <c r="C147" t="str">
        <f>"Olivia"</f>
        <v>Olivia</v>
      </c>
      <c r="D147" t="str">
        <f>"28OCooper@franklincountyschools.org"</f>
        <v>28OCooper@franklincountyschools.org</v>
      </c>
      <c r="E147" t="str">
        <f>"05"</f>
        <v>05</v>
      </c>
    </row>
    <row r="148" spans="1:5" x14ac:dyDescent="0.25">
      <c r="A148">
        <f>1909002723</f>
        <v>1909002723</v>
      </c>
      <c r="B148" t="str">
        <f t="shared" si="2"/>
        <v>Cooper</v>
      </c>
      <c r="C148" t="str">
        <f>"Riley"</f>
        <v>Riley</v>
      </c>
      <c r="D148" t="str">
        <f>"23rcooper@franklincountyschools.org"</f>
        <v>23rcooper@franklincountyschools.org</v>
      </c>
      <c r="E148" t="str">
        <f>"09"</f>
        <v>09</v>
      </c>
    </row>
    <row r="149" spans="1:5" x14ac:dyDescent="0.25">
      <c r="A149">
        <f>1920001185</f>
        <v>1920001185</v>
      </c>
      <c r="B149" t="str">
        <f>"Copeland"</f>
        <v>Copeland</v>
      </c>
      <c r="C149" t="str">
        <f>"Bronson"</f>
        <v>Bronson</v>
      </c>
      <c r="D149" t="str">
        <f>"30BCopeland@franklincountyschools.org"</f>
        <v>30BCopeland@franklincountyschools.org</v>
      </c>
      <c r="E149" t="str">
        <f>"03"</f>
        <v>03</v>
      </c>
    </row>
    <row r="150" spans="1:5" x14ac:dyDescent="0.25">
      <c r="A150">
        <f>1920001271</f>
        <v>1920001271</v>
      </c>
      <c r="B150" t="str">
        <f>"Covan"</f>
        <v>Covan</v>
      </c>
      <c r="C150" t="str">
        <f>"Temperance"</f>
        <v>Temperance</v>
      </c>
      <c r="D150" t="str">
        <f>"30TCovan@franklincountyschools.org"</f>
        <v>30TCovan@franklincountyschools.org</v>
      </c>
      <c r="E150" t="str">
        <f>"03"</f>
        <v>03</v>
      </c>
    </row>
    <row r="151" spans="1:5" x14ac:dyDescent="0.25">
      <c r="A151">
        <f>1908002302</f>
        <v>1908002302</v>
      </c>
      <c r="B151" t="str">
        <f>"Cox"</f>
        <v>Cox</v>
      </c>
      <c r="C151" t="str">
        <f>"Katelyn"</f>
        <v>Katelyn</v>
      </c>
      <c r="D151" t="str">
        <f>"22KCox@franklincountyschools.org"</f>
        <v>22KCox@franklincountyschools.org</v>
      </c>
      <c r="E151">
        <f>12</f>
        <v>12</v>
      </c>
    </row>
    <row r="152" spans="1:5" x14ac:dyDescent="0.25">
      <c r="A152">
        <f>1920000376</f>
        <v>1920000376</v>
      </c>
      <c r="B152" t="str">
        <f>"Coxwell"</f>
        <v>Coxwell</v>
      </c>
      <c r="C152" t="str">
        <f>"Macy"</f>
        <v>Macy</v>
      </c>
      <c r="D152" t="str">
        <f>"23MCoxwell@franklincountyschools.org"</f>
        <v>23MCoxwell@franklincountyschools.org</v>
      </c>
      <c r="E152">
        <f>10</f>
        <v>10</v>
      </c>
    </row>
    <row r="153" spans="1:5" x14ac:dyDescent="0.25">
      <c r="A153">
        <f>1920001471</f>
        <v>1920001471</v>
      </c>
      <c r="B153" t="str">
        <f>"Cravey"</f>
        <v>Cravey</v>
      </c>
      <c r="C153" t="str">
        <f>"Reanna"</f>
        <v>Reanna</v>
      </c>
      <c r="D153" t="str">
        <f>"32rcravey@franklincountyschools.org"</f>
        <v>32rcravey@franklincountyschools.org</v>
      </c>
      <c r="E153" t="str">
        <f>"01"</f>
        <v>01</v>
      </c>
    </row>
    <row r="154" spans="1:5" x14ac:dyDescent="0.25">
      <c r="A154">
        <f>1920001527</f>
        <v>1920001527</v>
      </c>
      <c r="B154" t="str">
        <f>"Creamer"</f>
        <v>Creamer</v>
      </c>
      <c r="C154" t="str">
        <f>"Judith"</f>
        <v>Judith</v>
      </c>
      <c r="D154" t="str">
        <f>"33jcreamer@franklincountyschools.org"</f>
        <v>33jcreamer@franklincountyschools.org</v>
      </c>
      <c r="E154" t="str">
        <f>"PK"</f>
        <v>PK</v>
      </c>
    </row>
    <row r="155" spans="1:5" x14ac:dyDescent="0.25">
      <c r="A155">
        <f>1910002990</f>
        <v>1910002990</v>
      </c>
      <c r="B155" t="str">
        <f>"Creamer"</f>
        <v>Creamer</v>
      </c>
      <c r="C155" t="str">
        <f>"Trinity"</f>
        <v>Trinity</v>
      </c>
      <c r="D155" t="str">
        <f>"24tcreamer@franklincountyschools.org"</f>
        <v>24tcreamer@franklincountyschools.org</v>
      </c>
      <c r="E155" t="str">
        <f>"09"</f>
        <v>09</v>
      </c>
    </row>
    <row r="156" spans="1:5" x14ac:dyDescent="0.25">
      <c r="A156">
        <f>1920001128</f>
        <v>1920001128</v>
      </c>
      <c r="B156" t="str">
        <f>"Creek"</f>
        <v>Creek</v>
      </c>
      <c r="C156" t="str">
        <f>"Charles "</f>
        <v xml:space="preserve">Charles </v>
      </c>
      <c r="D156" t="str">
        <f>"31ccreek@franklincountyschools.org"</f>
        <v>31ccreek@franklincountyschools.org</v>
      </c>
      <c r="E156" t="str">
        <f>"02"</f>
        <v>02</v>
      </c>
    </row>
    <row r="157" spans="1:5" x14ac:dyDescent="0.25">
      <c r="A157">
        <f>1912003310</f>
        <v>1912003310</v>
      </c>
      <c r="B157" t="str">
        <f>"Creek"</f>
        <v>Creek</v>
      </c>
      <c r="C157" t="str">
        <f>"Christopher"</f>
        <v>Christopher</v>
      </c>
      <c r="D157" t="str">
        <f>"25CCreek@franklincountyschools.org"</f>
        <v>25CCreek@franklincountyschools.org</v>
      </c>
      <c r="E157" t="str">
        <f>"08"</f>
        <v>08</v>
      </c>
    </row>
    <row r="158" spans="1:5" x14ac:dyDescent="0.25">
      <c r="A158">
        <f>1920001519</f>
        <v>1920001519</v>
      </c>
      <c r="B158" t="str">
        <f>"Cripe"</f>
        <v>Cripe</v>
      </c>
      <c r="C158" t="str">
        <f>"Alanah"</f>
        <v>Alanah</v>
      </c>
      <c r="D158" t="str">
        <f>"24ACripe@franklincountyschools.org"</f>
        <v>24ACripe@franklincountyschools.org</v>
      </c>
      <c r="E158" t="str">
        <f>"09"</f>
        <v>09</v>
      </c>
    </row>
    <row r="159" spans="1:5" x14ac:dyDescent="0.25">
      <c r="A159">
        <f>1907002106</f>
        <v>1907002106</v>
      </c>
      <c r="B159" t="str">
        <f>"Croom"</f>
        <v>Croom</v>
      </c>
      <c r="C159" t="str">
        <f>"Qua'Nieria"</f>
        <v>Qua'Nieria</v>
      </c>
      <c r="D159" t="str">
        <f>"21qcroom@franklincountyschools.org"</f>
        <v>21qcroom@franklincountyschools.org</v>
      </c>
      <c r="E159">
        <f>12</f>
        <v>12</v>
      </c>
    </row>
    <row r="160" spans="1:5" x14ac:dyDescent="0.25">
      <c r="A160">
        <f>1920001605</f>
        <v>1920001605</v>
      </c>
      <c r="B160" t="str">
        <f>"Croom"</f>
        <v>Croom</v>
      </c>
      <c r="C160" t="str">
        <f>"Thea"</f>
        <v>Thea</v>
      </c>
      <c r="D160" t="str">
        <f>"32tcroom@franklincountyschools.org"</f>
        <v>32tcroom@franklincountyschools.org</v>
      </c>
      <c r="E160" t="str">
        <f>"01"</f>
        <v>01</v>
      </c>
    </row>
    <row r="161" spans="1:5" x14ac:dyDescent="0.25">
      <c r="A161">
        <f>1920000810</f>
        <v>1920000810</v>
      </c>
      <c r="B161" t="str">
        <f>"Croom-DeLeon"</f>
        <v>Croom-DeLeon</v>
      </c>
      <c r="C161" t="str">
        <f>"Anthonella"</f>
        <v>Anthonella</v>
      </c>
      <c r="D161" t="str">
        <f>"30ACroom@franklincountyschools.org"</f>
        <v>30ACroom@franklincountyschools.org</v>
      </c>
      <c r="E161" t="str">
        <f>"03"</f>
        <v>03</v>
      </c>
    </row>
    <row r="162" spans="1:5" x14ac:dyDescent="0.25">
      <c r="A162">
        <f>1920001680</f>
        <v>1920001680</v>
      </c>
      <c r="B162" t="str">
        <f>"Croom-De Leon"</f>
        <v>Croom-De Leon</v>
      </c>
      <c r="C162" t="str">
        <f>"Anthonietta"</f>
        <v>Anthonietta</v>
      </c>
      <c r="D162" t="str">
        <f>"33acroom@franklincountyschools.org"</f>
        <v>33acroom@franklincountyschools.org</v>
      </c>
      <c r="E162" t="str">
        <f>"KG"</f>
        <v>KG</v>
      </c>
    </row>
    <row r="163" spans="1:5" x14ac:dyDescent="0.25">
      <c r="A163">
        <f>1920001594</f>
        <v>1920001594</v>
      </c>
      <c r="B163" t="str">
        <f>"Cross"</f>
        <v>Cross</v>
      </c>
      <c r="C163" t="str">
        <f>"Daisy"</f>
        <v>Daisy</v>
      </c>
      <c r="D163" t="str">
        <f>"28DCross@franklincountyschools.org"</f>
        <v>28DCross@franklincountyschools.org</v>
      </c>
      <c r="E163" t="str">
        <f>"05"</f>
        <v>05</v>
      </c>
    </row>
    <row r="164" spans="1:5" x14ac:dyDescent="0.25">
      <c r="A164">
        <f>1920001595</f>
        <v>1920001595</v>
      </c>
      <c r="B164" t="str">
        <f>"Cross"</f>
        <v>Cross</v>
      </c>
      <c r="C164" t="str">
        <f>"Dixie"</f>
        <v>Dixie</v>
      </c>
      <c r="D164" t="str">
        <f>"27DCross@franklincountyschools.org"</f>
        <v>27DCross@franklincountyschools.org</v>
      </c>
      <c r="E164" t="str">
        <f>"06"</f>
        <v>06</v>
      </c>
    </row>
    <row r="165" spans="1:5" x14ac:dyDescent="0.25">
      <c r="A165">
        <f>1920001596</f>
        <v>1920001596</v>
      </c>
      <c r="B165" t="str">
        <f>"Cross"</f>
        <v>Cross</v>
      </c>
      <c r="C165" t="str">
        <f>"Faith"</f>
        <v>Faith</v>
      </c>
      <c r="D165" t="str">
        <f>"26FCross@franklincountyschools.org"</f>
        <v>26FCross@franklincountyschools.org</v>
      </c>
      <c r="E165" t="str">
        <f>"07"</f>
        <v>07</v>
      </c>
    </row>
    <row r="166" spans="1:5" x14ac:dyDescent="0.25">
      <c r="A166">
        <f>1920001603</f>
        <v>1920001603</v>
      </c>
      <c r="B166" t="str">
        <f>"Crum"</f>
        <v>Crum</v>
      </c>
      <c r="C166" t="str">
        <f>"Avarie"</f>
        <v>Avarie</v>
      </c>
      <c r="D166" t="str">
        <f>"33acrum@franklincountyschools.org"</f>
        <v>33acrum@franklincountyschools.org</v>
      </c>
      <c r="E166" t="str">
        <f>"KG"</f>
        <v>KG</v>
      </c>
    </row>
    <row r="167" spans="1:5" x14ac:dyDescent="0.25">
      <c r="A167">
        <f>1909002583</f>
        <v>1909002583</v>
      </c>
      <c r="B167" t="str">
        <f>"Crum"</f>
        <v>Crum</v>
      </c>
      <c r="C167" t="str">
        <f>"Emma"</f>
        <v>Emma</v>
      </c>
      <c r="D167" t="str">
        <f>"22ECrum@franklincountyschools.org"</f>
        <v>22ECrum@franklincountyschools.org</v>
      </c>
      <c r="E167">
        <f>11</f>
        <v>11</v>
      </c>
    </row>
    <row r="168" spans="1:5" x14ac:dyDescent="0.25">
      <c r="A168">
        <f>1920001620</f>
        <v>1920001620</v>
      </c>
      <c r="B168" t="str">
        <f>"Crum"</f>
        <v>Crum</v>
      </c>
      <c r="C168" t="str">
        <f>"Remington"</f>
        <v>Remington</v>
      </c>
      <c r="D168" t="str">
        <f>"23RCrum@franklincountyschools.org"</f>
        <v>23RCrum@franklincountyschools.org</v>
      </c>
      <c r="E168">
        <f>10</f>
        <v>10</v>
      </c>
    </row>
    <row r="169" spans="1:5" x14ac:dyDescent="0.25">
      <c r="A169">
        <f>1920000404</f>
        <v>1920000404</v>
      </c>
      <c r="B169" t="str">
        <f>"Cruse"</f>
        <v>Cruse</v>
      </c>
      <c r="C169" t="str">
        <f>"Adacyn"</f>
        <v>Adacyn</v>
      </c>
      <c r="D169" t="str">
        <f>"27ACruse@franklincountyschools.org"</f>
        <v>27ACruse@franklincountyschools.org</v>
      </c>
      <c r="E169" t="str">
        <f>"06"</f>
        <v>06</v>
      </c>
    </row>
    <row r="170" spans="1:5" x14ac:dyDescent="0.25">
      <c r="A170">
        <f>1920001243</f>
        <v>1920001243</v>
      </c>
      <c r="B170" t="str">
        <f>"Cruse"</f>
        <v>Cruse</v>
      </c>
      <c r="C170" t="str">
        <f>"Tylen "</f>
        <v xml:space="preserve">Tylen </v>
      </c>
      <c r="D170" t="str">
        <f>"31tcruse@franklincountyschools.org"</f>
        <v>31tcruse@franklincountyschools.org</v>
      </c>
      <c r="E170" t="str">
        <f>"02"</f>
        <v>02</v>
      </c>
    </row>
    <row r="171" spans="1:5" x14ac:dyDescent="0.25">
      <c r="A171">
        <f>1920001476</f>
        <v>1920001476</v>
      </c>
      <c r="B171" t="str">
        <f>"Cruse"</f>
        <v>Cruse</v>
      </c>
      <c r="C171" t="str">
        <f>"Zaiden"</f>
        <v>Zaiden</v>
      </c>
      <c r="D171" t="str">
        <f>"32zcruse@franklincountyschools.org"</f>
        <v>32zcruse@franklincountyschools.org</v>
      </c>
      <c r="E171" t="str">
        <f>"01"</f>
        <v>01</v>
      </c>
    </row>
    <row r="172" spans="1:5" x14ac:dyDescent="0.25">
      <c r="A172">
        <f>1920001198</f>
        <v>1920001198</v>
      </c>
      <c r="B172" t="str">
        <f>"Cruse-Jetton"</f>
        <v>Cruse-Jetton</v>
      </c>
      <c r="C172" t="str">
        <f>"Cayden"</f>
        <v>Cayden</v>
      </c>
      <c r="D172" t="str">
        <f>"30CCruseJetton@franklincountyschools.org"</f>
        <v>30CCruseJetton@franklincountyschools.org</v>
      </c>
      <c r="E172" t="str">
        <f>"03"</f>
        <v>03</v>
      </c>
    </row>
    <row r="173" spans="1:5" x14ac:dyDescent="0.25">
      <c r="A173">
        <f>1920000432</f>
        <v>1920000432</v>
      </c>
      <c r="B173" t="str">
        <f>"Cruz"</f>
        <v>Cruz</v>
      </c>
      <c r="C173" t="str">
        <f>"Andrea"</f>
        <v>Andrea</v>
      </c>
      <c r="D173" t="str">
        <f>"24ACruz@franklincountyschools.org"</f>
        <v>24ACruz@franklincountyschools.org</v>
      </c>
      <c r="E173" t="str">
        <f>"09"</f>
        <v>09</v>
      </c>
    </row>
    <row r="174" spans="1:5" x14ac:dyDescent="0.25">
      <c r="A174">
        <f>1920001785</f>
        <v>1920001785</v>
      </c>
      <c r="B174" t="str">
        <f>"Culberth"</f>
        <v>Culberth</v>
      </c>
      <c r="C174" t="str">
        <f>"Rylee"</f>
        <v>Rylee</v>
      </c>
      <c r="D174" t="str">
        <f>"31RCulberth@franklincountyschools.org"</f>
        <v>31RCulberth@franklincountyschools.org</v>
      </c>
      <c r="E174" t="str">
        <f>"02"</f>
        <v>02</v>
      </c>
    </row>
    <row r="175" spans="1:5" x14ac:dyDescent="0.25">
      <c r="A175">
        <f>1920000283</f>
        <v>1920000283</v>
      </c>
      <c r="B175" t="str">
        <f>"Cummings"</f>
        <v>Cummings</v>
      </c>
      <c r="C175" t="str">
        <f>"Cha'novia"</f>
        <v>Cha'novia</v>
      </c>
      <c r="D175" t="str">
        <f>"27CCummings@franklincountyschools.org"</f>
        <v>27CCummings@franklincountyschools.org</v>
      </c>
      <c r="E175" t="str">
        <f>"06"</f>
        <v>06</v>
      </c>
    </row>
    <row r="176" spans="1:5" x14ac:dyDescent="0.25">
      <c r="A176">
        <f>1920001715</f>
        <v>1920001715</v>
      </c>
      <c r="B176" t="str">
        <f>"Cummings"</f>
        <v>Cummings</v>
      </c>
      <c r="C176" t="str">
        <f>"Levi"</f>
        <v>Levi</v>
      </c>
      <c r="D176" t="str">
        <f>"33lcummings@franklincountyschools.org"</f>
        <v>33lcummings@franklincountyschools.org</v>
      </c>
      <c r="E176" t="str">
        <f>"KG"</f>
        <v>KG</v>
      </c>
    </row>
    <row r="177" spans="1:5" x14ac:dyDescent="0.25">
      <c r="A177">
        <f>1908002367</f>
        <v>1908002367</v>
      </c>
      <c r="B177" t="str">
        <f>"Curry"</f>
        <v>Curry</v>
      </c>
      <c r="C177" t="str">
        <f>"Blakely"</f>
        <v>Blakely</v>
      </c>
      <c r="D177" t="str">
        <f>"22BCurry@franklincountyschools.org"</f>
        <v>22BCurry@franklincountyschools.org</v>
      </c>
      <c r="E177">
        <f>11</f>
        <v>11</v>
      </c>
    </row>
    <row r="178" spans="1:5" x14ac:dyDescent="0.25">
      <c r="A178">
        <f>1912003437</f>
        <v>1912003437</v>
      </c>
      <c r="B178" t="str">
        <f>"Curry"</f>
        <v>Curry</v>
      </c>
      <c r="C178" t="str">
        <f>"Collin"</f>
        <v>Collin</v>
      </c>
      <c r="D178" t="str">
        <f>"27CCurry@franklincountyschools.org"</f>
        <v>27CCurry@franklincountyschools.org</v>
      </c>
      <c r="E178" t="str">
        <f>"06"</f>
        <v>06</v>
      </c>
    </row>
    <row r="179" spans="1:5" x14ac:dyDescent="0.25">
      <c r="A179">
        <f>1909002709</f>
        <v>1909002709</v>
      </c>
      <c r="B179" t="str">
        <f>"Curry"</f>
        <v>Curry</v>
      </c>
      <c r="C179" t="str">
        <f>"Dustin"</f>
        <v>Dustin</v>
      </c>
      <c r="D179" t="str">
        <f>"25ccurry@franklincountyschools.org"</f>
        <v>25ccurry@franklincountyschools.org</v>
      </c>
      <c r="E179" t="str">
        <f>"08"</f>
        <v>08</v>
      </c>
    </row>
    <row r="180" spans="1:5" x14ac:dyDescent="0.25">
      <c r="A180">
        <f>1920001744</f>
        <v>1920001744</v>
      </c>
      <c r="B180" t="str">
        <f>"Dalton"</f>
        <v>Dalton</v>
      </c>
      <c r="C180" t="str">
        <f>"David"</f>
        <v>David</v>
      </c>
      <c r="D180" t="str">
        <f>"33ddalton@franklincountyschools.org"</f>
        <v>33ddalton@franklincountyschools.org</v>
      </c>
      <c r="E180" t="str">
        <f>"KG"</f>
        <v>KG</v>
      </c>
    </row>
    <row r="181" spans="1:5" x14ac:dyDescent="0.25">
      <c r="A181">
        <f>1908002500</f>
        <v>1908002500</v>
      </c>
      <c r="B181" t="str">
        <f>"Daniel"</f>
        <v>Daniel</v>
      </c>
      <c r="C181" t="str">
        <f>"Kiera"</f>
        <v>Kiera</v>
      </c>
      <c r="D181" t="str">
        <f>"21KDaniel@franklincountyschools.org"</f>
        <v>21KDaniel@franklincountyschools.org</v>
      </c>
      <c r="E181">
        <f>12</f>
        <v>12</v>
      </c>
    </row>
    <row r="182" spans="1:5" x14ac:dyDescent="0.25">
      <c r="A182">
        <f>1908002368</f>
        <v>1908002368</v>
      </c>
      <c r="B182" t="str">
        <f>"Daniels"</f>
        <v>Daniels</v>
      </c>
      <c r="C182" t="str">
        <f>"Devin"</f>
        <v>Devin</v>
      </c>
      <c r="D182" t="str">
        <f>"21ddaniels@franklincountyschools.org"</f>
        <v>21ddaniels@franklincountyschools.org</v>
      </c>
      <c r="E182">
        <f>12</f>
        <v>12</v>
      </c>
    </row>
    <row r="183" spans="1:5" x14ac:dyDescent="0.25">
      <c r="A183">
        <f>1920001259</f>
        <v>1920001259</v>
      </c>
      <c r="B183" t="str">
        <f>"Dasher"</f>
        <v>Dasher</v>
      </c>
      <c r="C183" t="str">
        <f>"Preslee"</f>
        <v>Preslee</v>
      </c>
      <c r="D183" t="str">
        <f>"31pdasher@franklincountyschools.org"</f>
        <v>31pdasher@franklincountyschools.org</v>
      </c>
      <c r="E183" t="str">
        <f>"02"</f>
        <v>02</v>
      </c>
    </row>
    <row r="184" spans="1:5" x14ac:dyDescent="0.25">
      <c r="A184">
        <f>1912003312</f>
        <v>1912003312</v>
      </c>
      <c r="B184" t="str">
        <f>"Daughtry"</f>
        <v>Daughtry</v>
      </c>
      <c r="C184" t="str">
        <f>"Christian"</f>
        <v>Christian</v>
      </c>
      <c r="D184" t="str">
        <f>"25CDaughtry@franklincountyschools.org"</f>
        <v>25CDaughtry@franklincountyschools.org</v>
      </c>
      <c r="E184" t="str">
        <f>"08"</f>
        <v>08</v>
      </c>
    </row>
    <row r="185" spans="1:5" x14ac:dyDescent="0.25">
      <c r="A185">
        <f>1920001014</f>
        <v>1920001014</v>
      </c>
      <c r="B185" t="str">
        <f>"Davis"</f>
        <v>Davis</v>
      </c>
      <c r="C185" t="str">
        <f>"Aubrey"</f>
        <v>Aubrey</v>
      </c>
      <c r="D185" t="str">
        <f>"31adavis@franklincountyschools.org"</f>
        <v>31adavis@franklincountyschools.org</v>
      </c>
      <c r="E185" t="str">
        <f>"02"</f>
        <v>02</v>
      </c>
    </row>
    <row r="186" spans="1:5" x14ac:dyDescent="0.25">
      <c r="A186">
        <f>1920000803</f>
        <v>1920000803</v>
      </c>
      <c r="B186" t="str">
        <f>"Davis"</f>
        <v>Davis</v>
      </c>
      <c r="C186" t="str">
        <f>"Aubriunna"</f>
        <v>Aubriunna</v>
      </c>
      <c r="D186" t="str">
        <f>"30ADavis@franklincountyschools.org"</f>
        <v>30ADavis@franklincountyschools.org</v>
      </c>
      <c r="E186" t="str">
        <f>"03"</f>
        <v>03</v>
      </c>
    </row>
    <row r="187" spans="1:5" x14ac:dyDescent="0.25">
      <c r="A187">
        <f>1912003317</f>
        <v>1912003317</v>
      </c>
      <c r="B187" t="str">
        <f>"Davis"</f>
        <v>Davis</v>
      </c>
      <c r="C187" t="str">
        <f>"Nyashia"</f>
        <v>Nyashia</v>
      </c>
      <c r="D187" t="str">
        <f>"25ndavis@franklincountyschools.org"</f>
        <v>25ndavis@franklincountyschools.org</v>
      </c>
      <c r="E187" t="str">
        <f>"08"</f>
        <v>08</v>
      </c>
    </row>
    <row r="188" spans="1:5" x14ac:dyDescent="0.25">
      <c r="A188">
        <f>1920001885</f>
        <v>1920001885</v>
      </c>
      <c r="B188" t="str">
        <f>"Davis"</f>
        <v>Davis</v>
      </c>
      <c r="C188" t="str">
        <f>"Paisley"</f>
        <v>Paisley</v>
      </c>
      <c r="D188" t="str">
        <f>"34pdavis@franklincountyschools.org"</f>
        <v>34pdavis@franklincountyschools.org</v>
      </c>
      <c r="E188" t="str">
        <f>"PK"</f>
        <v>PK</v>
      </c>
    </row>
    <row r="189" spans="1:5" x14ac:dyDescent="0.25">
      <c r="A189">
        <f>1920001931</f>
        <v>1920001931</v>
      </c>
      <c r="B189" t="str">
        <f>"Day"</f>
        <v>Day</v>
      </c>
      <c r="C189" t="str">
        <f>"Ricky"</f>
        <v>Ricky</v>
      </c>
      <c r="D189" t="str">
        <f>"34rday@franklincountyschools.org"</f>
        <v>34rday@franklincountyschools.org</v>
      </c>
      <c r="E189" t="str">
        <f>"PK"</f>
        <v>PK</v>
      </c>
    </row>
    <row r="190" spans="1:5" x14ac:dyDescent="0.25">
      <c r="A190">
        <f>1920000638</f>
        <v>1920000638</v>
      </c>
      <c r="B190" t="str">
        <f>"Dean"</f>
        <v>Dean</v>
      </c>
      <c r="C190" t="str">
        <f>"Ronnie"</f>
        <v>Ronnie</v>
      </c>
      <c r="D190" t="str">
        <f>"29RDean@franklincountyschools.org"</f>
        <v>29RDean@franklincountyschools.org</v>
      </c>
      <c r="E190" t="str">
        <f>"04"</f>
        <v>04</v>
      </c>
    </row>
    <row r="191" spans="1:5" x14ac:dyDescent="0.25">
      <c r="A191">
        <f>1920001495</f>
        <v>1920001495</v>
      </c>
      <c r="B191" t="str">
        <f>"Dellagatto-Melendez"</f>
        <v>Dellagatto-Melendez</v>
      </c>
      <c r="C191" t="str">
        <f>"Levi"</f>
        <v>Levi</v>
      </c>
      <c r="D191" t="str">
        <f>"32ldellagatto@franklincountyschools.org"</f>
        <v>32ldellagatto@franklincountyschools.org</v>
      </c>
      <c r="E191" t="str">
        <f>"01"</f>
        <v>01</v>
      </c>
    </row>
    <row r="192" spans="1:5" x14ac:dyDescent="0.25">
      <c r="A192">
        <f>1920001777</f>
        <v>1920001777</v>
      </c>
      <c r="B192" t="str">
        <f>"Deloach"</f>
        <v>Deloach</v>
      </c>
      <c r="C192" t="str">
        <f>"De'Anna"</f>
        <v>De'Anna</v>
      </c>
      <c r="D192" t="str">
        <f>"23DDeloach@franklincountyschools.org"</f>
        <v>23DDeloach@franklincountyschools.org</v>
      </c>
      <c r="E192">
        <f>10</f>
        <v>10</v>
      </c>
    </row>
    <row r="193" spans="1:5" x14ac:dyDescent="0.25">
      <c r="A193">
        <f>1912003313</f>
        <v>1912003313</v>
      </c>
      <c r="B193" t="str">
        <f>"Dempsey"</f>
        <v>Dempsey</v>
      </c>
      <c r="C193" t="str">
        <f>"Raegan"</f>
        <v>Raegan</v>
      </c>
      <c r="D193" t="str">
        <f>"25RDempsey@franklincountyschools.org"</f>
        <v>25RDempsey@franklincountyschools.org</v>
      </c>
      <c r="E193" t="str">
        <f>"08"</f>
        <v>08</v>
      </c>
    </row>
    <row r="194" spans="1:5" x14ac:dyDescent="0.25">
      <c r="A194">
        <f>1920000693</f>
        <v>1920000693</v>
      </c>
      <c r="B194" t="str">
        <f>"Dempsey-Williams"</f>
        <v>Dempsey-Williams</v>
      </c>
      <c r="C194" t="str">
        <f>"Jaden"</f>
        <v>Jaden</v>
      </c>
      <c r="D194" t="str">
        <f>"29jdempsey@franklincountyschools.org"</f>
        <v>29jdempsey@franklincountyschools.org</v>
      </c>
      <c r="E194" t="str">
        <f>"04"</f>
        <v>04</v>
      </c>
    </row>
    <row r="195" spans="1:5" x14ac:dyDescent="0.25">
      <c r="A195">
        <f>1920000351</f>
        <v>1920000351</v>
      </c>
      <c r="B195" t="str">
        <f>"Derico"</f>
        <v>Derico</v>
      </c>
      <c r="C195" t="str">
        <f>"Ay'la"</f>
        <v>Ay'la</v>
      </c>
      <c r="D195" t="str">
        <f>"25ADerico@franklincountyschools.org"</f>
        <v>25ADerico@franklincountyschools.org</v>
      </c>
      <c r="E195" t="str">
        <f>"08"</f>
        <v>08</v>
      </c>
    </row>
    <row r="196" spans="1:5" x14ac:dyDescent="0.25">
      <c r="A196">
        <f>1920000381</f>
        <v>1920000381</v>
      </c>
      <c r="B196" t="str">
        <f>"Diaz"</f>
        <v>Diaz</v>
      </c>
      <c r="C196" t="str">
        <f>"Fernando"</f>
        <v>Fernando</v>
      </c>
      <c r="D196" t="str">
        <f>"27FDiaz@franklincountyschools.org"</f>
        <v>27FDiaz@franklincountyschools.org</v>
      </c>
      <c r="E196" t="str">
        <f>"06"</f>
        <v>06</v>
      </c>
    </row>
    <row r="197" spans="1:5" x14ac:dyDescent="0.25">
      <c r="A197">
        <f>1910002756</f>
        <v>1910002756</v>
      </c>
      <c r="B197" t="str">
        <f>"Diaz"</f>
        <v>Diaz</v>
      </c>
      <c r="C197" t="str">
        <f>"Gabriela"</f>
        <v>Gabriela</v>
      </c>
      <c r="D197" t="str">
        <f>"24GDiaz@franklincountyschools.org"</f>
        <v>24GDiaz@franklincountyschools.org</v>
      </c>
      <c r="E197" t="str">
        <f>"08"</f>
        <v>08</v>
      </c>
    </row>
    <row r="198" spans="1:5" x14ac:dyDescent="0.25">
      <c r="A198">
        <f>1920001991</f>
        <v>1920001991</v>
      </c>
      <c r="B198" t="str">
        <f>"Diaz"</f>
        <v>Diaz</v>
      </c>
      <c r="C198" t="str">
        <f>"Jostin"</f>
        <v>Jostin</v>
      </c>
      <c r="D198" t="str">
        <f>"23jdiaz@franklincountyschools.org"</f>
        <v>23jdiaz@franklincountyschools.org</v>
      </c>
      <c r="E198">
        <f>10</f>
        <v>10</v>
      </c>
    </row>
    <row r="199" spans="1:5" x14ac:dyDescent="0.25">
      <c r="A199">
        <f>1910003012</f>
        <v>1910003012</v>
      </c>
      <c r="B199" t="str">
        <f>"Diaz"</f>
        <v>Diaz</v>
      </c>
      <c r="C199" t="str">
        <f>"Miranda"</f>
        <v>Miranda</v>
      </c>
      <c r="D199" t="str">
        <f>"23mdiaz@franklincountyschools.org"</f>
        <v>23mdiaz@franklincountyschools.org</v>
      </c>
      <c r="E199" t="str">
        <f>"09"</f>
        <v>09</v>
      </c>
    </row>
    <row r="200" spans="1:5" x14ac:dyDescent="0.25">
      <c r="A200">
        <f>1920000811</f>
        <v>1920000811</v>
      </c>
      <c r="B200" t="str">
        <f>"Diego"</f>
        <v>Diego</v>
      </c>
      <c r="C200" t="str">
        <f>"Magdalena"</f>
        <v>Magdalena</v>
      </c>
      <c r="D200" t="str">
        <f>"30MDiego@franklincountyschools.org"</f>
        <v>30MDiego@franklincountyschools.org</v>
      </c>
      <c r="E200" t="str">
        <f>"03"</f>
        <v>03</v>
      </c>
    </row>
    <row r="201" spans="1:5" x14ac:dyDescent="0.25">
      <c r="A201">
        <f>1920001992</f>
        <v>1920001992</v>
      </c>
      <c r="B201" t="str">
        <f>"Dively"</f>
        <v>Dively</v>
      </c>
      <c r="C201" t="str">
        <f>"Calea"</f>
        <v>Calea</v>
      </c>
      <c r="D201" t="str">
        <f>"21cdively@franklincountyschools.org"</f>
        <v>21cdively@franklincountyschools.org</v>
      </c>
      <c r="E201">
        <f>12</f>
        <v>12</v>
      </c>
    </row>
    <row r="202" spans="1:5" x14ac:dyDescent="0.25">
      <c r="A202">
        <f>1920001955</f>
        <v>1920001955</v>
      </c>
      <c r="B202" t="str">
        <f>"Dively"</f>
        <v>Dively</v>
      </c>
      <c r="C202" t="str">
        <f>"Gideon"</f>
        <v>Gideon</v>
      </c>
      <c r="D202" t="str">
        <f>"24gdively@franklincountyschools.org"</f>
        <v>24gdively@franklincountyschools.org</v>
      </c>
      <c r="E202" t="str">
        <f>"09"</f>
        <v>09</v>
      </c>
    </row>
    <row r="203" spans="1:5" x14ac:dyDescent="0.25">
      <c r="A203">
        <f>1920001965</f>
        <v>1920001965</v>
      </c>
      <c r="B203" t="str">
        <f>"Dively"</f>
        <v>Dively</v>
      </c>
      <c r="C203" t="str">
        <f>"Laena"</f>
        <v>Laena</v>
      </c>
      <c r="D203" t="str">
        <f>"21ldively@franklincountyschools.org"</f>
        <v>21ldively@franklincountyschools.org</v>
      </c>
      <c r="E203">
        <f>12</f>
        <v>12</v>
      </c>
    </row>
    <row r="204" spans="1:5" x14ac:dyDescent="0.25">
      <c r="A204">
        <f>1920001789</f>
        <v>1920001789</v>
      </c>
      <c r="B204" t="str">
        <f>"Dominguez"</f>
        <v>Dominguez</v>
      </c>
      <c r="C204" t="str">
        <f>"Enrique"</f>
        <v>Enrique</v>
      </c>
      <c r="D204" t="str">
        <f>"25EDominguez@franklincountyschools.org"</f>
        <v>25EDominguez@franklincountyschools.org</v>
      </c>
      <c r="E204" t="str">
        <f>"07"</f>
        <v>07</v>
      </c>
    </row>
    <row r="205" spans="1:5" x14ac:dyDescent="0.25">
      <c r="A205">
        <f>1920001788</f>
        <v>1920001788</v>
      </c>
      <c r="B205" t="str">
        <f>"Dominguez Gomez"</f>
        <v>Dominguez Gomez</v>
      </c>
      <c r="C205" t="str">
        <f>"Alexander"</f>
        <v>Alexander</v>
      </c>
      <c r="D205" t="str">
        <f>"23AGomez@franklincountyschools.org"</f>
        <v>23AGomez@franklincountyschools.org</v>
      </c>
      <c r="E205" t="str">
        <f>"09"</f>
        <v>09</v>
      </c>
    </row>
    <row r="206" spans="1:5" x14ac:dyDescent="0.25">
      <c r="A206">
        <f>1920001790</f>
        <v>1920001790</v>
      </c>
      <c r="B206" t="str">
        <f>"Dominguez Gomez"</f>
        <v>Dominguez Gomez</v>
      </c>
      <c r="C206" t="str">
        <f>"Edgar"</f>
        <v>Edgar</v>
      </c>
      <c r="D206" t="str">
        <f>"27EDominguezGomez@franklincountyschools.org"</f>
        <v>27EDominguezGomez@franklincountyschools.org</v>
      </c>
      <c r="E206" t="str">
        <f>"06"</f>
        <v>06</v>
      </c>
    </row>
    <row r="207" spans="1:5" x14ac:dyDescent="0.25">
      <c r="A207">
        <f>1920001787</f>
        <v>1920001787</v>
      </c>
      <c r="B207" t="str">
        <f>"Dominguez Gomez"</f>
        <v>Dominguez Gomez</v>
      </c>
      <c r="C207" t="str">
        <f>"Jaime"</f>
        <v>Jaime</v>
      </c>
      <c r="D207" t="str">
        <f>"31JDominguezGomez@franklincountyschools.org"</f>
        <v>31JDominguezGomez@franklincountyschools.org</v>
      </c>
      <c r="E207" t="str">
        <f>"02"</f>
        <v>02</v>
      </c>
    </row>
    <row r="208" spans="1:5" x14ac:dyDescent="0.25">
      <c r="A208">
        <f>1920000530</f>
        <v>1920000530</v>
      </c>
      <c r="B208" t="str">
        <f>"Dorman"</f>
        <v>Dorman</v>
      </c>
      <c r="C208" t="str">
        <f>"Lilly"</f>
        <v>Lilly</v>
      </c>
      <c r="D208" t="str">
        <f>"27LDorman@franklincountyschools.org"</f>
        <v>27LDorman@franklincountyschools.org</v>
      </c>
      <c r="E208" t="str">
        <f>"06"</f>
        <v>06</v>
      </c>
    </row>
    <row r="209" spans="1:5" x14ac:dyDescent="0.25">
      <c r="A209">
        <f>1920001913</f>
        <v>1920001913</v>
      </c>
      <c r="B209" t="str">
        <f>"Doss"</f>
        <v>Doss</v>
      </c>
      <c r="C209" t="str">
        <f>"Jesse"</f>
        <v>Jesse</v>
      </c>
      <c r="D209" t="str">
        <f>"33jdoss@franklincountyschools.org"</f>
        <v>33jdoss@franklincountyschools.org</v>
      </c>
      <c r="E209" t="str">
        <f>"KG"</f>
        <v>KG</v>
      </c>
    </row>
    <row r="210" spans="1:5" x14ac:dyDescent="0.25">
      <c r="A210">
        <f>1912003398</f>
        <v>1912003398</v>
      </c>
      <c r="B210" t="str">
        <f>"Downing"</f>
        <v>Downing</v>
      </c>
      <c r="C210" t="str">
        <f>"Kaden"</f>
        <v>Kaden</v>
      </c>
      <c r="D210" t="str">
        <f>"24KDowning@franklincountyschools.org"</f>
        <v>24KDowning@franklincountyschools.org</v>
      </c>
      <c r="E210" t="str">
        <f>"08"</f>
        <v>08</v>
      </c>
    </row>
    <row r="211" spans="1:5" x14ac:dyDescent="0.25">
      <c r="A211">
        <f>1920000750</f>
        <v>1920000750</v>
      </c>
      <c r="B211" t="str">
        <f>"Downing"</f>
        <v>Downing</v>
      </c>
      <c r="C211" t="str">
        <f>"Lucas"</f>
        <v>Lucas</v>
      </c>
      <c r="D211" t="str">
        <f>"28LDowning@franklincountyschools.org"</f>
        <v>28LDowning@franklincountyschools.org</v>
      </c>
      <c r="E211" t="str">
        <f>"05"</f>
        <v>05</v>
      </c>
    </row>
    <row r="212" spans="1:5" x14ac:dyDescent="0.25">
      <c r="A212">
        <f>1920001055</f>
        <v>1920001055</v>
      </c>
      <c r="B212" t="str">
        <f>"Downing"</f>
        <v>Downing</v>
      </c>
      <c r="C212" t="str">
        <f>"Lyla"</f>
        <v>Lyla</v>
      </c>
      <c r="D212" t="str">
        <f>"31ldowning@franklincountyschools.org"</f>
        <v>31ldowning@franklincountyschools.org</v>
      </c>
      <c r="E212" t="str">
        <f>"02"</f>
        <v>02</v>
      </c>
    </row>
    <row r="213" spans="1:5" x14ac:dyDescent="0.25">
      <c r="A213">
        <f>1920000335</f>
        <v>1920000335</v>
      </c>
      <c r="B213" t="str">
        <f>"Downing"</f>
        <v>Downing</v>
      </c>
      <c r="C213" t="str">
        <f>"Riley"</f>
        <v>Riley</v>
      </c>
      <c r="D213" t="str">
        <f>"27RDowning@franklincountyschools.org"</f>
        <v>27RDowning@franklincountyschools.org</v>
      </c>
      <c r="E213" t="str">
        <f>"06"</f>
        <v>06</v>
      </c>
    </row>
    <row r="214" spans="1:5" x14ac:dyDescent="0.25">
      <c r="A214">
        <f>1920000549</f>
        <v>1920000549</v>
      </c>
      <c r="B214" t="str">
        <f>"Drake"</f>
        <v>Drake</v>
      </c>
      <c r="C214" t="str">
        <f>"Kayden"</f>
        <v>Kayden</v>
      </c>
      <c r="D214" t="str">
        <f>"28KDrake@franklincountyschools.org"</f>
        <v>28KDrake@franklincountyschools.org</v>
      </c>
      <c r="E214" t="str">
        <f>"05"</f>
        <v>05</v>
      </c>
    </row>
    <row r="215" spans="1:5" x14ac:dyDescent="0.25">
      <c r="A215">
        <f>1912003410</f>
        <v>1912003410</v>
      </c>
      <c r="B215" t="str">
        <f>"Durbin"</f>
        <v>Durbin</v>
      </c>
      <c r="C215" t="str">
        <f>"Dominic"</f>
        <v>Dominic</v>
      </c>
      <c r="D215" t="str">
        <f>"25DDurbin@franklincountyschools.org"</f>
        <v>25DDurbin@franklincountyschools.org</v>
      </c>
      <c r="E215" t="str">
        <f>"08"</f>
        <v>08</v>
      </c>
    </row>
    <row r="216" spans="1:5" x14ac:dyDescent="0.25">
      <c r="A216">
        <f>1909002727</f>
        <v>1909002727</v>
      </c>
      <c r="B216" t="str">
        <f>"Duval"</f>
        <v>Duval</v>
      </c>
      <c r="C216" t="str">
        <f>"William"</f>
        <v>William</v>
      </c>
      <c r="D216" t="str">
        <f>"22wduval@franklincountyschools.org"</f>
        <v>22wduval@franklincountyschools.org</v>
      </c>
      <c r="E216">
        <f>11</f>
        <v>11</v>
      </c>
    </row>
    <row r="217" spans="1:5" x14ac:dyDescent="0.25">
      <c r="A217">
        <f>1920001751</f>
        <v>1920001751</v>
      </c>
      <c r="B217" t="str">
        <f>"Dykes"</f>
        <v>Dykes</v>
      </c>
      <c r="C217" t="str">
        <f>"Clifford"</f>
        <v>Clifford</v>
      </c>
      <c r="D217" t="str">
        <f>"32cdykes@franklincountyschools.org"</f>
        <v>32cdykes@franklincountyschools.org</v>
      </c>
      <c r="E217" t="str">
        <f>"01"</f>
        <v>01</v>
      </c>
    </row>
    <row r="218" spans="1:5" x14ac:dyDescent="0.25">
      <c r="A218">
        <f>1912003316</f>
        <v>1912003316</v>
      </c>
      <c r="B218" t="str">
        <f>"Dykes"</f>
        <v>Dykes</v>
      </c>
      <c r="C218" t="str">
        <f>"Josh"</f>
        <v>Josh</v>
      </c>
      <c r="D218" t="str">
        <f>"25jdykes@franklincountyschools.org"</f>
        <v>25jdykes@franklincountyschools.org</v>
      </c>
      <c r="E218" t="str">
        <f>"08"</f>
        <v>08</v>
      </c>
    </row>
    <row r="219" spans="1:5" x14ac:dyDescent="0.25">
      <c r="A219">
        <f>1920002008</f>
        <v>1920002008</v>
      </c>
      <c r="B219" t="str">
        <f>"Dykes"</f>
        <v>Dykes</v>
      </c>
      <c r="C219" t="str">
        <f>"Vanessa Grace"</f>
        <v>Vanessa Grace</v>
      </c>
      <c r="D219" t="str">
        <f>"33vdykes@franklincountyschools.org"</f>
        <v>33vdykes@franklincountyschools.org</v>
      </c>
      <c r="E219" t="str">
        <f>"KG"</f>
        <v>KG</v>
      </c>
    </row>
    <row r="220" spans="1:5" x14ac:dyDescent="0.25">
      <c r="A220">
        <f>1920001653</f>
        <v>1920001653</v>
      </c>
      <c r="B220" t="str">
        <f>"Eckert"</f>
        <v>Eckert</v>
      </c>
      <c r="C220" t="str">
        <f>"Brantley"</f>
        <v>Brantley</v>
      </c>
      <c r="D220" t="str">
        <f>"32beckert@franklincountyschools.org"</f>
        <v>32beckert@franklincountyschools.org</v>
      </c>
      <c r="E220" t="str">
        <f>"01"</f>
        <v>01</v>
      </c>
    </row>
    <row r="221" spans="1:5" x14ac:dyDescent="0.25">
      <c r="A221">
        <f>1920001717</f>
        <v>1920001717</v>
      </c>
      <c r="B221" t="str">
        <f>"Eckert"</f>
        <v>Eckert</v>
      </c>
      <c r="C221" t="str">
        <f>"Nathaniel"</f>
        <v>Nathaniel</v>
      </c>
      <c r="D221" t="str">
        <f>"33neckert@franklincountyschools.org"</f>
        <v>33neckert@franklincountyschools.org</v>
      </c>
      <c r="E221" t="str">
        <f>"KG"</f>
        <v>KG</v>
      </c>
    </row>
    <row r="222" spans="1:5" x14ac:dyDescent="0.25">
      <c r="A222">
        <f>1920000971</f>
        <v>1920000971</v>
      </c>
      <c r="B222" t="str">
        <f>"Eitmann"</f>
        <v>Eitmann</v>
      </c>
      <c r="C222" t="str">
        <f>"Alaina"</f>
        <v>Alaina</v>
      </c>
      <c r="D222" t="str">
        <f>"30AEitmann@franklincountyschools.org"</f>
        <v>30AEitmann@franklincountyschools.org</v>
      </c>
      <c r="E222" t="str">
        <f>"03"</f>
        <v>03</v>
      </c>
    </row>
    <row r="223" spans="1:5" x14ac:dyDescent="0.25">
      <c r="A223">
        <f>1920000759</f>
        <v>1920000759</v>
      </c>
      <c r="B223" t="str">
        <f>"Eitmann"</f>
        <v>Eitmann</v>
      </c>
      <c r="C223" t="str">
        <f>"Jayden"</f>
        <v>Jayden</v>
      </c>
      <c r="D223" t="str">
        <f>"28JEitmann@franklincountyschools.org"</f>
        <v>28JEitmann@franklincountyschools.org</v>
      </c>
      <c r="E223" t="str">
        <f>"05"</f>
        <v>05</v>
      </c>
    </row>
    <row r="224" spans="1:5" x14ac:dyDescent="0.25">
      <c r="A224">
        <f>1920002009</f>
        <v>1920002009</v>
      </c>
      <c r="B224" t="str">
        <f>"Emswiler"</f>
        <v>Emswiler</v>
      </c>
      <c r="C224" t="str">
        <f>"Dakota"</f>
        <v>Dakota</v>
      </c>
      <c r="D224" t="str">
        <f>"34demswiler@franklincountyschools.org"</f>
        <v>34demswiler@franklincountyschools.org</v>
      </c>
      <c r="E224" t="str">
        <f>"PK"</f>
        <v>PK</v>
      </c>
    </row>
    <row r="225" spans="1:5" x14ac:dyDescent="0.25">
      <c r="A225">
        <f>1907002109</f>
        <v>1907002109</v>
      </c>
      <c r="B225" t="str">
        <f>"Enfinger"</f>
        <v>Enfinger</v>
      </c>
      <c r="C225" t="str">
        <f>"Micah"</f>
        <v>Micah</v>
      </c>
      <c r="D225" t="str">
        <f>"22MEnfinger@franklincountyschools.org"</f>
        <v>22MEnfinger@franklincountyschools.org</v>
      </c>
      <c r="E225">
        <f>11</f>
        <v>11</v>
      </c>
    </row>
    <row r="226" spans="1:5" x14ac:dyDescent="0.25">
      <c r="A226">
        <f>1911003275</f>
        <v>1911003275</v>
      </c>
      <c r="B226" t="str">
        <f>"Enfinger"</f>
        <v>Enfinger</v>
      </c>
      <c r="C226" t="str">
        <f>"Stephen"</f>
        <v>Stephen</v>
      </c>
      <c r="D226" t="str">
        <f>"26SEnfinger@franklincountyschools.org"</f>
        <v>26SEnfinger@franklincountyschools.org</v>
      </c>
      <c r="E226" t="str">
        <f>"07"</f>
        <v>07</v>
      </c>
    </row>
    <row r="227" spans="1:5" x14ac:dyDescent="0.25">
      <c r="A227">
        <f>1920000631</f>
        <v>1920000631</v>
      </c>
      <c r="B227" t="str">
        <f>"Ervin"</f>
        <v>Ervin</v>
      </c>
      <c r="C227" t="str">
        <f>"Keila"</f>
        <v>Keila</v>
      </c>
      <c r="D227" t="str">
        <f>"28KErvin@franklincountyschools.org"</f>
        <v>28KErvin@franklincountyschools.org</v>
      </c>
      <c r="E227" t="str">
        <f>"05"</f>
        <v>05</v>
      </c>
    </row>
    <row r="228" spans="1:5" x14ac:dyDescent="0.25">
      <c r="A228">
        <f>1910002826</f>
        <v>1910002826</v>
      </c>
      <c r="B228" t="str">
        <f>"Escobar"</f>
        <v>Escobar</v>
      </c>
      <c r="C228" t="str">
        <f>"Joycelyn"</f>
        <v>Joycelyn</v>
      </c>
      <c r="D228" t="str">
        <f>"24jescobar@franklincountyschools.org"</f>
        <v>24jescobar@franklincountyschools.org</v>
      </c>
      <c r="E228" t="str">
        <f>"09"</f>
        <v>09</v>
      </c>
    </row>
    <row r="229" spans="1:5" x14ac:dyDescent="0.25">
      <c r="A229">
        <f>1908002305</f>
        <v>1908002305</v>
      </c>
      <c r="B229" t="str">
        <f>"Escobar"</f>
        <v>Escobar</v>
      </c>
      <c r="C229" t="str">
        <f>"Leslie"</f>
        <v>Leslie</v>
      </c>
      <c r="D229" t="str">
        <f>"21lescobar@franklincountyschools.org"</f>
        <v>21lescobar@franklincountyschools.org</v>
      </c>
      <c r="E229">
        <f>12</f>
        <v>12</v>
      </c>
    </row>
    <row r="230" spans="1:5" x14ac:dyDescent="0.25">
      <c r="A230">
        <f>1920001265</f>
        <v>1920001265</v>
      </c>
      <c r="B230" t="str">
        <f>"Esteban Andres"</f>
        <v>Esteban Andres</v>
      </c>
      <c r="C230" t="str">
        <f>"Anna"</f>
        <v>Anna</v>
      </c>
      <c r="D230" t="str">
        <f>"31aesteban@franklincountyschools.org"</f>
        <v>31aesteban@franklincountyschools.org</v>
      </c>
      <c r="E230" t="str">
        <f>"02"</f>
        <v>02</v>
      </c>
    </row>
    <row r="231" spans="1:5" x14ac:dyDescent="0.25">
      <c r="A231">
        <f>1920001103</f>
        <v>1920001103</v>
      </c>
      <c r="B231" t="str">
        <f>"Esteban-Andres"</f>
        <v>Esteban-Andres</v>
      </c>
      <c r="C231" t="str">
        <f>"Jhon"</f>
        <v>Jhon</v>
      </c>
      <c r="D231" t="str">
        <f>"30JEsteban-Andres@franklincountyschools.org"</f>
        <v>30JEsteban-Andres@franklincountyschools.org</v>
      </c>
      <c r="E231" t="str">
        <f>"03"</f>
        <v>03</v>
      </c>
    </row>
    <row r="232" spans="1:5" x14ac:dyDescent="0.25">
      <c r="A232">
        <f>1909002586</f>
        <v>1909002586</v>
      </c>
      <c r="B232" t="str">
        <f>"Estes"</f>
        <v>Estes</v>
      </c>
      <c r="C232" t="str">
        <f>"Kristin"</f>
        <v>Kristin</v>
      </c>
      <c r="D232" t="str">
        <f>"22KEstes@franklincountyschools.org"</f>
        <v>22KEstes@franklincountyschools.org</v>
      </c>
      <c r="E232">
        <f>11</f>
        <v>11</v>
      </c>
    </row>
    <row r="233" spans="1:5" x14ac:dyDescent="0.25">
      <c r="A233">
        <f>1920000092</f>
        <v>1920000092</v>
      </c>
      <c r="B233" t="str">
        <f>"Estes"</f>
        <v>Estes</v>
      </c>
      <c r="C233" t="str">
        <f>"Robert"</f>
        <v>Robert</v>
      </c>
      <c r="D233" t="str">
        <f>"27REstes@franklincountyschools.org"</f>
        <v>27REstes@franklincountyschools.org</v>
      </c>
      <c r="E233" t="str">
        <f>"06"</f>
        <v>06</v>
      </c>
    </row>
    <row r="234" spans="1:5" x14ac:dyDescent="0.25">
      <c r="A234">
        <f>1908002419</f>
        <v>1908002419</v>
      </c>
      <c r="B234" t="str">
        <f>"Etheridge"</f>
        <v>Etheridge</v>
      </c>
      <c r="C234" t="str">
        <f>"Nadia"</f>
        <v>Nadia</v>
      </c>
      <c r="D234" t="str">
        <f>"22netheridge@franklincountyschools.org"</f>
        <v>22netheridge@franklincountyschools.org</v>
      </c>
      <c r="E234">
        <f>11</f>
        <v>11</v>
      </c>
    </row>
    <row r="235" spans="1:5" x14ac:dyDescent="0.25">
      <c r="A235">
        <f>1920001958</f>
        <v>1920001958</v>
      </c>
      <c r="B235" t="str">
        <f t="shared" ref="B235:B242" si="3">"Evans"</f>
        <v>Evans</v>
      </c>
      <c r="C235" t="str">
        <f>"Bailey"</f>
        <v>Bailey</v>
      </c>
      <c r="D235" t="str">
        <f>"34bevans@franklincountyschools.org"</f>
        <v>34bevans@franklincountyschools.org</v>
      </c>
      <c r="E235" t="str">
        <f>"PK"</f>
        <v>PK</v>
      </c>
    </row>
    <row r="236" spans="1:5" x14ac:dyDescent="0.25">
      <c r="A236">
        <f>1920001304</f>
        <v>1920001304</v>
      </c>
      <c r="B236" t="str">
        <f t="shared" si="3"/>
        <v>Evans</v>
      </c>
      <c r="C236" t="str">
        <f>"Brayden"</f>
        <v>Brayden</v>
      </c>
      <c r="D236" t="str">
        <f>"31bevans@franklincountyschools.org"</f>
        <v>31bevans@franklincountyschools.org</v>
      </c>
      <c r="E236" t="str">
        <f>"02"</f>
        <v>02</v>
      </c>
    </row>
    <row r="237" spans="1:5" x14ac:dyDescent="0.25">
      <c r="A237">
        <f>1907002056</f>
        <v>1907002056</v>
      </c>
      <c r="B237" t="str">
        <f t="shared" si="3"/>
        <v>Evans</v>
      </c>
      <c r="C237" t="str">
        <f>"Caden"</f>
        <v>Caden</v>
      </c>
      <c r="D237" t="str">
        <f>"21cadenevans@franklincountyschools.org"</f>
        <v>21cadenevans@franklincountyschools.org</v>
      </c>
      <c r="E237">
        <f>12</f>
        <v>12</v>
      </c>
    </row>
    <row r="238" spans="1:5" x14ac:dyDescent="0.25">
      <c r="A238">
        <f>1907002057</f>
        <v>1907002057</v>
      </c>
      <c r="B238" t="str">
        <f t="shared" si="3"/>
        <v>Evans</v>
      </c>
      <c r="C238" t="str">
        <f>"Camron"</f>
        <v>Camron</v>
      </c>
      <c r="D238" t="str">
        <f>"21camronevans@franklincountyschools.org"</f>
        <v>21camronevans@franklincountyschools.org</v>
      </c>
      <c r="E238">
        <f>12</f>
        <v>12</v>
      </c>
    </row>
    <row r="239" spans="1:5" x14ac:dyDescent="0.25">
      <c r="A239">
        <f>1920000571</f>
        <v>1920000571</v>
      </c>
      <c r="B239" t="str">
        <f t="shared" si="3"/>
        <v>Evans</v>
      </c>
      <c r="C239" t="str">
        <f>"Catelynn"</f>
        <v>Catelynn</v>
      </c>
      <c r="D239" t="str">
        <f>"29CEvans@franklincountyschools.org"</f>
        <v>29CEvans@franklincountyschools.org</v>
      </c>
      <c r="E239" t="str">
        <f>"03"</f>
        <v>03</v>
      </c>
    </row>
    <row r="240" spans="1:5" x14ac:dyDescent="0.25">
      <c r="A240">
        <f>1920002070</f>
        <v>1920002070</v>
      </c>
      <c r="B240" t="str">
        <f t="shared" si="3"/>
        <v>Evans</v>
      </c>
      <c r="C240" t="str">
        <f>"Gabriel"</f>
        <v>Gabriel</v>
      </c>
      <c r="D240" t="str">
        <f>"Summeramerson594@gmail.com"</f>
        <v>Summeramerson594@gmail.com</v>
      </c>
      <c r="E240" t="str">
        <f>"PK"</f>
        <v>PK</v>
      </c>
    </row>
    <row r="241" spans="1:5" x14ac:dyDescent="0.25">
      <c r="A241">
        <f>1920000143</f>
        <v>1920000143</v>
      </c>
      <c r="B241" t="str">
        <f t="shared" si="3"/>
        <v>Evans</v>
      </c>
      <c r="C241" t="str">
        <f>"Jonathan"</f>
        <v>Jonathan</v>
      </c>
      <c r="D241" t="str">
        <f>"27JEvans@franklincountyschools.org"</f>
        <v>27JEvans@franklincountyschools.org</v>
      </c>
      <c r="E241" t="str">
        <f>"06"</f>
        <v>06</v>
      </c>
    </row>
    <row r="242" spans="1:5" x14ac:dyDescent="0.25">
      <c r="A242">
        <f>1920001319</f>
        <v>1920001319</v>
      </c>
      <c r="B242" t="str">
        <f t="shared" si="3"/>
        <v>Evans</v>
      </c>
      <c r="C242" t="str">
        <f>"Kensleigh"</f>
        <v>Kensleigh</v>
      </c>
      <c r="D242" t="str">
        <f>"31kevans@franklincountyschools.org"</f>
        <v>31kevans@franklincountyschools.org</v>
      </c>
      <c r="E242" t="str">
        <f>"02"</f>
        <v>02</v>
      </c>
    </row>
    <row r="243" spans="1:5" x14ac:dyDescent="0.25">
      <c r="A243">
        <f>1910002997</f>
        <v>1910002997</v>
      </c>
      <c r="B243" t="str">
        <f>"Everritt"</f>
        <v>Everritt</v>
      </c>
      <c r="C243" t="str">
        <f>"Faline"</f>
        <v>Faline</v>
      </c>
      <c r="D243" t="str">
        <f>"23feverritt@franklincountyschools.org"</f>
        <v>23feverritt@franklincountyschools.org</v>
      </c>
      <c r="E243">
        <f>10</f>
        <v>10</v>
      </c>
    </row>
    <row r="244" spans="1:5" x14ac:dyDescent="0.25">
      <c r="A244">
        <f>1909002733</f>
        <v>1909002733</v>
      </c>
      <c r="B244" t="str">
        <f>"Everritt"</f>
        <v>Everritt</v>
      </c>
      <c r="C244" t="str">
        <f>"Sevryn"</f>
        <v>Sevryn</v>
      </c>
      <c r="D244" t="str">
        <f>"22severritt@franklincountyschools.org"</f>
        <v>22severritt@franklincountyschools.org</v>
      </c>
      <c r="E244">
        <f>11</f>
        <v>11</v>
      </c>
    </row>
    <row r="245" spans="1:5" x14ac:dyDescent="0.25">
      <c r="A245">
        <f>1920000880</f>
        <v>1920000880</v>
      </c>
      <c r="B245" t="str">
        <f>"Felix"</f>
        <v>Felix</v>
      </c>
      <c r="C245" t="str">
        <f>"Miguel"</f>
        <v>Miguel</v>
      </c>
      <c r="D245" t="str">
        <f>"30MFelix@franklincountyschools.org"</f>
        <v>30MFelix@franklincountyschools.org</v>
      </c>
      <c r="E245" t="str">
        <f>"03"</f>
        <v>03</v>
      </c>
    </row>
    <row r="246" spans="1:5" x14ac:dyDescent="0.25">
      <c r="A246">
        <f>1920000144</f>
        <v>1920000144</v>
      </c>
      <c r="B246" t="str">
        <f>"Fichera"</f>
        <v>Fichera</v>
      </c>
      <c r="C246" t="str">
        <f>"Caden"</f>
        <v>Caden</v>
      </c>
      <c r="D246" t="str">
        <f>"27CFichera@franklincountyschools.org"</f>
        <v>27CFichera@franklincountyschools.org</v>
      </c>
      <c r="E246" t="str">
        <f>"06"</f>
        <v>06</v>
      </c>
    </row>
    <row r="247" spans="1:5" x14ac:dyDescent="0.25">
      <c r="A247">
        <f>1910002752</f>
        <v>1910002752</v>
      </c>
      <c r="B247" t="str">
        <f>"Fichera"</f>
        <v>Fichera</v>
      </c>
      <c r="C247" t="str">
        <f>"Emily"</f>
        <v>Emily</v>
      </c>
      <c r="D247" t="str">
        <f>"23EFichera@franklincountyschools.org"</f>
        <v>23EFichera@franklincountyschools.org</v>
      </c>
      <c r="E247">
        <f>10</f>
        <v>10</v>
      </c>
    </row>
    <row r="248" spans="1:5" x14ac:dyDescent="0.25">
      <c r="A248">
        <f>1920001610</f>
        <v>1920001610</v>
      </c>
      <c r="B248" t="str">
        <f>"Field"</f>
        <v>Field</v>
      </c>
      <c r="C248" t="str">
        <f>"Lucas"</f>
        <v>Lucas</v>
      </c>
      <c r="D248" t="str">
        <f>"27LField@franklincountyschools.org"</f>
        <v>27LField@franklincountyschools.org</v>
      </c>
      <c r="E248" t="str">
        <f>"06"</f>
        <v>06</v>
      </c>
    </row>
    <row r="249" spans="1:5" x14ac:dyDescent="0.25">
      <c r="A249">
        <f>1920001520</f>
        <v>1920001520</v>
      </c>
      <c r="B249" t="str">
        <f>"Fisher"</f>
        <v>Fisher</v>
      </c>
      <c r="C249" t="str">
        <f>"Ashlynn"</f>
        <v>Ashlynn</v>
      </c>
      <c r="D249" t="str">
        <f>"31afisher@franklincountyschools.org"</f>
        <v>31afisher@franklincountyschools.org</v>
      </c>
      <c r="E249" t="str">
        <f>"02"</f>
        <v>02</v>
      </c>
    </row>
    <row r="250" spans="1:5" x14ac:dyDescent="0.25">
      <c r="A250">
        <f>1920000303</f>
        <v>1920000303</v>
      </c>
      <c r="B250" t="str">
        <f>"Fisher"</f>
        <v>Fisher</v>
      </c>
      <c r="C250" t="str">
        <f>"Brady"</f>
        <v>Brady</v>
      </c>
      <c r="D250" t="str">
        <f>"27BFisher@franklincountyschools.org"</f>
        <v>27BFisher@franklincountyschools.org</v>
      </c>
      <c r="E250" t="str">
        <f>"06"</f>
        <v>06</v>
      </c>
    </row>
    <row r="251" spans="1:5" x14ac:dyDescent="0.25">
      <c r="A251">
        <f>1920001518</f>
        <v>1920001518</v>
      </c>
      <c r="B251" t="str">
        <f>"Fisher III"</f>
        <v>Fisher III</v>
      </c>
      <c r="C251" t="str">
        <f>"Edward"</f>
        <v>Edward</v>
      </c>
      <c r="D251" t="str">
        <f>"29efisher@franklincountyschools.org"</f>
        <v>29efisher@franklincountyschools.org</v>
      </c>
      <c r="E251" t="str">
        <f>"04"</f>
        <v>04</v>
      </c>
    </row>
    <row r="252" spans="1:5" x14ac:dyDescent="0.25">
      <c r="A252">
        <f>1920001797</f>
        <v>1920001797</v>
      </c>
      <c r="B252" t="str">
        <f>"Fitzgerald"</f>
        <v>Fitzgerald</v>
      </c>
      <c r="C252" t="str">
        <f>"Adalynn"</f>
        <v>Adalynn</v>
      </c>
      <c r="D252" t="str">
        <f>"32afitzgerald@franklincountyschools.org"</f>
        <v>32afitzgerald@franklincountyschools.org</v>
      </c>
      <c r="E252" t="str">
        <f>"01"</f>
        <v>01</v>
      </c>
    </row>
    <row r="253" spans="1:5" x14ac:dyDescent="0.25">
      <c r="A253">
        <f>1920001636</f>
        <v>1920001636</v>
      </c>
      <c r="B253" t="str">
        <f>"Fitzgerald"</f>
        <v>Fitzgerald</v>
      </c>
      <c r="C253" t="str">
        <f>"Carson"</f>
        <v>Carson</v>
      </c>
      <c r="D253" t="str">
        <f>"30CFitzgerald@franklincountyschools.org"</f>
        <v>30CFitzgerald@franklincountyschools.org</v>
      </c>
      <c r="E253" t="str">
        <f>"03"</f>
        <v>03</v>
      </c>
    </row>
    <row r="254" spans="1:5" x14ac:dyDescent="0.25">
      <c r="A254">
        <f>1920001798</f>
        <v>1920001798</v>
      </c>
      <c r="B254" t="str">
        <f>"Fitzgerald"</f>
        <v>Fitzgerald</v>
      </c>
      <c r="C254" t="str">
        <f>"Dylan"</f>
        <v>Dylan</v>
      </c>
      <c r="D254" t="str">
        <f>"28DFitzgerald@franklincountyschools.org"</f>
        <v>28DFitzgerald@franklincountyschools.org</v>
      </c>
      <c r="E254" t="str">
        <f>"05"</f>
        <v>05</v>
      </c>
    </row>
    <row r="255" spans="1:5" x14ac:dyDescent="0.25">
      <c r="A255">
        <f>1920001796</f>
        <v>1920001796</v>
      </c>
      <c r="B255" t="str">
        <f>"Fitzgerald"</f>
        <v>Fitzgerald</v>
      </c>
      <c r="C255" t="str">
        <f>"Emily"</f>
        <v>Emily</v>
      </c>
      <c r="D255" t="str">
        <f>"27EFitzgerald@franklincountyschools.org"</f>
        <v>27EFitzgerald@franklincountyschools.org</v>
      </c>
      <c r="E255" t="str">
        <f>"06"</f>
        <v>06</v>
      </c>
    </row>
    <row r="256" spans="1:5" x14ac:dyDescent="0.25">
      <c r="A256">
        <f>1920000213</f>
        <v>1920000213</v>
      </c>
      <c r="B256" t="str">
        <f>"Fleming"</f>
        <v>Fleming</v>
      </c>
      <c r="C256" t="str">
        <f>"Destiny"</f>
        <v>Destiny</v>
      </c>
      <c r="D256" t="str">
        <f>"26DFleming@franklincountyschools.org"</f>
        <v>26DFleming@franklincountyschools.org</v>
      </c>
      <c r="E256" t="str">
        <f>"07"</f>
        <v>07</v>
      </c>
    </row>
    <row r="257" spans="1:5" x14ac:dyDescent="0.25">
      <c r="A257">
        <f>1910002953</f>
        <v>1910002953</v>
      </c>
      <c r="B257" t="str">
        <f>"Flowers"</f>
        <v>Flowers</v>
      </c>
      <c r="C257" t="str">
        <f>"Richard"</f>
        <v>Richard</v>
      </c>
      <c r="D257" t="str">
        <f>"25RFlowers@franklincountyschools.org"</f>
        <v>25RFlowers@franklincountyschools.org</v>
      </c>
      <c r="E257" t="str">
        <f>"07"</f>
        <v>07</v>
      </c>
    </row>
    <row r="258" spans="1:5" x14ac:dyDescent="0.25">
      <c r="A258">
        <f>1920001836</f>
        <v>1920001836</v>
      </c>
      <c r="B258" t="str">
        <f>"Foley"</f>
        <v>Foley</v>
      </c>
      <c r="C258" t="str">
        <f>"Autumn "</f>
        <v xml:space="preserve">Autumn </v>
      </c>
      <c r="D258" t="str">
        <f>"34afoley@franklincountyschools.org"</f>
        <v>34afoley@franklincountyschools.org</v>
      </c>
      <c r="E258" t="str">
        <f>"PK"</f>
        <v>PK</v>
      </c>
    </row>
    <row r="259" spans="1:5" x14ac:dyDescent="0.25">
      <c r="A259">
        <f>1920001447</f>
        <v>1920001447</v>
      </c>
      <c r="B259" t="str">
        <f>"Foley"</f>
        <v>Foley</v>
      </c>
      <c r="C259" t="str">
        <f>"Brayden"</f>
        <v>Brayden</v>
      </c>
      <c r="D259" t="str">
        <f>"33bfoley@franklincountyschools.org"</f>
        <v>33bfoley@franklincountyschools.org</v>
      </c>
      <c r="E259" t="str">
        <f>"KG"</f>
        <v>KG</v>
      </c>
    </row>
    <row r="260" spans="1:5" x14ac:dyDescent="0.25">
      <c r="A260">
        <f>1920001240</f>
        <v>1920001240</v>
      </c>
      <c r="B260" t="str">
        <f>"Foley"</f>
        <v>Foley</v>
      </c>
      <c r="C260" t="str">
        <f>"Jayden"</f>
        <v>Jayden</v>
      </c>
      <c r="D260" t="str">
        <f>"32jfoley@franklincountyschools.org"</f>
        <v>32jfoley@franklincountyschools.org</v>
      </c>
      <c r="E260" t="str">
        <f>"01"</f>
        <v>01</v>
      </c>
    </row>
    <row r="261" spans="1:5" x14ac:dyDescent="0.25">
      <c r="A261">
        <f>1920000770</f>
        <v>1920000770</v>
      </c>
      <c r="B261" t="str">
        <f>"Francway"</f>
        <v>Francway</v>
      </c>
      <c r="C261" t="str">
        <f>"Blake"</f>
        <v>Blake</v>
      </c>
      <c r="D261" t="str">
        <f>"30BFrancway@franklincountyschools.org"</f>
        <v>30BFrancway@franklincountyschools.org</v>
      </c>
      <c r="E261" t="str">
        <f>"03"</f>
        <v>03</v>
      </c>
    </row>
    <row r="262" spans="1:5" x14ac:dyDescent="0.25">
      <c r="A262">
        <f>1920000567</f>
        <v>1920000567</v>
      </c>
      <c r="B262" t="str">
        <f>"Frye"</f>
        <v>Frye</v>
      </c>
      <c r="C262" t="str">
        <f>"Isabella"</f>
        <v>Isabella</v>
      </c>
      <c r="D262" t="str">
        <f>"29IFrye@franklincountyschools.org"</f>
        <v>29IFrye@franklincountyschools.org</v>
      </c>
      <c r="E262" t="str">
        <f>"04"</f>
        <v>04</v>
      </c>
    </row>
    <row r="263" spans="1:5" x14ac:dyDescent="0.25">
      <c r="A263">
        <f>1920001018</f>
        <v>1920001018</v>
      </c>
      <c r="B263" t="str">
        <f>"Fuentes"</f>
        <v>Fuentes</v>
      </c>
      <c r="C263" t="str">
        <f>"Amara"</f>
        <v>Amara</v>
      </c>
      <c r="D263" t="str">
        <f>"31afuentes@franklincountyschools.org"</f>
        <v>31afuentes@franklincountyschools.org</v>
      </c>
      <c r="E263" t="str">
        <f>"02"</f>
        <v>02</v>
      </c>
    </row>
    <row r="264" spans="1:5" x14ac:dyDescent="0.25">
      <c r="A264">
        <f>1920000975</f>
        <v>1920000975</v>
      </c>
      <c r="B264" t="str">
        <f>"Fuller"</f>
        <v>Fuller</v>
      </c>
      <c r="C264" t="str">
        <f>"Jordon"</f>
        <v>Jordon</v>
      </c>
      <c r="D264" t="str">
        <f>"31jfuller@franklincountyschools.org"</f>
        <v>31jfuller@franklincountyschools.org</v>
      </c>
      <c r="E264" t="str">
        <f>"02"</f>
        <v>02</v>
      </c>
    </row>
    <row r="265" spans="1:5" x14ac:dyDescent="0.25">
      <c r="A265">
        <f>1920002060</f>
        <v>1920002060</v>
      </c>
      <c r="B265" t="str">
        <f>"Gadson"</f>
        <v>Gadson</v>
      </c>
      <c r="C265" t="str">
        <f>"Ne'Shon"</f>
        <v>Ne'Shon</v>
      </c>
      <c r="D265" t="str">
        <f>"22ngadson@franklincountyschools.org"</f>
        <v>22ngadson@franklincountyschools.org</v>
      </c>
      <c r="E265">
        <f>11</f>
        <v>11</v>
      </c>
    </row>
    <row r="266" spans="1:5" x14ac:dyDescent="0.25">
      <c r="A266">
        <f>1920001686</f>
        <v>1920001686</v>
      </c>
      <c r="B266" t="str">
        <f>"Galloway"</f>
        <v>Galloway</v>
      </c>
      <c r="C266" t="str">
        <f>"Paxton"</f>
        <v>Paxton</v>
      </c>
      <c r="D266" t="str">
        <f>"33pgalloway@franklincountyschools.org"</f>
        <v>33pgalloway@franklincountyschools.org</v>
      </c>
      <c r="E266" t="str">
        <f>"PK"</f>
        <v>PK</v>
      </c>
    </row>
    <row r="267" spans="1:5" x14ac:dyDescent="0.25">
      <c r="A267">
        <f>1920000983</f>
        <v>1920000983</v>
      </c>
      <c r="B267" t="str">
        <f>"Galloway"</f>
        <v>Galloway</v>
      </c>
      <c r="C267" t="str">
        <f>"Raleigh"</f>
        <v>Raleigh</v>
      </c>
      <c r="D267" t="str">
        <f>"31rgalloway@franklincountyschools.org"</f>
        <v>31rgalloway@franklincountyschools.org</v>
      </c>
      <c r="E267" t="str">
        <f>"02"</f>
        <v>02</v>
      </c>
    </row>
    <row r="268" spans="1:5" x14ac:dyDescent="0.25">
      <c r="A268">
        <f>1920000639</f>
        <v>1920000639</v>
      </c>
      <c r="B268" t="str">
        <f>"Gamble"</f>
        <v>Gamble</v>
      </c>
      <c r="C268" t="str">
        <f>"Kayden"</f>
        <v>Kayden</v>
      </c>
      <c r="D268" t="str">
        <f>"30KGamble@franklincountyschools.org"</f>
        <v>30KGamble@franklincountyschools.org</v>
      </c>
      <c r="E268" t="str">
        <f>"03"</f>
        <v>03</v>
      </c>
    </row>
    <row r="269" spans="1:5" x14ac:dyDescent="0.25">
      <c r="A269">
        <f>1920000668</f>
        <v>1920000668</v>
      </c>
      <c r="B269" t="str">
        <f>"Garcia"</f>
        <v>Garcia</v>
      </c>
      <c r="C269" t="str">
        <f>"Myra"</f>
        <v>Myra</v>
      </c>
      <c r="D269" t="str">
        <f>"28MGarcia@franklincountyschools.org"</f>
        <v>28MGarcia@franklincountyschools.org</v>
      </c>
      <c r="E269" t="str">
        <f>"05"</f>
        <v>05</v>
      </c>
    </row>
    <row r="270" spans="1:5" x14ac:dyDescent="0.25">
      <c r="A270">
        <f>1907002077</f>
        <v>1907002077</v>
      </c>
      <c r="B270" t="str">
        <f>"Garner"</f>
        <v>Garner</v>
      </c>
      <c r="C270" t="str">
        <f>"Kerry"</f>
        <v>Kerry</v>
      </c>
      <c r="D270" t="str">
        <f>"21KGarner@franklincountyschools.org"</f>
        <v>21KGarner@franklincountyschools.org</v>
      </c>
      <c r="E270">
        <f>12</f>
        <v>12</v>
      </c>
    </row>
    <row r="271" spans="1:5" x14ac:dyDescent="0.25">
      <c r="A271">
        <f>1920001888</f>
        <v>1920001888</v>
      </c>
      <c r="B271" t="str">
        <f>"Garrett"</f>
        <v>Garrett</v>
      </c>
      <c r="C271" t="str">
        <f>"Chance"</f>
        <v>Chance</v>
      </c>
      <c r="D271" t="str">
        <f>"33cgarrett@franklincountyschools.org"</f>
        <v>33cgarrett@franklincountyschools.org</v>
      </c>
      <c r="E271" t="str">
        <f>"KG"</f>
        <v>KG</v>
      </c>
    </row>
    <row r="272" spans="1:5" x14ac:dyDescent="0.25">
      <c r="A272">
        <f>1920001246</f>
        <v>1920001246</v>
      </c>
      <c r="B272" t="str">
        <f>"Garrity"</f>
        <v>Garrity</v>
      </c>
      <c r="C272" t="str">
        <f>"Zoie"</f>
        <v>Zoie</v>
      </c>
      <c r="D272" t="str">
        <f>"31zgarrity@franklincountyschools.org"</f>
        <v>31zgarrity@franklincountyschools.org</v>
      </c>
      <c r="E272" t="str">
        <f>"02"</f>
        <v>02</v>
      </c>
    </row>
    <row r="273" spans="1:5" x14ac:dyDescent="0.25">
      <c r="A273">
        <f>1920000582</f>
        <v>1920000582</v>
      </c>
      <c r="B273" t="str">
        <f>"Gibbs"</f>
        <v>Gibbs</v>
      </c>
      <c r="C273" t="str">
        <f>"Janayla"</f>
        <v>Janayla</v>
      </c>
      <c r="D273" t="str">
        <f>"28JGibbs@franklincountyschools.org"</f>
        <v>28JGibbs@franklincountyschools.org</v>
      </c>
      <c r="E273" t="str">
        <f>"05"</f>
        <v>05</v>
      </c>
    </row>
    <row r="274" spans="1:5" x14ac:dyDescent="0.25">
      <c r="A274">
        <f>1920001556</f>
        <v>1920001556</v>
      </c>
      <c r="B274" t="str">
        <f>"Gibson"</f>
        <v>Gibson</v>
      </c>
      <c r="C274" t="str">
        <f>"Jew'ell"</f>
        <v>Jew'ell</v>
      </c>
      <c r="D274" t="str">
        <f>"33jgibson@franklincountyschools.org"</f>
        <v>33jgibson@franklincountyschools.org</v>
      </c>
      <c r="E274" t="str">
        <f>"KG"</f>
        <v>KG</v>
      </c>
    </row>
    <row r="275" spans="1:5" x14ac:dyDescent="0.25">
      <c r="A275">
        <f>1920000146</f>
        <v>1920000146</v>
      </c>
      <c r="B275" t="str">
        <f>"Giddens"</f>
        <v>Giddens</v>
      </c>
      <c r="C275" t="str">
        <f>"Reginald"</f>
        <v>Reginald</v>
      </c>
      <c r="D275" t="str">
        <f>"26ngiddens@franklincountyschools.org"</f>
        <v>26ngiddens@franklincountyschools.org</v>
      </c>
      <c r="E275" t="str">
        <f>"07"</f>
        <v>07</v>
      </c>
    </row>
    <row r="276" spans="1:5" x14ac:dyDescent="0.25">
      <c r="A276">
        <f>1920000147</f>
        <v>1920000147</v>
      </c>
      <c r="B276" t="str">
        <f t="shared" ref="B276:B285" si="4">"Gilbert"</f>
        <v>Gilbert</v>
      </c>
      <c r="C276" t="str">
        <f>"Adecyn"</f>
        <v>Adecyn</v>
      </c>
      <c r="D276" t="str">
        <f>"26AdecynGilbert@franklincountyschools.org"</f>
        <v>26AdecynGilbert@franklincountyschools.org</v>
      </c>
      <c r="E276" t="str">
        <f>"07"</f>
        <v>07</v>
      </c>
    </row>
    <row r="277" spans="1:5" x14ac:dyDescent="0.25">
      <c r="A277">
        <f>1908002433</f>
        <v>1908002433</v>
      </c>
      <c r="B277" t="str">
        <f t="shared" si="4"/>
        <v>Gilbert</v>
      </c>
      <c r="C277" t="str">
        <f>"Bryce"</f>
        <v>Bryce</v>
      </c>
      <c r="D277" t="str">
        <f>"22BGilbert@franklincountyschools.org"</f>
        <v>22BGilbert@franklincountyschools.org</v>
      </c>
      <c r="E277">
        <f>11</f>
        <v>11</v>
      </c>
    </row>
    <row r="278" spans="1:5" x14ac:dyDescent="0.25">
      <c r="A278">
        <f>1912003341</f>
        <v>1912003341</v>
      </c>
      <c r="B278" t="str">
        <f t="shared" si="4"/>
        <v>Gilbert</v>
      </c>
      <c r="C278" t="str">
        <f>"Cammie"</f>
        <v>Cammie</v>
      </c>
      <c r="D278" t="str">
        <f>"25CGilbert@franklincountyschools.org"</f>
        <v>25CGilbert@franklincountyschools.org</v>
      </c>
      <c r="E278" t="str">
        <f>"08"</f>
        <v>08</v>
      </c>
    </row>
    <row r="279" spans="1:5" x14ac:dyDescent="0.25">
      <c r="A279">
        <f>1920000773</f>
        <v>1920000773</v>
      </c>
      <c r="B279" t="str">
        <f t="shared" si="4"/>
        <v>Gilbert</v>
      </c>
      <c r="C279" t="str">
        <f>"Cayleigh"</f>
        <v>Cayleigh</v>
      </c>
      <c r="D279" t="str">
        <f>"29CGilbert@franklincountyschools.org"</f>
        <v>29CGilbert@franklincountyschools.org</v>
      </c>
      <c r="E279" t="str">
        <f>"04"</f>
        <v>04</v>
      </c>
    </row>
    <row r="280" spans="1:5" x14ac:dyDescent="0.25">
      <c r="A280">
        <f>1911003098</f>
        <v>1911003098</v>
      </c>
      <c r="B280" t="str">
        <f t="shared" si="4"/>
        <v>Gilbert</v>
      </c>
      <c r="C280" t="str">
        <f>"Daylen"</f>
        <v>Daylen</v>
      </c>
      <c r="D280" t="str">
        <f>"25DGilbert@franklincountyschools.org"</f>
        <v>25DGilbert@franklincountyschools.org</v>
      </c>
      <c r="E280" t="str">
        <f>"08"</f>
        <v>08</v>
      </c>
    </row>
    <row r="281" spans="1:5" x14ac:dyDescent="0.25">
      <c r="A281">
        <f>1920000533</f>
        <v>1920000533</v>
      </c>
      <c r="B281" t="str">
        <f t="shared" si="4"/>
        <v>Gilbert</v>
      </c>
      <c r="C281" t="str">
        <f>"Joshua"</f>
        <v>Joshua</v>
      </c>
      <c r="D281" t="str">
        <f>"27JGilbert@franklincountyschools.org"</f>
        <v>27JGilbert@franklincountyschools.org</v>
      </c>
      <c r="E281" t="str">
        <f>"06"</f>
        <v>06</v>
      </c>
    </row>
    <row r="282" spans="1:5" x14ac:dyDescent="0.25">
      <c r="A282">
        <f>1920000775</f>
        <v>1920000775</v>
      </c>
      <c r="B282" t="str">
        <f t="shared" si="4"/>
        <v>Gilbert</v>
      </c>
      <c r="C282" t="str">
        <f>"Kyler"</f>
        <v>Kyler</v>
      </c>
      <c r="D282" t="str">
        <f>"29KGilbert@franklincountyschools.org"</f>
        <v>29KGilbert@franklincountyschools.org</v>
      </c>
      <c r="E282" t="str">
        <f>"04"</f>
        <v>04</v>
      </c>
    </row>
    <row r="283" spans="1:5" x14ac:dyDescent="0.25">
      <c r="A283">
        <f>1920001714</f>
        <v>1920001714</v>
      </c>
      <c r="B283" t="str">
        <f t="shared" si="4"/>
        <v>Gilbert</v>
      </c>
      <c r="C283" t="str">
        <f>"Lelon"</f>
        <v>Lelon</v>
      </c>
      <c r="D283" t="str">
        <f>"33lgilbert@franklincountyschools.org"</f>
        <v>33lgilbert@franklincountyschools.org</v>
      </c>
      <c r="E283" t="str">
        <f>"KG"</f>
        <v>KG</v>
      </c>
    </row>
    <row r="284" spans="1:5" x14ac:dyDescent="0.25">
      <c r="A284">
        <f>1911003045</f>
        <v>1911003045</v>
      </c>
      <c r="B284" t="str">
        <f t="shared" si="4"/>
        <v>Gilbert</v>
      </c>
      <c r="C284" t="str">
        <f>"Marissa"</f>
        <v>Marissa</v>
      </c>
      <c r="D284" t="str">
        <f>"23MGilbert@franklincountyschools.org"</f>
        <v>23MGilbert@franklincountyschools.org</v>
      </c>
      <c r="E284">
        <f>10</f>
        <v>10</v>
      </c>
    </row>
    <row r="285" spans="1:5" x14ac:dyDescent="0.25">
      <c r="A285">
        <f>1920000148</f>
        <v>1920000148</v>
      </c>
      <c r="B285" t="str">
        <f t="shared" si="4"/>
        <v>Gilbert</v>
      </c>
      <c r="C285" t="str">
        <f>"Thaddeus"</f>
        <v>Thaddeus</v>
      </c>
      <c r="D285" t="str">
        <f>"27ashtongilbert@franklincountyschools.org"</f>
        <v>27ashtongilbert@franklincountyschools.org</v>
      </c>
      <c r="E285" t="str">
        <f>"06"</f>
        <v>06</v>
      </c>
    </row>
    <row r="286" spans="1:5" x14ac:dyDescent="0.25">
      <c r="A286">
        <f>1920001667</f>
        <v>1920001667</v>
      </c>
      <c r="B286" t="str">
        <f>"Gillikin"</f>
        <v>Gillikin</v>
      </c>
      <c r="C286" t="str">
        <f>"Tyler"</f>
        <v>Tyler</v>
      </c>
      <c r="D286" t="str">
        <f>"34tgillikin@franklincountyschools.org"</f>
        <v>34tgillikin@franklincountyschools.org</v>
      </c>
      <c r="E286" t="str">
        <f>"PK"</f>
        <v>PK</v>
      </c>
    </row>
    <row r="287" spans="1:5" x14ac:dyDescent="0.25">
      <c r="A287">
        <f>1920000451</f>
        <v>1920000451</v>
      </c>
      <c r="B287" t="str">
        <f>"Gilmore"</f>
        <v>Gilmore</v>
      </c>
      <c r="C287" t="str">
        <f>"Ethan"</f>
        <v>Ethan</v>
      </c>
      <c r="D287" t="str">
        <f>"26EGilmore@franklincountyschools.org"</f>
        <v>26EGilmore@franklincountyschools.org</v>
      </c>
      <c r="E287" t="str">
        <f>"07"</f>
        <v>07</v>
      </c>
    </row>
    <row r="288" spans="1:5" x14ac:dyDescent="0.25">
      <c r="A288">
        <f>1920000452</f>
        <v>1920000452</v>
      </c>
      <c r="B288" t="str">
        <f>"Gilmore"</f>
        <v>Gilmore</v>
      </c>
      <c r="C288" t="str">
        <f>"Iliana"</f>
        <v>Iliana</v>
      </c>
      <c r="D288" t="str">
        <f>"24IGilmore@franklincountyschools.org"</f>
        <v>24IGilmore@franklincountyschools.org</v>
      </c>
      <c r="E288" t="str">
        <f>"09"</f>
        <v>09</v>
      </c>
    </row>
    <row r="289" spans="1:5" x14ac:dyDescent="0.25">
      <c r="A289">
        <f>1920001896</f>
        <v>1920001896</v>
      </c>
      <c r="B289" t="str">
        <f>"Gilmore"</f>
        <v>Gilmore</v>
      </c>
      <c r="C289" t="str">
        <f>"Walker"</f>
        <v>Walker</v>
      </c>
      <c r="D289" t="str">
        <f>"33wgilmore@franklincountyschools.org"</f>
        <v>33wgilmore@franklincountyschools.org</v>
      </c>
      <c r="E289" t="str">
        <f>"KG"</f>
        <v>KG</v>
      </c>
    </row>
    <row r="290" spans="1:5" x14ac:dyDescent="0.25">
      <c r="A290">
        <f>1912003342</f>
        <v>1912003342</v>
      </c>
      <c r="B290" t="str">
        <f>"Glass"</f>
        <v>Glass</v>
      </c>
      <c r="C290" t="str">
        <f>"Austin"</f>
        <v>Austin</v>
      </c>
      <c r="D290" t="str">
        <f>"26AGlass@franklincountyschools.org"</f>
        <v>26AGlass@franklincountyschools.org</v>
      </c>
      <c r="E290" t="str">
        <f>"06"</f>
        <v>06</v>
      </c>
    </row>
    <row r="291" spans="1:5" x14ac:dyDescent="0.25">
      <c r="A291">
        <f>1920000620</f>
        <v>1920000620</v>
      </c>
      <c r="B291" t="str">
        <f>"Glass"</f>
        <v>Glass</v>
      </c>
      <c r="C291" t="str">
        <f>"JohnMichael"</f>
        <v>JohnMichael</v>
      </c>
      <c r="D291" t="str">
        <f>"28JGlass@franklincountyschools.org"</f>
        <v>28JGlass@franklincountyschools.org</v>
      </c>
      <c r="E291" t="str">
        <f>"04"</f>
        <v>04</v>
      </c>
    </row>
    <row r="292" spans="1:5" x14ac:dyDescent="0.25">
      <c r="A292">
        <f>1920000288</f>
        <v>1920000288</v>
      </c>
      <c r="B292" t="str">
        <f>"Godbolt"</f>
        <v>Godbolt</v>
      </c>
      <c r="C292" t="str">
        <f>"Jazlynn"</f>
        <v>Jazlynn</v>
      </c>
      <c r="D292" t="str">
        <f>"28JGodbolt@franklincountyschools.org"</f>
        <v>28JGodbolt@franklincountyschools.org</v>
      </c>
      <c r="E292" t="str">
        <f>"05"</f>
        <v>05</v>
      </c>
    </row>
    <row r="293" spans="1:5" x14ac:dyDescent="0.25">
      <c r="A293">
        <f>1920000430</f>
        <v>1920000430</v>
      </c>
      <c r="B293" t="str">
        <f>"Godbolt"</f>
        <v>Godbolt</v>
      </c>
      <c r="C293" t="str">
        <f>"Yazmynn"</f>
        <v>Yazmynn</v>
      </c>
      <c r="D293" t="str">
        <f>"29YGodbolt@franklincountyschools.org"</f>
        <v>29YGodbolt@franklincountyschools.org</v>
      </c>
      <c r="E293" t="str">
        <f>"04"</f>
        <v>04</v>
      </c>
    </row>
    <row r="294" spans="1:5" x14ac:dyDescent="0.25">
      <c r="A294">
        <f>1920001782</f>
        <v>1920001782</v>
      </c>
      <c r="B294" t="str">
        <f>"Godwin"</f>
        <v>Godwin</v>
      </c>
      <c r="C294" t="str">
        <f>"Brody"</f>
        <v>Brody</v>
      </c>
      <c r="D294" t="str">
        <f>"32bgodwin@franklincountyschools.org"</f>
        <v>32bgodwin@franklincountyschools.org</v>
      </c>
      <c r="E294" t="str">
        <f>"01"</f>
        <v>01</v>
      </c>
    </row>
    <row r="295" spans="1:5" x14ac:dyDescent="0.25">
      <c r="A295">
        <f>1920001490</f>
        <v>1920001490</v>
      </c>
      <c r="B295" t="str">
        <f>"Golden"</f>
        <v>Golden</v>
      </c>
      <c r="C295" t="str">
        <f>"Carly"</f>
        <v>Carly</v>
      </c>
      <c r="D295" t="str">
        <f>"32cgolden@franklincountyschools.org"</f>
        <v>32cgolden@franklincountyschools.org</v>
      </c>
      <c r="E295" t="str">
        <f>"01"</f>
        <v>01</v>
      </c>
    </row>
    <row r="296" spans="1:5" x14ac:dyDescent="0.25">
      <c r="A296">
        <f>1920001668</f>
        <v>1920001668</v>
      </c>
      <c r="B296" t="str">
        <f>"Golden"</f>
        <v>Golden</v>
      </c>
      <c r="C296" t="str">
        <f>"Malachi"</f>
        <v>Malachi</v>
      </c>
      <c r="D296" t="str">
        <f>"32mgolden@franklincountyschools.org"</f>
        <v>32mgolden@franklincountyschools.org</v>
      </c>
      <c r="E296" t="str">
        <f>"KG"</f>
        <v>KG</v>
      </c>
    </row>
    <row r="297" spans="1:5" x14ac:dyDescent="0.25">
      <c r="A297">
        <f>1911003137</f>
        <v>1911003137</v>
      </c>
      <c r="B297" t="str">
        <f>"Golden"</f>
        <v>Golden</v>
      </c>
      <c r="C297" t="str">
        <f>"Owen"</f>
        <v>Owen</v>
      </c>
      <c r="D297" t="str">
        <f>"24OGolden@franklincountyschools.org"</f>
        <v>24OGolden@franklincountyschools.org</v>
      </c>
      <c r="E297" t="str">
        <f>"09"</f>
        <v>09</v>
      </c>
    </row>
    <row r="298" spans="1:5" x14ac:dyDescent="0.25">
      <c r="A298">
        <f>1920000997</f>
        <v>1920000997</v>
      </c>
      <c r="B298" t="str">
        <f>"Golden"</f>
        <v>Golden</v>
      </c>
      <c r="C298" t="str">
        <f>"Richie"</f>
        <v>Richie</v>
      </c>
      <c r="D298" t="str">
        <f>"29RGolden@franklincountyschools.org"</f>
        <v>29RGolden@franklincountyschools.org</v>
      </c>
      <c r="E298" t="str">
        <f>"04"</f>
        <v>04</v>
      </c>
    </row>
    <row r="299" spans="1:5" x14ac:dyDescent="0.25">
      <c r="A299">
        <f>1920000222</f>
        <v>1920000222</v>
      </c>
      <c r="B299" t="str">
        <f>"Goldin"</f>
        <v>Goldin</v>
      </c>
      <c r="C299" t="str">
        <f>"Amber"</f>
        <v>Amber</v>
      </c>
      <c r="D299" t="str">
        <f>"23AGoldin@franklincountyschools.org"</f>
        <v>23AGoldin@franklincountyschools.org</v>
      </c>
      <c r="E299">
        <f>10</f>
        <v>10</v>
      </c>
    </row>
    <row r="300" spans="1:5" x14ac:dyDescent="0.25">
      <c r="A300">
        <f>1920001733</f>
        <v>1920001733</v>
      </c>
      <c r="B300" t="str">
        <f>"Gomez-Diaz"</f>
        <v>Gomez-Diaz</v>
      </c>
      <c r="C300" t="str">
        <f>"Iker"</f>
        <v>Iker</v>
      </c>
      <c r="D300" t="str">
        <f>"33igomez@franklincountyschools.org"</f>
        <v>33igomez@franklincountyschools.org</v>
      </c>
      <c r="E300" t="str">
        <f>"KG"</f>
        <v>KG</v>
      </c>
    </row>
    <row r="301" spans="1:5" x14ac:dyDescent="0.25">
      <c r="A301">
        <f>1920002069</f>
        <v>1920002069</v>
      </c>
      <c r="B301" t="str">
        <f>"Goodson"</f>
        <v>Goodson</v>
      </c>
      <c r="C301" t="str">
        <f>"Jacob"</f>
        <v>Jacob</v>
      </c>
      <c r="D301" t="str">
        <f>"24jgoodson@franklincountyschools.org"</f>
        <v>24jgoodson@franklincountyschools.org</v>
      </c>
      <c r="E301" t="str">
        <f>"09"</f>
        <v>09</v>
      </c>
    </row>
    <row r="302" spans="1:5" x14ac:dyDescent="0.25">
      <c r="A302">
        <f>1909002708</f>
        <v>1909002708</v>
      </c>
      <c r="B302" t="str">
        <f>"Gordon"</f>
        <v>Gordon</v>
      </c>
      <c r="C302" t="str">
        <f>"Matthew"</f>
        <v>Matthew</v>
      </c>
      <c r="D302" t="str">
        <f>"23mgordon@franklincountyschools.org"</f>
        <v>23mgordon@franklincountyschools.org</v>
      </c>
      <c r="E302">
        <f>10</f>
        <v>10</v>
      </c>
    </row>
    <row r="303" spans="1:5" x14ac:dyDescent="0.25">
      <c r="A303">
        <f>1911003100</f>
        <v>1911003100</v>
      </c>
      <c r="B303" t="str">
        <f>"Gordon"</f>
        <v>Gordon</v>
      </c>
      <c r="C303" t="str">
        <f>"Tyren"</f>
        <v>Tyren</v>
      </c>
      <c r="D303" t="str">
        <f>"25TGordon@franklincountyschools.org"</f>
        <v>25TGordon@franklincountyschools.org</v>
      </c>
      <c r="E303" t="str">
        <f>"07"</f>
        <v>07</v>
      </c>
    </row>
    <row r="304" spans="1:5" x14ac:dyDescent="0.25">
      <c r="A304">
        <f>1911003101</f>
        <v>1911003101</v>
      </c>
      <c r="B304" t="str">
        <f>"Gragg"</f>
        <v>Gragg</v>
      </c>
      <c r="C304" t="str">
        <f>"Ava"</f>
        <v>Ava</v>
      </c>
      <c r="D304" t="str">
        <f>"24AGragg@franklincountyschools.org"</f>
        <v>24AGragg@franklincountyschools.org</v>
      </c>
      <c r="E304" t="str">
        <f>"08"</f>
        <v>08</v>
      </c>
    </row>
    <row r="305" spans="1:5" x14ac:dyDescent="0.25">
      <c r="A305">
        <f>1920001292</f>
        <v>1920001292</v>
      </c>
      <c r="B305" t="str">
        <f>"Gragg"</f>
        <v>Gragg</v>
      </c>
      <c r="C305" t="str">
        <f>"Dallis"</f>
        <v>Dallis</v>
      </c>
      <c r="D305" t="str">
        <f>"31dgragg@franklincountyschools.org"</f>
        <v>31dgragg@franklincountyschools.org</v>
      </c>
      <c r="E305" t="str">
        <f>"01"</f>
        <v>01</v>
      </c>
    </row>
    <row r="306" spans="1:5" x14ac:dyDescent="0.25">
      <c r="A306">
        <f>1909002592</f>
        <v>1909002592</v>
      </c>
      <c r="B306" t="str">
        <f>"Gragg"</f>
        <v>Gragg</v>
      </c>
      <c r="C306" t="str">
        <f>"Emily"</f>
        <v>Emily</v>
      </c>
      <c r="D306" t="str">
        <f>"23emmagragg@franklincountyschools.org"</f>
        <v>23emmagragg@franklincountyschools.org</v>
      </c>
      <c r="E306">
        <f>10</f>
        <v>10</v>
      </c>
    </row>
    <row r="307" spans="1:5" x14ac:dyDescent="0.25">
      <c r="A307">
        <f>1911003194</f>
        <v>1911003194</v>
      </c>
      <c r="B307" t="str">
        <f>"Granger"</f>
        <v>Granger</v>
      </c>
      <c r="C307" t="str">
        <f>"Charles"</f>
        <v>Charles</v>
      </c>
      <c r="D307" t="str">
        <f>"21rgranger@franklincountyschools.org"</f>
        <v>21rgranger@franklincountyschools.org</v>
      </c>
      <c r="E307">
        <f>12</f>
        <v>12</v>
      </c>
    </row>
    <row r="308" spans="1:5" x14ac:dyDescent="0.25">
      <c r="A308">
        <f>1920001781</f>
        <v>1920001781</v>
      </c>
      <c r="B308" t="str">
        <f>"Granger"</f>
        <v>Granger</v>
      </c>
      <c r="C308" t="str">
        <f>"Harrison"</f>
        <v>Harrison</v>
      </c>
      <c r="D308" t="str">
        <f>"33hgranger@franklincountyschools.org"</f>
        <v>33hgranger@franklincountyschools.org</v>
      </c>
      <c r="E308" t="str">
        <f>"KG"</f>
        <v>KG</v>
      </c>
    </row>
    <row r="309" spans="1:5" x14ac:dyDescent="0.25">
      <c r="A309">
        <f>1920000149</f>
        <v>1920000149</v>
      </c>
      <c r="B309" t="str">
        <f>"Gray"</f>
        <v>Gray</v>
      </c>
      <c r="C309" t="str">
        <f>"Sean"</f>
        <v>Sean</v>
      </c>
      <c r="D309" t="str">
        <f>"26SGray@franklincountyschools.org"</f>
        <v>26SGray@franklincountyschools.org</v>
      </c>
      <c r="E309" t="str">
        <f>"07"</f>
        <v>07</v>
      </c>
    </row>
    <row r="310" spans="1:5" x14ac:dyDescent="0.25">
      <c r="A310">
        <f>1910002879</f>
        <v>1910002879</v>
      </c>
      <c r="B310" t="str">
        <f>"Gregorio"</f>
        <v>Gregorio</v>
      </c>
      <c r="C310" t="str">
        <f>"Eulalia"</f>
        <v>Eulalia</v>
      </c>
      <c r="D310" t="str">
        <f>"22egregorio@franklincountyschools.org"</f>
        <v>22egregorio@franklincountyschools.org</v>
      </c>
      <c r="E310">
        <f>11</f>
        <v>11</v>
      </c>
    </row>
    <row r="311" spans="1:5" x14ac:dyDescent="0.25">
      <c r="A311">
        <f>1912003383</f>
        <v>1912003383</v>
      </c>
      <c r="B311" t="str">
        <f>"Griffin"</f>
        <v>Griffin</v>
      </c>
      <c r="C311" t="str">
        <f>"Gregreyuna"</f>
        <v>Gregreyuna</v>
      </c>
      <c r="D311" t="str">
        <f>"27GGriffin@franklincountyschools.org"</f>
        <v>27GGriffin@franklincountyschools.org</v>
      </c>
      <c r="E311" t="str">
        <f>"06"</f>
        <v>06</v>
      </c>
    </row>
    <row r="312" spans="1:5" x14ac:dyDescent="0.25">
      <c r="A312">
        <f>1907002076</f>
        <v>1907002076</v>
      </c>
      <c r="B312" t="str">
        <f>"Griffin"</f>
        <v>Griffin</v>
      </c>
      <c r="C312" t="str">
        <f>"Kelsey"</f>
        <v>Kelsey</v>
      </c>
      <c r="D312" t="str">
        <f>"21kgriffin@franklincountyschools.org"</f>
        <v>21kgriffin@franklincountyschools.org</v>
      </c>
      <c r="E312">
        <f>12</f>
        <v>12</v>
      </c>
    </row>
    <row r="313" spans="1:5" x14ac:dyDescent="0.25">
      <c r="A313">
        <f>1920001022</f>
        <v>1920001022</v>
      </c>
      <c r="B313" t="str">
        <f>"Griggs"</f>
        <v>Griggs</v>
      </c>
      <c r="C313" t="str">
        <f>"Alexiana"</f>
        <v>Alexiana</v>
      </c>
      <c r="D313" t="str">
        <f>"31agriggs@franklincountyschools.org"</f>
        <v>31agriggs@franklincountyschools.org</v>
      </c>
      <c r="E313" t="str">
        <f>"02"</f>
        <v>02</v>
      </c>
    </row>
    <row r="314" spans="1:5" x14ac:dyDescent="0.25">
      <c r="A314">
        <f>1912003345</f>
        <v>1912003345</v>
      </c>
      <c r="B314" t="str">
        <f>"Griggs"</f>
        <v>Griggs</v>
      </c>
      <c r="C314" t="str">
        <f>"Ma'halah"</f>
        <v>Ma'halah</v>
      </c>
      <c r="D314" t="str">
        <f>"25MGriggs@franklincountyschools.org"</f>
        <v>25MGriggs@franklincountyschools.org</v>
      </c>
      <c r="E314" t="str">
        <f>"08"</f>
        <v>08</v>
      </c>
    </row>
    <row r="315" spans="1:5" x14ac:dyDescent="0.25">
      <c r="A315">
        <f>1920001150</f>
        <v>1920001150</v>
      </c>
      <c r="B315" t="str">
        <f>"Grubbs"</f>
        <v>Grubbs</v>
      </c>
      <c r="C315" t="str">
        <f>"Jessi"</f>
        <v>Jessi</v>
      </c>
      <c r="D315" t="str">
        <f>"30JessiGrubbs@franklincountyschools.org"</f>
        <v>30JessiGrubbs@franklincountyschools.org</v>
      </c>
      <c r="E315" t="str">
        <f>"03"</f>
        <v>03</v>
      </c>
    </row>
    <row r="316" spans="1:5" x14ac:dyDescent="0.25">
      <c r="A316">
        <f>1920001151</f>
        <v>1920001151</v>
      </c>
      <c r="B316" t="str">
        <f>"Grubbs"</f>
        <v>Grubbs</v>
      </c>
      <c r="C316" t="str">
        <f>"Josie"</f>
        <v>Josie</v>
      </c>
      <c r="D316" t="str">
        <f>"30JosieGrubbs@franklincountyschools.org"</f>
        <v>30JosieGrubbs@franklincountyschools.org</v>
      </c>
      <c r="E316" t="str">
        <f>"03"</f>
        <v>03</v>
      </c>
    </row>
    <row r="317" spans="1:5" x14ac:dyDescent="0.25">
      <c r="A317">
        <f>1920000768</f>
        <v>1920000768</v>
      </c>
      <c r="B317" t="str">
        <f>"Ham"</f>
        <v>Ham</v>
      </c>
      <c r="C317" t="str">
        <f>"Andrew"</f>
        <v>Andrew</v>
      </c>
      <c r="D317" t="str">
        <f>"29AHam@franklincountyschools.org"</f>
        <v>29AHam@franklincountyschools.org</v>
      </c>
      <c r="E317" t="str">
        <f>"04"</f>
        <v>04</v>
      </c>
    </row>
    <row r="318" spans="1:5" x14ac:dyDescent="0.25">
      <c r="A318">
        <f>1912003346</f>
        <v>1912003346</v>
      </c>
      <c r="B318" t="str">
        <f>"Ham"</f>
        <v>Ham</v>
      </c>
      <c r="C318" t="str">
        <f>"Sarah"</f>
        <v>Sarah</v>
      </c>
      <c r="D318" t="str">
        <f>"25SHam@franklincountyschools.org"</f>
        <v>25SHam@franklincountyschools.org</v>
      </c>
      <c r="E318" t="str">
        <f>"08"</f>
        <v>08</v>
      </c>
    </row>
    <row r="319" spans="1:5" x14ac:dyDescent="0.25">
      <c r="A319">
        <f>1920000877</f>
        <v>1920000877</v>
      </c>
      <c r="B319" t="str">
        <f>"Hamm"</f>
        <v>Hamm</v>
      </c>
      <c r="C319" t="str">
        <f>"Aubrey"</f>
        <v>Aubrey</v>
      </c>
      <c r="D319" t="str">
        <f>"25ahamm@franklincountyschools.org"</f>
        <v>25ahamm@franklincountyschools.org</v>
      </c>
      <c r="E319" t="str">
        <f>"08"</f>
        <v>08</v>
      </c>
    </row>
    <row r="320" spans="1:5" x14ac:dyDescent="0.25">
      <c r="A320">
        <f>1920001245</f>
        <v>1920001245</v>
      </c>
      <c r="B320" t="str">
        <f>"Harper"</f>
        <v>Harper</v>
      </c>
      <c r="C320" t="str">
        <f>"Garrett"</f>
        <v>Garrett</v>
      </c>
      <c r="D320" t="str">
        <f>"31gharper@franklincountyschools.org"</f>
        <v>31gharper@franklincountyschools.org</v>
      </c>
      <c r="E320" t="str">
        <f>"02"</f>
        <v>02</v>
      </c>
    </row>
    <row r="321" spans="1:5" x14ac:dyDescent="0.25">
      <c r="A321">
        <f>1920000546</f>
        <v>1920000546</v>
      </c>
      <c r="B321" t="str">
        <f t="shared" ref="B321:B329" si="5">"Harris"</f>
        <v>Harris</v>
      </c>
      <c r="C321" t="str">
        <f>"Alexis"</f>
        <v>Alexis</v>
      </c>
      <c r="D321" t="str">
        <f>"28AHarris@franklincountyschools.org"</f>
        <v>28AHarris@franklincountyschools.org</v>
      </c>
      <c r="E321" t="str">
        <f>"05"</f>
        <v>05</v>
      </c>
    </row>
    <row r="322" spans="1:5" x14ac:dyDescent="0.25">
      <c r="A322">
        <f>1920001013</f>
        <v>1920001013</v>
      </c>
      <c r="B322" t="str">
        <f t="shared" si="5"/>
        <v>Harris</v>
      </c>
      <c r="C322" t="str">
        <f>"Andrew"</f>
        <v>Andrew</v>
      </c>
      <c r="D322" t="str">
        <f>"31aharris@franklincountyschools.org"</f>
        <v>31aharris@franklincountyschools.org</v>
      </c>
      <c r="E322" t="str">
        <f>"02"</f>
        <v>02</v>
      </c>
    </row>
    <row r="323" spans="1:5" x14ac:dyDescent="0.25">
      <c r="A323">
        <f>1920001119</f>
        <v>1920001119</v>
      </c>
      <c r="B323" t="str">
        <f t="shared" si="5"/>
        <v>Harris</v>
      </c>
      <c r="C323" t="str">
        <f>"Arionna"</f>
        <v>Arionna</v>
      </c>
      <c r="D323" t="str">
        <f>"23AHarris@franklincountyschools.org"</f>
        <v>23AHarris@franklincountyschools.org</v>
      </c>
      <c r="E323">
        <f>10</f>
        <v>10</v>
      </c>
    </row>
    <row r="324" spans="1:5" x14ac:dyDescent="0.25">
      <c r="A324">
        <f>1920002037</f>
        <v>1920002037</v>
      </c>
      <c r="B324" t="str">
        <f t="shared" si="5"/>
        <v>Harris</v>
      </c>
      <c r="C324" t="str">
        <f>"Julian"</f>
        <v>Julian</v>
      </c>
      <c r="D324" t="str">
        <f>"34jharris@franklincountyschools.org"</f>
        <v>34jharris@franklincountyschools.org</v>
      </c>
      <c r="E324" t="str">
        <f>"PK"</f>
        <v>PK</v>
      </c>
    </row>
    <row r="325" spans="1:5" x14ac:dyDescent="0.25">
      <c r="A325">
        <f>1920001482</f>
        <v>1920001482</v>
      </c>
      <c r="B325" t="str">
        <f t="shared" si="5"/>
        <v>Harris</v>
      </c>
      <c r="C325" t="str">
        <f>"Kaylee"</f>
        <v>Kaylee</v>
      </c>
      <c r="D325" t="str">
        <f>"32kharris@franklincountyschools.org"</f>
        <v>32kharris@franklincountyschools.org</v>
      </c>
      <c r="E325" t="str">
        <f>"01"</f>
        <v>01</v>
      </c>
    </row>
    <row r="326" spans="1:5" x14ac:dyDescent="0.25">
      <c r="A326">
        <f>1920001629</f>
        <v>1920001629</v>
      </c>
      <c r="B326" t="str">
        <f t="shared" si="5"/>
        <v>Harris</v>
      </c>
      <c r="C326" t="str">
        <f>"Kenslie"</f>
        <v>Kenslie</v>
      </c>
      <c r="D326" t="str">
        <f>"28KHarris@franklincountyschools.org"</f>
        <v>28KHarris@franklincountyschools.org</v>
      </c>
      <c r="E326" t="str">
        <f>"05"</f>
        <v>05</v>
      </c>
    </row>
    <row r="327" spans="1:5" x14ac:dyDescent="0.25">
      <c r="A327">
        <f>1920000229</f>
        <v>1920000229</v>
      </c>
      <c r="B327" t="str">
        <f t="shared" si="5"/>
        <v>Harris</v>
      </c>
      <c r="C327" t="str">
        <f>"Kyler"</f>
        <v>Kyler</v>
      </c>
      <c r="D327" t="str">
        <f>"25KHarris@franklincountyschools.org"</f>
        <v>25KHarris@franklincountyschools.org</v>
      </c>
      <c r="E327" t="str">
        <f>"08"</f>
        <v>08</v>
      </c>
    </row>
    <row r="328" spans="1:5" x14ac:dyDescent="0.25">
      <c r="A328">
        <f>1920001897</f>
        <v>1920001897</v>
      </c>
      <c r="B328" t="str">
        <f t="shared" si="5"/>
        <v>Harris</v>
      </c>
      <c r="C328" t="str">
        <f>"Rosetta"</f>
        <v>Rosetta</v>
      </c>
      <c r="D328" t="str">
        <f>"33rharris@franklincountyschools.org"</f>
        <v>33rharris@franklincountyschools.org</v>
      </c>
      <c r="E328" t="str">
        <f>"KG"</f>
        <v>KG</v>
      </c>
    </row>
    <row r="329" spans="1:5" x14ac:dyDescent="0.25">
      <c r="A329">
        <f>1920001895</f>
        <v>1920001895</v>
      </c>
      <c r="B329" t="str">
        <f t="shared" si="5"/>
        <v>Harris</v>
      </c>
      <c r="C329" t="str">
        <f>"Zachery"</f>
        <v>Zachery</v>
      </c>
      <c r="D329" t="str">
        <f>"32zharris@franklincountyschools.org"</f>
        <v>32zharris@franklincountyschools.org</v>
      </c>
      <c r="E329" t="str">
        <f>"01"</f>
        <v>01</v>
      </c>
    </row>
    <row r="330" spans="1:5" x14ac:dyDescent="0.25">
      <c r="A330">
        <f>1920000615</f>
        <v>1920000615</v>
      </c>
      <c r="B330" t="str">
        <f>"Hartsfield"</f>
        <v>Hartsfield</v>
      </c>
      <c r="C330" t="str">
        <f>"Marilyn"</f>
        <v>Marilyn</v>
      </c>
      <c r="D330" t="str">
        <f>"28MHartsfield@franklincountyschools.org"</f>
        <v>28MHartsfield@franklincountyschools.org</v>
      </c>
      <c r="E330" t="str">
        <f>"05"</f>
        <v>05</v>
      </c>
    </row>
    <row r="331" spans="1:5" x14ac:dyDescent="0.25">
      <c r="A331">
        <f>1920000536</f>
        <v>1920000536</v>
      </c>
      <c r="B331" t="str">
        <f>"Hartsfield"</f>
        <v>Hartsfield</v>
      </c>
      <c r="C331" t="str">
        <f>"Matthew"</f>
        <v>Matthew</v>
      </c>
      <c r="D331" t="str">
        <f>"27MHartsfield@franklincountyschools.org"</f>
        <v>27MHartsfield@franklincountyschools.org</v>
      </c>
      <c r="E331" t="str">
        <f>"05"</f>
        <v>05</v>
      </c>
    </row>
    <row r="332" spans="1:5" x14ac:dyDescent="0.25">
      <c r="A332">
        <f>1920001906</f>
        <v>1920001906</v>
      </c>
      <c r="B332" t="str">
        <f>"Haus"</f>
        <v>Haus</v>
      </c>
      <c r="C332" t="str">
        <f>"Kimberly"</f>
        <v>Kimberly</v>
      </c>
      <c r="D332" t="str">
        <f>"33khaus@franklincountyschools.org"</f>
        <v>33khaus@franklincountyschools.org</v>
      </c>
      <c r="E332" t="str">
        <f>"KG"</f>
        <v>KG</v>
      </c>
    </row>
    <row r="333" spans="1:5" x14ac:dyDescent="0.25">
      <c r="A333">
        <f>1920000150</f>
        <v>1920000150</v>
      </c>
      <c r="B333" t="str">
        <f>"Hayes"</f>
        <v>Hayes</v>
      </c>
      <c r="C333" t="str">
        <f>"Adrianna"</f>
        <v>Adrianna</v>
      </c>
      <c r="D333" t="str">
        <f>"26AHayes@franklincountyschools.org"</f>
        <v>26AHayes@franklincountyschools.org</v>
      </c>
      <c r="E333" t="str">
        <f>"07"</f>
        <v>07</v>
      </c>
    </row>
    <row r="334" spans="1:5" x14ac:dyDescent="0.25">
      <c r="A334">
        <f>1920001130</f>
        <v>1920001130</v>
      </c>
      <c r="B334" t="str">
        <f>"Haynes"</f>
        <v>Haynes</v>
      </c>
      <c r="C334" t="str">
        <f>"Caden"</f>
        <v>Caden</v>
      </c>
      <c r="D334" t="str">
        <f>"30CHaynes@franklincountyschools.org"</f>
        <v>30CHaynes@franklincountyschools.org</v>
      </c>
      <c r="E334" t="str">
        <f>"02"</f>
        <v>02</v>
      </c>
    </row>
    <row r="335" spans="1:5" x14ac:dyDescent="0.25">
      <c r="A335">
        <f>1920001718</f>
        <v>1920001718</v>
      </c>
      <c r="B335" t="str">
        <f>"Hensley"</f>
        <v>Hensley</v>
      </c>
      <c r="C335" t="str">
        <f>"Ava"</f>
        <v>Ava</v>
      </c>
      <c r="D335" t="str">
        <f>"33ahensley@franklincountyschools.org"</f>
        <v>33ahensley@franklincountyschools.org</v>
      </c>
      <c r="E335" t="str">
        <f>"KG"</f>
        <v>KG</v>
      </c>
    </row>
    <row r="336" spans="1:5" x14ac:dyDescent="0.25">
      <c r="A336">
        <f>1920001501</f>
        <v>1920001501</v>
      </c>
      <c r="B336" t="str">
        <f>"Hensley"</f>
        <v>Hensley</v>
      </c>
      <c r="C336" t="str">
        <f>"Caiden"</f>
        <v>Caiden</v>
      </c>
      <c r="D336" t="str">
        <f>"32chensley@franklincountyschools.org"</f>
        <v>32chensley@franklincountyschools.org</v>
      </c>
      <c r="E336" t="str">
        <f>"01"</f>
        <v>01</v>
      </c>
    </row>
    <row r="337" spans="1:5" x14ac:dyDescent="0.25">
      <c r="A337">
        <f>1920001356</f>
        <v>1920001356</v>
      </c>
      <c r="B337" t="str">
        <f>"Hightower"</f>
        <v>Hightower</v>
      </c>
      <c r="C337" t="str">
        <f>"Nathan "</f>
        <v xml:space="preserve">Nathan </v>
      </c>
      <c r="D337" t="str">
        <f>"26NHightower@franklincountyschools.org"</f>
        <v>26NHightower@franklincountyschools.org</v>
      </c>
      <c r="E337" t="str">
        <f>"07"</f>
        <v>07</v>
      </c>
    </row>
    <row r="338" spans="1:5" x14ac:dyDescent="0.25">
      <c r="A338">
        <f>1920001354</f>
        <v>1920001354</v>
      </c>
      <c r="B338" t="str">
        <f>"Hightower"</f>
        <v>Hightower</v>
      </c>
      <c r="C338" t="str">
        <f>"Stephen "</f>
        <v xml:space="preserve">Stephen </v>
      </c>
      <c r="D338" t="str">
        <f>"23SHightower@franklincountyschools.org"</f>
        <v>23SHightower@franklincountyschools.org</v>
      </c>
      <c r="E338" t="str">
        <f>"09"</f>
        <v>09</v>
      </c>
    </row>
    <row r="339" spans="1:5" x14ac:dyDescent="0.25">
      <c r="A339">
        <f>1920002064</f>
        <v>1920002064</v>
      </c>
      <c r="B339" t="str">
        <f>"Hill"</f>
        <v>Hill</v>
      </c>
      <c r="C339" t="str">
        <f>"Casen"</f>
        <v>Casen</v>
      </c>
      <c r="D339" t="str">
        <f>"SamanthaSGreenwood@gmail.com"</f>
        <v>SamanthaSGreenwood@gmail.com</v>
      </c>
      <c r="E339" t="str">
        <f>"06"</f>
        <v>06</v>
      </c>
    </row>
    <row r="340" spans="1:5" x14ac:dyDescent="0.25">
      <c r="A340">
        <f>1910002998</f>
        <v>1910002998</v>
      </c>
      <c r="B340" t="str">
        <f>"Hill"</f>
        <v>Hill</v>
      </c>
      <c r="C340" t="str">
        <f>"Kendall"</f>
        <v>Kendall</v>
      </c>
      <c r="D340" t="str">
        <f>"23khill@franklincountyschools.org"</f>
        <v>23khill@franklincountyschools.org</v>
      </c>
      <c r="E340">
        <f>10</f>
        <v>10</v>
      </c>
    </row>
    <row r="341" spans="1:5" x14ac:dyDescent="0.25">
      <c r="A341">
        <f>1920000112</f>
        <v>1920000112</v>
      </c>
      <c r="B341" t="str">
        <f>"Hill"</f>
        <v>Hill</v>
      </c>
      <c r="C341" t="str">
        <f>"Michael"</f>
        <v>Michael</v>
      </c>
      <c r="D341" t="str">
        <f>"25MHill@franklincountyschools.org"</f>
        <v>25MHill@franklincountyschools.org</v>
      </c>
      <c r="E341" t="str">
        <f>"08"</f>
        <v>08</v>
      </c>
    </row>
    <row r="342" spans="1:5" x14ac:dyDescent="0.25">
      <c r="A342">
        <f>1920000998</f>
        <v>1920000998</v>
      </c>
      <c r="B342" t="str">
        <f>"Hill"</f>
        <v>Hill</v>
      </c>
      <c r="C342" t="str">
        <f>"Sarah"</f>
        <v>Sarah</v>
      </c>
      <c r="D342" t="str">
        <f>"29SHill@franklincountyschools.org"</f>
        <v>29SHill@franklincountyschools.org</v>
      </c>
      <c r="E342" t="str">
        <f>"04"</f>
        <v>04</v>
      </c>
    </row>
    <row r="343" spans="1:5" x14ac:dyDescent="0.25">
      <c r="A343">
        <f>1920000796</f>
        <v>1920000796</v>
      </c>
      <c r="B343" t="str">
        <f>"Hippensteal"</f>
        <v>Hippensteal</v>
      </c>
      <c r="C343" t="str">
        <f>"Aileen"</f>
        <v>Aileen</v>
      </c>
      <c r="D343" t="str">
        <f>"28AHippensteal@franklincountyschools.org"</f>
        <v>28AHippensteal@franklincountyschools.org</v>
      </c>
      <c r="E343" t="str">
        <f>"05"</f>
        <v>05</v>
      </c>
    </row>
    <row r="344" spans="1:5" x14ac:dyDescent="0.25">
      <c r="A344">
        <f>1911003104</f>
        <v>1911003104</v>
      </c>
      <c r="B344" t="str">
        <f>"Hippensteal"</f>
        <v>Hippensteal</v>
      </c>
      <c r="C344" t="str">
        <f>"Janalyn"</f>
        <v>Janalyn</v>
      </c>
      <c r="D344" t="str">
        <f>"24JHippensteal@franklincountyschools.org"</f>
        <v>24JHippensteal@franklincountyschools.org</v>
      </c>
      <c r="E344" t="str">
        <f>"09"</f>
        <v>09</v>
      </c>
    </row>
    <row r="345" spans="1:5" x14ac:dyDescent="0.25">
      <c r="A345">
        <f>1920001310</f>
        <v>1920001310</v>
      </c>
      <c r="B345" t="str">
        <f>"Hollenbeck"</f>
        <v>Hollenbeck</v>
      </c>
      <c r="C345" t="str">
        <f>"Paisley"</f>
        <v>Paisley</v>
      </c>
      <c r="D345" t="str">
        <f>"32phollenbeck@franklincountyschools.org"</f>
        <v>32phollenbeck@franklincountyschools.org</v>
      </c>
      <c r="E345" t="str">
        <f>"01"</f>
        <v>01</v>
      </c>
    </row>
    <row r="346" spans="1:5" x14ac:dyDescent="0.25">
      <c r="A346">
        <f>1920000309</f>
        <v>1920000309</v>
      </c>
      <c r="B346" t="str">
        <f>"Hollenbeck"</f>
        <v>Hollenbeck</v>
      </c>
      <c r="C346" t="str">
        <f>"Ryleigh"</f>
        <v>Ryleigh</v>
      </c>
      <c r="D346" t="str">
        <f>"27RHollenbeck@franklincountyschools.org"</f>
        <v>27RHollenbeck@franklincountyschools.org</v>
      </c>
      <c r="E346" t="str">
        <f>"05"</f>
        <v>05</v>
      </c>
    </row>
    <row r="347" spans="1:5" x14ac:dyDescent="0.25">
      <c r="A347">
        <f>1920000844</f>
        <v>1920000844</v>
      </c>
      <c r="B347" t="str">
        <f>"Hollenbeck"</f>
        <v>Hollenbeck</v>
      </c>
      <c r="C347" t="str">
        <f>"Weston"</f>
        <v>Weston</v>
      </c>
      <c r="D347" t="str">
        <f>"29WHollenbeck@franklincountyschools.org"</f>
        <v>29WHollenbeck@franklincountyschools.org</v>
      </c>
      <c r="E347" t="str">
        <f>"04"</f>
        <v>04</v>
      </c>
    </row>
    <row r="348" spans="1:5" x14ac:dyDescent="0.25">
      <c r="A348">
        <f>1907002058</f>
        <v>1907002058</v>
      </c>
      <c r="B348" t="str">
        <f>"Huckeba"</f>
        <v>Huckeba</v>
      </c>
      <c r="C348" t="str">
        <f>"Brycin"</f>
        <v>Brycin</v>
      </c>
      <c r="D348" t="str">
        <f>"21bhuckeba@franklincountyschools.org"</f>
        <v>21bhuckeba@franklincountyschools.org</v>
      </c>
      <c r="E348">
        <f>12</f>
        <v>12</v>
      </c>
    </row>
    <row r="349" spans="1:5" x14ac:dyDescent="0.25">
      <c r="A349">
        <f>1920000599</f>
        <v>1920000599</v>
      </c>
      <c r="B349" t="str">
        <f>"Hudgins"</f>
        <v>Hudgins</v>
      </c>
      <c r="C349" t="str">
        <f>"Abigail"</f>
        <v>Abigail</v>
      </c>
      <c r="D349" t="str">
        <f>"27AHudgins@franklincountyschools.org"</f>
        <v>27AHudgins@franklincountyschools.org</v>
      </c>
      <c r="E349" t="str">
        <f>"06"</f>
        <v>06</v>
      </c>
    </row>
    <row r="350" spans="1:5" x14ac:dyDescent="0.25">
      <c r="A350">
        <f>1920000993</f>
        <v>1920000993</v>
      </c>
      <c r="B350" t="str">
        <f>"Hudgins"</f>
        <v>Hudgins</v>
      </c>
      <c r="C350" t="str">
        <f>"Alianna"</f>
        <v>Alianna</v>
      </c>
      <c r="D350" t="str">
        <f>"30AHudgins@franklincountyschools.org"</f>
        <v>30AHudgins@franklincountyschools.org</v>
      </c>
      <c r="E350" t="str">
        <f>"03"</f>
        <v>03</v>
      </c>
    </row>
    <row r="351" spans="1:5" x14ac:dyDescent="0.25">
      <c r="A351">
        <f>1920000310</f>
        <v>1920000310</v>
      </c>
      <c r="B351" t="str">
        <f>"Hutchins"</f>
        <v>Hutchins</v>
      </c>
      <c r="C351" t="str">
        <f>"Ryan"</f>
        <v>Ryan</v>
      </c>
      <c r="D351" t="str">
        <f>"27RHutchins@franklincountyschools.org"</f>
        <v>27RHutchins@franklincountyschools.org</v>
      </c>
      <c r="E351" t="str">
        <f>"06"</f>
        <v>06</v>
      </c>
    </row>
    <row r="352" spans="1:5" x14ac:dyDescent="0.25">
      <c r="A352">
        <f>1920001684</f>
        <v>1920001684</v>
      </c>
      <c r="B352" t="str">
        <f>"Hutchinson"</f>
        <v>Hutchinson</v>
      </c>
      <c r="C352" t="str">
        <f>"Ayvin"</f>
        <v>Ayvin</v>
      </c>
      <c r="D352" t="str">
        <f>"33ahutchinson@franklincountyschools.org"</f>
        <v>33ahutchinson@franklincountyschools.org</v>
      </c>
      <c r="E352" t="str">
        <f>"KG"</f>
        <v>KG</v>
      </c>
    </row>
    <row r="353" spans="1:5" x14ac:dyDescent="0.25">
      <c r="A353">
        <f>1920000822</f>
        <v>1920000822</v>
      </c>
      <c r="B353" t="str">
        <f>"Hutchinson"</f>
        <v>Hutchinson</v>
      </c>
      <c r="C353" t="str">
        <f>"Noah"</f>
        <v>Noah</v>
      </c>
      <c r="D353" t="str">
        <f>"29NHutchinson@franklincountyschools.org"</f>
        <v>29NHutchinson@franklincountyschools.org</v>
      </c>
      <c r="E353" t="str">
        <f>"04"</f>
        <v>04</v>
      </c>
    </row>
    <row r="354" spans="1:5" x14ac:dyDescent="0.25">
      <c r="A354">
        <f>1920001694</f>
        <v>1920001694</v>
      </c>
      <c r="B354" t="str">
        <f>"Inmon"</f>
        <v>Inmon</v>
      </c>
      <c r="C354" t="str">
        <f>"Maxx"</f>
        <v>Maxx</v>
      </c>
      <c r="D354" t="str">
        <f>"28MInmon@franklincountyschools.org"</f>
        <v>28MInmon@franklincountyschools.org</v>
      </c>
      <c r="E354" t="str">
        <f>"05"</f>
        <v>05</v>
      </c>
    </row>
    <row r="355" spans="1:5" x14ac:dyDescent="0.25">
      <c r="A355">
        <f>1920001026</f>
        <v>1920001026</v>
      </c>
      <c r="B355" t="str">
        <f>"Irvin"</f>
        <v>Irvin</v>
      </c>
      <c r="C355" t="str">
        <f>"Julius"</f>
        <v>Julius</v>
      </c>
      <c r="D355" t="str">
        <f>"31jirvin@franklincountyschools.org"</f>
        <v>31jirvin@franklincountyschools.org</v>
      </c>
      <c r="E355" t="str">
        <f>"01"</f>
        <v>01</v>
      </c>
    </row>
    <row r="356" spans="1:5" x14ac:dyDescent="0.25">
      <c r="A356">
        <f>1920001998</f>
        <v>1920001998</v>
      </c>
      <c r="B356" t="str">
        <f>"Irvin"</f>
        <v>Irvin</v>
      </c>
      <c r="C356" t="str">
        <f>"Naevia"</f>
        <v>Naevia</v>
      </c>
      <c r="D356" t="str">
        <f>"33nirvin@franklincountyschools.org"</f>
        <v>33nirvin@franklincountyschools.org</v>
      </c>
      <c r="E356" t="str">
        <f>"KG"</f>
        <v>KG</v>
      </c>
    </row>
    <row r="357" spans="1:5" x14ac:dyDescent="0.25">
      <c r="A357">
        <f>1920000524</f>
        <v>1920000524</v>
      </c>
      <c r="B357" t="str">
        <f>"Jackson"</f>
        <v>Jackson</v>
      </c>
      <c r="C357" t="str">
        <f>"Courtney"</f>
        <v>Courtney</v>
      </c>
      <c r="D357" t="str">
        <f>"24CJackson@franklincountyschools.org"</f>
        <v>24CJackson@franklincountyschools.org</v>
      </c>
      <c r="E357" t="str">
        <f>"09"</f>
        <v>09</v>
      </c>
    </row>
    <row r="358" spans="1:5" x14ac:dyDescent="0.25">
      <c r="A358">
        <f>1911003296</f>
        <v>1911003296</v>
      </c>
      <c r="B358" t="str">
        <f>"Jackson"</f>
        <v>Jackson</v>
      </c>
      <c r="C358" t="str">
        <f>"Jerzy"</f>
        <v>Jerzy</v>
      </c>
      <c r="D358" t="str">
        <f>"25JJackson@franklincountyschools.org"</f>
        <v>25JJackson@franklincountyschools.org</v>
      </c>
      <c r="E358" t="str">
        <f>"08"</f>
        <v>08</v>
      </c>
    </row>
    <row r="359" spans="1:5" x14ac:dyDescent="0.25">
      <c r="A359">
        <f>1920000525</f>
        <v>1920000525</v>
      </c>
      <c r="B359" t="str">
        <f>"Jackson"</f>
        <v>Jackson</v>
      </c>
      <c r="C359" t="str">
        <f>"Tyra"</f>
        <v>Tyra</v>
      </c>
      <c r="D359" t="str">
        <f>"22TJackson@franklincountyschools.org"</f>
        <v>22TJackson@franklincountyschools.org</v>
      </c>
      <c r="E359">
        <f>11</f>
        <v>11</v>
      </c>
    </row>
    <row r="360" spans="1:5" x14ac:dyDescent="0.25">
      <c r="A360">
        <f>1920000366</f>
        <v>1920000366</v>
      </c>
      <c r="B360" t="str">
        <f>"James"</f>
        <v>James</v>
      </c>
      <c r="C360" t="str">
        <f>"Ahlivia"</f>
        <v>Ahlivia</v>
      </c>
      <c r="D360" t="str">
        <f>"27AJames@franklincountyschools.org"</f>
        <v>27AJames@franklincountyschools.org</v>
      </c>
      <c r="E360" t="str">
        <f>"06"</f>
        <v>06</v>
      </c>
    </row>
    <row r="361" spans="1:5" x14ac:dyDescent="0.25">
      <c r="A361">
        <f>1911003048</f>
        <v>1911003048</v>
      </c>
      <c r="B361" t="str">
        <f>"James"</f>
        <v>James</v>
      </c>
      <c r="C361" t="str">
        <f>"Sheldon"</f>
        <v>Sheldon</v>
      </c>
      <c r="D361" t="str">
        <f>"25SJames@franklincountyschools.org"</f>
        <v>25SJames@franklincountyschools.org</v>
      </c>
      <c r="E361" t="str">
        <f>"08"</f>
        <v>08</v>
      </c>
    </row>
    <row r="362" spans="1:5" x14ac:dyDescent="0.25">
      <c r="A362">
        <f>1920001263</f>
        <v>1920001263</v>
      </c>
      <c r="B362" t="str">
        <f>"James-Smith"</f>
        <v>James-Smith</v>
      </c>
      <c r="C362" t="str">
        <f>"Recardo"</f>
        <v>Recardo</v>
      </c>
      <c r="D362" t="str">
        <f>"31rsmith@franklincountyschools.org"</f>
        <v>31rsmith@franklincountyschools.org</v>
      </c>
      <c r="E362" t="str">
        <f>"02"</f>
        <v>02</v>
      </c>
    </row>
    <row r="363" spans="1:5" x14ac:dyDescent="0.25">
      <c r="A363">
        <f>1920001726</f>
        <v>1920001726</v>
      </c>
      <c r="B363" t="str">
        <f>"Jimenez"</f>
        <v>Jimenez</v>
      </c>
      <c r="C363" t="str">
        <f>"Mia"</f>
        <v>Mia</v>
      </c>
      <c r="D363" t="str">
        <f>"33mjimenez@franklincountyschools.org"</f>
        <v>33mjimenez@franklincountyschools.org</v>
      </c>
      <c r="E363" t="str">
        <f>"KG"</f>
        <v>KG</v>
      </c>
    </row>
    <row r="364" spans="1:5" x14ac:dyDescent="0.25">
      <c r="A364">
        <f>1909002534</f>
        <v>1909002534</v>
      </c>
      <c r="B364" t="str">
        <f>"Johnson"</f>
        <v>Johnson</v>
      </c>
      <c r="C364" t="str">
        <f>"Abigail"</f>
        <v>Abigail</v>
      </c>
      <c r="D364" t="str">
        <f>"21AJohnson@franklincountyschools.org"</f>
        <v>21AJohnson@franklincountyschools.org</v>
      </c>
      <c r="E364">
        <f>12</f>
        <v>12</v>
      </c>
    </row>
    <row r="365" spans="1:5" x14ac:dyDescent="0.25">
      <c r="A365">
        <f>1920001007</f>
        <v>1920001007</v>
      </c>
      <c r="B365" t="str">
        <f>"Johnson"</f>
        <v>Johnson</v>
      </c>
      <c r="C365" t="str">
        <f>"Abrianna"</f>
        <v>Abrianna</v>
      </c>
      <c r="D365" t="str">
        <f>"30AJohnson@franklincountyschools.org"</f>
        <v>30AJohnson@franklincountyschools.org</v>
      </c>
      <c r="E365" t="str">
        <f>"03"</f>
        <v>03</v>
      </c>
    </row>
    <row r="366" spans="1:5" x14ac:dyDescent="0.25">
      <c r="A366">
        <f>1920000359</f>
        <v>1920000359</v>
      </c>
      <c r="B366" t="str">
        <f>"Johnson"</f>
        <v>Johnson</v>
      </c>
      <c r="C366" t="str">
        <f>"Blair"</f>
        <v>Blair</v>
      </c>
      <c r="D366" t="str">
        <f>"26BJohnson@franklincountyschools.org"</f>
        <v>26BJohnson@franklincountyschools.org</v>
      </c>
      <c r="E366" t="str">
        <f>"07"</f>
        <v>07</v>
      </c>
    </row>
    <row r="367" spans="1:5" x14ac:dyDescent="0.25">
      <c r="A367">
        <f>1920000312</f>
        <v>1920000312</v>
      </c>
      <c r="B367" t="str">
        <f>"Johnson"</f>
        <v>Johnson</v>
      </c>
      <c r="C367" t="str">
        <f>"Haven"</f>
        <v>Haven</v>
      </c>
      <c r="D367" t="str">
        <f>"28HJohnson@franklincountyschools.org"</f>
        <v>28HJohnson@franklincountyschools.org</v>
      </c>
      <c r="E367" t="str">
        <f>"05"</f>
        <v>05</v>
      </c>
    </row>
    <row r="368" spans="1:5" x14ac:dyDescent="0.25">
      <c r="A368">
        <f>1920001676</f>
        <v>1920001676</v>
      </c>
      <c r="B368" t="str">
        <f>"Johnson"</f>
        <v>Johnson</v>
      </c>
      <c r="C368" t="str">
        <f>"Skylar"</f>
        <v>Skylar</v>
      </c>
      <c r="D368" t="str">
        <f>"23SJohnson@franklincountyschools.org"</f>
        <v>23SJohnson@franklincountyschools.org</v>
      </c>
      <c r="E368">
        <f>10</f>
        <v>10</v>
      </c>
    </row>
    <row r="369" spans="1:5" x14ac:dyDescent="0.25">
      <c r="A369">
        <f>1920001669</f>
        <v>1920001669</v>
      </c>
      <c r="B369" t="str">
        <f t="shared" ref="B369:B377" si="6">"Jones"</f>
        <v>Jones</v>
      </c>
      <c r="C369" t="str">
        <f>"Ayden"</f>
        <v>Ayden</v>
      </c>
      <c r="D369" t="str">
        <f>"33ajones@franklincountyschools.org"</f>
        <v>33ajones@franklincountyschools.org</v>
      </c>
      <c r="E369" t="str">
        <f>"KG"</f>
        <v>KG</v>
      </c>
    </row>
    <row r="370" spans="1:5" x14ac:dyDescent="0.25">
      <c r="A370">
        <f>1909002596</f>
        <v>1909002596</v>
      </c>
      <c r="B370" t="str">
        <f t="shared" si="6"/>
        <v>Jones</v>
      </c>
      <c r="C370" t="str">
        <f>"Genesis"</f>
        <v>Genesis</v>
      </c>
      <c r="D370" t="str">
        <f>"22GJones@franklincountyschools.org"</f>
        <v>22GJones@franklincountyschools.org</v>
      </c>
      <c r="E370">
        <f>11</f>
        <v>11</v>
      </c>
    </row>
    <row r="371" spans="1:5" x14ac:dyDescent="0.25">
      <c r="A371">
        <f>1920001737</f>
        <v>1920001737</v>
      </c>
      <c r="B371" t="str">
        <f t="shared" si="6"/>
        <v>Jones</v>
      </c>
      <c r="C371" t="str">
        <f>"Jayden"</f>
        <v>Jayden</v>
      </c>
      <c r="D371" t="str">
        <f>"33jjones@franklincountyschools.org"</f>
        <v>33jjones@franklincountyschools.org</v>
      </c>
      <c r="E371" t="str">
        <f>"KG"</f>
        <v>KG</v>
      </c>
    </row>
    <row r="372" spans="1:5" x14ac:dyDescent="0.25">
      <c r="A372">
        <f>1920000152</f>
        <v>1920000152</v>
      </c>
      <c r="B372" t="str">
        <f t="shared" si="6"/>
        <v>Jones</v>
      </c>
      <c r="C372" t="str">
        <f>"Robyn"</f>
        <v>Robyn</v>
      </c>
      <c r="D372" t="str">
        <f>"26RJones@franklincountyschools.org"</f>
        <v>26RJones@franklincountyschools.org</v>
      </c>
      <c r="E372" t="str">
        <f>"07"</f>
        <v>07</v>
      </c>
    </row>
    <row r="373" spans="1:5" x14ac:dyDescent="0.25">
      <c r="A373">
        <f>1910002761</f>
        <v>1910002761</v>
      </c>
      <c r="B373" t="str">
        <f t="shared" si="6"/>
        <v>Jones</v>
      </c>
      <c r="C373" t="str">
        <f>"Tariah"</f>
        <v>Tariah</v>
      </c>
      <c r="D373" t="str">
        <f>"23tariahjones@franklincountyschools.org"</f>
        <v>23tariahjones@franklincountyschools.org</v>
      </c>
      <c r="E373">
        <f>10</f>
        <v>10</v>
      </c>
    </row>
    <row r="374" spans="1:5" x14ac:dyDescent="0.25">
      <c r="A374">
        <f>1910002762</f>
        <v>1910002762</v>
      </c>
      <c r="B374" t="str">
        <f t="shared" si="6"/>
        <v>Jones</v>
      </c>
      <c r="C374" t="str">
        <f>"Ta'shawn"</f>
        <v>Ta'shawn</v>
      </c>
      <c r="D374" t="str">
        <f>"23tashawnjones@franklincountyschools.org"</f>
        <v>23tashawnjones@franklincountyschools.org</v>
      </c>
      <c r="E374">
        <f>10</f>
        <v>10</v>
      </c>
    </row>
    <row r="375" spans="1:5" x14ac:dyDescent="0.25">
      <c r="A375">
        <f>1920001671</f>
        <v>1920001671</v>
      </c>
      <c r="B375" t="str">
        <f t="shared" si="6"/>
        <v>Jones</v>
      </c>
      <c r="C375" t="str">
        <f>"Tevin"</f>
        <v>Tevin</v>
      </c>
      <c r="D375" t="str">
        <f>"32tjones@franklincountyschools.org"</f>
        <v>32tjones@franklincountyschools.org</v>
      </c>
      <c r="E375" t="str">
        <f>"01"</f>
        <v>01</v>
      </c>
    </row>
    <row r="376" spans="1:5" x14ac:dyDescent="0.25">
      <c r="A376">
        <f>1908002428</f>
        <v>1908002428</v>
      </c>
      <c r="B376" t="str">
        <f t="shared" si="6"/>
        <v>Jones</v>
      </c>
      <c r="C376" t="str">
        <f>"Trederrion"</f>
        <v>Trederrion</v>
      </c>
      <c r="D376" t="str">
        <f>"21TJones@franklincountyschools.org"</f>
        <v>21TJones@franklincountyschools.org</v>
      </c>
      <c r="E376">
        <f>12</f>
        <v>12</v>
      </c>
    </row>
    <row r="377" spans="1:5" x14ac:dyDescent="0.25">
      <c r="A377">
        <f>1920000362</f>
        <v>1920000362</v>
      </c>
      <c r="B377" t="str">
        <f t="shared" si="6"/>
        <v>Jones</v>
      </c>
      <c r="C377" t="str">
        <f>"William"</f>
        <v>William</v>
      </c>
      <c r="D377" t="str">
        <f>"27WJones@franklincountyschools.org"</f>
        <v>27WJones@franklincountyschools.org</v>
      </c>
      <c r="E377" t="str">
        <f>"06"</f>
        <v>06</v>
      </c>
    </row>
    <row r="378" spans="1:5" x14ac:dyDescent="0.25">
      <c r="A378">
        <f>1920001670</f>
        <v>1920001670</v>
      </c>
      <c r="B378" t="str">
        <f>"Joseph"</f>
        <v>Joseph</v>
      </c>
      <c r="C378" t="str">
        <f>"Kaylee"</f>
        <v>Kaylee</v>
      </c>
      <c r="D378" t="str">
        <f>"32kjoseph@franklincountyschools.org"</f>
        <v>32kjoseph@franklincountyschools.org</v>
      </c>
      <c r="E378" t="str">
        <f>"01"</f>
        <v>01</v>
      </c>
    </row>
    <row r="379" spans="1:5" x14ac:dyDescent="0.25">
      <c r="A379">
        <f>1920001353</f>
        <v>1920001353</v>
      </c>
      <c r="B379" t="str">
        <f>"Joyner"</f>
        <v>Joyner</v>
      </c>
      <c r="C379" t="str">
        <f>"Jeremiah"</f>
        <v>Jeremiah</v>
      </c>
      <c r="D379" t="str">
        <f>"32jjoyner@franklincountyschools.org"</f>
        <v>32jjoyner@franklincountyschools.org</v>
      </c>
      <c r="E379" t="str">
        <f>"01"</f>
        <v>01</v>
      </c>
    </row>
    <row r="380" spans="1:5" x14ac:dyDescent="0.25">
      <c r="A380">
        <f>1911003107</f>
        <v>1911003107</v>
      </c>
      <c r="B380" t="str">
        <f>"Juan"</f>
        <v>Juan</v>
      </c>
      <c r="C380" t="str">
        <f>"Esteban"</f>
        <v>Esteban</v>
      </c>
      <c r="D380" t="str">
        <f>"25EJuan@franklincountyschools.org"</f>
        <v>25EJuan@franklincountyschools.org</v>
      </c>
      <c r="E380" t="str">
        <f>"07"</f>
        <v>07</v>
      </c>
    </row>
    <row r="381" spans="1:5" x14ac:dyDescent="0.25">
      <c r="A381">
        <f>1910002927</f>
        <v>1910002927</v>
      </c>
      <c r="B381" t="str">
        <f>"Juan"</f>
        <v>Juan</v>
      </c>
      <c r="C381" t="str">
        <f>"Francisco"</f>
        <v>Francisco</v>
      </c>
      <c r="D381" t="str">
        <f>"21FJuan@franklincountyschools.org"</f>
        <v>21FJuan@franklincountyschools.org</v>
      </c>
      <c r="E381">
        <f>12</f>
        <v>12</v>
      </c>
    </row>
    <row r="382" spans="1:5" x14ac:dyDescent="0.25">
      <c r="A382">
        <f>1912003332</f>
        <v>1912003332</v>
      </c>
      <c r="B382" t="str">
        <f>"Juno"</f>
        <v>Juno</v>
      </c>
      <c r="C382" t="str">
        <f>"Reece"</f>
        <v>Reece</v>
      </c>
      <c r="D382" t="str">
        <f>"24rjuno@franklincountyschools.org"</f>
        <v>24rjuno@franklincountyschools.org</v>
      </c>
      <c r="E382" t="str">
        <f>"09"</f>
        <v>09</v>
      </c>
    </row>
    <row r="383" spans="1:5" x14ac:dyDescent="0.25">
      <c r="A383">
        <f>1920001927</f>
        <v>1920001927</v>
      </c>
      <c r="B383" t="str">
        <f>"Keith"</f>
        <v>Keith</v>
      </c>
      <c r="C383" t="str">
        <f>"Hannah"</f>
        <v>Hannah</v>
      </c>
      <c r="D383" t="str">
        <f>"34hkeith@franklincountyschools.org"</f>
        <v>34hkeith@franklincountyschools.org</v>
      </c>
      <c r="E383" t="str">
        <f>"PK"</f>
        <v>PK</v>
      </c>
    </row>
    <row r="384" spans="1:5" x14ac:dyDescent="0.25">
      <c r="A384">
        <f>1920001691</f>
        <v>1920001691</v>
      </c>
      <c r="B384" t="str">
        <f>"Keith"</f>
        <v>Keith</v>
      </c>
      <c r="C384" t="str">
        <f>"Jordan"</f>
        <v>Jordan</v>
      </c>
      <c r="D384" t="str">
        <f>"33jkeith@franklincountyschools.org"</f>
        <v>33jkeith@franklincountyschools.org</v>
      </c>
      <c r="E384" t="str">
        <f>"KG"</f>
        <v>KG</v>
      </c>
    </row>
    <row r="385" spans="1:5" x14ac:dyDescent="0.25">
      <c r="A385">
        <f>1911003114</f>
        <v>1911003114</v>
      </c>
      <c r="B385" t="str">
        <f>"Keith"</f>
        <v>Keith</v>
      </c>
      <c r="C385" t="str">
        <f>"Karlee"</f>
        <v>Karlee</v>
      </c>
      <c r="D385" t="str">
        <f>"23KKeith@franklincountyschools.org"</f>
        <v>23KKeith@franklincountyschools.org</v>
      </c>
      <c r="E385">
        <f>10</f>
        <v>10</v>
      </c>
    </row>
    <row r="386" spans="1:5" x14ac:dyDescent="0.25">
      <c r="A386">
        <f>1920001656</f>
        <v>1920001656</v>
      </c>
      <c r="B386" t="str">
        <f>"Keith III"</f>
        <v>Keith III</v>
      </c>
      <c r="C386" t="str">
        <f>"James "</f>
        <v xml:space="preserve">James </v>
      </c>
      <c r="D386" t="str">
        <f>"32jkeith@franklincountyschools.org"</f>
        <v>32jkeith@franklincountyschools.org</v>
      </c>
      <c r="E386" t="str">
        <f>"KG"</f>
        <v>KG</v>
      </c>
    </row>
    <row r="387" spans="1:5" x14ac:dyDescent="0.25">
      <c r="A387">
        <f>1908002380</f>
        <v>1908002380</v>
      </c>
      <c r="B387" t="str">
        <f>"Kelley"</f>
        <v>Kelley</v>
      </c>
      <c r="C387" t="str">
        <f>"Marci"</f>
        <v>Marci</v>
      </c>
      <c r="D387" t="str">
        <f>"21MKelley@franklincountyschools.org"</f>
        <v>21MKelley@franklincountyschools.org</v>
      </c>
      <c r="E387">
        <f>12</f>
        <v>12</v>
      </c>
    </row>
    <row r="388" spans="1:5" x14ac:dyDescent="0.25">
      <c r="A388">
        <f>1920001330</f>
        <v>1920001330</v>
      </c>
      <c r="B388" t="str">
        <f>"Kelly"</f>
        <v>Kelly</v>
      </c>
      <c r="C388" t="str">
        <f>"Gabriel"</f>
        <v>Gabriel</v>
      </c>
      <c r="D388" t="str">
        <f>"28gkelly@franklincountyschools.org"</f>
        <v>28gkelly@franklincountyschools.org</v>
      </c>
      <c r="E388" t="str">
        <f>"05"</f>
        <v>05</v>
      </c>
    </row>
    <row r="389" spans="1:5" x14ac:dyDescent="0.25">
      <c r="A389">
        <f>1920001463</f>
        <v>1920001463</v>
      </c>
      <c r="B389" t="str">
        <f>"Kelly"</f>
        <v>Kelly</v>
      </c>
      <c r="C389" t="str">
        <f>"James"</f>
        <v>James</v>
      </c>
      <c r="D389" t="str">
        <f>"32jkelley@franklincountyschools.org"</f>
        <v>32jkelley@franklincountyschools.org</v>
      </c>
      <c r="E389" t="str">
        <f>"01"</f>
        <v>01</v>
      </c>
    </row>
    <row r="390" spans="1:5" x14ac:dyDescent="0.25">
      <c r="A390">
        <f>1920001329</f>
        <v>1920001329</v>
      </c>
      <c r="B390" t="str">
        <f>"Kelly"</f>
        <v>Kelly</v>
      </c>
      <c r="C390" t="str">
        <f>"Sierra"</f>
        <v>Sierra</v>
      </c>
      <c r="D390" t="str">
        <f>"27SKelly@franklincountyschools.org"</f>
        <v>27SKelly@franklincountyschools.org</v>
      </c>
      <c r="E390" t="str">
        <f>"06"</f>
        <v>06</v>
      </c>
    </row>
    <row r="391" spans="1:5" x14ac:dyDescent="0.25">
      <c r="A391">
        <f>1920001641</f>
        <v>1920001641</v>
      </c>
      <c r="B391" t="str">
        <f>"Kembro"</f>
        <v>Kembro</v>
      </c>
      <c r="C391" t="str">
        <f>"Carter"</f>
        <v>Carter</v>
      </c>
      <c r="D391" t="str">
        <f>"22CKembro@franklincountyschools.org"</f>
        <v>22CKembro@franklincountyschools.org</v>
      </c>
      <c r="E391">
        <f>11</f>
        <v>11</v>
      </c>
    </row>
    <row r="392" spans="1:5" x14ac:dyDescent="0.25">
      <c r="A392">
        <f>1920001645</f>
        <v>1920001645</v>
      </c>
      <c r="B392" t="str">
        <f>"Kembro"</f>
        <v>Kembro</v>
      </c>
      <c r="C392" t="str">
        <f>"Ethan"</f>
        <v>Ethan</v>
      </c>
      <c r="D392" t="str">
        <f>"24EKembro@franklincountyschools.org"</f>
        <v>24EKembro@franklincountyschools.org</v>
      </c>
      <c r="E392" t="str">
        <f>"09"</f>
        <v>09</v>
      </c>
    </row>
    <row r="393" spans="1:5" x14ac:dyDescent="0.25">
      <c r="A393">
        <f>1910002814</f>
        <v>1910002814</v>
      </c>
      <c r="B393" t="str">
        <f>"Kent"</f>
        <v>Kent</v>
      </c>
      <c r="C393" t="str">
        <f>"Laithan"</f>
        <v>Laithan</v>
      </c>
      <c r="D393" t="str">
        <f>"23lkent@franklincountyschools.org"</f>
        <v>23lkent@franklincountyschools.org</v>
      </c>
      <c r="E393" t="str">
        <f>"09"</f>
        <v>09</v>
      </c>
    </row>
    <row r="394" spans="1:5" x14ac:dyDescent="0.25">
      <c r="A394">
        <f>1909002600</f>
        <v>1909002600</v>
      </c>
      <c r="B394" t="str">
        <f>"Kilpatrick"</f>
        <v>Kilpatrick</v>
      </c>
      <c r="C394" t="str">
        <f>"Joseph"</f>
        <v>Joseph</v>
      </c>
      <c r="D394" t="str">
        <f>"22josephkilpatrick@franklincountyschools.org"</f>
        <v>22josephkilpatrick@franklincountyschools.org</v>
      </c>
      <c r="E394">
        <f>10</f>
        <v>10</v>
      </c>
    </row>
    <row r="395" spans="1:5" x14ac:dyDescent="0.25">
      <c r="A395">
        <f>1910003014</f>
        <v>1910003014</v>
      </c>
      <c r="B395" t="str">
        <f>"Kilpatrick"</f>
        <v>Kilpatrick</v>
      </c>
      <c r="C395" t="str">
        <f>"Kristian"</f>
        <v>Kristian</v>
      </c>
      <c r="D395" t="str">
        <f>"24KKilpatrick@franklincountyschools.org"</f>
        <v>24KKilpatrick@franklincountyschools.org</v>
      </c>
      <c r="E395" t="str">
        <f>"09"</f>
        <v>09</v>
      </c>
    </row>
    <row r="396" spans="1:5" x14ac:dyDescent="0.25">
      <c r="A396">
        <f>1920002061</f>
        <v>1920002061</v>
      </c>
      <c r="B396" t="str">
        <f>"Kim"</f>
        <v>Kim</v>
      </c>
      <c r="C396" t="str">
        <f>"Maisie"</f>
        <v>Maisie</v>
      </c>
      <c r="D396" t="str">
        <f>"26mkim@franklincountyschools.org"</f>
        <v>26mkim@franklincountyschools.org</v>
      </c>
      <c r="E396" t="str">
        <f>"06"</f>
        <v>06</v>
      </c>
    </row>
    <row r="397" spans="1:5" x14ac:dyDescent="0.25">
      <c r="A397">
        <f>1920001262</f>
        <v>1920001262</v>
      </c>
      <c r="B397" t="str">
        <f>"King"</f>
        <v>King</v>
      </c>
      <c r="C397" t="str">
        <f>"Kelsey"</f>
        <v>Kelsey</v>
      </c>
      <c r="D397" t="str">
        <f>"31kking@franklincountyschools.org"</f>
        <v>31kking@franklincountyschools.org</v>
      </c>
      <c r="E397" t="str">
        <f>"02"</f>
        <v>02</v>
      </c>
    </row>
    <row r="398" spans="1:5" x14ac:dyDescent="0.25">
      <c r="A398">
        <f>1920000963</f>
        <v>1920000963</v>
      </c>
      <c r="B398" t="str">
        <f>"King"</f>
        <v>King</v>
      </c>
      <c r="C398" t="str">
        <f>"Miles"</f>
        <v>Miles</v>
      </c>
      <c r="D398" t="str">
        <f>"30MKing@franklincountyschools.org"</f>
        <v>30MKing@franklincountyschools.org</v>
      </c>
      <c r="E398" t="str">
        <f>"03"</f>
        <v>03</v>
      </c>
    </row>
    <row r="399" spans="1:5" x14ac:dyDescent="0.25">
      <c r="A399">
        <f>1920001021</f>
        <v>1920001021</v>
      </c>
      <c r="B399" t="str">
        <f>"Klink"</f>
        <v>Klink</v>
      </c>
      <c r="C399" t="str">
        <f>"Ian"</f>
        <v>Ian</v>
      </c>
      <c r="D399" t="str">
        <f>"31iklink@franklincountyschools.org"</f>
        <v>31iklink@franklincountyschools.org</v>
      </c>
      <c r="E399" t="str">
        <f>"02"</f>
        <v>02</v>
      </c>
    </row>
    <row r="400" spans="1:5" x14ac:dyDescent="0.25">
      <c r="A400">
        <f>1909002679</f>
        <v>1909002679</v>
      </c>
      <c r="B400" t="str">
        <f>"Kuhner"</f>
        <v>Kuhner</v>
      </c>
      <c r="C400" t="str">
        <f>"Andrew"</f>
        <v>Andrew</v>
      </c>
      <c r="D400" t="str">
        <f>"22AKuhner@franklincountyschools.org"</f>
        <v>22AKuhner@franklincountyschools.org</v>
      </c>
      <c r="E400">
        <f>10</f>
        <v>10</v>
      </c>
    </row>
    <row r="401" spans="1:5" x14ac:dyDescent="0.25">
      <c r="A401">
        <f>1908002344</f>
        <v>1908002344</v>
      </c>
      <c r="B401" t="str">
        <f>"Kuhner"</f>
        <v>Kuhner</v>
      </c>
      <c r="C401" t="str">
        <f>"Cailin"</f>
        <v>Cailin</v>
      </c>
      <c r="D401" t="str">
        <f>"21CKuhner@franklincountyschools.org"</f>
        <v>21CKuhner@franklincountyschools.org</v>
      </c>
      <c r="E401">
        <f>12</f>
        <v>12</v>
      </c>
    </row>
    <row r="402" spans="1:5" x14ac:dyDescent="0.25">
      <c r="A402">
        <f>1920002071</f>
        <v>1920002071</v>
      </c>
      <c r="B402" t="str">
        <f>"Lamb"</f>
        <v>Lamb</v>
      </c>
      <c r="C402" t="str">
        <f>"Autumn"</f>
        <v>Autumn</v>
      </c>
      <c r="D402" t="str">
        <f>"30alamb@franklincountyschools.org"</f>
        <v>30alamb@franklincountyschools.org</v>
      </c>
      <c r="E402" t="str">
        <f>"03"</f>
        <v>03</v>
      </c>
    </row>
    <row r="403" spans="1:5" x14ac:dyDescent="0.25">
      <c r="A403">
        <f>1920000330</f>
        <v>1920000330</v>
      </c>
      <c r="B403" t="str">
        <f>"Lamberson"</f>
        <v>Lamberson</v>
      </c>
      <c r="C403" t="str">
        <f>"Gwenyth"</f>
        <v>Gwenyth</v>
      </c>
      <c r="D403" t="str">
        <f>"26GLamberson@franklincountyschools.org"</f>
        <v>26GLamberson@franklincountyschools.org</v>
      </c>
      <c r="E403" t="str">
        <f>"07"</f>
        <v>07</v>
      </c>
    </row>
    <row r="404" spans="1:5" x14ac:dyDescent="0.25">
      <c r="A404">
        <f>1920001678</f>
        <v>1920001678</v>
      </c>
      <c r="B404" t="str">
        <f>"Lane"</f>
        <v>Lane</v>
      </c>
      <c r="C404" t="str">
        <f>"Bryson"</f>
        <v>Bryson</v>
      </c>
      <c r="D404" t="str">
        <f>"34blane@franklincountyschools.org"</f>
        <v>34blane@franklincountyschools.org</v>
      </c>
      <c r="E404" t="str">
        <f>"PK"</f>
        <v>PK</v>
      </c>
    </row>
    <row r="405" spans="1:5" x14ac:dyDescent="0.25">
      <c r="A405">
        <f>1920001009</f>
        <v>1920001009</v>
      </c>
      <c r="B405" t="str">
        <f>"Lane"</f>
        <v>Lane</v>
      </c>
      <c r="C405" t="str">
        <f>"Tay'Ren"</f>
        <v>Tay'Ren</v>
      </c>
      <c r="D405" t="str">
        <f>"31tlane@franklincountyschools.org"</f>
        <v>31tlane@franklincountyschools.org</v>
      </c>
      <c r="E405" t="str">
        <f>"02"</f>
        <v>02</v>
      </c>
    </row>
    <row r="406" spans="1:5" x14ac:dyDescent="0.25">
      <c r="A406">
        <f>1920001314</f>
        <v>1920001314</v>
      </c>
      <c r="B406" t="str">
        <f>"Langley"</f>
        <v>Langley</v>
      </c>
      <c r="C406" t="str">
        <f>"Corbin"</f>
        <v>Corbin</v>
      </c>
      <c r="D406" t="str">
        <f>"32clangley@franklincountyschools.org"</f>
        <v>32clangley@franklincountyschools.org</v>
      </c>
      <c r="E406" t="str">
        <f>"01"</f>
        <v>01</v>
      </c>
    </row>
    <row r="407" spans="1:5" x14ac:dyDescent="0.25">
      <c r="A407">
        <f>1920000158</f>
        <v>1920000158</v>
      </c>
      <c r="B407" t="str">
        <f>"Langley"</f>
        <v>Langley</v>
      </c>
      <c r="C407" t="str">
        <f>"George"</f>
        <v>George</v>
      </c>
      <c r="D407" t="str">
        <f>"27GLangley@franklincountyschools.org"</f>
        <v>27GLangley@franklincountyschools.org</v>
      </c>
      <c r="E407" t="str">
        <f>"06"</f>
        <v>06</v>
      </c>
    </row>
    <row r="408" spans="1:5" x14ac:dyDescent="0.25">
      <c r="A408">
        <f>1920000842</f>
        <v>1920000842</v>
      </c>
      <c r="B408" t="str">
        <f>"Langley"</f>
        <v>Langley</v>
      </c>
      <c r="C408" t="str">
        <f>"George"</f>
        <v>George</v>
      </c>
      <c r="D408" t="str">
        <f>"30GLangley@franklincountyschools.org"</f>
        <v>30GLangley@franklincountyschools.org</v>
      </c>
      <c r="E408" t="str">
        <f>"03"</f>
        <v>03</v>
      </c>
    </row>
    <row r="409" spans="1:5" x14ac:dyDescent="0.25">
      <c r="A409">
        <f>1920000097</f>
        <v>1920000097</v>
      </c>
      <c r="B409" t="str">
        <f>"Larkin"</f>
        <v>Larkin</v>
      </c>
      <c r="C409" t="str">
        <f>"Charity"</f>
        <v>Charity</v>
      </c>
      <c r="D409" t="str">
        <f>"25CLarkin@franklincountyschools.org"</f>
        <v>25CLarkin@franklincountyschools.org</v>
      </c>
      <c r="E409" t="str">
        <f>"08"</f>
        <v>08</v>
      </c>
    </row>
    <row r="410" spans="1:5" x14ac:dyDescent="0.25">
      <c r="A410">
        <f>1908002507</f>
        <v>1908002507</v>
      </c>
      <c r="B410" t="str">
        <f>"Lashley"</f>
        <v>Lashley</v>
      </c>
      <c r="C410" t="str">
        <f>"Chandler"</f>
        <v>Chandler</v>
      </c>
      <c r="D410" t="str">
        <f>"22chandlerlashley@franklincountyschools.org"</f>
        <v>22chandlerlashley@franklincountyschools.org</v>
      </c>
      <c r="E410">
        <f>11</f>
        <v>11</v>
      </c>
    </row>
    <row r="411" spans="1:5" x14ac:dyDescent="0.25">
      <c r="A411">
        <f>1920000159</f>
        <v>1920000159</v>
      </c>
      <c r="B411" t="str">
        <f>"Lashley"</f>
        <v>Lashley</v>
      </c>
      <c r="C411" t="str">
        <f>"Curstin"</f>
        <v>Curstin</v>
      </c>
      <c r="D411" t="str">
        <f>"26CLashley@franklincountyschools.org"</f>
        <v>26CLashley@franklincountyschools.org</v>
      </c>
      <c r="E411" t="str">
        <f>"07"</f>
        <v>07</v>
      </c>
    </row>
    <row r="412" spans="1:5" x14ac:dyDescent="0.25">
      <c r="A412">
        <f>1920000784</f>
        <v>1920000784</v>
      </c>
      <c r="B412" t="str">
        <f>"Lashley"</f>
        <v>Lashley</v>
      </c>
      <c r="C412" t="str">
        <f>"Layden"</f>
        <v>Layden</v>
      </c>
      <c r="D412" t="str">
        <f>"29LLashley@franklincountyschools.org"</f>
        <v>29LLashley@franklincountyschools.org</v>
      </c>
      <c r="E412" t="str">
        <f>"03"</f>
        <v>03</v>
      </c>
    </row>
    <row r="413" spans="1:5" x14ac:dyDescent="0.25">
      <c r="A413">
        <f>1910002764</f>
        <v>1910002764</v>
      </c>
      <c r="B413" t="str">
        <f>"Lashley"</f>
        <v>Lashley</v>
      </c>
      <c r="C413" t="str">
        <f>"Tristan"</f>
        <v>Tristan</v>
      </c>
      <c r="D413" t="str">
        <f>"26TLashley@franklincountyschools.org"</f>
        <v>26TLashley@franklincountyschools.org</v>
      </c>
      <c r="E413" t="str">
        <f>"07"</f>
        <v>07</v>
      </c>
    </row>
    <row r="414" spans="1:5" x14ac:dyDescent="0.25">
      <c r="A414">
        <f>1920001545</f>
        <v>1920001545</v>
      </c>
      <c r="B414" t="str">
        <f>"Latorre"</f>
        <v>Latorre</v>
      </c>
      <c r="C414" t="str">
        <f>"Samantha"</f>
        <v>Samantha</v>
      </c>
      <c r="D414" t="str">
        <f>"22SLatorre@franklincountyschools.org"</f>
        <v>22SLatorre@franklincountyschools.org</v>
      </c>
      <c r="E414">
        <f>11</f>
        <v>11</v>
      </c>
    </row>
    <row r="415" spans="1:5" x14ac:dyDescent="0.25">
      <c r="A415">
        <f>1920001257</f>
        <v>1920001257</v>
      </c>
      <c r="B415" t="str">
        <f>"Lattimore"</f>
        <v>Lattimore</v>
      </c>
      <c r="C415" t="str">
        <f>"Roman"</f>
        <v>Roman</v>
      </c>
      <c r="D415" t="str">
        <f>"31rlattimore@franklincountyschools.org"</f>
        <v>31rlattimore@franklincountyschools.org</v>
      </c>
      <c r="E415" t="str">
        <f>"02"</f>
        <v>02</v>
      </c>
    </row>
    <row r="416" spans="1:5" x14ac:dyDescent="0.25">
      <c r="A416">
        <f>1908002382</f>
        <v>1908002382</v>
      </c>
      <c r="B416" t="str">
        <f>"Lawson"</f>
        <v>Lawson</v>
      </c>
      <c r="C416" t="str">
        <f>"Freeda"</f>
        <v>Freeda</v>
      </c>
      <c r="D416" t="str">
        <f>"21FLawson@franklincountyschools.org"</f>
        <v>21FLawson@franklincountyschools.org</v>
      </c>
      <c r="E416">
        <f>12</f>
        <v>12</v>
      </c>
    </row>
    <row r="417" spans="1:5" x14ac:dyDescent="0.25">
      <c r="A417">
        <f>1920000497</f>
        <v>1920000497</v>
      </c>
      <c r="B417" t="str">
        <f>"Layne"</f>
        <v>Layne</v>
      </c>
      <c r="C417" t="str">
        <f>"Skylar"</f>
        <v>Skylar</v>
      </c>
      <c r="D417" t="str">
        <f>"23slayne@franklincountyschools.org"</f>
        <v>23slayne@franklincountyschools.org</v>
      </c>
      <c r="E417">
        <f>10</f>
        <v>10</v>
      </c>
    </row>
    <row r="418" spans="1:5" x14ac:dyDescent="0.25">
      <c r="A418">
        <f>1920001552</f>
        <v>1920001552</v>
      </c>
      <c r="B418" t="str">
        <f>"Lee"</f>
        <v>Lee</v>
      </c>
      <c r="C418" t="str">
        <f>"September"</f>
        <v>September</v>
      </c>
      <c r="D418" t="str">
        <f>"28SLee@franklincountyschools.org"</f>
        <v>28SLee@franklincountyschools.org</v>
      </c>
      <c r="E418" t="str">
        <f>"05"</f>
        <v>05</v>
      </c>
    </row>
    <row r="419" spans="1:5" x14ac:dyDescent="0.25">
      <c r="A419">
        <f>1920000885</f>
        <v>1920000885</v>
      </c>
      <c r="B419" t="str">
        <f>"Lee"</f>
        <v>Lee</v>
      </c>
      <c r="C419" t="str">
        <f>"Whitney"</f>
        <v>Whitney</v>
      </c>
      <c r="D419" t="str">
        <f>"28WLee@franklincountyschools.org"</f>
        <v>28WLee@franklincountyschools.org</v>
      </c>
      <c r="E419" t="str">
        <f>"04"</f>
        <v>04</v>
      </c>
    </row>
    <row r="420" spans="1:5" x14ac:dyDescent="0.25">
      <c r="A420">
        <f>1920001131</f>
        <v>1920001131</v>
      </c>
      <c r="B420" t="str">
        <f>"Leslie"</f>
        <v>Leslie</v>
      </c>
      <c r="C420" t="str">
        <f>"Jamal"</f>
        <v>Jamal</v>
      </c>
      <c r="D420" t="str">
        <f>"24JLeslie@franklincountyschools.org"</f>
        <v>24JLeslie@franklincountyschools.org</v>
      </c>
      <c r="E420" t="str">
        <f>"09"</f>
        <v>09</v>
      </c>
    </row>
    <row r="421" spans="1:5" x14ac:dyDescent="0.25">
      <c r="A421">
        <f>1920001139</f>
        <v>1920001139</v>
      </c>
      <c r="B421" t="str">
        <f>"Leslie"</f>
        <v>Leslie</v>
      </c>
      <c r="C421" t="str">
        <f>"Shelton"</f>
        <v>Shelton</v>
      </c>
      <c r="D421" t="str">
        <f>"32sleslie@franklincountyschools.org"</f>
        <v>32sleslie@franklincountyschools.org</v>
      </c>
      <c r="E421" t="str">
        <f>"KG"</f>
        <v>KG</v>
      </c>
    </row>
    <row r="422" spans="1:5" x14ac:dyDescent="0.25">
      <c r="A422">
        <f>1920001073</f>
        <v>1920001073</v>
      </c>
      <c r="B422" t="str">
        <f>"Lewis"</f>
        <v>Lewis</v>
      </c>
      <c r="C422" t="str">
        <f>"Kaiden"</f>
        <v>Kaiden</v>
      </c>
      <c r="D422" t="str">
        <f>"25KLewis@franklincountyschools.org"</f>
        <v>25KLewis@franklincountyschools.org</v>
      </c>
      <c r="E422" t="str">
        <f>"08"</f>
        <v>08</v>
      </c>
    </row>
    <row r="423" spans="1:5" x14ac:dyDescent="0.25">
      <c r="A423">
        <f>1920001082</f>
        <v>1920001082</v>
      </c>
      <c r="B423" t="str">
        <f>"Lewis"</f>
        <v>Lewis</v>
      </c>
      <c r="C423" t="str">
        <f>"Kaleb"</f>
        <v>Kaleb</v>
      </c>
      <c r="D423" t="str">
        <f>"30KLewis@franklincountyschools.org"</f>
        <v>30KLewis@franklincountyschools.org</v>
      </c>
      <c r="E423" t="str">
        <f>"03"</f>
        <v>03</v>
      </c>
    </row>
    <row r="424" spans="1:5" x14ac:dyDescent="0.25">
      <c r="A424">
        <f>1920001072</f>
        <v>1920001072</v>
      </c>
      <c r="B424" t="str">
        <f>"Lewis"</f>
        <v>Lewis</v>
      </c>
      <c r="C424" t="str">
        <f>"Robert"</f>
        <v>Robert</v>
      </c>
      <c r="D424" t="str">
        <f>"27GLewis@franklincountyschools.org"</f>
        <v>27GLewis@franklincountyschools.org</v>
      </c>
      <c r="E424" t="str">
        <f>"06"</f>
        <v>06</v>
      </c>
    </row>
    <row r="425" spans="1:5" x14ac:dyDescent="0.25">
      <c r="A425">
        <f>1910002765</f>
        <v>1910002765</v>
      </c>
      <c r="B425" t="str">
        <f>"Libby"</f>
        <v>Libby</v>
      </c>
      <c r="C425" t="str">
        <f>"Kevin"</f>
        <v>Kevin</v>
      </c>
      <c r="D425" t="str">
        <f>"23zlibby@franklincountyschools.org"</f>
        <v>23zlibby@franklincountyschools.org</v>
      </c>
      <c r="E425">
        <f>10</f>
        <v>10</v>
      </c>
    </row>
    <row r="426" spans="1:5" x14ac:dyDescent="0.25">
      <c r="A426">
        <f>1920001728</f>
        <v>1920001728</v>
      </c>
      <c r="B426" t="str">
        <f>"Litton"</f>
        <v>Litton</v>
      </c>
      <c r="C426" t="str">
        <f>"Clint"</f>
        <v>Clint</v>
      </c>
      <c r="D426" t="str">
        <f>"33clitton@franklincountyschools.org"</f>
        <v>33clitton@franklincountyschools.org</v>
      </c>
      <c r="E426" t="str">
        <f>"KG"</f>
        <v>KG</v>
      </c>
    </row>
    <row r="427" spans="1:5" x14ac:dyDescent="0.25">
      <c r="A427">
        <f>1920000547</f>
        <v>1920000547</v>
      </c>
      <c r="B427" t="str">
        <f>"Litton"</f>
        <v>Litton</v>
      </c>
      <c r="C427" t="str">
        <f>"Khrissa"</f>
        <v>Khrissa</v>
      </c>
      <c r="D427" t="str">
        <f>"28KLitton@franklincountyschools.org"</f>
        <v>28KLitton@franklincountyschools.org</v>
      </c>
      <c r="E427" t="str">
        <f>"05"</f>
        <v>05</v>
      </c>
    </row>
    <row r="428" spans="1:5" x14ac:dyDescent="0.25">
      <c r="A428">
        <f>1912003391</f>
        <v>1912003391</v>
      </c>
      <c r="B428" t="str">
        <f>"Lively"</f>
        <v>Lively</v>
      </c>
      <c r="C428" t="str">
        <f>"Daniel"</f>
        <v>Daniel</v>
      </c>
      <c r="D428" t="str">
        <f>"25DLively@franklincountyschools.org"</f>
        <v>25DLively@franklincountyschools.org</v>
      </c>
      <c r="E428" t="str">
        <f>"08"</f>
        <v>08</v>
      </c>
    </row>
    <row r="429" spans="1:5" x14ac:dyDescent="0.25">
      <c r="A429">
        <f>1920001269</f>
        <v>1920001269</v>
      </c>
      <c r="B429" t="str">
        <f>"Lively"</f>
        <v>Lively</v>
      </c>
      <c r="C429" t="str">
        <f>"Maylee"</f>
        <v>Maylee</v>
      </c>
      <c r="D429" t="str">
        <f>"31mlively@franklincountyschools.org"</f>
        <v>31mlively@franklincountyschools.org</v>
      </c>
      <c r="E429" t="str">
        <f>"01"</f>
        <v>01</v>
      </c>
    </row>
    <row r="430" spans="1:5" x14ac:dyDescent="0.25">
      <c r="A430">
        <f>1908002346</f>
        <v>1908002346</v>
      </c>
      <c r="B430" t="str">
        <f>"Lockley"</f>
        <v>Lockley</v>
      </c>
      <c r="C430" t="str">
        <f>"Maliah"</f>
        <v>Maliah</v>
      </c>
      <c r="D430" t="str">
        <f>"21MLockley@franklincountyschools.org"</f>
        <v>21MLockley@franklincountyschools.org</v>
      </c>
      <c r="E430">
        <f>11</f>
        <v>11</v>
      </c>
    </row>
    <row r="431" spans="1:5" x14ac:dyDescent="0.25">
      <c r="A431">
        <f>1910002766</f>
        <v>1910002766</v>
      </c>
      <c r="B431" t="str">
        <f>"Loesch"</f>
        <v>Loesch</v>
      </c>
      <c r="C431" t="str">
        <f>"Autumn"</f>
        <v>Autumn</v>
      </c>
      <c r="D431" t="str">
        <f>"23ALoesch@franklincountyschools.org"</f>
        <v>23ALoesch@franklincountyschools.org</v>
      </c>
      <c r="E431">
        <f>10</f>
        <v>10</v>
      </c>
    </row>
    <row r="432" spans="1:5" x14ac:dyDescent="0.25">
      <c r="A432">
        <f>1920000160</f>
        <v>1920000160</v>
      </c>
      <c r="B432" t="str">
        <f>"Loesch"</f>
        <v>Loesch</v>
      </c>
      <c r="C432" t="str">
        <f>"Hailey"</f>
        <v>Hailey</v>
      </c>
      <c r="D432" t="str">
        <f>"26HLoesch@franklincountyschools.org"</f>
        <v>26HLoesch@franklincountyschools.org</v>
      </c>
      <c r="E432" t="str">
        <f>"07"</f>
        <v>07</v>
      </c>
    </row>
    <row r="433" spans="1:5" x14ac:dyDescent="0.25">
      <c r="A433">
        <f>1920000109</f>
        <v>1920000109</v>
      </c>
      <c r="B433" t="str">
        <f>"Loos"</f>
        <v>Loos</v>
      </c>
      <c r="C433" t="str">
        <f>"Jenise"</f>
        <v>Jenise</v>
      </c>
      <c r="D433" t="str">
        <f>"25JLoos@franklincountyschools.org"</f>
        <v>25JLoos@franklincountyschools.org</v>
      </c>
      <c r="E433" t="str">
        <f>"08"</f>
        <v>08</v>
      </c>
    </row>
    <row r="434" spans="1:5" x14ac:dyDescent="0.25">
      <c r="A434">
        <f>1920000593</f>
        <v>1920000593</v>
      </c>
      <c r="B434" t="str">
        <f>"Loos"</f>
        <v>Loos</v>
      </c>
      <c r="C434" t="str">
        <f>"Samuel"</f>
        <v>Samuel</v>
      </c>
      <c r="D434" t="str">
        <f>"27SLoos@franklincountyschools.org"</f>
        <v>27SLoos@franklincountyschools.org</v>
      </c>
      <c r="E434" t="str">
        <f>"06"</f>
        <v>06</v>
      </c>
    </row>
    <row r="435" spans="1:5" x14ac:dyDescent="0.25">
      <c r="A435">
        <f>1920001997</f>
        <v>1920001997</v>
      </c>
      <c r="B435" t="str">
        <f>"Loperfido"</f>
        <v>Loperfido</v>
      </c>
      <c r="C435" t="str">
        <f>"Cayden"</f>
        <v>Cayden</v>
      </c>
      <c r="D435" t="str">
        <f>"33cloperfido@franklincountyschools.org"</f>
        <v>33cloperfido@franklincountyschools.org</v>
      </c>
      <c r="E435" t="str">
        <f>"KG"</f>
        <v>KG</v>
      </c>
    </row>
    <row r="436" spans="1:5" x14ac:dyDescent="0.25">
      <c r="A436">
        <f>1920001725</f>
        <v>1920001725</v>
      </c>
      <c r="B436" t="str">
        <f>"Love"</f>
        <v>Love</v>
      </c>
      <c r="C436" t="str">
        <f>"Amyah"</f>
        <v>Amyah</v>
      </c>
      <c r="D436" t="str">
        <f>"33alove@franklincountyschools.org"</f>
        <v>33alove@franklincountyschools.org</v>
      </c>
      <c r="E436" t="str">
        <f>"KG"</f>
        <v>KG</v>
      </c>
    </row>
    <row r="437" spans="1:5" x14ac:dyDescent="0.25">
      <c r="A437">
        <f>1920002025</f>
        <v>1920002025</v>
      </c>
      <c r="B437" t="str">
        <f>"Love"</f>
        <v>Love</v>
      </c>
      <c r="C437" t="str">
        <f>"Dylan"</f>
        <v>Dylan</v>
      </c>
      <c r="D437" t="str">
        <f>"21DLove@franklincountyschools.org"</f>
        <v>21DLove@franklincountyschools.org</v>
      </c>
      <c r="E437">
        <f>12</f>
        <v>12</v>
      </c>
    </row>
    <row r="438" spans="1:5" x14ac:dyDescent="0.25">
      <c r="A438">
        <f>1920002024</f>
        <v>1920002024</v>
      </c>
      <c r="B438" t="str">
        <f>"Love"</f>
        <v>Love</v>
      </c>
      <c r="C438" t="str">
        <f>"Kirsten"</f>
        <v>Kirsten</v>
      </c>
      <c r="D438" t="str">
        <f>"24KLove@franklincountyschools.org"</f>
        <v>24KLove@franklincountyschools.org</v>
      </c>
      <c r="E438" t="str">
        <f>"09"</f>
        <v>09</v>
      </c>
    </row>
    <row r="439" spans="1:5" x14ac:dyDescent="0.25">
      <c r="A439">
        <f>1920001430</f>
        <v>1920001430</v>
      </c>
      <c r="B439" t="str">
        <f>"Loyd"</f>
        <v>Loyd</v>
      </c>
      <c r="C439" t="str">
        <f>"Brayden "</f>
        <v xml:space="preserve">Brayden </v>
      </c>
      <c r="D439" t="str">
        <f>"21BLoyd@franklincountyschools.org"</f>
        <v>21BLoyd@franklincountyschools.org</v>
      </c>
      <c r="E439">
        <f>12</f>
        <v>12</v>
      </c>
    </row>
    <row r="440" spans="1:5" x14ac:dyDescent="0.25">
      <c r="A440">
        <f>1910002914</f>
        <v>1910002914</v>
      </c>
      <c r="B440" t="str">
        <f>"Luberto"</f>
        <v>Luberto</v>
      </c>
      <c r="C440" t="str">
        <f>"Jadyn"</f>
        <v>Jadyn</v>
      </c>
      <c r="D440" t="str">
        <f>"21jluberto@franklincountyschools.org"</f>
        <v>21jluberto@franklincountyschools.org</v>
      </c>
      <c r="E440">
        <f>12</f>
        <v>12</v>
      </c>
    </row>
    <row r="441" spans="1:5" x14ac:dyDescent="0.25">
      <c r="A441">
        <f>1911003139</f>
        <v>1911003139</v>
      </c>
      <c r="B441" t="str">
        <f>"Luberto"</f>
        <v>Luberto</v>
      </c>
      <c r="C441" t="str">
        <f>"William"</f>
        <v>William</v>
      </c>
      <c r="D441" t="str">
        <f>"24wluberto@franklincountyschools.org"</f>
        <v>24wluberto@franklincountyschools.org</v>
      </c>
      <c r="E441" t="str">
        <f>"09"</f>
        <v>09</v>
      </c>
    </row>
    <row r="442" spans="1:5" x14ac:dyDescent="0.25">
      <c r="A442">
        <f>1920002006</f>
        <v>1920002006</v>
      </c>
      <c r="B442" t="str">
        <f>"Lugo Lopez"</f>
        <v>Lugo Lopez</v>
      </c>
      <c r="C442" t="str">
        <f>"Santiago"</f>
        <v>Santiago</v>
      </c>
      <c r="D442" t="str">
        <f>"34slugolopez@franklincountyschools.org"</f>
        <v>34slugolopez@franklincountyschools.org</v>
      </c>
      <c r="E442" t="str">
        <f>"PK"</f>
        <v>PK</v>
      </c>
    </row>
    <row r="443" spans="1:5" x14ac:dyDescent="0.25">
      <c r="A443">
        <f>1920001760</f>
        <v>1920001760</v>
      </c>
      <c r="B443" t="str">
        <f>"Mack"</f>
        <v>Mack</v>
      </c>
      <c r="C443" t="str">
        <f>"Za'Novia"</f>
        <v>Za'Novia</v>
      </c>
      <c r="D443" t="str">
        <f>"33zmack@franklincountyschools.org"</f>
        <v>33zmack@franklincountyschools.org</v>
      </c>
      <c r="E443" t="str">
        <f>"PK"</f>
        <v>PK</v>
      </c>
    </row>
    <row r="444" spans="1:5" x14ac:dyDescent="0.25">
      <c r="A444">
        <f>1920001657</f>
        <v>1920001657</v>
      </c>
      <c r="B444" t="str">
        <f>"Maddox"</f>
        <v>Maddox</v>
      </c>
      <c r="C444" t="str">
        <f>"Kaisen"</f>
        <v>Kaisen</v>
      </c>
      <c r="D444" t="str">
        <f>"32kmaddox@franklincountyschools.org"</f>
        <v>32kmaddox@franklincountyschools.org</v>
      </c>
      <c r="E444" t="str">
        <f>"01"</f>
        <v>01</v>
      </c>
    </row>
    <row r="445" spans="1:5" x14ac:dyDescent="0.25">
      <c r="A445">
        <f>1912003387</f>
        <v>1912003387</v>
      </c>
      <c r="B445" t="str">
        <f>"Mahon"</f>
        <v>Mahon</v>
      </c>
      <c r="C445" t="str">
        <f>"Rebecca"</f>
        <v>Rebecca</v>
      </c>
      <c r="D445" t="str">
        <f>"24rmahon@franklincountyschools.org"</f>
        <v>24rmahon@franklincountyschools.org</v>
      </c>
      <c r="E445" t="str">
        <f>"09"</f>
        <v>09</v>
      </c>
    </row>
    <row r="446" spans="1:5" x14ac:dyDescent="0.25">
      <c r="A446">
        <f>1910002992</f>
        <v>1910002992</v>
      </c>
      <c r="B446" t="str">
        <f>"Mallon"</f>
        <v>Mallon</v>
      </c>
      <c r="C446" t="str">
        <f>"Taylor"</f>
        <v>Taylor</v>
      </c>
      <c r="D446" t="str">
        <f>"24tmallon@franklincountyschools.org"</f>
        <v>24tmallon@franklincountyschools.org</v>
      </c>
      <c r="E446" t="str">
        <f>"09"</f>
        <v>09</v>
      </c>
    </row>
    <row r="447" spans="1:5" x14ac:dyDescent="0.25">
      <c r="A447">
        <f>1920002014</f>
        <v>1920002014</v>
      </c>
      <c r="B447" t="str">
        <f>"Malone"</f>
        <v>Malone</v>
      </c>
      <c r="C447" t="str">
        <f>"Asher"</f>
        <v>Asher</v>
      </c>
      <c r="D447" t="str">
        <f>"31amalone@franklincountyschools.org"</f>
        <v>31amalone@franklincountyschools.org</v>
      </c>
      <c r="E447" t="str">
        <f>"02"</f>
        <v>02</v>
      </c>
    </row>
    <row r="448" spans="1:5" x14ac:dyDescent="0.25">
      <c r="A448">
        <f>1910002768</f>
        <v>1910002768</v>
      </c>
      <c r="B448" t="str">
        <f>"Malone"</f>
        <v>Malone</v>
      </c>
      <c r="C448" t="str">
        <f>"Cloey"</f>
        <v>Cloey</v>
      </c>
      <c r="D448" t="str">
        <f>"24CMalone@franklincountyschools.org"</f>
        <v>24CMalone@franklincountyschools.org</v>
      </c>
      <c r="E448" t="str">
        <f>"09"</f>
        <v>09</v>
      </c>
    </row>
    <row r="449" spans="1:5" x14ac:dyDescent="0.25">
      <c r="A449">
        <f>1910002880</f>
        <v>1910002880</v>
      </c>
      <c r="B449" t="str">
        <f>"Malone"</f>
        <v>Malone</v>
      </c>
      <c r="C449" t="str">
        <f>"Harmony"</f>
        <v>Harmony</v>
      </c>
      <c r="D449" t="str">
        <f>"25HMalone@franklincountyschools.org"</f>
        <v>25HMalone@franklincountyschools.org</v>
      </c>
      <c r="E449" t="str">
        <f>"08"</f>
        <v>08</v>
      </c>
    </row>
    <row r="450" spans="1:5" x14ac:dyDescent="0.25">
      <c r="A450">
        <f>1907002151</f>
        <v>1907002151</v>
      </c>
      <c r="B450" t="str">
        <f>"Malone"</f>
        <v>Malone</v>
      </c>
      <c r="C450" t="str">
        <f>"Stephen"</f>
        <v>Stephen</v>
      </c>
      <c r="D450" t="str">
        <f>"21SMalone@franklincountyschools.org"</f>
        <v>21SMalone@franklincountyschools.org</v>
      </c>
      <c r="E450">
        <f>12</f>
        <v>12</v>
      </c>
    </row>
    <row r="451" spans="1:5" x14ac:dyDescent="0.25">
      <c r="A451">
        <f>1912003355</f>
        <v>1912003355</v>
      </c>
      <c r="B451" t="str">
        <f>"Marcum"</f>
        <v>Marcum</v>
      </c>
      <c r="C451" t="str">
        <f>"Emmanuel"</f>
        <v>Emmanuel</v>
      </c>
      <c r="D451" t="str">
        <f>"25EMarcum@franklincountyschools.org"</f>
        <v>25EMarcum@franklincountyschools.org</v>
      </c>
      <c r="E451" t="str">
        <f>"08"</f>
        <v>08</v>
      </c>
    </row>
    <row r="452" spans="1:5" x14ac:dyDescent="0.25">
      <c r="A452">
        <f>1920001475</f>
        <v>1920001475</v>
      </c>
      <c r="B452" t="str">
        <f>"Marcum"</f>
        <v>Marcum</v>
      </c>
      <c r="C452" t="str">
        <f>"Thomas"</f>
        <v>Thomas</v>
      </c>
      <c r="D452" t="str">
        <f>"32tmarcum@franklincountyschools.org"</f>
        <v>32tmarcum@franklincountyschools.org</v>
      </c>
      <c r="E452" t="str">
        <f>"01"</f>
        <v>01</v>
      </c>
    </row>
    <row r="453" spans="1:5" x14ac:dyDescent="0.25">
      <c r="A453">
        <f>1910002769</f>
        <v>1910002769</v>
      </c>
      <c r="B453" t="str">
        <f>"Martin"</f>
        <v>Martin</v>
      </c>
      <c r="C453" t="str">
        <f>"Adrionna"</f>
        <v>Adrionna</v>
      </c>
      <c r="D453" t="str">
        <f>"25AMartin@franklincountyschools.org"</f>
        <v>25AMartin@franklincountyschools.org</v>
      </c>
      <c r="E453" t="str">
        <f>"08"</f>
        <v>08</v>
      </c>
    </row>
    <row r="454" spans="1:5" x14ac:dyDescent="0.25">
      <c r="A454">
        <f>1920000805</f>
        <v>1920000805</v>
      </c>
      <c r="B454" t="str">
        <f>"Martin"</f>
        <v>Martin</v>
      </c>
      <c r="C454" t="str">
        <f>"Bentley"</f>
        <v>Bentley</v>
      </c>
      <c r="D454" t="str">
        <f>"30BMartin@franklincountyschools.org"</f>
        <v>30BMartin@franklincountyschools.org</v>
      </c>
      <c r="E454" t="str">
        <f>"03"</f>
        <v>03</v>
      </c>
    </row>
    <row r="455" spans="1:5" x14ac:dyDescent="0.25">
      <c r="A455">
        <f>1912003356</f>
        <v>1912003356</v>
      </c>
      <c r="B455" t="str">
        <f>"Martin"</f>
        <v>Martin</v>
      </c>
      <c r="C455" t="str">
        <f>"Joseph"</f>
        <v>Joseph</v>
      </c>
      <c r="D455" t="str">
        <f>"27JMartin@franklincountyschools.org"</f>
        <v>27JMartin@franklincountyschools.org</v>
      </c>
      <c r="E455" t="str">
        <f>"06"</f>
        <v>06</v>
      </c>
    </row>
    <row r="456" spans="1:5" x14ac:dyDescent="0.25">
      <c r="A456">
        <f>1908002297</f>
        <v>1908002297</v>
      </c>
      <c r="B456" t="str">
        <f>"Martin"</f>
        <v>Martin</v>
      </c>
      <c r="C456" t="str">
        <f>"Lamarius"</f>
        <v>Lamarius</v>
      </c>
      <c r="D456" t="str">
        <f>"21LMartin@franklincountyschools.org"</f>
        <v>21LMartin@franklincountyschools.org</v>
      </c>
      <c r="E456">
        <f>12</f>
        <v>12</v>
      </c>
    </row>
    <row r="457" spans="1:5" x14ac:dyDescent="0.25">
      <c r="A457">
        <f>1920001768</f>
        <v>1920001768</v>
      </c>
      <c r="B457" t="str">
        <f>"Martina"</f>
        <v>Martina</v>
      </c>
      <c r="C457" t="str">
        <f>"Conner"</f>
        <v>Conner</v>
      </c>
      <c r="D457" t="str">
        <f>"31CMartina@franklincountyschools.org"</f>
        <v>31CMartina@franklincountyschools.org</v>
      </c>
      <c r="E457" t="str">
        <f>"02"</f>
        <v>02</v>
      </c>
    </row>
    <row r="458" spans="1:5" x14ac:dyDescent="0.25">
      <c r="A458">
        <f>1910002770</f>
        <v>1910002770</v>
      </c>
      <c r="B458" t="str">
        <f>"Martina"</f>
        <v>Martina</v>
      </c>
      <c r="C458" t="str">
        <f>"Kelsey"</f>
        <v>Kelsey</v>
      </c>
      <c r="D458" t="str">
        <f>"23KMartina@franklincountyschools.org"</f>
        <v>23KMartina@franklincountyschools.org</v>
      </c>
      <c r="E458">
        <f>10</f>
        <v>10</v>
      </c>
    </row>
    <row r="459" spans="1:5" x14ac:dyDescent="0.25">
      <c r="A459">
        <f>1911003149</f>
        <v>1911003149</v>
      </c>
      <c r="B459" t="str">
        <f>"Martina"</f>
        <v>Martina</v>
      </c>
      <c r="C459" t="str">
        <f>"Kirsten"</f>
        <v>Kirsten</v>
      </c>
      <c r="D459" t="str">
        <f>"24kmartina@franklincountyschools.org"</f>
        <v>24kmartina@franklincountyschools.org</v>
      </c>
      <c r="E459" t="str">
        <f>"09"</f>
        <v>09</v>
      </c>
    </row>
    <row r="460" spans="1:5" x14ac:dyDescent="0.25">
      <c r="A460">
        <f>1911003022</f>
        <v>1911003022</v>
      </c>
      <c r="B460" t="str">
        <f>"Martina"</f>
        <v>Martina</v>
      </c>
      <c r="C460" t="str">
        <f>"Parker"</f>
        <v>Parker</v>
      </c>
      <c r="D460" t="str">
        <f>"23pmartina@franklincountyschools.org"</f>
        <v>23pmartina@franklincountyschools.org</v>
      </c>
      <c r="E460">
        <f>10</f>
        <v>10</v>
      </c>
    </row>
    <row r="461" spans="1:5" x14ac:dyDescent="0.25">
      <c r="A461">
        <f>1920001847</f>
        <v>1920001847</v>
      </c>
      <c r="B461" t="str">
        <f>"Massey"</f>
        <v>Massey</v>
      </c>
      <c r="C461" t="str">
        <f>"Jocelyn"</f>
        <v>Jocelyn</v>
      </c>
      <c r="D461" t="str">
        <f>"34jmassey@franklincountyschools.org"</f>
        <v>34jmassey@franklincountyschools.org</v>
      </c>
      <c r="E461" t="str">
        <f>"PK"</f>
        <v>PK</v>
      </c>
    </row>
    <row r="462" spans="1:5" x14ac:dyDescent="0.25">
      <c r="A462">
        <f>1920000161</f>
        <v>1920000161</v>
      </c>
      <c r="B462" t="str">
        <f>"Massey"</f>
        <v>Massey</v>
      </c>
      <c r="C462" t="str">
        <f>"Landen"</f>
        <v>Landen</v>
      </c>
      <c r="D462" t="str">
        <f>"27LMassey@franklincountyschools.org"</f>
        <v>27LMassey@franklincountyschools.org</v>
      </c>
      <c r="E462" t="str">
        <f>"06"</f>
        <v>06</v>
      </c>
    </row>
    <row r="463" spans="1:5" x14ac:dyDescent="0.25">
      <c r="A463">
        <f>1911003082</f>
        <v>1911003082</v>
      </c>
      <c r="B463" t="str">
        <f>"Massey"</f>
        <v>Massey</v>
      </c>
      <c r="C463" t="str">
        <f>"Shalyn"</f>
        <v>Shalyn</v>
      </c>
      <c r="D463" t="str">
        <f>"23SMassey@franklincountyschools.org"</f>
        <v>23SMassey@franklincountyschools.org</v>
      </c>
      <c r="E463">
        <f>10</f>
        <v>10</v>
      </c>
    </row>
    <row r="464" spans="1:5" x14ac:dyDescent="0.25">
      <c r="A464">
        <f>1920001488</f>
        <v>1920001488</v>
      </c>
      <c r="B464" t="str">
        <f>"Massey"</f>
        <v>Massey</v>
      </c>
      <c r="C464" t="str">
        <f>"Xayvien"</f>
        <v>Xayvien</v>
      </c>
      <c r="D464" t="str">
        <f>"32xbrayboy@franklincountyschools.org"</f>
        <v>32xbrayboy@franklincountyschools.org</v>
      </c>
      <c r="E464" t="str">
        <f>"01"</f>
        <v>01</v>
      </c>
    </row>
    <row r="465" spans="1:5" x14ac:dyDescent="0.25">
      <c r="A465">
        <f>1920001286</f>
        <v>1920001286</v>
      </c>
      <c r="B465" t="str">
        <f>"Mateo-Bernabe"</f>
        <v>Mateo-Bernabe</v>
      </c>
      <c r="C465" t="str">
        <f>"Ana"</f>
        <v>Ana</v>
      </c>
      <c r="D465" t="str">
        <f>"22amateo-bernabe@franklincountyschools.org"</f>
        <v>22amateo-bernabe@franklincountyschools.org</v>
      </c>
      <c r="E465">
        <f>10</f>
        <v>10</v>
      </c>
    </row>
    <row r="466" spans="1:5" x14ac:dyDescent="0.25">
      <c r="A466">
        <f>1920001709</f>
        <v>1920001709</v>
      </c>
      <c r="B466" t="str">
        <f>"Mathews"</f>
        <v>Mathews</v>
      </c>
      <c r="C466" t="str">
        <f>"Arlo"</f>
        <v>Arlo</v>
      </c>
      <c r="D466" t="str">
        <f>"33amathews@franklincountyschools.org"</f>
        <v>33amathews@franklincountyschools.org</v>
      </c>
      <c r="E466" t="str">
        <f>"KG"</f>
        <v>KG</v>
      </c>
    </row>
    <row r="467" spans="1:5" x14ac:dyDescent="0.25">
      <c r="A467">
        <f>1920000162</f>
        <v>1920000162</v>
      </c>
      <c r="B467" t="str">
        <f>"Maxwell"</f>
        <v>Maxwell</v>
      </c>
      <c r="C467" t="str">
        <f>"Camron"</f>
        <v>Camron</v>
      </c>
      <c r="D467" t="str">
        <f>"26cmaxwell@franklincountyschools.org"</f>
        <v>26cmaxwell@franklincountyschools.org</v>
      </c>
      <c r="E467" t="str">
        <f>"07"</f>
        <v>07</v>
      </c>
    </row>
    <row r="468" spans="1:5" x14ac:dyDescent="0.25">
      <c r="A468">
        <f>1909002718</f>
        <v>1909002718</v>
      </c>
      <c r="B468" t="str">
        <f>"Maxwell"</f>
        <v>Maxwell</v>
      </c>
      <c r="C468" t="str">
        <f>"Myia"</f>
        <v>Myia</v>
      </c>
      <c r="D468" t="str">
        <f>"22mmaxwell@franklincountyschools.org"</f>
        <v>22mmaxwell@franklincountyschools.org</v>
      </c>
      <c r="E468">
        <f>11</f>
        <v>11</v>
      </c>
    </row>
    <row r="469" spans="1:5" x14ac:dyDescent="0.25">
      <c r="A469">
        <f>1920000989</f>
        <v>1920000989</v>
      </c>
      <c r="B469" t="str">
        <f>"McAnally"</f>
        <v>McAnally</v>
      </c>
      <c r="C469" t="str">
        <f>"Easton"</f>
        <v>Easton</v>
      </c>
      <c r="D469" t="str">
        <f>"29EMcAnally@franklincountyschools.org"</f>
        <v>29EMcAnally@franklincountyschools.org</v>
      </c>
      <c r="E469" t="str">
        <f>"04"</f>
        <v>04</v>
      </c>
    </row>
    <row r="470" spans="1:5" x14ac:dyDescent="0.25">
      <c r="A470">
        <f>1908002321</f>
        <v>1908002321</v>
      </c>
      <c r="B470" t="str">
        <f>"McAnally"</f>
        <v>McAnally</v>
      </c>
      <c r="C470" t="str">
        <f>"Elizabeth"</f>
        <v>Elizabeth</v>
      </c>
      <c r="D470" t="str">
        <f>"21emcanally@franklincountyschools.org"</f>
        <v>21emcanally@franklincountyschools.org</v>
      </c>
      <c r="E470">
        <f>12</f>
        <v>12</v>
      </c>
    </row>
    <row r="471" spans="1:5" x14ac:dyDescent="0.25">
      <c r="A471">
        <f>1910002816</f>
        <v>1910002816</v>
      </c>
      <c r="B471" t="str">
        <f>"McAnally"</f>
        <v>McAnally</v>
      </c>
      <c r="C471" t="str">
        <f>"Emily"</f>
        <v>Emily</v>
      </c>
      <c r="D471" t="str">
        <f>"23emcanally@franklincountyschools.org"</f>
        <v>23emcanally@franklincountyschools.org</v>
      </c>
      <c r="E471">
        <f>10</f>
        <v>10</v>
      </c>
    </row>
    <row r="472" spans="1:5" x14ac:dyDescent="0.25">
      <c r="A472">
        <f>1920000757</f>
        <v>1920000757</v>
      </c>
      <c r="B472" t="str">
        <f>"McCall"</f>
        <v>McCall</v>
      </c>
      <c r="C472" t="str">
        <f>"Brayden"</f>
        <v>Brayden</v>
      </c>
      <c r="D472" t="str">
        <f>"24bmccall@franklincountyschools.org"</f>
        <v>24bmccall@franklincountyschools.org</v>
      </c>
      <c r="E472" t="str">
        <f>"09"</f>
        <v>09</v>
      </c>
    </row>
    <row r="473" spans="1:5" x14ac:dyDescent="0.25">
      <c r="A473">
        <f>1920001973</f>
        <v>1920001973</v>
      </c>
      <c r="B473" t="str">
        <f>"McGuffin"</f>
        <v>McGuffin</v>
      </c>
      <c r="C473" t="str">
        <f>"Allie"</f>
        <v>Allie</v>
      </c>
      <c r="D473" t="str">
        <f>"33amcguffin@franklincountyschools.org"</f>
        <v>33amcguffin@franklincountyschools.org</v>
      </c>
      <c r="E473" t="str">
        <f>"KG"</f>
        <v>KG</v>
      </c>
    </row>
    <row r="474" spans="1:5" x14ac:dyDescent="0.25">
      <c r="A474">
        <f>1920000410</f>
        <v>1920000410</v>
      </c>
      <c r="B474" t="str">
        <f>"McKenzie"</f>
        <v>McKenzie</v>
      </c>
      <c r="C474" t="str">
        <f>"Joshua"</f>
        <v>Joshua</v>
      </c>
      <c r="D474" t="str">
        <f>"27JMcKenzie@franklincountyschools.org"</f>
        <v>27JMcKenzie@franklincountyschools.org</v>
      </c>
      <c r="E474" t="str">
        <f>"06"</f>
        <v>06</v>
      </c>
    </row>
    <row r="475" spans="1:5" x14ac:dyDescent="0.25">
      <c r="A475">
        <f>1920001487</f>
        <v>1920001487</v>
      </c>
      <c r="B475" t="str">
        <f>"McKenzie"</f>
        <v>McKenzie</v>
      </c>
      <c r="C475" t="str">
        <f>"Tailya"</f>
        <v>Tailya</v>
      </c>
      <c r="D475" t="str">
        <f>"32tmckenzie@franklincountyschools.org"</f>
        <v>32tmckenzie@franklincountyschools.org</v>
      </c>
      <c r="E475" t="str">
        <f>"01"</f>
        <v>01</v>
      </c>
    </row>
    <row r="476" spans="1:5" x14ac:dyDescent="0.25">
      <c r="A476">
        <f>1920000166</f>
        <v>1920000166</v>
      </c>
      <c r="B476" t="str">
        <f>"McKenzie"</f>
        <v>McKenzie</v>
      </c>
      <c r="C476" t="str">
        <f>"Troy"</f>
        <v>Troy</v>
      </c>
      <c r="D476" t="str">
        <f>"26TMcKenzie@franklincountyschools.org"</f>
        <v>26TMcKenzie@franklincountyschools.org</v>
      </c>
      <c r="E476" t="str">
        <f>"07"</f>
        <v>07</v>
      </c>
    </row>
    <row r="477" spans="1:5" x14ac:dyDescent="0.25">
      <c r="A477">
        <f>1912003360</f>
        <v>1912003360</v>
      </c>
      <c r="B477" t="str">
        <f>"McNair"</f>
        <v>McNair</v>
      </c>
      <c r="C477" t="str">
        <f>"Ajaylen"</f>
        <v>Ajaylen</v>
      </c>
      <c r="D477" t="str">
        <f>"25AMcNair@franklincountyschools.org"</f>
        <v>25AMcNair@franklincountyschools.org</v>
      </c>
      <c r="E477" t="str">
        <f>"08"</f>
        <v>08</v>
      </c>
    </row>
    <row r="478" spans="1:5" x14ac:dyDescent="0.25">
      <c r="A478">
        <f>1911003145</f>
        <v>1911003145</v>
      </c>
      <c r="B478" t="str">
        <f>"McNair-Martin"</f>
        <v>McNair-Martin</v>
      </c>
      <c r="C478" t="str">
        <f>"Alexcia"</f>
        <v>Alexcia</v>
      </c>
      <c r="D478" t="str">
        <f>"24amcnair@franklincountyschools.org"</f>
        <v>24amcnair@franklincountyschools.org</v>
      </c>
      <c r="E478" t="str">
        <f>"09"</f>
        <v>09</v>
      </c>
    </row>
    <row r="479" spans="1:5" x14ac:dyDescent="0.25">
      <c r="A479">
        <f>1920000585</f>
        <v>1920000585</v>
      </c>
      <c r="B479" t="str">
        <f>"McNeal"</f>
        <v>McNeal</v>
      </c>
      <c r="C479" t="str">
        <f>"Robert"</f>
        <v>Robert</v>
      </c>
      <c r="D479" t="str">
        <f>"24RMcNeal@franklincountyschools.org"</f>
        <v>24RMcNeal@franklincountyschools.org</v>
      </c>
      <c r="E479" t="str">
        <f>"09"</f>
        <v>09</v>
      </c>
    </row>
    <row r="480" spans="1:5" x14ac:dyDescent="0.25">
      <c r="A480">
        <f>1920001685</f>
        <v>1920001685</v>
      </c>
      <c r="B480" t="str">
        <f>"McQueen"</f>
        <v>McQueen</v>
      </c>
      <c r="C480" t="str">
        <f>"Elliot"</f>
        <v>Elliot</v>
      </c>
      <c r="D480" t="str">
        <f>"33emcqueen@franklincountyschools.org"</f>
        <v>33emcqueen@franklincountyschools.org</v>
      </c>
      <c r="E480" t="str">
        <f>"KG"</f>
        <v>KG</v>
      </c>
    </row>
    <row r="481" spans="1:5" x14ac:dyDescent="0.25">
      <c r="A481">
        <f>1920000731</f>
        <v>1920000731</v>
      </c>
      <c r="B481" t="str">
        <f>"McRorie"</f>
        <v>McRorie</v>
      </c>
      <c r="C481" t="str">
        <f>"Jason"</f>
        <v>Jason</v>
      </c>
      <c r="D481" t="str">
        <f>"29JMcRorie@franklincountyschools.org"</f>
        <v>29JMcRorie@franklincountyschools.org</v>
      </c>
      <c r="E481" t="str">
        <f>"04"</f>
        <v>04</v>
      </c>
    </row>
    <row r="482" spans="1:5" x14ac:dyDescent="0.25">
      <c r="A482">
        <f>1908002303</f>
        <v>1908002303</v>
      </c>
      <c r="B482" t="str">
        <f>"Melton"</f>
        <v>Melton</v>
      </c>
      <c r="C482" t="str">
        <f>"Michael"</f>
        <v>Michael</v>
      </c>
      <c r="D482" t="str">
        <f>"22MMelton@franklincountyschools.org"</f>
        <v>22MMelton@franklincountyschools.org</v>
      </c>
      <c r="E482">
        <f>11</f>
        <v>11</v>
      </c>
    </row>
    <row r="483" spans="1:5" x14ac:dyDescent="0.25">
      <c r="A483">
        <f>1920001241</f>
        <v>1920001241</v>
      </c>
      <c r="B483" t="str">
        <f>"Melvin"</f>
        <v>Melvin</v>
      </c>
      <c r="C483" t="str">
        <f>"Shelbie"</f>
        <v>Shelbie</v>
      </c>
      <c r="D483" t="str">
        <f>"31smelvin@franklincountyschools.org"</f>
        <v>31smelvin@franklincountyschools.org</v>
      </c>
      <c r="E483" t="str">
        <f>"02"</f>
        <v>02</v>
      </c>
    </row>
    <row r="484" spans="1:5" x14ac:dyDescent="0.25">
      <c r="A484">
        <f>1920001865</f>
        <v>1920001865</v>
      </c>
      <c r="B484" t="str">
        <f>"Merrell"</f>
        <v>Merrell</v>
      </c>
      <c r="C484" t="str">
        <f>"Thomas"</f>
        <v>Thomas</v>
      </c>
      <c r="D484" t="str">
        <f>"33tmerrell@franklincountyschools.org"</f>
        <v>33tmerrell@franklincountyschools.org</v>
      </c>
      <c r="E484" t="str">
        <f>"KG"</f>
        <v>KG</v>
      </c>
    </row>
    <row r="485" spans="1:5" x14ac:dyDescent="0.25">
      <c r="A485">
        <f>1911003143</f>
        <v>1911003143</v>
      </c>
      <c r="B485" t="str">
        <f>"Messer"</f>
        <v>Messer</v>
      </c>
      <c r="C485" t="str">
        <f>"Kayleigh"</f>
        <v>Kayleigh</v>
      </c>
      <c r="D485" t="str">
        <f>"24KMesser@franklincountyschools.org"</f>
        <v>24KMesser@franklincountyschools.org</v>
      </c>
      <c r="E485" t="str">
        <f>"09"</f>
        <v>09</v>
      </c>
    </row>
    <row r="486" spans="1:5" x14ac:dyDescent="0.25">
      <c r="A486">
        <f>1920001483</f>
        <v>1920001483</v>
      </c>
      <c r="B486" t="str">
        <f>"Messer"</f>
        <v>Messer</v>
      </c>
      <c r="C486" t="str">
        <f>"River"</f>
        <v>River</v>
      </c>
      <c r="D486" t="str">
        <f>"32rmesser@franklincountyschools.org"</f>
        <v>32rmesser@franklincountyschools.org</v>
      </c>
      <c r="E486" t="str">
        <f>"01"</f>
        <v>01</v>
      </c>
    </row>
    <row r="487" spans="1:5" x14ac:dyDescent="0.25">
      <c r="A487">
        <f>1920001563</f>
        <v>1920001563</v>
      </c>
      <c r="B487" t="str">
        <f>"Middleton"</f>
        <v>Middleton</v>
      </c>
      <c r="C487" t="str">
        <f>"Makayla"</f>
        <v>Makayla</v>
      </c>
      <c r="D487" t="str">
        <f>"32mmiddleton@franklincountyschools.org"</f>
        <v>32mmiddleton@franklincountyschools.org</v>
      </c>
      <c r="E487" t="str">
        <f>"01"</f>
        <v>01</v>
      </c>
    </row>
    <row r="488" spans="1:5" x14ac:dyDescent="0.25">
      <c r="A488">
        <f>1912003392</f>
        <v>1912003392</v>
      </c>
      <c r="B488" t="str">
        <f t="shared" ref="B488:B504" si="7">"Millender"</f>
        <v>Millender</v>
      </c>
      <c r="C488" t="str">
        <f>"Austin"</f>
        <v>Austin</v>
      </c>
      <c r="D488" t="str">
        <f>"24cMillender@franklincountyschools.org"</f>
        <v>24cMillender@franklincountyschools.org</v>
      </c>
      <c r="E488" t="str">
        <f>"09"</f>
        <v>09</v>
      </c>
    </row>
    <row r="489" spans="1:5" x14ac:dyDescent="0.25">
      <c r="A489">
        <f>1920000314</f>
        <v>1920000314</v>
      </c>
      <c r="B489" t="str">
        <f t="shared" si="7"/>
        <v>Millender</v>
      </c>
      <c r="C489" t="str">
        <f>"Autum"</f>
        <v>Autum</v>
      </c>
      <c r="D489" t="str">
        <f>"28AutumMillender@franklincountyschools.org"</f>
        <v>28AutumMillender@franklincountyschools.org</v>
      </c>
      <c r="E489" t="str">
        <f>"05"</f>
        <v>05</v>
      </c>
    </row>
    <row r="490" spans="1:5" x14ac:dyDescent="0.25">
      <c r="A490">
        <f>1920000178</f>
        <v>1920000178</v>
      </c>
      <c r="B490" t="str">
        <f t="shared" si="7"/>
        <v>Millender</v>
      </c>
      <c r="C490" t="str">
        <f>"Ayden"</f>
        <v>Ayden</v>
      </c>
      <c r="D490" t="str">
        <f>"28AMillender@franklincountyschools.org"</f>
        <v>28AMillender@franklincountyschools.org</v>
      </c>
      <c r="E490" t="str">
        <f>"05"</f>
        <v>05</v>
      </c>
    </row>
    <row r="491" spans="1:5" x14ac:dyDescent="0.25">
      <c r="A491">
        <f>1920000769</f>
        <v>1920000769</v>
      </c>
      <c r="B491" t="str">
        <f t="shared" si="7"/>
        <v>Millender</v>
      </c>
      <c r="C491" t="str">
        <f>"Bentley"</f>
        <v>Bentley</v>
      </c>
      <c r="D491" t="str">
        <f>"29BMillender@franklincountyschools.org"</f>
        <v>29BMillender@franklincountyschools.org</v>
      </c>
      <c r="E491" t="str">
        <f>"04"</f>
        <v>04</v>
      </c>
    </row>
    <row r="492" spans="1:5" x14ac:dyDescent="0.25">
      <c r="A492">
        <f>1920001689</f>
        <v>1920001689</v>
      </c>
      <c r="B492" t="str">
        <f t="shared" si="7"/>
        <v>Millender</v>
      </c>
      <c r="C492" t="str">
        <f>"Brailey"</f>
        <v>Brailey</v>
      </c>
      <c r="D492" t="str">
        <f>"33bmillender@franklincountyschools.org"</f>
        <v>33bmillender@franklincountyschools.org</v>
      </c>
      <c r="E492" t="str">
        <f>"PK"</f>
        <v>PK</v>
      </c>
    </row>
    <row r="493" spans="1:5" x14ac:dyDescent="0.25">
      <c r="A493">
        <f>1911003183</f>
        <v>1911003183</v>
      </c>
      <c r="B493" t="str">
        <f t="shared" si="7"/>
        <v>Millender</v>
      </c>
      <c r="C493" t="str">
        <f>"Brian"</f>
        <v>Brian</v>
      </c>
      <c r="D493" t="str">
        <f>"24BMillender@franklincountyschools.org"</f>
        <v>24BMillender@franklincountyschools.org</v>
      </c>
      <c r="E493" t="str">
        <f>"09"</f>
        <v>09</v>
      </c>
    </row>
    <row r="494" spans="1:5" x14ac:dyDescent="0.25">
      <c r="A494">
        <f>1920000098</f>
        <v>1920000098</v>
      </c>
      <c r="B494" t="str">
        <f t="shared" si="7"/>
        <v>Millender</v>
      </c>
      <c r="C494" t="str">
        <f>"Cayden"</f>
        <v>Cayden</v>
      </c>
      <c r="D494" t="str">
        <f>"26CMillender@franklincountyschools.org"</f>
        <v>26CMillender@franklincountyschools.org</v>
      </c>
      <c r="E494" t="str">
        <f>"06"</f>
        <v>06</v>
      </c>
    </row>
    <row r="495" spans="1:5" x14ac:dyDescent="0.25">
      <c r="A495">
        <f>1920000610</f>
        <v>1920000610</v>
      </c>
      <c r="B495" t="str">
        <f t="shared" si="7"/>
        <v>Millender</v>
      </c>
      <c r="C495" t="str">
        <f>"Flora"</f>
        <v>Flora</v>
      </c>
      <c r="D495" t="str">
        <f>"28FMillender@franklincountyschools.org"</f>
        <v>28FMillender@franklincountyschools.org</v>
      </c>
      <c r="E495" t="str">
        <f>"05"</f>
        <v>05</v>
      </c>
    </row>
    <row r="496" spans="1:5" x14ac:dyDescent="0.25">
      <c r="A496">
        <f>1908002348</f>
        <v>1908002348</v>
      </c>
      <c r="B496" t="str">
        <f t="shared" si="7"/>
        <v>Millender</v>
      </c>
      <c r="C496" t="str">
        <f>"Fred"</f>
        <v>Fred</v>
      </c>
      <c r="D496" t="str">
        <f>"21FMillender@franklincountyschools.org"</f>
        <v>21FMillender@franklincountyschools.org</v>
      </c>
      <c r="E496">
        <f>11</f>
        <v>11</v>
      </c>
    </row>
    <row r="497" spans="1:5" x14ac:dyDescent="0.25">
      <c r="A497">
        <f>1920000045</f>
        <v>1920000045</v>
      </c>
      <c r="B497" t="str">
        <f t="shared" si="7"/>
        <v>Millender</v>
      </c>
      <c r="C497" t="str">
        <f>"Garyson"</f>
        <v>Garyson</v>
      </c>
      <c r="D497" t="str">
        <f>"25GMillender@franklincountyschools.org"</f>
        <v>25GMillender@franklincountyschools.org</v>
      </c>
      <c r="E497" t="str">
        <f>"08"</f>
        <v>08</v>
      </c>
    </row>
    <row r="498" spans="1:5" x14ac:dyDescent="0.25">
      <c r="A498">
        <f>1920000781</f>
        <v>1920000781</v>
      </c>
      <c r="B498" t="str">
        <f t="shared" si="7"/>
        <v>Millender</v>
      </c>
      <c r="C498" t="str">
        <f>"Jaxon"</f>
        <v>Jaxon</v>
      </c>
      <c r="D498" t="str">
        <f>"29JMillender@franklincountyschools.org"</f>
        <v>29JMillender@franklincountyschools.org</v>
      </c>
      <c r="E498" t="str">
        <f>"04"</f>
        <v>04</v>
      </c>
    </row>
    <row r="499" spans="1:5" x14ac:dyDescent="0.25">
      <c r="A499">
        <f>1920000540</f>
        <v>1920000540</v>
      </c>
      <c r="B499" t="str">
        <f t="shared" si="7"/>
        <v>Millender</v>
      </c>
      <c r="C499" t="str">
        <f>"Jessie"</f>
        <v>Jessie</v>
      </c>
      <c r="D499" t="str">
        <f>"28JMillender@franklincountyschools.org"</f>
        <v>28JMillender@franklincountyschools.org</v>
      </c>
      <c r="E499" t="str">
        <f>"05"</f>
        <v>05</v>
      </c>
    </row>
    <row r="500" spans="1:5" x14ac:dyDescent="0.25">
      <c r="A500">
        <f>1920001954</f>
        <v>1920001954</v>
      </c>
      <c r="B500" t="str">
        <f t="shared" si="7"/>
        <v>Millender</v>
      </c>
      <c r="C500" t="str">
        <f>"Kason"</f>
        <v>Kason</v>
      </c>
      <c r="D500" t="str">
        <f>"34kmillender@franklincountyschools.org"</f>
        <v>34kmillender@franklincountyschools.org</v>
      </c>
      <c r="E500" t="str">
        <f>"PK"</f>
        <v>PK</v>
      </c>
    </row>
    <row r="501" spans="1:5" x14ac:dyDescent="0.25">
      <c r="A501">
        <f>1920001477</f>
        <v>1920001477</v>
      </c>
      <c r="B501" t="str">
        <f t="shared" si="7"/>
        <v>Millender</v>
      </c>
      <c r="C501" t="str">
        <f>"Lillymae"</f>
        <v>Lillymae</v>
      </c>
      <c r="D501" t="str">
        <f>"32lmillender@franklincountyschools.org"</f>
        <v>32lmillender@franklincountyschools.org</v>
      </c>
      <c r="E501" t="str">
        <f>"01"</f>
        <v>01</v>
      </c>
    </row>
    <row r="502" spans="1:5" x14ac:dyDescent="0.25">
      <c r="A502">
        <f>1911003151</f>
        <v>1911003151</v>
      </c>
      <c r="B502" t="str">
        <f t="shared" si="7"/>
        <v>Millender</v>
      </c>
      <c r="C502" t="str">
        <f>"Onamae"</f>
        <v>Onamae</v>
      </c>
      <c r="D502" t="str">
        <f>"24OMillender@franklincountyschools.org"</f>
        <v>24OMillender@franklincountyschools.org</v>
      </c>
      <c r="E502" t="str">
        <f>"09"</f>
        <v>09</v>
      </c>
    </row>
    <row r="503" spans="1:5" x14ac:dyDescent="0.25">
      <c r="A503">
        <f>1920001450</f>
        <v>1920001450</v>
      </c>
      <c r="B503" t="str">
        <f t="shared" si="7"/>
        <v>Millender</v>
      </c>
      <c r="C503" t="str">
        <f>"Parker"</f>
        <v>Parker</v>
      </c>
      <c r="D503" t="str">
        <f>"33pmillender@franklincountyschools.org"</f>
        <v>33pmillender@franklincountyschools.org</v>
      </c>
      <c r="E503" t="str">
        <f>"KG"</f>
        <v>KG</v>
      </c>
    </row>
    <row r="504" spans="1:5" x14ac:dyDescent="0.25">
      <c r="A504">
        <f>1908002336</f>
        <v>1908002336</v>
      </c>
      <c r="B504" t="str">
        <f t="shared" si="7"/>
        <v>Millender</v>
      </c>
      <c r="C504" t="str">
        <f>"Patrick"</f>
        <v>Patrick</v>
      </c>
      <c r="D504" t="str">
        <f>"21PMillender@franklincountyschools.org"</f>
        <v>21PMillender@franklincountyschools.org</v>
      </c>
      <c r="E504">
        <f>12</f>
        <v>12</v>
      </c>
    </row>
    <row r="505" spans="1:5" x14ac:dyDescent="0.25">
      <c r="A505">
        <f>1920000828</f>
        <v>1920000828</v>
      </c>
      <c r="B505" t="str">
        <f>"Millender Gloner"</f>
        <v>Millender Gloner</v>
      </c>
      <c r="C505" t="str">
        <f>"Brett"</f>
        <v>Brett</v>
      </c>
      <c r="D505" t="str">
        <f>"28bmillender@franklincountyschools.org"</f>
        <v>28bmillender@franklincountyschools.org</v>
      </c>
      <c r="E505" t="str">
        <f>"05"</f>
        <v>05</v>
      </c>
    </row>
    <row r="506" spans="1:5" x14ac:dyDescent="0.25">
      <c r="A506">
        <f>1912003357</f>
        <v>1912003357</v>
      </c>
      <c r="B506" t="str">
        <f>"Millender-Wag"</f>
        <v>Millender-Wag</v>
      </c>
      <c r="C506" t="str">
        <f>"Madison"</f>
        <v>Madison</v>
      </c>
      <c r="D506" t="str">
        <f>"25MMillender-Wag@franklincountyschools.org"</f>
        <v>25MMillender-Wag@franklincountyschools.org</v>
      </c>
      <c r="E506" t="str">
        <f>"08"</f>
        <v>08</v>
      </c>
    </row>
    <row r="507" spans="1:5" x14ac:dyDescent="0.25">
      <c r="A507">
        <f>1920000734</f>
        <v>1920000734</v>
      </c>
      <c r="B507" t="str">
        <f>"Miller"</f>
        <v>Miller</v>
      </c>
      <c r="C507" t="str">
        <f>"Haleigh"</f>
        <v>Haleigh</v>
      </c>
      <c r="D507" t="str">
        <f>"28HMiller@franklincountyschools.org"</f>
        <v>28HMiller@franklincountyschools.org</v>
      </c>
      <c r="E507" t="str">
        <f>"05"</f>
        <v>05</v>
      </c>
    </row>
    <row r="508" spans="1:5" x14ac:dyDescent="0.25">
      <c r="A508">
        <f>1912003358</f>
        <v>1912003358</v>
      </c>
      <c r="B508" t="str">
        <f>"Miller"</f>
        <v>Miller</v>
      </c>
      <c r="C508" t="str">
        <f>"Ja'michael"</f>
        <v>Ja'michael</v>
      </c>
      <c r="D508" t="str">
        <f>"26JMiller@franklincountyschools.org"</f>
        <v>26JMiller@franklincountyschools.org</v>
      </c>
      <c r="E508" t="str">
        <f>"07"</f>
        <v>07</v>
      </c>
    </row>
    <row r="509" spans="1:5" x14ac:dyDescent="0.25">
      <c r="A509">
        <f>1920000702</f>
        <v>1920000702</v>
      </c>
      <c r="B509" t="str">
        <f>"Miller"</f>
        <v>Miller</v>
      </c>
      <c r="C509" t="str">
        <f>"Mariah"</f>
        <v>Mariah</v>
      </c>
      <c r="D509" t="str">
        <f>"29MMiller@franklincountyschools.org"</f>
        <v>29MMiller@franklincountyschools.org</v>
      </c>
      <c r="E509" t="str">
        <f>"04"</f>
        <v>04</v>
      </c>
    </row>
    <row r="510" spans="1:5" x14ac:dyDescent="0.25">
      <c r="A510">
        <f>1920000164</f>
        <v>1920000164</v>
      </c>
      <c r="B510" t="str">
        <f>"Miller"</f>
        <v>Miller</v>
      </c>
      <c r="C510" t="str">
        <f>"Marissa"</f>
        <v>Marissa</v>
      </c>
      <c r="D510" t="str">
        <f>"27MMiller@franklincountyschools.org"</f>
        <v>27MMiller@franklincountyschools.org</v>
      </c>
      <c r="E510" t="str">
        <f>"06"</f>
        <v>06</v>
      </c>
    </row>
    <row r="511" spans="1:5" x14ac:dyDescent="0.25">
      <c r="A511">
        <f>1912003359</f>
        <v>1912003359</v>
      </c>
      <c r="B511" t="str">
        <f>"Miller"</f>
        <v>Miller</v>
      </c>
      <c r="C511" t="str">
        <f>"Shakira"</f>
        <v>Shakira</v>
      </c>
      <c r="D511" t="str">
        <f>"25SMiller@franklincountyschools.org"</f>
        <v>25SMiller@franklincountyschools.org</v>
      </c>
      <c r="E511" t="str">
        <f>"08"</f>
        <v>08</v>
      </c>
    </row>
    <row r="512" spans="1:5" x14ac:dyDescent="0.25">
      <c r="A512">
        <f>1920000553</f>
        <v>1920000553</v>
      </c>
      <c r="B512" t="str">
        <f>"Mitchell"</f>
        <v>Mitchell</v>
      </c>
      <c r="C512" t="str">
        <f>"Hezekiah"</f>
        <v>Hezekiah</v>
      </c>
      <c r="D512" t="str">
        <f>"28HMitchell@franklincountyschools.org"</f>
        <v>28HMitchell@franklincountyschools.org</v>
      </c>
      <c r="E512" t="str">
        <f>"05"</f>
        <v>05</v>
      </c>
    </row>
    <row r="513" spans="1:5" x14ac:dyDescent="0.25">
      <c r="A513">
        <f>1920001719</f>
        <v>1920001719</v>
      </c>
      <c r="B513" t="str">
        <f>"Mitchell"</f>
        <v>Mitchell</v>
      </c>
      <c r="C513" t="str">
        <f>"Rose"</f>
        <v>Rose</v>
      </c>
      <c r="D513" t="str">
        <f>"26RMitchell@franklincountyschools.org"</f>
        <v>26RMitchell@franklincountyschools.org</v>
      </c>
      <c r="E513" t="str">
        <f>"07"</f>
        <v>07</v>
      </c>
    </row>
    <row r="514" spans="1:5" x14ac:dyDescent="0.25">
      <c r="A514">
        <f>1920001683</f>
        <v>1920001683</v>
      </c>
      <c r="B514" t="str">
        <f>"Mock"</f>
        <v>Mock</v>
      </c>
      <c r="C514" t="str">
        <f>"Gunner"</f>
        <v>Gunner</v>
      </c>
      <c r="D514" t="str">
        <f>"33gmock@franklincountyschools.org"</f>
        <v>33gmock@franklincountyschools.org</v>
      </c>
      <c r="E514" t="str">
        <f>"KG"</f>
        <v>KG</v>
      </c>
    </row>
    <row r="515" spans="1:5" x14ac:dyDescent="0.25">
      <c r="A515">
        <f>1910002783</f>
        <v>1910002783</v>
      </c>
      <c r="B515" t="str">
        <f>"Mock"</f>
        <v>Mock</v>
      </c>
      <c r="C515" t="str">
        <f>"Jesse"</f>
        <v>Jesse</v>
      </c>
      <c r="D515" t="str">
        <f>"23pmock@franklincountyschools.org"</f>
        <v>23pmock@franklincountyschools.org</v>
      </c>
      <c r="E515">
        <f>10</f>
        <v>10</v>
      </c>
    </row>
    <row r="516" spans="1:5" x14ac:dyDescent="0.25">
      <c r="A516">
        <f>1920001273</f>
        <v>1920001273</v>
      </c>
      <c r="B516" t="str">
        <f>"Modican"</f>
        <v>Modican</v>
      </c>
      <c r="C516" t="str">
        <f>"Malaya "</f>
        <v xml:space="preserve">Malaya </v>
      </c>
      <c r="D516" t="str">
        <f>"31mmodican@franklincountyschools.org"</f>
        <v>31mmodican@franklincountyschools.org</v>
      </c>
      <c r="E516" t="str">
        <f>"02"</f>
        <v>02</v>
      </c>
    </row>
    <row r="517" spans="1:5" x14ac:dyDescent="0.25">
      <c r="A517">
        <f>1920001911</f>
        <v>1920001911</v>
      </c>
      <c r="B517" t="str">
        <f>"Montalbano"</f>
        <v>Montalbano</v>
      </c>
      <c r="C517" t="str">
        <f>"Ethan"</f>
        <v>Ethan</v>
      </c>
      <c r="D517" t="str">
        <f>"29ethanmontalbano@franklincountyschools.org"</f>
        <v>29ethanmontalbano@franklincountyschools.org</v>
      </c>
      <c r="E517" t="str">
        <f>"04"</f>
        <v>04</v>
      </c>
    </row>
    <row r="518" spans="1:5" x14ac:dyDescent="0.25">
      <c r="A518">
        <f>1920001912</f>
        <v>1920001912</v>
      </c>
      <c r="B518" t="str">
        <f>"Montalbano"</f>
        <v>Montalbano</v>
      </c>
      <c r="C518" t="str">
        <f>"Evan"</f>
        <v>Evan</v>
      </c>
      <c r="D518" t="str">
        <f>"29evanmontalbano@franklincountyschools.org"</f>
        <v>29evanmontalbano@franklincountyschools.org</v>
      </c>
      <c r="E518" t="str">
        <f>"04"</f>
        <v>04</v>
      </c>
    </row>
    <row r="519" spans="1:5" x14ac:dyDescent="0.25">
      <c r="A519">
        <f>1920001374</f>
        <v>1920001374</v>
      </c>
      <c r="B519" t="str">
        <f>"Moody"</f>
        <v>Moody</v>
      </c>
      <c r="C519" t="str">
        <f>"Donald"</f>
        <v>Donald</v>
      </c>
      <c r="D519" t="str">
        <f>"26DMoody@franklincountyschools.org"</f>
        <v>26DMoody@franklincountyschools.org</v>
      </c>
      <c r="E519" t="str">
        <f>"06"</f>
        <v>06</v>
      </c>
    </row>
    <row r="520" spans="1:5" x14ac:dyDescent="0.25">
      <c r="A520">
        <f>1920001994</f>
        <v>1920001994</v>
      </c>
      <c r="B520" t="str">
        <f>"Moore"</f>
        <v>Moore</v>
      </c>
      <c r="C520" t="str">
        <f>"Avah"</f>
        <v>Avah</v>
      </c>
      <c r="D520" t="str">
        <f>"34amoore@franklincountyschools.org"</f>
        <v>34amoore@franklincountyschools.org</v>
      </c>
      <c r="E520" t="str">
        <f>"PK"</f>
        <v>PK</v>
      </c>
    </row>
    <row r="521" spans="1:5" x14ac:dyDescent="0.25">
      <c r="A521">
        <f>1920001693</f>
        <v>1920001693</v>
      </c>
      <c r="B521" t="str">
        <f>"Moore"</f>
        <v>Moore</v>
      </c>
      <c r="C521" t="str">
        <f>"Charleigh"</f>
        <v>Charleigh</v>
      </c>
      <c r="D521" t="str">
        <f>"33cmoore@franklincountyschools.org"</f>
        <v>33cmoore@franklincountyschools.org</v>
      </c>
      <c r="E521" t="str">
        <f>"KG"</f>
        <v>KG</v>
      </c>
    </row>
    <row r="522" spans="1:5" x14ac:dyDescent="0.25">
      <c r="A522">
        <f>1920001478</f>
        <v>1920001478</v>
      </c>
      <c r="B522" t="str">
        <f>"Moore"</f>
        <v>Moore</v>
      </c>
      <c r="C522" t="str">
        <f>"Jaice"</f>
        <v>Jaice</v>
      </c>
      <c r="D522" t="str">
        <f>"32jmoore@franklincountyschools.org"</f>
        <v>32jmoore@franklincountyschools.org</v>
      </c>
      <c r="E522" t="str">
        <f>"01"</f>
        <v>01</v>
      </c>
    </row>
    <row r="523" spans="1:5" x14ac:dyDescent="0.25">
      <c r="A523">
        <f>1910002870</f>
        <v>1910002870</v>
      </c>
      <c r="B523" t="str">
        <f>"Moore"</f>
        <v>Moore</v>
      </c>
      <c r="C523" t="str">
        <f>"Landrick"</f>
        <v>Landrick</v>
      </c>
      <c r="D523" t="str">
        <f>"24lmoore@franklincountyschools.org"</f>
        <v>24lmoore@franklincountyschools.org</v>
      </c>
      <c r="E523" t="str">
        <f>"09"</f>
        <v>09</v>
      </c>
    </row>
    <row r="524" spans="1:5" x14ac:dyDescent="0.25">
      <c r="A524">
        <f>1920000572</f>
        <v>1920000572</v>
      </c>
      <c r="B524" t="str">
        <f>"Moore"</f>
        <v>Moore</v>
      </c>
      <c r="C524" t="str">
        <f>"Peyton"</f>
        <v>Peyton</v>
      </c>
      <c r="D524" t="str">
        <f>"28PMoore@franklincountyschools.org"</f>
        <v>28PMoore@franklincountyschools.org</v>
      </c>
      <c r="E524" t="str">
        <f>"05"</f>
        <v>05</v>
      </c>
    </row>
    <row r="525" spans="1:5" x14ac:dyDescent="0.25">
      <c r="A525">
        <f>1910002773</f>
        <v>1910002773</v>
      </c>
      <c r="B525" t="str">
        <f>"Morales"</f>
        <v>Morales</v>
      </c>
      <c r="C525" t="str">
        <f>"Austin"</f>
        <v>Austin</v>
      </c>
      <c r="D525" t="str">
        <f>"25AMorales@franklincountyschools.org"</f>
        <v>25AMorales@franklincountyschools.org</v>
      </c>
      <c r="E525" t="str">
        <f>"08"</f>
        <v>08</v>
      </c>
    </row>
    <row r="526" spans="1:5" x14ac:dyDescent="0.25">
      <c r="A526">
        <f>1910002819</f>
        <v>1910002819</v>
      </c>
      <c r="B526" t="str">
        <f>"Moses"</f>
        <v>Moses</v>
      </c>
      <c r="C526" t="str">
        <f>"Mason"</f>
        <v>Mason</v>
      </c>
      <c r="D526" t="str">
        <f>"23mmoses@franklincountyschools.org"</f>
        <v>23mmoses@franklincountyschools.org</v>
      </c>
      <c r="E526">
        <f>10</f>
        <v>10</v>
      </c>
    </row>
    <row r="527" spans="1:5" x14ac:dyDescent="0.25">
      <c r="A527">
        <f>1920000499</f>
        <v>1920000499</v>
      </c>
      <c r="B527" t="str">
        <f>"Mosley"</f>
        <v>Mosley</v>
      </c>
      <c r="C527" t="str">
        <f>"Elizabeth"</f>
        <v>Elizabeth</v>
      </c>
      <c r="D527" t="str">
        <f>"24elizabethmosley@franklincountyschools.org"</f>
        <v>24elizabethmosley@franklincountyschools.org</v>
      </c>
      <c r="E527" t="str">
        <f>"09"</f>
        <v>09</v>
      </c>
    </row>
    <row r="528" spans="1:5" x14ac:dyDescent="0.25">
      <c r="A528">
        <f>1920000506</f>
        <v>1920000506</v>
      </c>
      <c r="B528" t="str">
        <f>"Mosley"</f>
        <v>Mosley</v>
      </c>
      <c r="C528" t="str">
        <f>"Emily"</f>
        <v>Emily</v>
      </c>
      <c r="D528" t="str">
        <f>"24emilymosley@franklincountyschools.org"</f>
        <v>24emilymosley@franklincountyschools.org</v>
      </c>
      <c r="E528" t="str">
        <f>"09"</f>
        <v>09</v>
      </c>
    </row>
    <row r="529" spans="1:5" x14ac:dyDescent="0.25">
      <c r="A529">
        <f>1920000609</f>
        <v>1920000609</v>
      </c>
      <c r="B529" t="str">
        <f>"Mullins"</f>
        <v>Mullins</v>
      </c>
      <c r="C529" t="str">
        <f>"Ben "</f>
        <v xml:space="preserve">Ben </v>
      </c>
      <c r="D529" t="str">
        <f>"28BMullins@franklincountyschools.org"</f>
        <v>28BMullins@franklincountyschools.org</v>
      </c>
      <c r="E529" t="str">
        <f>"05"</f>
        <v>05</v>
      </c>
    </row>
    <row r="530" spans="1:5" x14ac:dyDescent="0.25">
      <c r="A530">
        <f>1920000641</f>
        <v>1920000641</v>
      </c>
      <c r="B530" t="str">
        <f>"Mullins"</f>
        <v>Mullins</v>
      </c>
      <c r="C530" t="str">
        <f>"Korbin"</f>
        <v>Korbin</v>
      </c>
      <c r="D530" t="str">
        <f>"29KMullins@franklincountyschools.org"</f>
        <v>29KMullins@franklincountyschools.org</v>
      </c>
      <c r="E530" t="str">
        <f>"04"</f>
        <v>04</v>
      </c>
    </row>
    <row r="531" spans="1:5" x14ac:dyDescent="0.25">
      <c r="A531">
        <f>1920000800</f>
        <v>1920000800</v>
      </c>
      <c r="B531" t="str">
        <f>"Mullins"</f>
        <v>Mullins</v>
      </c>
      <c r="C531" t="str">
        <f>"Kynzli"</f>
        <v>Kynzli</v>
      </c>
      <c r="D531" t="str">
        <f>"30KMullins@franklincountyschools.org"</f>
        <v>30KMullins@franklincountyschools.org</v>
      </c>
      <c r="E531" t="str">
        <f>"03"</f>
        <v>03</v>
      </c>
    </row>
    <row r="532" spans="1:5" x14ac:dyDescent="0.25">
      <c r="A532">
        <f>1920000642</f>
        <v>1920000642</v>
      </c>
      <c r="B532" t="str">
        <f>"Myers"</f>
        <v>Myers</v>
      </c>
      <c r="C532" t="str">
        <f>"Purity"</f>
        <v>Purity</v>
      </c>
      <c r="D532" t="str">
        <f>"29PMyers@franklincountyschools.org"</f>
        <v>29PMyers@franklincountyschools.org</v>
      </c>
      <c r="E532" t="str">
        <f>"04"</f>
        <v>04</v>
      </c>
    </row>
    <row r="533" spans="1:5" x14ac:dyDescent="0.25">
      <c r="A533">
        <f>1909002602</f>
        <v>1909002602</v>
      </c>
      <c r="B533" t="str">
        <f>"Nash"</f>
        <v>Nash</v>
      </c>
      <c r="C533" t="str">
        <f>"Cameron"</f>
        <v>Cameron</v>
      </c>
      <c r="D533" t="str">
        <f>"22CNash@franklincountyschools.org"</f>
        <v>22CNash@franklincountyschools.org</v>
      </c>
      <c r="E533">
        <f>11</f>
        <v>11</v>
      </c>
    </row>
    <row r="534" spans="1:5" x14ac:dyDescent="0.25">
      <c r="A534">
        <f>1920001766</f>
        <v>1920001766</v>
      </c>
      <c r="B534" t="str">
        <f>"New"</f>
        <v>New</v>
      </c>
      <c r="C534" t="str">
        <f>"James"</f>
        <v>James</v>
      </c>
      <c r="D534" t="str">
        <f>"34jnew@franklincountyschools.org"</f>
        <v>34jnew@franklincountyschools.org</v>
      </c>
      <c r="E534" t="str">
        <f>"PK"</f>
        <v>PK</v>
      </c>
    </row>
    <row r="535" spans="1:5" x14ac:dyDescent="0.25">
      <c r="A535">
        <f>1908002298</f>
        <v>1908002298</v>
      </c>
      <c r="B535" t="str">
        <f>"Newell"</f>
        <v>Newell</v>
      </c>
      <c r="C535" t="str">
        <f>"Kevin"</f>
        <v>Kevin</v>
      </c>
      <c r="D535" t="str">
        <f>"21knewell@franklincountyschools.org"</f>
        <v>21knewell@franklincountyschools.org</v>
      </c>
      <c r="E535">
        <f>10</f>
        <v>10</v>
      </c>
    </row>
    <row r="536" spans="1:5" x14ac:dyDescent="0.25">
      <c r="A536">
        <f>1920001405</f>
        <v>1920001405</v>
      </c>
      <c r="B536" t="str">
        <f>"Newell"</f>
        <v>Newell</v>
      </c>
      <c r="C536" t="str">
        <f>"Kierstyn"</f>
        <v>Kierstyn</v>
      </c>
      <c r="D536" t="str">
        <f>"24knewell@franklincountyschools.org"</f>
        <v>24knewell@franklincountyschools.org</v>
      </c>
      <c r="E536" t="str">
        <f>"09"</f>
        <v>09</v>
      </c>
    </row>
    <row r="537" spans="1:5" x14ac:dyDescent="0.25">
      <c r="A537">
        <f>1920001529</f>
        <v>1920001529</v>
      </c>
      <c r="B537" t="str">
        <f>"Nichols"</f>
        <v>Nichols</v>
      </c>
      <c r="C537" t="str">
        <f>"Bentley"</f>
        <v>Bentley</v>
      </c>
      <c r="D537" t="str">
        <f>"33bnichols@franklincountyschools.org"</f>
        <v>33bnichols@franklincountyschools.org</v>
      </c>
      <c r="E537" t="str">
        <f>"KG"</f>
        <v>KG</v>
      </c>
    </row>
    <row r="538" spans="1:5" x14ac:dyDescent="0.25">
      <c r="A538">
        <f>1920000059</f>
        <v>1920000059</v>
      </c>
      <c r="B538" t="str">
        <f>"Nichols"</f>
        <v>Nichols</v>
      </c>
      <c r="C538" t="str">
        <f>"Jole"</f>
        <v>Jole</v>
      </c>
      <c r="D538" t="str">
        <f>"26jnichols@franklincountyschools.org"</f>
        <v>26jnichols@franklincountyschools.org</v>
      </c>
      <c r="E538" t="str">
        <f>"07"</f>
        <v>07</v>
      </c>
    </row>
    <row r="539" spans="1:5" x14ac:dyDescent="0.25">
      <c r="A539">
        <f>1920001056</f>
        <v>1920001056</v>
      </c>
      <c r="B539" t="str">
        <f>"Nichols"</f>
        <v>Nichols</v>
      </c>
      <c r="C539" t="str">
        <f>"Shawn"</f>
        <v>Shawn</v>
      </c>
      <c r="D539" t="str">
        <f>"31snichols@franklincountyschools.org"</f>
        <v>31snichols@franklincountyschools.org</v>
      </c>
      <c r="E539" t="str">
        <f>"02"</f>
        <v>02</v>
      </c>
    </row>
    <row r="540" spans="1:5" x14ac:dyDescent="0.25">
      <c r="A540">
        <f>1920001655</f>
        <v>1920001655</v>
      </c>
      <c r="B540" t="str">
        <f>"Nobles"</f>
        <v>Nobles</v>
      </c>
      <c r="C540" t="str">
        <f>"Peyton"</f>
        <v>Peyton</v>
      </c>
      <c r="D540" t="str">
        <f>"32pnobles@franklincountyschools.org"</f>
        <v>32pnobles@franklincountyschools.org</v>
      </c>
      <c r="E540" t="str">
        <f>"01"</f>
        <v>01</v>
      </c>
    </row>
    <row r="541" spans="1:5" x14ac:dyDescent="0.25">
      <c r="A541">
        <f>1920001436</f>
        <v>1920001436</v>
      </c>
      <c r="B541" t="str">
        <f>"Nolen"</f>
        <v>Nolen</v>
      </c>
      <c r="C541" t="str">
        <f>"Jennifer"</f>
        <v>Jennifer</v>
      </c>
      <c r="D541" t="str">
        <f>"23JNolen@franklincountyschools.org"</f>
        <v>23JNolen@franklincountyschools.org</v>
      </c>
      <c r="E541">
        <f>10</f>
        <v>10</v>
      </c>
    </row>
    <row r="542" spans="1:5" x14ac:dyDescent="0.25">
      <c r="A542">
        <f>1920001437</f>
        <v>1920001437</v>
      </c>
      <c r="B542" t="str">
        <f>"Nolen"</f>
        <v>Nolen</v>
      </c>
      <c r="C542" t="str">
        <f>"Sean"</f>
        <v>Sean</v>
      </c>
      <c r="D542" t="str">
        <f>"21SNolen@franklincountyschools.org"</f>
        <v>21SNolen@franklincountyschools.org</v>
      </c>
      <c r="E542">
        <f>12</f>
        <v>12</v>
      </c>
    </row>
    <row r="543" spans="1:5" x14ac:dyDescent="0.25">
      <c r="A543">
        <f>1920001924</f>
        <v>1920001924</v>
      </c>
      <c r="B543" t="str">
        <f>"Norman"</f>
        <v>Norman</v>
      </c>
      <c r="C543" t="str">
        <f>"Jorden"</f>
        <v>Jorden</v>
      </c>
      <c r="D543" t="str">
        <f>"28jnorman@franklincountyschools.org"</f>
        <v>28jnorman@franklincountyschools.org</v>
      </c>
      <c r="E543" t="str">
        <f>"05"</f>
        <v>05</v>
      </c>
    </row>
    <row r="544" spans="1:5" x14ac:dyDescent="0.25">
      <c r="A544">
        <f>1920000415</f>
        <v>1920000415</v>
      </c>
      <c r="B544" t="str">
        <f>"North"</f>
        <v>North</v>
      </c>
      <c r="C544" t="str">
        <f>"Dre'kylan"</f>
        <v>Dre'kylan</v>
      </c>
      <c r="D544" t="str">
        <f>"28DNorth@franklincountyschools.org"</f>
        <v>28DNorth@franklincountyschools.org</v>
      </c>
      <c r="E544" t="str">
        <f>"05"</f>
        <v>05</v>
      </c>
    </row>
    <row r="545" spans="1:5" x14ac:dyDescent="0.25">
      <c r="A545">
        <f>1920002073</f>
        <v>1920002073</v>
      </c>
      <c r="B545" t="str">
        <f>"Norton"</f>
        <v>Norton</v>
      </c>
      <c r="C545" t="str">
        <f>"Chapman"</f>
        <v>Chapman</v>
      </c>
      <c r="D545" t="str">
        <f>"28cnorton@franklincountyschools.org"</f>
        <v>28cnorton@franklincountyschools.org</v>
      </c>
      <c r="E545" t="str">
        <f>"05"</f>
        <v>05</v>
      </c>
    </row>
    <row r="546" spans="1:5" x14ac:dyDescent="0.25">
      <c r="A546">
        <f>1920000517</f>
        <v>1920000517</v>
      </c>
      <c r="B546" t="str">
        <f>"Obezo"</f>
        <v>Obezo</v>
      </c>
      <c r="C546" t="str">
        <f>"Patricia"</f>
        <v>Patricia</v>
      </c>
      <c r="D546" t="str">
        <f>"20PObezo@franklincountyschools.org"</f>
        <v>20PObezo@franklincountyschools.org</v>
      </c>
      <c r="E546">
        <f>12</f>
        <v>12</v>
      </c>
    </row>
    <row r="547" spans="1:5" x14ac:dyDescent="0.25">
      <c r="A547">
        <f>1920001747</f>
        <v>1920001747</v>
      </c>
      <c r="B547" t="str">
        <f>"Odom"</f>
        <v>Odom</v>
      </c>
      <c r="C547" t="str">
        <f>"Jared"</f>
        <v>Jared</v>
      </c>
      <c r="D547" t="str">
        <f>"22JOdom@franklincountyschools.org"</f>
        <v>22JOdom@franklincountyschools.org</v>
      </c>
      <c r="E547">
        <f>10</f>
        <v>10</v>
      </c>
    </row>
    <row r="548" spans="1:5" x14ac:dyDescent="0.25">
      <c r="A548">
        <f>1911003282</f>
        <v>1911003282</v>
      </c>
      <c r="B548" t="str">
        <f>"Odom"</f>
        <v>Odom</v>
      </c>
      <c r="C548" t="str">
        <f>"Jentzen"</f>
        <v>Jentzen</v>
      </c>
      <c r="D548" t="str">
        <f>"24jodom@franklincountyschools.org"</f>
        <v>24jodom@franklincountyschools.org</v>
      </c>
      <c r="E548" t="str">
        <f>"09"</f>
        <v>09</v>
      </c>
    </row>
    <row r="549" spans="1:5" x14ac:dyDescent="0.25">
      <c r="A549">
        <f>1920001033</f>
        <v>1920001033</v>
      </c>
      <c r="B549" t="str">
        <f t="shared" ref="B549:B555" si="8">"O'Neal"</f>
        <v>O'Neal</v>
      </c>
      <c r="C549" t="str">
        <f>"A'london"</f>
        <v>A'london</v>
      </c>
      <c r="D549" t="str">
        <f>"31aoneal@franklincountyschools.org"</f>
        <v>31aoneal@franklincountyschools.org</v>
      </c>
      <c r="E549" t="str">
        <f>"02"</f>
        <v>02</v>
      </c>
    </row>
    <row r="550" spans="1:5" x14ac:dyDescent="0.25">
      <c r="A550">
        <f>1920000519</f>
        <v>1920000519</v>
      </c>
      <c r="B550" t="str">
        <f t="shared" si="8"/>
        <v>O'Neal</v>
      </c>
      <c r="C550" t="str">
        <f>"Emmalynn"</f>
        <v>Emmalynn</v>
      </c>
      <c r="D550" t="str">
        <f>"28eoneal@franklincountyschools.org"</f>
        <v>28eoneal@franklincountyschools.org</v>
      </c>
      <c r="E550" t="str">
        <f>"05"</f>
        <v>05</v>
      </c>
    </row>
    <row r="551" spans="1:5" x14ac:dyDescent="0.25">
      <c r="A551">
        <f>1920000344</f>
        <v>1920000344</v>
      </c>
      <c r="B551" t="str">
        <f t="shared" si="8"/>
        <v>O'Neal</v>
      </c>
      <c r="C551" t="str">
        <f>"Kendra"</f>
        <v>Kendra</v>
      </c>
      <c r="D551" t="str">
        <f>"26KONeal@franklincountyschools.org"</f>
        <v>26KONeal@franklincountyschools.org</v>
      </c>
      <c r="E551" t="str">
        <f>"07"</f>
        <v>07</v>
      </c>
    </row>
    <row r="552" spans="1:5" x14ac:dyDescent="0.25">
      <c r="A552">
        <f>1912003403</f>
        <v>1912003403</v>
      </c>
      <c r="B552" t="str">
        <f t="shared" si="8"/>
        <v>O'Neal</v>
      </c>
      <c r="C552" t="str">
        <f>"Lonnie"</f>
        <v>Lonnie</v>
      </c>
      <c r="D552" t="str">
        <f>"24loneal@franklincountyschools.org"</f>
        <v>24loneal@franklincountyschools.org</v>
      </c>
      <c r="E552" t="str">
        <f>"09"</f>
        <v>09</v>
      </c>
    </row>
    <row r="553" spans="1:5" x14ac:dyDescent="0.25">
      <c r="A553">
        <f>1920000777</f>
        <v>1920000777</v>
      </c>
      <c r="B553" t="str">
        <f t="shared" si="8"/>
        <v>O'Neal</v>
      </c>
      <c r="C553" t="str">
        <f>"Makenley"</f>
        <v>Makenley</v>
      </c>
      <c r="D553" t="str">
        <f>"29moneal@franklincountyschools.org"</f>
        <v>29moneal@franklincountyschools.org</v>
      </c>
      <c r="E553" t="str">
        <f>"04"</f>
        <v>04</v>
      </c>
    </row>
    <row r="554" spans="1:5" x14ac:dyDescent="0.25">
      <c r="A554">
        <f>1909002606</f>
        <v>1909002606</v>
      </c>
      <c r="B554" t="str">
        <f t="shared" si="8"/>
        <v>O'Neal</v>
      </c>
      <c r="C554" t="str">
        <f>"Marina"</f>
        <v>Marina</v>
      </c>
      <c r="D554" t="str">
        <f>"22moneal@franklincountyschools.org"</f>
        <v>22moneal@franklincountyschools.org</v>
      </c>
      <c r="E554">
        <f>11</f>
        <v>11</v>
      </c>
    </row>
    <row r="555" spans="1:5" x14ac:dyDescent="0.25">
      <c r="A555">
        <f>1920001662</f>
        <v>1920001662</v>
      </c>
      <c r="B555" t="str">
        <f t="shared" si="8"/>
        <v>O'Neal</v>
      </c>
      <c r="C555" t="str">
        <f>"Paris"</f>
        <v>Paris</v>
      </c>
      <c r="D555" t="str">
        <f>"32poneal@franklincountyschools.org"</f>
        <v>32poneal@franklincountyschools.org</v>
      </c>
      <c r="E555" t="str">
        <f>"KG"</f>
        <v>KG</v>
      </c>
    </row>
    <row r="556" spans="1:5" x14ac:dyDescent="0.25">
      <c r="A556">
        <f>1920001864</f>
        <v>1920001864</v>
      </c>
      <c r="B556" t="str">
        <f>"Osteen"</f>
        <v>Osteen</v>
      </c>
      <c r="C556" t="str">
        <f>"Eli"</f>
        <v>Eli</v>
      </c>
      <c r="D556" t="str">
        <f>"34eosteen@franklincountyschools.org"</f>
        <v>34eosteen@franklincountyschools.org</v>
      </c>
      <c r="E556" t="str">
        <f>"PK"</f>
        <v>PK</v>
      </c>
    </row>
    <row r="557" spans="1:5" x14ac:dyDescent="0.25">
      <c r="A557">
        <f>1920001499</f>
        <v>1920001499</v>
      </c>
      <c r="B557" t="str">
        <f>"O'Steen"</f>
        <v>O'Steen</v>
      </c>
      <c r="C557" t="str">
        <f>"Alivia"</f>
        <v>Alivia</v>
      </c>
      <c r="D557" t="str">
        <f>"32aosteen@franklincountyschools.org"</f>
        <v>32aosteen@franklincountyschools.org</v>
      </c>
      <c r="E557" t="str">
        <f>"01"</f>
        <v>01</v>
      </c>
    </row>
    <row r="558" spans="1:5" x14ac:dyDescent="0.25">
      <c r="A558">
        <f>1909002604</f>
        <v>1909002604</v>
      </c>
      <c r="B558" t="str">
        <f>"Owens"</f>
        <v>Owens</v>
      </c>
      <c r="C558" t="str">
        <f>"Jennifer"</f>
        <v>Jennifer</v>
      </c>
      <c r="D558" t="str">
        <f>"22JOwens@franklincountyschools.org"</f>
        <v>22JOwens@franklincountyschools.org</v>
      </c>
      <c r="E558">
        <f>11</f>
        <v>11</v>
      </c>
    </row>
    <row r="559" spans="1:5" x14ac:dyDescent="0.25">
      <c r="A559">
        <f>1920001345</f>
        <v>1920001345</v>
      </c>
      <c r="B559" t="str">
        <f>"Owens"</f>
        <v>Owens</v>
      </c>
      <c r="C559" t="str">
        <f>"Stacey"</f>
        <v>Stacey</v>
      </c>
      <c r="D559" t="str">
        <f>"26SOwens@franklincountyschools.org"</f>
        <v>26SOwens@franklincountyschools.org</v>
      </c>
      <c r="E559" t="str">
        <f>"08"</f>
        <v>08</v>
      </c>
    </row>
    <row r="560" spans="1:5" x14ac:dyDescent="0.25">
      <c r="A560">
        <f>1920000093</f>
        <v>1920000093</v>
      </c>
      <c r="B560" t="str">
        <f>"Page"</f>
        <v>Page</v>
      </c>
      <c r="C560" t="str">
        <f>"Bradley"</f>
        <v>Bradley</v>
      </c>
      <c r="D560" t="str">
        <f>"25BPage@franklincountyschools.org"</f>
        <v>25BPage@franklincountyschools.org</v>
      </c>
      <c r="E560" t="str">
        <f>"08"</f>
        <v>08</v>
      </c>
    </row>
    <row r="561" spans="1:5" x14ac:dyDescent="0.25">
      <c r="A561">
        <f>1920000987</f>
        <v>1920000987</v>
      </c>
      <c r="B561" t="str">
        <f>"Page"</f>
        <v>Page</v>
      </c>
      <c r="C561" t="str">
        <f>"Daelyn"</f>
        <v>Daelyn</v>
      </c>
      <c r="D561" t="str">
        <f>"29DPage@franklincountyschools.org"</f>
        <v>29DPage@franklincountyschools.org</v>
      </c>
      <c r="E561" t="str">
        <f>"04"</f>
        <v>04</v>
      </c>
    </row>
    <row r="562" spans="1:5" x14ac:dyDescent="0.25">
      <c r="A562">
        <f>1920001212</f>
        <v>1920001212</v>
      </c>
      <c r="B562" t="str">
        <f>"Page"</f>
        <v>Page</v>
      </c>
      <c r="C562" t="str">
        <f>"Gavin"</f>
        <v>Gavin</v>
      </c>
      <c r="D562" t="str">
        <f>"26GPage@franklincountyschools.org"</f>
        <v>26GPage@franklincountyschools.org</v>
      </c>
      <c r="E562" t="str">
        <f>"07"</f>
        <v>07</v>
      </c>
    </row>
    <row r="563" spans="1:5" x14ac:dyDescent="0.25">
      <c r="A563">
        <f>1920000601</f>
        <v>1920000601</v>
      </c>
      <c r="B563" t="str">
        <f>"Parks"</f>
        <v>Parks</v>
      </c>
      <c r="C563" t="str">
        <f>"Jory"</f>
        <v>Jory</v>
      </c>
      <c r="D563" t="str">
        <f>"28JParks@franklincountyschools.org"</f>
        <v>28JParks@franklincountyschools.org</v>
      </c>
      <c r="E563" t="str">
        <f>"04"</f>
        <v>04</v>
      </c>
    </row>
    <row r="564" spans="1:5" x14ac:dyDescent="0.25">
      <c r="A564">
        <f>1910002912</f>
        <v>1910002912</v>
      </c>
      <c r="B564" t="str">
        <f>"Parks"</f>
        <v>Parks</v>
      </c>
      <c r="C564" t="str">
        <f>"Robert"</f>
        <v>Robert</v>
      </c>
      <c r="D564" t="str">
        <f>"24HParks@franklincountyschools.org"</f>
        <v>24HParks@franklincountyschools.org</v>
      </c>
      <c r="E564" t="str">
        <f>"08"</f>
        <v>08</v>
      </c>
    </row>
    <row r="565" spans="1:5" x14ac:dyDescent="0.25">
      <c r="A565">
        <f>1920002021</f>
        <v>1920002021</v>
      </c>
      <c r="B565" t="str">
        <f>"Parrish"</f>
        <v>Parrish</v>
      </c>
      <c r="C565" t="str">
        <f>"Cameron"</f>
        <v>Cameron</v>
      </c>
      <c r="D565" t="str">
        <f>"25cparrish@franklincountyschools.org"</f>
        <v>25cparrish@franklincountyschools.org</v>
      </c>
      <c r="E565" t="str">
        <f>"08"</f>
        <v>08</v>
      </c>
    </row>
    <row r="566" spans="1:5" x14ac:dyDescent="0.25">
      <c r="A566">
        <f>1920001729</f>
        <v>1920001729</v>
      </c>
      <c r="B566" t="str">
        <f>"Parrish"</f>
        <v>Parrish</v>
      </c>
      <c r="C566" t="str">
        <f>"Jaxon"</f>
        <v>Jaxon</v>
      </c>
      <c r="D566" t="str">
        <f>"33jparrish@franklincountyschools.org"</f>
        <v>33jparrish@franklincountyschools.org</v>
      </c>
      <c r="E566" t="str">
        <f>"KG"</f>
        <v>KG</v>
      </c>
    </row>
    <row r="567" spans="1:5" x14ac:dyDescent="0.25">
      <c r="A567">
        <f>1920000889</f>
        <v>1920000889</v>
      </c>
      <c r="B567" t="str">
        <f>"Pascual"</f>
        <v>Pascual</v>
      </c>
      <c r="C567" t="str">
        <f>"Teresa"</f>
        <v>Teresa</v>
      </c>
      <c r="D567" t="str">
        <f>"36TPascual@franklincountyschools.org"</f>
        <v>36TPascual@franklincountyschools.org</v>
      </c>
      <c r="E567">
        <f>10</f>
        <v>10</v>
      </c>
    </row>
    <row r="568" spans="1:5" x14ac:dyDescent="0.25">
      <c r="A568">
        <f>1920001049</f>
        <v>1920001049</v>
      </c>
      <c r="B568" t="str">
        <f>"Pascual Andres"</f>
        <v>Pascual Andres</v>
      </c>
      <c r="C568" t="str">
        <f>"Mayra"</f>
        <v>Mayra</v>
      </c>
      <c r="D568" t="str">
        <f>"30MPascualAndes@franklincountyschools.org"</f>
        <v>30MPascualAndes@franklincountyschools.org</v>
      </c>
      <c r="E568" t="str">
        <f>"03"</f>
        <v>03</v>
      </c>
    </row>
    <row r="569" spans="1:5" x14ac:dyDescent="0.25">
      <c r="A569">
        <f>1920001938</f>
        <v>1920001938</v>
      </c>
      <c r="B569" t="str">
        <f>"Pascual Juan"</f>
        <v>Pascual Juan</v>
      </c>
      <c r="C569" t="str">
        <f>"Isabela "</f>
        <v xml:space="preserve">Isabela </v>
      </c>
      <c r="D569" t="str">
        <f>"34ipascualjuan@franklincountyschools.org"</f>
        <v>34ipascualjuan@franklincountyschools.org</v>
      </c>
      <c r="E569" t="str">
        <f>"PK"</f>
        <v>PK</v>
      </c>
    </row>
    <row r="570" spans="1:5" x14ac:dyDescent="0.25">
      <c r="A570">
        <f>1920000383</f>
        <v>1920000383</v>
      </c>
      <c r="B570" t="str">
        <f>"Pascual-Juan"</f>
        <v>Pascual-Juan</v>
      </c>
      <c r="C570" t="str">
        <f>"Alex"</f>
        <v>Alex</v>
      </c>
      <c r="D570" t="str">
        <f>"28apascual@franklincountyschools.org"</f>
        <v>28apascual@franklincountyschools.org</v>
      </c>
      <c r="E570" t="str">
        <f>"04"</f>
        <v>04</v>
      </c>
    </row>
    <row r="571" spans="1:5" x14ac:dyDescent="0.25">
      <c r="A571">
        <f>1912003432</f>
        <v>1912003432</v>
      </c>
      <c r="B571" t="str">
        <f>"Pascual--Juan"</f>
        <v>Pascual--Juan</v>
      </c>
      <c r="C571" t="str">
        <f>"Rosa"</f>
        <v>Rosa</v>
      </c>
      <c r="D571" t="str">
        <f>"25RPascual--Juan@franklincountyschools.org"</f>
        <v>25RPascual--Juan@franklincountyschools.org</v>
      </c>
      <c r="E571" t="str">
        <f>"07"</f>
        <v>07</v>
      </c>
    </row>
    <row r="572" spans="1:5" x14ac:dyDescent="0.25">
      <c r="A572">
        <f>1910002956</f>
        <v>1910002956</v>
      </c>
      <c r="B572" t="str">
        <f>"Patterson"</f>
        <v>Patterson</v>
      </c>
      <c r="C572" t="str">
        <f>"Emily"</f>
        <v>Emily</v>
      </c>
      <c r="D572" t="str">
        <f>"24EPatterson@franklincountyschools.org"</f>
        <v>24EPatterson@franklincountyschools.org</v>
      </c>
      <c r="E572" t="str">
        <f>"09"</f>
        <v>09</v>
      </c>
    </row>
    <row r="573" spans="1:5" x14ac:dyDescent="0.25">
      <c r="A573">
        <f>1909002607</f>
        <v>1909002607</v>
      </c>
      <c r="B573" t="str">
        <f>"Patterson"</f>
        <v>Patterson</v>
      </c>
      <c r="C573" t="str">
        <f>"Grace"</f>
        <v>Grace</v>
      </c>
      <c r="D573" t="str">
        <f>"22GPatterson@franklincountyschools.org"</f>
        <v>22GPatterson@franklincountyschools.org</v>
      </c>
      <c r="E573">
        <f>11</f>
        <v>11</v>
      </c>
    </row>
    <row r="574" spans="1:5" x14ac:dyDescent="0.25">
      <c r="A574">
        <f>1920000990</f>
        <v>1920000990</v>
      </c>
      <c r="B574" t="str">
        <f>"Paulk"</f>
        <v>Paulk</v>
      </c>
      <c r="C574" t="str">
        <f>"Corbin"</f>
        <v>Corbin</v>
      </c>
      <c r="D574" t="str">
        <f>"30CPaulk@franklincountyschools.org"</f>
        <v>30CPaulk@franklincountyschools.org</v>
      </c>
      <c r="E574" t="str">
        <f>"03"</f>
        <v>03</v>
      </c>
    </row>
    <row r="575" spans="1:5" x14ac:dyDescent="0.25">
      <c r="A575">
        <f>1920001268</f>
        <v>1920001268</v>
      </c>
      <c r="B575" t="str">
        <f>"Pedro"</f>
        <v>Pedro</v>
      </c>
      <c r="C575" t="str">
        <f>"Micaela"</f>
        <v>Micaela</v>
      </c>
      <c r="D575" t="str">
        <f>"23MPedro@franklincountyschools.org"</f>
        <v>23MPedro@franklincountyschools.org</v>
      </c>
      <c r="E575">
        <f>10</f>
        <v>10</v>
      </c>
    </row>
    <row r="576" spans="1:5" x14ac:dyDescent="0.25">
      <c r="A576">
        <f>1920000644</f>
        <v>1920000644</v>
      </c>
      <c r="B576" t="str">
        <f>"Pelt"</f>
        <v>Pelt</v>
      </c>
      <c r="C576" t="str">
        <f>"Obie"</f>
        <v>Obie</v>
      </c>
      <c r="D576" t="str">
        <f>"30OPelt@franklincountyschools.org"</f>
        <v>30OPelt@franklincountyschools.org</v>
      </c>
      <c r="E576" t="str">
        <f>"03"</f>
        <v>03</v>
      </c>
    </row>
    <row r="577" spans="1:5" x14ac:dyDescent="0.25">
      <c r="A577">
        <f>1920000569</f>
        <v>1920000569</v>
      </c>
      <c r="B577" t="str">
        <f>"Pelt"</f>
        <v>Pelt</v>
      </c>
      <c r="C577" t="str">
        <f>"Ruby"</f>
        <v>Ruby</v>
      </c>
      <c r="D577" t="str">
        <f>"28RPelt@franklincountyschools.org"</f>
        <v>28RPelt@franklincountyschools.org</v>
      </c>
      <c r="E577" t="str">
        <f>"05"</f>
        <v>05</v>
      </c>
    </row>
    <row r="578" spans="1:5" x14ac:dyDescent="0.25">
      <c r="A578">
        <f>1920000168</f>
        <v>1920000168</v>
      </c>
      <c r="B578" t="str">
        <f>"Pemberton"</f>
        <v>Pemberton</v>
      </c>
      <c r="C578" t="str">
        <f>"Jason"</f>
        <v>Jason</v>
      </c>
      <c r="D578" t="str">
        <f>"26JPemberton@franklincountyschools.org"</f>
        <v>26JPemberton@franklincountyschools.org</v>
      </c>
      <c r="E578" t="str">
        <f>"07"</f>
        <v>07</v>
      </c>
    </row>
    <row r="579" spans="1:5" x14ac:dyDescent="0.25">
      <c r="A579">
        <f>1920001283</f>
        <v>1920001283</v>
      </c>
      <c r="B579" t="str">
        <f>"Pierce"</f>
        <v>Pierce</v>
      </c>
      <c r="C579" t="str">
        <f>"Joe"</f>
        <v>Joe</v>
      </c>
      <c r="D579" t="str">
        <f>"29JPierce@franklincountyschools.org"</f>
        <v>29JPierce@franklincountyschools.org</v>
      </c>
      <c r="E579" t="str">
        <f>"04"</f>
        <v>04</v>
      </c>
    </row>
    <row r="580" spans="1:5" x14ac:dyDescent="0.25">
      <c r="A580">
        <f>1920001282</f>
        <v>1920001282</v>
      </c>
      <c r="B580" t="str">
        <f>"Pierce"</f>
        <v>Pierce</v>
      </c>
      <c r="C580" t="str">
        <f>"Leigha"</f>
        <v>Leigha</v>
      </c>
      <c r="D580" t="str">
        <f>"30LPierce@franklincountyschools.org"</f>
        <v>30LPierce@franklincountyschools.org</v>
      </c>
      <c r="E580" t="str">
        <f>"02"</f>
        <v>02</v>
      </c>
    </row>
    <row r="581" spans="1:5" x14ac:dyDescent="0.25">
      <c r="A581">
        <f>1920001281</f>
        <v>1920001281</v>
      </c>
      <c r="B581" t="str">
        <f>"Pierce"</f>
        <v>Pierce</v>
      </c>
      <c r="C581" t="str">
        <f>"Thomas"</f>
        <v>Thomas</v>
      </c>
      <c r="D581" t="str">
        <f>"25TPierce@franklincountyschools.org"</f>
        <v>25TPierce@franklincountyschools.org</v>
      </c>
      <c r="E581" t="str">
        <f>"08"</f>
        <v>08</v>
      </c>
    </row>
    <row r="582" spans="1:5" x14ac:dyDescent="0.25">
      <c r="A582">
        <f>1910002812</f>
        <v>1910002812</v>
      </c>
      <c r="B582" t="str">
        <f>"Poloronis"</f>
        <v>Poloronis</v>
      </c>
      <c r="C582" t="str">
        <f>"Timothy"</f>
        <v>Timothy</v>
      </c>
      <c r="D582" t="str">
        <f>"23tpoloronis@franklincountyschools.org"</f>
        <v>23tpoloronis@franklincountyschools.org</v>
      </c>
      <c r="E582">
        <f>10</f>
        <v>10</v>
      </c>
    </row>
    <row r="583" spans="1:5" x14ac:dyDescent="0.25">
      <c r="A583">
        <f>1909002608</f>
        <v>1909002608</v>
      </c>
      <c r="B583" t="str">
        <f t="shared" ref="B583:B588" si="9">"Polous"</f>
        <v>Polous</v>
      </c>
      <c r="C583" t="str">
        <f>"Brendon"</f>
        <v>Brendon</v>
      </c>
      <c r="D583" t="str">
        <f>"22bpolous@franklincountyschools.org"</f>
        <v>22bpolous@franklincountyschools.org</v>
      </c>
      <c r="E583">
        <f>11</f>
        <v>11</v>
      </c>
    </row>
    <row r="584" spans="1:5" x14ac:dyDescent="0.25">
      <c r="A584">
        <f>1910002774</f>
        <v>1910002774</v>
      </c>
      <c r="B584" t="str">
        <f t="shared" si="9"/>
        <v>Polous</v>
      </c>
      <c r="C584" t="str">
        <f>"Cole"</f>
        <v>Cole</v>
      </c>
      <c r="D584" t="str">
        <f>"24CPolous@franklincountyschools.org"</f>
        <v>24CPolous@franklincountyschools.org</v>
      </c>
      <c r="E584" t="str">
        <f>"09"</f>
        <v>09</v>
      </c>
    </row>
    <row r="585" spans="1:5" x14ac:dyDescent="0.25">
      <c r="A585">
        <f>1920000856</f>
        <v>1920000856</v>
      </c>
      <c r="B585" t="str">
        <f t="shared" si="9"/>
        <v>Polous</v>
      </c>
      <c r="C585" t="str">
        <f>"Jackson"</f>
        <v>Jackson</v>
      </c>
      <c r="D585" t="str">
        <f>"30JPolous@franklincountyschools.org"</f>
        <v>30JPolous@franklincountyschools.org</v>
      </c>
      <c r="E585" t="str">
        <f>"03"</f>
        <v>03</v>
      </c>
    </row>
    <row r="586" spans="1:5" x14ac:dyDescent="0.25">
      <c r="A586">
        <f>1920001123</f>
        <v>1920001123</v>
      </c>
      <c r="B586" t="str">
        <f t="shared" si="9"/>
        <v>Polous</v>
      </c>
      <c r="C586" t="str">
        <f>"Joshua"</f>
        <v>Joshua</v>
      </c>
      <c r="D586" t="str">
        <f>"32jpolous@franklincountyschools.org"</f>
        <v>32jpolous@franklincountyschools.org</v>
      </c>
      <c r="E586" t="str">
        <f>"01"</f>
        <v>01</v>
      </c>
    </row>
    <row r="587" spans="1:5" x14ac:dyDescent="0.25">
      <c r="A587">
        <f>1920000557</f>
        <v>1920000557</v>
      </c>
      <c r="B587" t="str">
        <f t="shared" si="9"/>
        <v>Polous</v>
      </c>
      <c r="C587" t="str">
        <f>"Kaytlyn"</f>
        <v>Kaytlyn</v>
      </c>
      <c r="D587" t="str">
        <f>"28KPolous@franklincountyschools.org"</f>
        <v>28KPolous@franklincountyschools.org</v>
      </c>
      <c r="E587" t="str">
        <f>"05"</f>
        <v>05</v>
      </c>
    </row>
    <row r="588" spans="1:5" x14ac:dyDescent="0.25">
      <c r="A588">
        <f>1920000403</f>
        <v>1920000403</v>
      </c>
      <c r="B588" t="str">
        <f t="shared" si="9"/>
        <v>Polous</v>
      </c>
      <c r="C588" t="str">
        <f>"Sienna"</f>
        <v>Sienna</v>
      </c>
      <c r="D588" t="str">
        <f>"27SPolous@franklincountyschools.org"</f>
        <v>27SPolous@franklincountyschools.org</v>
      </c>
      <c r="E588" t="str">
        <f>"06"</f>
        <v>06</v>
      </c>
    </row>
    <row r="589" spans="1:5" x14ac:dyDescent="0.25">
      <c r="A589">
        <f>1920001587</f>
        <v>1920001587</v>
      </c>
      <c r="B589" t="str">
        <f>"Pouncey"</f>
        <v>Pouncey</v>
      </c>
      <c r="C589" t="str">
        <f>"Easton"</f>
        <v>Easton</v>
      </c>
      <c r="D589" t="str">
        <f>"33epouncey@franklincountyschools.org"</f>
        <v>33epouncey@franklincountyschools.org</v>
      </c>
      <c r="E589" t="str">
        <f>"KG"</f>
        <v>KG</v>
      </c>
    </row>
    <row r="590" spans="1:5" x14ac:dyDescent="0.25">
      <c r="A590">
        <f>1920001010</f>
        <v>1920001010</v>
      </c>
      <c r="B590" t="str">
        <f>"Pouncey"</f>
        <v>Pouncey</v>
      </c>
      <c r="C590" t="str">
        <f>"Serenity"</f>
        <v>Serenity</v>
      </c>
      <c r="D590" t="str">
        <f>"31spouncey@franklincountyschools.org"</f>
        <v>31spouncey@franklincountyschools.org</v>
      </c>
      <c r="E590" t="str">
        <f>"02"</f>
        <v>02</v>
      </c>
    </row>
    <row r="591" spans="1:5" x14ac:dyDescent="0.25">
      <c r="A591">
        <f>1920001767</f>
        <v>1920001767</v>
      </c>
      <c r="B591" t="str">
        <f>"Powell"</f>
        <v>Powell</v>
      </c>
      <c r="C591" t="str">
        <f>"Jaydyn"</f>
        <v>Jaydyn</v>
      </c>
      <c r="D591" t="str">
        <f>"33jpowell@franklincountyschools.org"</f>
        <v>33jpowell@franklincountyschools.org</v>
      </c>
      <c r="E591" t="str">
        <f>"KG"</f>
        <v>KG</v>
      </c>
    </row>
    <row r="592" spans="1:5" x14ac:dyDescent="0.25">
      <c r="A592">
        <f>1920001331</f>
        <v>1920001331</v>
      </c>
      <c r="B592" t="str">
        <f>"Price"</f>
        <v>Price</v>
      </c>
      <c r="C592" t="str">
        <f>"Isabella"</f>
        <v>Isabella</v>
      </c>
      <c r="D592" t="str">
        <f>"27IPrice@franklincountyschools.org"</f>
        <v>27IPrice@franklincountyschools.org</v>
      </c>
      <c r="E592" t="str">
        <f>"06"</f>
        <v>06</v>
      </c>
    </row>
    <row r="593" spans="1:5" x14ac:dyDescent="0.25">
      <c r="A593">
        <f>1920001712</f>
        <v>1920001712</v>
      </c>
      <c r="B593" t="str">
        <f>"Price"</f>
        <v>Price</v>
      </c>
      <c r="C593" t="str">
        <f>"Robert"</f>
        <v>Robert</v>
      </c>
      <c r="D593" t="str">
        <f>"33rprice@franklincountyschools.org"</f>
        <v>33rprice@franklincountyschools.org</v>
      </c>
      <c r="E593" t="str">
        <f>"KG"</f>
        <v>KG</v>
      </c>
    </row>
    <row r="594" spans="1:5" x14ac:dyDescent="0.25">
      <c r="A594">
        <f>1910002775</f>
        <v>1910002775</v>
      </c>
      <c r="B594" t="str">
        <f>"Prince"</f>
        <v>Prince</v>
      </c>
      <c r="C594" t="str">
        <f>"Jaylan"</f>
        <v>Jaylan</v>
      </c>
      <c r="D594" t="str">
        <f>"23JPrince@franklincountyschools.org"</f>
        <v>23JPrince@franklincountyschools.org</v>
      </c>
      <c r="E594">
        <f>10</f>
        <v>10</v>
      </c>
    </row>
    <row r="595" spans="1:5" x14ac:dyDescent="0.25">
      <c r="A595">
        <f>1911003155</f>
        <v>1911003155</v>
      </c>
      <c r="B595" t="str">
        <f>"Pritchard"</f>
        <v>Pritchard</v>
      </c>
      <c r="C595" t="str">
        <f>"Corbin"</f>
        <v>Corbin</v>
      </c>
      <c r="D595" t="str">
        <f>"24CPritchard@franklincountyschools.org"</f>
        <v>24CPritchard@franklincountyschools.org</v>
      </c>
      <c r="E595" t="str">
        <f>"09"</f>
        <v>09</v>
      </c>
    </row>
    <row r="596" spans="1:5" x14ac:dyDescent="0.25">
      <c r="A596">
        <f>1920000532</f>
        <v>1920000532</v>
      </c>
      <c r="B596" t="str">
        <f>"Pritchard"</f>
        <v>Pritchard</v>
      </c>
      <c r="C596" t="str">
        <f>"Hannah"</f>
        <v>Hannah</v>
      </c>
      <c r="D596" t="str">
        <f>"27HPritchard@franklincountyschools.org"</f>
        <v>27HPritchard@franklincountyschools.org</v>
      </c>
      <c r="E596" t="str">
        <f>"06"</f>
        <v>06</v>
      </c>
    </row>
    <row r="597" spans="1:5" x14ac:dyDescent="0.25">
      <c r="A597">
        <f>1911003156</f>
        <v>1911003156</v>
      </c>
      <c r="B597" t="str">
        <f>"Proctor"</f>
        <v>Proctor</v>
      </c>
      <c r="C597" t="str">
        <f>"Terry"</f>
        <v>Terry</v>
      </c>
      <c r="D597" t="str">
        <f>"24TProctor@franklincountyschools.org"</f>
        <v>24TProctor@franklincountyschools.org</v>
      </c>
      <c r="E597" t="str">
        <f>"09"</f>
        <v>09</v>
      </c>
    </row>
    <row r="598" spans="1:5" x14ac:dyDescent="0.25">
      <c r="A598">
        <f>1920000522</f>
        <v>1920000522</v>
      </c>
      <c r="B598" t="str">
        <f>"Putnal"</f>
        <v>Putnal</v>
      </c>
      <c r="C598" t="str">
        <f>"Ethan"</f>
        <v>Ethan</v>
      </c>
      <c r="D598" t="str">
        <f>"23EPutnal@franklincountyschools.org"</f>
        <v>23EPutnal@franklincountyschools.org</v>
      </c>
      <c r="E598" t="str">
        <f>"09"</f>
        <v>09</v>
      </c>
    </row>
    <row r="599" spans="1:5" x14ac:dyDescent="0.25">
      <c r="A599">
        <f>1920001458</f>
        <v>1920001458</v>
      </c>
      <c r="B599" t="str">
        <f>"Putnal"</f>
        <v>Putnal</v>
      </c>
      <c r="C599" t="str">
        <f>"Finleigh"</f>
        <v>Finleigh</v>
      </c>
      <c r="D599" t="str">
        <f>"33fputnal@franklincountyschools.org"</f>
        <v>33fputnal@franklincountyschools.org</v>
      </c>
      <c r="E599" t="str">
        <f>"KG"</f>
        <v>KG</v>
      </c>
    </row>
    <row r="600" spans="1:5" x14ac:dyDescent="0.25">
      <c r="A600">
        <f>1920001923</f>
        <v>1920001923</v>
      </c>
      <c r="B600" t="str">
        <f>"Putnal"</f>
        <v>Putnal</v>
      </c>
      <c r="C600" t="str">
        <f>"Sailor"</f>
        <v>Sailor</v>
      </c>
      <c r="D600" t="str">
        <f>"34sputnal@franklincountyschools.org"</f>
        <v>34sputnal@franklincountyschools.org</v>
      </c>
      <c r="E600" t="str">
        <f>"PK"</f>
        <v>PK</v>
      </c>
    </row>
    <row r="601" spans="1:5" x14ac:dyDescent="0.25">
      <c r="A601">
        <f>1920000170</f>
        <v>1920000170</v>
      </c>
      <c r="B601" t="str">
        <f>"Raffield"</f>
        <v>Raffield</v>
      </c>
      <c r="C601" t="str">
        <f>"Ashlynn"</f>
        <v>Ashlynn</v>
      </c>
      <c r="D601" t="str">
        <f>"26ARaffield@franklincountyschools.org"</f>
        <v>26ARaffield@franklincountyschools.org</v>
      </c>
      <c r="E601" t="str">
        <f>"07"</f>
        <v>07</v>
      </c>
    </row>
    <row r="602" spans="1:5" x14ac:dyDescent="0.25">
      <c r="A602">
        <f>1920001118</f>
        <v>1920001118</v>
      </c>
      <c r="B602" t="str">
        <f>"Ramey"</f>
        <v>Ramey</v>
      </c>
      <c r="C602" t="str">
        <f>"Nevaeh"</f>
        <v>Nevaeh</v>
      </c>
      <c r="D602" t="str">
        <f>"31nramey@franklincountyschools.org"</f>
        <v>31nramey@franklincountyschools.org</v>
      </c>
      <c r="E602" t="str">
        <f>"02"</f>
        <v>02</v>
      </c>
    </row>
    <row r="603" spans="1:5" x14ac:dyDescent="0.25">
      <c r="A603">
        <f>1910002776</f>
        <v>1910002776</v>
      </c>
      <c r="B603" t="str">
        <f>"Ramirez"</f>
        <v>Ramirez</v>
      </c>
      <c r="C603" t="str">
        <f>"Luis"</f>
        <v>Luis</v>
      </c>
      <c r="D603" t="str">
        <f>"23LRamirez@franklincountyschools.org"</f>
        <v>23LRamirez@franklincountyschools.org</v>
      </c>
      <c r="E603">
        <f>10</f>
        <v>10</v>
      </c>
    </row>
    <row r="604" spans="1:5" x14ac:dyDescent="0.25">
      <c r="A604">
        <f>1920002050</f>
        <v>1920002050</v>
      </c>
      <c r="B604" t="str">
        <f>"Rector"</f>
        <v>Rector</v>
      </c>
      <c r="C604" t="str">
        <f>"Dylan"</f>
        <v>Dylan</v>
      </c>
      <c r="D604" t="str">
        <f>"24drector@franklincountyschools.org"</f>
        <v>24drector@franklincountyschools.org</v>
      </c>
      <c r="E604" t="str">
        <f>"09"</f>
        <v>09</v>
      </c>
    </row>
    <row r="605" spans="1:5" x14ac:dyDescent="0.25">
      <c r="A605">
        <f>1920002053</f>
        <v>1920002053</v>
      </c>
      <c r="B605" t="str">
        <f>"RECTOR"</f>
        <v>RECTOR</v>
      </c>
      <c r="C605" t="str">
        <f>"SYDNI"</f>
        <v>SYDNI</v>
      </c>
      <c r="D605" t="str">
        <f>"30srector@franklincountyschools.org"</f>
        <v>30srector@franklincountyschools.org</v>
      </c>
      <c r="E605" t="str">
        <f>"03"</f>
        <v>03</v>
      </c>
    </row>
    <row r="606" spans="1:5" x14ac:dyDescent="0.25">
      <c r="A606">
        <f>1910002818</f>
        <v>1910002818</v>
      </c>
      <c r="B606" t="str">
        <f>"Register"</f>
        <v>Register</v>
      </c>
      <c r="C606" t="str">
        <f>"Amanda"</f>
        <v>Amanda</v>
      </c>
      <c r="D606" t="str">
        <f>"23aregister@franklincountyschools.org"</f>
        <v>23aregister@franklincountyschools.org</v>
      </c>
      <c r="E606">
        <f>10</f>
        <v>10</v>
      </c>
    </row>
    <row r="607" spans="1:5" x14ac:dyDescent="0.25">
      <c r="A607">
        <f>1907002087</f>
        <v>1907002087</v>
      </c>
      <c r="B607" t="str">
        <f>"Rester"</f>
        <v>Rester</v>
      </c>
      <c r="C607" t="str">
        <f>"Clinton"</f>
        <v>Clinton</v>
      </c>
      <c r="D607" t="str">
        <f>"21crester@franklincountyschools.org"</f>
        <v>21crester@franklincountyschools.org</v>
      </c>
      <c r="E607">
        <f>11</f>
        <v>11</v>
      </c>
    </row>
    <row r="608" spans="1:5" x14ac:dyDescent="0.25">
      <c r="A608">
        <f>1909002609</f>
        <v>1909002609</v>
      </c>
      <c r="B608" t="str">
        <f>"Rhodes"</f>
        <v>Rhodes</v>
      </c>
      <c r="C608" t="str">
        <f>"Jaidyn"</f>
        <v>Jaidyn</v>
      </c>
      <c r="D608" t="str">
        <f>"23JRhodes@franklincountyschools.org"</f>
        <v>23JRhodes@franklincountyschools.org</v>
      </c>
      <c r="E608">
        <f>10</f>
        <v>10</v>
      </c>
    </row>
    <row r="609" spans="1:5" x14ac:dyDescent="0.25">
      <c r="A609">
        <f>1909002715</f>
        <v>1909002715</v>
      </c>
      <c r="B609" t="str">
        <f>"Richards"</f>
        <v>Richards</v>
      </c>
      <c r="C609" t="str">
        <f>"Jaydann"</f>
        <v>Jaydann</v>
      </c>
      <c r="D609" t="str">
        <f>"24JRichards@franklincountyschools.org"</f>
        <v>24JRichards@franklincountyschools.org</v>
      </c>
      <c r="E609" t="str">
        <f>"09"</f>
        <v>09</v>
      </c>
    </row>
    <row r="610" spans="1:5" x14ac:dyDescent="0.25">
      <c r="A610">
        <f>1909002611</f>
        <v>1909002611</v>
      </c>
      <c r="B610" t="str">
        <f>"Richards"</f>
        <v>Richards</v>
      </c>
      <c r="C610" t="str">
        <f>"K'laun"</f>
        <v>K'laun</v>
      </c>
      <c r="D610" t="str">
        <f>"22KRichards@franklincountyschools.org"</f>
        <v>22KRichards@franklincountyschools.org</v>
      </c>
      <c r="E610">
        <f>10</f>
        <v>10</v>
      </c>
    </row>
    <row r="611" spans="1:5" x14ac:dyDescent="0.25">
      <c r="A611">
        <f>1920000858</f>
        <v>1920000858</v>
      </c>
      <c r="B611" t="str">
        <f>"Richards"</f>
        <v>Richards</v>
      </c>
      <c r="C611" t="str">
        <f>"Knowledge"</f>
        <v>Knowledge</v>
      </c>
      <c r="D611" t="str">
        <f>"30KRichards@franklincountyschools.org"</f>
        <v>30KRichards@franklincountyschools.org</v>
      </c>
      <c r="E611" t="str">
        <f>"03"</f>
        <v>03</v>
      </c>
    </row>
    <row r="612" spans="1:5" x14ac:dyDescent="0.25">
      <c r="A612">
        <f>1920000407</f>
        <v>1920000407</v>
      </c>
      <c r="B612" t="str">
        <f>"Richards"</f>
        <v>Richards</v>
      </c>
      <c r="C612" t="str">
        <f>"Madysann"</f>
        <v>Madysann</v>
      </c>
      <c r="D612" t="str">
        <f>"27MRichards@franklincountyschools.org"</f>
        <v>27MRichards@franklincountyschools.org</v>
      </c>
      <c r="E612" t="str">
        <f>"06"</f>
        <v>06</v>
      </c>
    </row>
    <row r="613" spans="1:5" x14ac:dyDescent="0.25">
      <c r="A613">
        <f>1920000707</f>
        <v>1920000707</v>
      </c>
      <c r="B613" t="str">
        <f>"Richardson"</f>
        <v>Richardson</v>
      </c>
      <c r="C613" t="str">
        <f>"Alaijah"</f>
        <v>Alaijah</v>
      </c>
      <c r="D613" t="str">
        <f>"29ARichardson@franklincountyschools.org"</f>
        <v>29ARichardson@franklincountyschools.org</v>
      </c>
      <c r="E613" t="str">
        <f>"04"</f>
        <v>04</v>
      </c>
    </row>
    <row r="614" spans="1:5" x14ac:dyDescent="0.25">
      <c r="A614">
        <f>1920000273</f>
        <v>1920000273</v>
      </c>
      <c r="B614" t="str">
        <f>"Rickards"</f>
        <v>Rickards</v>
      </c>
      <c r="C614" t="str">
        <f>"Annabella"</f>
        <v>Annabella</v>
      </c>
      <c r="D614" t="str">
        <f>"28ARickards@franklincountyschools.org"</f>
        <v>28ARickards@franklincountyschools.org</v>
      </c>
      <c r="E614" t="str">
        <f>"05"</f>
        <v>05</v>
      </c>
    </row>
    <row r="615" spans="1:5" x14ac:dyDescent="0.25">
      <c r="A615">
        <f>1920000408</f>
        <v>1920000408</v>
      </c>
      <c r="B615" t="str">
        <f>"Rickards"</f>
        <v>Rickards</v>
      </c>
      <c r="C615" t="str">
        <f>"Issabella"</f>
        <v>Issabella</v>
      </c>
      <c r="D615" t="str">
        <f>"28IRickards@franklincountyschools.org"</f>
        <v>28IRickards@franklincountyschools.org</v>
      </c>
      <c r="E615" t="str">
        <f>"05"</f>
        <v>05</v>
      </c>
    </row>
    <row r="616" spans="1:5" x14ac:dyDescent="0.25">
      <c r="A616">
        <f>1920001105</f>
        <v>1920001105</v>
      </c>
      <c r="B616" t="str">
        <f>"Riley"</f>
        <v>Riley</v>
      </c>
      <c r="C616" t="str">
        <f>"Madalynn"</f>
        <v>Madalynn</v>
      </c>
      <c r="D616" t="str">
        <f>"28MRiley@franklincountyschools.org"</f>
        <v>28MRiley@franklincountyschools.org</v>
      </c>
      <c r="E616" t="str">
        <f>"05"</f>
        <v>05</v>
      </c>
    </row>
    <row r="617" spans="1:5" x14ac:dyDescent="0.25">
      <c r="A617">
        <f>1911003227</f>
        <v>1911003227</v>
      </c>
      <c r="B617" t="str">
        <f>"Robbins"</f>
        <v>Robbins</v>
      </c>
      <c r="C617" t="str">
        <f>"Kaitlin"</f>
        <v>Kaitlin</v>
      </c>
      <c r="D617" t="str">
        <f>"22kaitlinrobbins@franklincountyschools.org"</f>
        <v>22kaitlinrobbins@franklincountyschools.org</v>
      </c>
      <c r="E617">
        <f>11</f>
        <v>11</v>
      </c>
    </row>
    <row r="618" spans="1:5" x14ac:dyDescent="0.25">
      <c r="A618">
        <f>1909002668</f>
        <v>1909002668</v>
      </c>
      <c r="B618" t="str">
        <f>"Roberts"</f>
        <v>Roberts</v>
      </c>
      <c r="C618" t="str">
        <f>"Anthony"</f>
        <v>Anthony</v>
      </c>
      <c r="D618" t="str">
        <f>"24lRoberts@franklincountyschools.org"</f>
        <v>24lRoberts@franklincountyschools.org</v>
      </c>
      <c r="E618" t="str">
        <f>"09"</f>
        <v>09</v>
      </c>
    </row>
    <row r="619" spans="1:5" x14ac:dyDescent="0.25">
      <c r="A619">
        <f>1920000772</f>
        <v>1920000772</v>
      </c>
      <c r="B619" t="str">
        <f>"Roberts"</f>
        <v>Roberts</v>
      </c>
      <c r="C619" t="str">
        <f>"Camden"</f>
        <v>Camden</v>
      </c>
      <c r="D619" t="str">
        <f>"29CRoberts@franklincountyschools.org"</f>
        <v>29CRoberts@franklincountyschools.org</v>
      </c>
      <c r="E619" t="str">
        <f>"04"</f>
        <v>04</v>
      </c>
    </row>
    <row r="620" spans="1:5" x14ac:dyDescent="0.25">
      <c r="A620">
        <f>1920001677</f>
        <v>1920001677</v>
      </c>
      <c r="B620" t="str">
        <f>"Roberts"</f>
        <v>Roberts</v>
      </c>
      <c r="C620" t="str">
        <f>"Kenya"</f>
        <v>Kenya</v>
      </c>
      <c r="D620" t="str">
        <f>"34kroberts@franklincountyschools.org"</f>
        <v>34kroberts@franklincountyschools.org</v>
      </c>
      <c r="E620" t="str">
        <f>"PK"</f>
        <v>PK</v>
      </c>
    </row>
    <row r="621" spans="1:5" x14ac:dyDescent="0.25">
      <c r="A621">
        <f>1920001205</f>
        <v>1920001205</v>
      </c>
      <c r="B621" t="str">
        <f>"Roberts"</f>
        <v>Roberts</v>
      </c>
      <c r="C621" t="str">
        <f>"Waylon"</f>
        <v>Waylon</v>
      </c>
      <c r="D621" t="str">
        <f>"30WRoberts@franklincountyschools.org"</f>
        <v>30WRoberts@franklincountyschools.org</v>
      </c>
      <c r="E621" t="str">
        <f>"03"</f>
        <v>03</v>
      </c>
    </row>
    <row r="622" spans="1:5" x14ac:dyDescent="0.25">
      <c r="A622">
        <f>1920002011</f>
        <v>1920002011</v>
      </c>
      <c r="B622" t="str">
        <f>"Robinson"</f>
        <v>Robinson</v>
      </c>
      <c r="C622" t="str">
        <f>"Deniyah"</f>
        <v>Deniyah</v>
      </c>
      <c r="D622" t="str">
        <f>"33drobinson@franklincountyschools.org"</f>
        <v>33drobinson@franklincountyschools.org</v>
      </c>
      <c r="E622" t="str">
        <f>"KG"</f>
        <v>KG</v>
      </c>
    </row>
    <row r="623" spans="1:5" x14ac:dyDescent="0.25">
      <c r="A623">
        <f>1909002613</f>
        <v>1909002613</v>
      </c>
      <c r="B623" t="str">
        <f>"Robinson"</f>
        <v>Robinson</v>
      </c>
      <c r="C623" t="str">
        <f>"Jamal"</f>
        <v>Jamal</v>
      </c>
      <c r="D623" t="str">
        <f>"22jrobinson@franklincountyschools.org"</f>
        <v>22jrobinson@franklincountyschools.org</v>
      </c>
      <c r="E623">
        <f>11</f>
        <v>11</v>
      </c>
    </row>
    <row r="624" spans="1:5" x14ac:dyDescent="0.25">
      <c r="A624">
        <f>1920001146</f>
        <v>1920001146</v>
      </c>
      <c r="B624" t="str">
        <f t="shared" ref="B624:B631" si="10">"Rotella"</f>
        <v>Rotella</v>
      </c>
      <c r="C624" t="str">
        <f>"Braxton "</f>
        <v xml:space="preserve">Braxton </v>
      </c>
      <c r="D624" t="str">
        <f>"31brotella@franklincountyschools.org"</f>
        <v>31brotella@franklincountyschools.org</v>
      </c>
      <c r="E624" t="str">
        <f>"02"</f>
        <v>02</v>
      </c>
    </row>
    <row r="625" spans="1:5" x14ac:dyDescent="0.25">
      <c r="A625">
        <f>1920000611</f>
        <v>1920000611</v>
      </c>
      <c r="B625" t="str">
        <f t="shared" si="10"/>
        <v>Rotella</v>
      </c>
      <c r="C625" t="str">
        <f>"Cheyenne"</f>
        <v>Cheyenne</v>
      </c>
      <c r="D625" t="str">
        <f>"29CRotella@franklincountyschools.org"</f>
        <v>29CRotella@franklincountyschools.org</v>
      </c>
      <c r="E625" t="str">
        <f>"04"</f>
        <v>04</v>
      </c>
    </row>
    <row r="626" spans="1:5" x14ac:dyDescent="0.25">
      <c r="A626">
        <f>1912003518</f>
        <v>1912003518</v>
      </c>
      <c r="B626" t="str">
        <f t="shared" si="10"/>
        <v>Rotella</v>
      </c>
      <c r="C626" t="str">
        <f>"Dominick"</f>
        <v>Dominick</v>
      </c>
      <c r="D626" t="str">
        <f>"28DRotella@franklincountyschools.org"</f>
        <v>28DRotella@franklincountyschools.org</v>
      </c>
      <c r="E626" t="str">
        <f>"04"</f>
        <v>04</v>
      </c>
    </row>
    <row r="627" spans="1:5" x14ac:dyDescent="0.25">
      <c r="A627">
        <f>1920000801</f>
        <v>1920000801</v>
      </c>
      <c r="B627" t="str">
        <f t="shared" si="10"/>
        <v>Rotella</v>
      </c>
      <c r="C627" t="str">
        <f>"Lilly"</f>
        <v>Lilly</v>
      </c>
      <c r="D627" t="str">
        <f>"29LRotella@franklincountyschools.org"</f>
        <v>29LRotella@franklincountyschools.org</v>
      </c>
      <c r="E627" t="str">
        <f>"04"</f>
        <v>04</v>
      </c>
    </row>
    <row r="628" spans="1:5" x14ac:dyDescent="0.25">
      <c r="A628">
        <f>1911003164</f>
        <v>1911003164</v>
      </c>
      <c r="B628" t="str">
        <f t="shared" si="10"/>
        <v>Rotella</v>
      </c>
      <c r="C628" t="str">
        <f>"Nathan"</f>
        <v>Nathan</v>
      </c>
      <c r="D628" t="str">
        <f>"25NRotella@franklincountyschools.org"</f>
        <v>25NRotella@franklincountyschools.org</v>
      </c>
      <c r="E628" t="str">
        <f>"08"</f>
        <v>08</v>
      </c>
    </row>
    <row r="629" spans="1:5" x14ac:dyDescent="0.25">
      <c r="A629">
        <f>1910002777</f>
        <v>1910002777</v>
      </c>
      <c r="B629" t="str">
        <f t="shared" si="10"/>
        <v>Rotella</v>
      </c>
      <c r="C629" t="str">
        <f>"Roscoe"</f>
        <v>Roscoe</v>
      </c>
      <c r="D629" t="str">
        <f>"23RRotella@franklincountyschools.org"</f>
        <v>23RRotella@franklincountyschools.org</v>
      </c>
      <c r="E629" t="str">
        <f>"09"</f>
        <v>09</v>
      </c>
    </row>
    <row r="630" spans="1:5" x14ac:dyDescent="0.25">
      <c r="A630">
        <f>1912003419</f>
        <v>1912003419</v>
      </c>
      <c r="B630" t="str">
        <f t="shared" si="10"/>
        <v>Rotella</v>
      </c>
      <c r="C630" t="str">
        <f>"Shelby"</f>
        <v>Shelby</v>
      </c>
      <c r="D630" t="str">
        <f>"25SRotella@franklincountyschools.org"</f>
        <v>25SRotella@franklincountyschools.org</v>
      </c>
      <c r="E630" t="str">
        <f>"08"</f>
        <v>08</v>
      </c>
    </row>
    <row r="631" spans="1:5" x14ac:dyDescent="0.25">
      <c r="A631">
        <f>1920000392</f>
        <v>1920000392</v>
      </c>
      <c r="B631" t="str">
        <f t="shared" si="10"/>
        <v>Rotella</v>
      </c>
      <c r="C631" t="str">
        <f>"Smoky"</f>
        <v>Smoky</v>
      </c>
      <c r="D631" t="str">
        <f>"27SRotella@franklincountyschools.org"</f>
        <v>27SRotella@franklincountyschools.org</v>
      </c>
      <c r="E631" t="str">
        <f>"06"</f>
        <v>06</v>
      </c>
    </row>
    <row r="632" spans="1:5" x14ac:dyDescent="0.25">
      <c r="A632">
        <f>1920001658</f>
        <v>1920001658</v>
      </c>
      <c r="B632" t="str">
        <f>"Rudd"</f>
        <v>Rudd</v>
      </c>
      <c r="C632" t="str">
        <f>"Cathryn"</f>
        <v>Cathryn</v>
      </c>
      <c r="D632" t="str">
        <f>"32crudd@franklincountyschools.org"</f>
        <v>32crudd@franklincountyschools.org</v>
      </c>
      <c r="E632" t="str">
        <f>"01"</f>
        <v>01</v>
      </c>
    </row>
    <row r="633" spans="1:5" x14ac:dyDescent="0.25">
      <c r="A633">
        <f>1910002859</f>
        <v>1910002859</v>
      </c>
      <c r="B633" t="str">
        <f>"Rudd"</f>
        <v>Rudd</v>
      </c>
      <c r="C633" t="str">
        <f>"Kylie"</f>
        <v>Kylie</v>
      </c>
      <c r="D633" t="str">
        <f>"23krudd@franklincountyschools.org"</f>
        <v>23krudd@franklincountyschools.org</v>
      </c>
      <c r="E633">
        <f>10</f>
        <v>10</v>
      </c>
    </row>
    <row r="634" spans="1:5" x14ac:dyDescent="0.25">
      <c r="A634">
        <f>1909002615</f>
        <v>1909002615</v>
      </c>
      <c r="B634" t="str">
        <f>"Rudd"</f>
        <v>Rudd</v>
      </c>
      <c r="C634" t="str">
        <f>"Rachel"</f>
        <v>Rachel</v>
      </c>
      <c r="D634" t="str">
        <f>"22RRudd@franklincountyschools.org"</f>
        <v>22RRudd@franklincountyschools.org</v>
      </c>
      <c r="E634">
        <f>11</f>
        <v>11</v>
      </c>
    </row>
    <row r="635" spans="1:5" x14ac:dyDescent="0.25">
      <c r="A635">
        <f>1920000291</f>
        <v>1920000291</v>
      </c>
      <c r="B635" t="str">
        <f>"Russ"</f>
        <v>Russ</v>
      </c>
      <c r="C635" t="str">
        <f>"Jeromiah"</f>
        <v>Jeromiah</v>
      </c>
      <c r="D635" t="str">
        <f>"27JRuss@franklincountyschools.org"</f>
        <v>27JRuss@franklincountyschools.org</v>
      </c>
      <c r="E635" t="str">
        <f>"06"</f>
        <v>06</v>
      </c>
    </row>
    <row r="636" spans="1:5" x14ac:dyDescent="0.25">
      <c r="A636">
        <f>1920001666</f>
        <v>1920001666</v>
      </c>
      <c r="B636" t="str">
        <f t="shared" ref="B636:B641" si="11">"Russell"</f>
        <v>Russell</v>
      </c>
      <c r="C636" t="str">
        <f>"Audri"</f>
        <v>Audri</v>
      </c>
      <c r="D636" t="str">
        <f>"32arussell@franklincountyschools.org"</f>
        <v>32arussell@franklincountyschools.org</v>
      </c>
      <c r="E636" t="str">
        <f>"01"</f>
        <v>01</v>
      </c>
    </row>
    <row r="637" spans="1:5" x14ac:dyDescent="0.25">
      <c r="A637">
        <f>1911003255</f>
        <v>1911003255</v>
      </c>
      <c r="B637" t="str">
        <f t="shared" si="11"/>
        <v>Russell</v>
      </c>
      <c r="C637" t="str">
        <f>"Christopher"</f>
        <v>Christopher</v>
      </c>
      <c r="D637" t="str">
        <f>"25CRussell@franklincountyschools.org"</f>
        <v>25CRussell@franklincountyschools.org</v>
      </c>
      <c r="E637" t="str">
        <f>"08"</f>
        <v>08</v>
      </c>
    </row>
    <row r="638" spans="1:5" x14ac:dyDescent="0.25">
      <c r="A638">
        <f>1920001012</f>
        <v>1920001012</v>
      </c>
      <c r="B638" t="str">
        <f t="shared" si="11"/>
        <v>Russell</v>
      </c>
      <c r="C638" t="str">
        <f>"Cyrus"</f>
        <v>Cyrus</v>
      </c>
      <c r="D638" t="str">
        <f>"31crussell@franklincountyschools.org"</f>
        <v>31crussell@franklincountyschools.org</v>
      </c>
      <c r="E638" t="str">
        <f>"02"</f>
        <v>02</v>
      </c>
    </row>
    <row r="639" spans="1:5" x14ac:dyDescent="0.25">
      <c r="A639">
        <f>1920001456</f>
        <v>1920001456</v>
      </c>
      <c r="B639" t="str">
        <f t="shared" si="11"/>
        <v>Russell</v>
      </c>
      <c r="C639" t="str">
        <f>"Rosta"</f>
        <v>Rosta</v>
      </c>
      <c r="D639" t="str">
        <f>"31rrussell@franklincountyschools.org"</f>
        <v>31rrussell@franklincountyschools.org</v>
      </c>
      <c r="E639" t="str">
        <f>"02"</f>
        <v>02</v>
      </c>
    </row>
    <row r="640" spans="1:5" x14ac:dyDescent="0.25">
      <c r="A640">
        <f>1920000292</f>
        <v>1920000292</v>
      </c>
      <c r="B640" t="str">
        <f t="shared" si="11"/>
        <v>Russell</v>
      </c>
      <c r="C640" t="str">
        <f>"Sheyanne"</f>
        <v>Sheyanne</v>
      </c>
      <c r="D640" t="str">
        <f>"27SRussell@franklincountyschools.org"</f>
        <v>27SRussell@franklincountyschools.org</v>
      </c>
      <c r="E640" t="str">
        <f>"06"</f>
        <v>06</v>
      </c>
    </row>
    <row r="641" spans="1:5" x14ac:dyDescent="0.25">
      <c r="A641">
        <f>1920002020</f>
        <v>1920002020</v>
      </c>
      <c r="B641" t="str">
        <f t="shared" si="11"/>
        <v>Russell</v>
      </c>
      <c r="C641" t="str">
        <f>"Vincere"</f>
        <v>Vincere</v>
      </c>
      <c r="D641" t="str">
        <f>"34vrussell@franklincountyschools.org"</f>
        <v>34vrussell@franklincountyschools.org</v>
      </c>
      <c r="E641" t="str">
        <f>"PK"</f>
        <v>PK</v>
      </c>
    </row>
    <row r="642" spans="1:5" x14ac:dyDescent="0.25">
      <c r="A642">
        <f>1920002005</f>
        <v>1920002005</v>
      </c>
      <c r="B642" t="str">
        <f>"Sadler"</f>
        <v>Sadler</v>
      </c>
      <c r="C642" t="str">
        <f>"Jazmin"</f>
        <v>Jazmin</v>
      </c>
      <c r="D642" t="str">
        <f>"34jsadler@franklincountyschools.org"</f>
        <v>34jsadler@franklincountyschools.org</v>
      </c>
      <c r="E642" t="str">
        <f>"PK"</f>
        <v>PK</v>
      </c>
    </row>
    <row r="643" spans="1:5" x14ac:dyDescent="0.25">
      <c r="A643">
        <f>1920001612</f>
        <v>1920001612</v>
      </c>
      <c r="B643" t="str">
        <f>"Salazar"</f>
        <v>Salazar</v>
      </c>
      <c r="C643" t="str">
        <f>"Maria"</f>
        <v>Maria</v>
      </c>
      <c r="D643" t="str">
        <f>"22MSalazar@franklincountyschools.org"</f>
        <v>22MSalazar@franklincountyschools.org</v>
      </c>
      <c r="E643">
        <f>11</f>
        <v>11</v>
      </c>
    </row>
    <row r="644" spans="1:5" x14ac:dyDescent="0.25">
      <c r="A644">
        <f>1920001611</f>
        <v>1920001611</v>
      </c>
      <c r="B644" t="str">
        <f>"Salazar-Gomez"</f>
        <v>Salazar-Gomez</v>
      </c>
      <c r="C644" t="str">
        <f>"Maria"</f>
        <v>Maria</v>
      </c>
      <c r="D644" t="str">
        <f>"26MSalazar@franklincountyschools.org"</f>
        <v>26MSalazar@franklincountyschools.org</v>
      </c>
      <c r="E644" t="str">
        <f>"07"</f>
        <v>07</v>
      </c>
    </row>
    <row r="645" spans="1:5" x14ac:dyDescent="0.25">
      <c r="A645">
        <f>1911003036</f>
        <v>1911003036</v>
      </c>
      <c r="B645" t="str">
        <f>"Sanders"</f>
        <v>Sanders</v>
      </c>
      <c r="C645" t="str">
        <f>"Benjamin"</f>
        <v>Benjamin</v>
      </c>
      <c r="D645" t="str">
        <f>"25BSanders@franklincountyschools.org"</f>
        <v>25BSanders@franklincountyschools.org</v>
      </c>
      <c r="E645" t="str">
        <f>"08"</f>
        <v>08</v>
      </c>
    </row>
    <row r="646" spans="1:5" x14ac:dyDescent="0.25">
      <c r="A646">
        <f>1912003370</f>
        <v>1912003370</v>
      </c>
      <c r="B646" t="str">
        <f>"Sanders"</f>
        <v>Sanders</v>
      </c>
      <c r="C646" t="str">
        <f>"Dezmonae"</f>
        <v>Dezmonae</v>
      </c>
      <c r="D646" t="str">
        <f>"25DSanders@franklincountyschools.org"</f>
        <v>25DSanders@franklincountyschools.org</v>
      </c>
      <c r="E646" t="str">
        <f>"08"</f>
        <v>08</v>
      </c>
    </row>
    <row r="647" spans="1:5" x14ac:dyDescent="0.25">
      <c r="A647">
        <f>1909002722</f>
        <v>1909002722</v>
      </c>
      <c r="B647" t="str">
        <f>"Sanders"</f>
        <v>Sanders</v>
      </c>
      <c r="C647" t="str">
        <f>"John"</f>
        <v>John</v>
      </c>
      <c r="D647" t="str">
        <f>"22JSanders@franklincountyschools.org"</f>
        <v>22JSanders@franklincountyschools.org</v>
      </c>
      <c r="E647">
        <f>11</f>
        <v>11</v>
      </c>
    </row>
    <row r="648" spans="1:5" x14ac:dyDescent="0.25">
      <c r="A648">
        <f>1920000614</f>
        <v>1920000614</v>
      </c>
      <c r="B648" t="str">
        <f>"Sanders"</f>
        <v>Sanders</v>
      </c>
      <c r="C648" t="str">
        <f>"John"</f>
        <v>John</v>
      </c>
      <c r="D648" t="str">
        <f>"28JSanders@franklincountyschools.org"</f>
        <v>28JSanders@franklincountyschools.org</v>
      </c>
      <c r="E648" t="str">
        <f>"05"</f>
        <v>05</v>
      </c>
    </row>
    <row r="649" spans="1:5" x14ac:dyDescent="0.25">
      <c r="A649">
        <f>1920000736</f>
        <v>1920000736</v>
      </c>
      <c r="B649" t="str">
        <f>"Sanders"</f>
        <v>Sanders</v>
      </c>
      <c r="C649" t="str">
        <f>"Paul"</f>
        <v>Paul</v>
      </c>
      <c r="D649" t="str">
        <f>"29PSanders@franklincountyschools.org"</f>
        <v>29PSanders@franklincountyschools.org</v>
      </c>
      <c r="E649" t="str">
        <f>"04"</f>
        <v>04</v>
      </c>
    </row>
    <row r="650" spans="1:5" x14ac:dyDescent="0.25">
      <c r="A650">
        <f>1908002494</f>
        <v>1908002494</v>
      </c>
      <c r="B650" t="str">
        <f>"Sanford"</f>
        <v>Sanford</v>
      </c>
      <c r="C650" t="str">
        <f>"Jacob"</f>
        <v>Jacob</v>
      </c>
      <c r="D650" t="str">
        <f>"24JSanford@franklincountyschools.org"</f>
        <v>24JSanford@franklincountyschools.org</v>
      </c>
      <c r="E650" t="str">
        <f>"09"</f>
        <v>09</v>
      </c>
    </row>
    <row r="651" spans="1:5" x14ac:dyDescent="0.25">
      <c r="A651">
        <f>1911003188</f>
        <v>1911003188</v>
      </c>
      <c r="B651" t="str">
        <f>"Sapp"</f>
        <v>Sapp</v>
      </c>
      <c r="C651" t="str">
        <f>"Kylie"</f>
        <v>Kylie</v>
      </c>
      <c r="D651" t="str">
        <f>"24ksapp@franklincountyschools.org"</f>
        <v>24ksapp@franklincountyschools.org</v>
      </c>
      <c r="E651" t="str">
        <f>"09"</f>
        <v>09</v>
      </c>
    </row>
    <row r="652" spans="1:5" x14ac:dyDescent="0.25">
      <c r="A652">
        <f>1911003166</f>
        <v>1911003166</v>
      </c>
      <c r="B652" t="str">
        <f>"Savage"</f>
        <v>Savage</v>
      </c>
      <c r="C652" t="str">
        <f>"Ansley"</f>
        <v>Ansley</v>
      </c>
      <c r="D652" t="str">
        <f>"24ASavage@franklincountyschools.org"</f>
        <v>24ASavage@franklincountyschools.org</v>
      </c>
      <c r="E652" t="str">
        <f>"09"</f>
        <v>09</v>
      </c>
    </row>
    <row r="653" spans="1:5" x14ac:dyDescent="0.25">
      <c r="A653">
        <f>1920001493</f>
        <v>1920001493</v>
      </c>
      <c r="B653" t="str">
        <f>"Sawyer"</f>
        <v>Sawyer</v>
      </c>
      <c r="C653" t="str">
        <f>"Liam"</f>
        <v>Liam</v>
      </c>
      <c r="D653" t="str">
        <f>"32lsawyer@franklincountyschools.org"</f>
        <v>32lsawyer@franklincountyschools.org</v>
      </c>
      <c r="E653" t="str">
        <f>"01"</f>
        <v>01</v>
      </c>
    </row>
    <row r="654" spans="1:5" x14ac:dyDescent="0.25">
      <c r="A654">
        <f>1920001312</f>
        <v>1920001312</v>
      </c>
      <c r="B654" t="str">
        <f>"Scarabin"</f>
        <v>Scarabin</v>
      </c>
      <c r="C654" t="str">
        <f>"Douglas"</f>
        <v>Douglas</v>
      </c>
      <c r="D654" t="str">
        <f>"24dscarabin@franklincountyschools.org"</f>
        <v>24dscarabin@franklincountyschools.org</v>
      </c>
      <c r="E654" t="str">
        <f>"09"</f>
        <v>09</v>
      </c>
    </row>
    <row r="655" spans="1:5" x14ac:dyDescent="0.25">
      <c r="A655">
        <f>1920001187</f>
        <v>1920001187</v>
      </c>
      <c r="B655" t="str">
        <f>"Scheetz"</f>
        <v>Scheetz</v>
      </c>
      <c r="C655" t="str">
        <f>"John "</f>
        <v xml:space="preserve">John </v>
      </c>
      <c r="D655" t="str">
        <f>"31jscheetz@franklincountyschools.org"</f>
        <v>31jscheetz@franklincountyschools.org</v>
      </c>
      <c r="E655" t="str">
        <f>"02"</f>
        <v>02</v>
      </c>
    </row>
    <row r="656" spans="1:5" x14ac:dyDescent="0.25">
      <c r="A656">
        <f>1920000854</f>
        <v>1920000854</v>
      </c>
      <c r="B656" t="str">
        <f>"Scheetz"</f>
        <v>Scheetz</v>
      </c>
      <c r="C656" t="str">
        <f>"Jonathon"</f>
        <v>Jonathon</v>
      </c>
      <c r="D656" t="str">
        <f>"25JScheetz@franklincountyschools.org"</f>
        <v>25JScheetz@franklincountyschools.org</v>
      </c>
      <c r="E656" t="str">
        <f>"08"</f>
        <v>08</v>
      </c>
    </row>
    <row r="657" spans="1:5" x14ac:dyDescent="0.25">
      <c r="A657">
        <f>1920000317</f>
        <v>1920000317</v>
      </c>
      <c r="B657" t="str">
        <f>"Schoelles"</f>
        <v>Schoelles</v>
      </c>
      <c r="C657" t="str">
        <f>"Amelia"</f>
        <v>Amelia</v>
      </c>
      <c r="D657" t="str">
        <f>"28aschoelles@franklincountyschools.org"</f>
        <v>28aschoelles@franklincountyschools.org</v>
      </c>
      <c r="E657" t="str">
        <f>"05"</f>
        <v>05</v>
      </c>
    </row>
    <row r="658" spans="1:5" x14ac:dyDescent="0.25">
      <c r="A658">
        <f>1911003263</f>
        <v>1911003263</v>
      </c>
      <c r="B658" t="str">
        <f>"Schoelles"</f>
        <v>Schoelles</v>
      </c>
      <c r="C658" t="str">
        <f>"Landon"</f>
        <v>Landon</v>
      </c>
      <c r="D658" t="str">
        <f>"25LSchoelles@franklincountyschools.org"</f>
        <v>25LSchoelles@franklincountyschools.org</v>
      </c>
      <c r="E658" t="str">
        <f>"08"</f>
        <v>08</v>
      </c>
    </row>
    <row r="659" spans="1:5" x14ac:dyDescent="0.25">
      <c r="A659">
        <f>1920000534</f>
        <v>1920000534</v>
      </c>
      <c r="B659" t="str">
        <f>"Scott"</f>
        <v>Scott</v>
      </c>
      <c r="C659" t="str">
        <f>"Sha'niyah"</f>
        <v>Sha'niyah</v>
      </c>
      <c r="D659" t="str">
        <f>"28SScott@franklincountyschools.org"</f>
        <v>28SScott@franklincountyschools.org</v>
      </c>
      <c r="E659" t="str">
        <f>"05"</f>
        <v>05</v>
      </c>
    </row>
    <row r="660" spans="1:5" x14ac:dyDescent="0.25">
      <c r="A660">
        <f>1920000174</f>
        <v>1920000174</v>
      </c>
      <c r="B660" t="str">
        <f>"Scott"</f>
        <v>Scott</v>
      </c>
      <c r="C660" t="str">
        <f>"Tatiana"</f>
        <v>Tatiana</v>
      </c>
      <c r="D660" t="str">
        <f>"26TScott@franklincountyschools.org"</f>
        <v>26TScott@franklincountyschools.org</v>
      </c>
      <c r="E660" t="str">
        <f>"07"</f>
        <v>07</v>
      </c>
    </row>
    <row r="661" spans="1:5" x14ac:dyDescent="0.25">
      <c r="A661">
        <f>1920000764</f>
        <v>1920000764</v>
      </c>
      <c r="B661" t="str">
        <f>"Sebastian"</f>
        <v>Sebastian</v>
      </c>
      <c r="C661" t="str">
        <f>"Eugenio"</f>
        <v>Eugenio</v>
      </c>
      <c r="D661" t="str">
        <f>"25esebastian@franklincountyschools.org"</f>
        <v>25esebastian@franklincountyschools.org</v>
      </c>
      <c r="E661">
        <f>10</f>
        <v>10</v>
      </c>
    </row>
    <row r="662" spans="1:5" x14ac:dyDescent="0.25">
      <c r="A662">
        <f>1920002054</f>
        <v>1920002054</v>
      </c>
      <c r="B662" t="str">
        <f>"Sebastian"</f>
        <v>Sebastian</v>
      </c>
      <c r="C662" t="str">
        <f>"Leonardo Domingo"</f>
        <v>Leonardo Domingo</v>
      </c>
      <c r="D662" t="str">
        <f>"34lsebastian@franklincountyschools.org"</f>
        <v>34lsebastian@franklincountyschools.org</v>
      </c>
      <c r="E662" t="str">
        <f>"PK"</f>
        <v>PK</v>
      </c>
    </row>
    <row r="663" spans="1:5" x14ac:dyDescent="0.25">
      <c r="A663">
        <f>1911003167</f>
        <v>1911003167</v>
      </c>
      <c r="B663" t="str">
        <f t="shared" ref="B663:B669" si="12">"Segree"</f>
        <v>Segree</v>
      </c>
      <c r="C663" t="str">
        <f>"Alonah"</f>
        <v>Alonah</v>
      </c>
      <c r="D663" t="str">
        <f>"24asegree@franklincountyschools.org"</f>
        <v>24asegree@franklincountyschools.org</v>
      </c>
      <c r="E663" t="str">
        <f>"09"</f>
        <v>09</v>
      </c>
    </row>
    <row r="664" spans="1:5" x14ac:dyDescent="0.25">
      <c r="A664">
        <f>1910002892</f>
        <v>1910002892</v>
      </c>
      <c r="B664" t="str">
        <f t="shared" si="12"/>
        <v>Segree</v>
      </c>
      <c r="C664" t="str">
        <f>"Austin"</f>
        <v>Austin</v>
      </c>
      <c r="D664" t="str">
        <f>"22asegree@franklincountyschools.org"</f>
        <v>22asegree@franklincountyschools.org</v>
      </c>
      <c r="E664">
        <f>11</f>
        <v>11</v>
      </c>
    </row>
    <row r="665" spans="1:5" x14ac:dyDescent="0.25">
      <c r="A665">
        <f>1910002855</f>
        <v>1910002855</v>
      </c>
      <c r="B665" t="str">
        <f t="shared" si="12"/>
        <v>Segree</v>
      </c>
      <c r="C665" t="str">
        <f>"Emaleigh"</f>
        <v>Emaleigh</v>
      </c>
      <c r="D665" t="str">
        <f>"23esegree@franklincountyschools.org"</f>
        <v>23esegree@franklincountyschools.org</v>
      </c>
      <c r="E665">
        <f>10</f>
        <v>10</v>
      </c>
    </row>
    <row r="666" spans="1:5" x14ac:dyDescent="0.25">
      <c r="A666">
        <f>1908002498</f>
        <v>1908002498</v>
      </c>
      <c r="B666" t="str">
        <f t="shared" si="12"/>
        <v>Segree</v>
      </c>
      <c r="C666" t="str">
        <f>"Jackson"</f>
        <v>Jackson</v>
      </c>
      <c r="D666" t="str">
        <f>"23JSegree@franklincountyschools.org"</f>
        <v>23JSegree@franklincountyschools.org</v>
      </c>
      <c r="E666">
        <f>10</f>
        <v>10</v>
      </c>
    </row>
    <row r="667" spans="1:5" x14ac:dyDescent="0.25">
      <c r="A667">
        <f>1920001497</f>
        <v>1920001497</v>
      </c>
      <c r="B667" t="str">
        <f t="shared" si="12"/>
        <v>Segree</v>
      </c>
      <c r="C667" t="str">
        <f>"Kullen"</f>
        <v>Kullen</v>
      </c>
      <c r="D667" t="str">
        <f>"32ksegree@franklincountyschools.org"</f>
        <v>32ksegree@franklincountyschools.org</v>
      </c>
      <c r="E667" t="str">
        <f>"01"</f>
        <v>01</v>
      </c>
    </row>
    <row r="668" spans="1:5" x14ac:dyDescent="0.25">
      <c r="A668">
        <f>1920000648</f>
        <v>1920000648</v>
      </c>
      <c r="B668" t="str">
        <f t="shared" si="12"/>
        <v>Segree</v>
      </c>
      <c r="C668" t="str">
        <f>"Preston"</f>
        <v>Preston</v>
      </c>
      <c r="D668" t="str">
        <f>"30PSegree@franklincountyschools.org"</f>
        <v>30PSegree@franklincountyschools.org</v>
      </c>
      <c r="E668" t="str">
        <f>"03"</f>
        <v>03</v>
      </c>
    </row>
    <row r="669" spans="1:5" x14ac:dyDescent="0.25">
      <c r="A669">
        <f>1909002617</f>
        <v>1909002617</v>
      </c>
      <c r="B669" t="str">
        <f t="shared" si="12"/>
        <v>Segree</v>
      </c>
      <c r="C669" t="str">
        <f>"Sarah"</f>
        <v>Sarah</v>
      </c>
      <c r="D669" t="str">
        <f>"22SSegree@franklincountyschools.org"</f>
        <v>22SSegree@franklincountyschools.org</v>
      </c>
      <c r="E669">
        <f>11</f>
        <v>11</v>
      </c>
    </row>
    <row r="670" spans="1:5" x14ac:dyDescent="0.25">
      <c r="A670">
        <f>1920000802</f>
        <v>1920000802</v>
      </c>
      <c r="B670" t="str">
        <f>"Shattuck"</f>
        <v>Shattuck</v>
      </c>
      <c r="C670" t="str">
        <f>"Martha"</f>
        <v>Martha</v>
      </c>
      <c r="D670" t="str">
        <f>"30MShattuck@franklincountyschools.org"</f>
        <v>30MShattuck@franklincountyschools.org</v>
      </c>
      <c r="E670" t="str">
        <f>"03"</f>
        <v>03</v>
      </c>
    </row>
    <row r="671" spans="1:5" x14ac:dyDescent="0.25">
      <c r="A671">
        <f>1920000130</f>
        <v>1920000130</v>
      </c>
      <c r="B671" t="str">
        <f>"Shaw"</f>
        <v>Shaw</v>
      </c>
      <c r="C671" t="str">
        <f>"Shianne"</f>
        <v>Shianne</v>
      </c>
      <c r="D671" t="str">
        <f>"25SShaw@franklincountyschools.org"</f>
        <v>25SShaw@franklincountyschools.org</v>
      </c>
      <c r="E671" t="str">
        <f>"08"</f>
        <v>08</v>
      </c>
    </row>
    <row r="672" spans="1:5" x14ac:dyDescent="0.25">
      <c r="A672">
        <f>1920000821</f>
        <v>1920000821</v>
      </c>
      <c r="B672" t="str">
        <f>"Shaw"</f>
        <v>Shaw</v>
      </c>
      <c r="C672" t="str">
        <f>"Trenton"</f>
        <v>Trenton</v>
      </c>
      <c r="D672" t="str">
        <f>"29TShaw@franklincountyschools.org"</f>
        <v>29TShaw@franklincountyschools.org</v>
      </c>
      <c r="E672" t="str">
        <f>"04"</f>
        <v>04</v>
      </c>
    </row>
    <row r="673" spans="1:5" x14ac:dyDescent="0.25">
      <c r="A673">
        <f>1910002895</f>
        <v>1910002895</v>
      </c>
      <c r="B673" t="str">
        <f>"Shaw"</f>
        <v>Shaw</v>
      </c>
      <c r="C673" t="str">
        <f>"William"</f>
        <v>William</v>
      </c>
      <c r="D673" t="str">
        <f>"22ashaw@franklincountyschools.org"</f>
        <v>22ashaw@franklincountyschools.org</v>
      </c>
      <c r="E673">
        <f>10</f>
        <v>10</v>
      </c>
    </row>
    <row r="674" spans="1:5" x14ac:dyDescent="0.25">
      <c r="A674">
        <f>1920001735</f>
        <v>1920001735</v>
      </c>
      <c r="B674" t="str">
        <f>"Sheats"</f>
        <v>Sheats</v>
      </c>
      <c r="C674" t="str">
        <f>"Adalee"</f>
        <v>Adalee</v>
      </c>
      <c r="D674" t="str">
        <f>"33asheats@franklincountyschools.org"</f>
        <v>33asheats@franklincountyschools.org</v>
      </c>
      <c r="E674" t="str">
        <f>"KG"</f>
        <v>KG</v>
      </c>
    </row>
    <row r="675" spans="1:5" x14ac:dyDescent="0.25">
      <c r="A675">
        <f>1920001730</f>
        <v>1920001730</v>
      </c>
      <c r="B675" t="str">
        <f>"Sheridan"</f>
        <v>Sheridan</v>
      </c>
      <c r="C675" t="str">
        <f>"Mavrick"</f>
        <v>Mavrick</v>
      </c>
      <c r="D675" t="str">
        <f>"33msheridan@franklincountyschools.org"</f>
        <v>33msheridan@franklincountyschools.org</v>
      </c>
      <c r="E675" t="str">
        <f>"KG"</f>
        <v>KG</v>
      </c>
    </row>
    <row r="676" spans="1:5" x14ac:dyDescent="0.25">
      <c r="A676">
        <f>1910002831</f>
        <v>1910002831</v>
      </c>
      <c r="B676" t="str">
        <f>"Shirley"</f>
        <v>Shirley</v>
      </c>
      <c r="C676" t="str">
        <f>"Ethan"</f>
        <v>Ethan</v>
      </c>
      <c r="D676" t="str">
        <f>"23EShirley@franklincountyschools.org"</f>
        <v>23EShirley@franklincountyschools.org</v>
      </c>
      <c r="E676">
        <f>10</f>
        <v>10</v>
      </c>
    </row>
    <row r="677" spans="1:5" x14ac:dyDescent="0.25">
      <c r="A677">
        <f>1920001506</f>
        <v>1920001506</v>
      </c>
      <c r="B677" t="str">
        <f t="shared" ref="B677:B696" si="13">"Shiver"</f>
        <v>Shiver</v>
      </c>
      <c r="C677" t="str">
        <f>"Adlai"</f>
        <v>Adlai</v>
      </c>
      <c r="D677" t="str">
        <f>"32ashiver@franklincountyschools.org"</f>
        <v>32ashiver@franklincountyschools.org</v>
      </c>
      <c r="E677" t="str">
        <f>"01"</f>
        <v>01</v>
      </c>
    </row>
    <row r="678" spans="1:5" x14ac:dyDescent="0.25">
      <c r="A678">
        <f>1920002004</f>
        <v>1920002004</v>
      </c>
      <c r="B678" t="str">
        <f t="shared" si="13"/>
        <v>Shiver</v>
      </c>
      <c r="C678" t="str">
        <f>"Aubrey"</f>
        <v>Aubrey</v>
      </c>
      <c r="D678" t="str">
        <f>"33ashiver@franklincountyschools.org"</f>
        <v>33ashiver@franklincountyschools.org</v>
      </c>
      <c r="E678" t="str">
        <f>"KG"</f>
        <v>KG</v>
      </c>
    </row>
    <row r="679" spans="1:5" x14ac:dyDescent="0.25">
      <c r="A679">
        <f>1920000197</f>
        <v>1920000197</v>
      </c>
      <c r="B679" t="str">
        <f t="shared" si="13"/>
        <v>Shiver</v>
      </c>
      <c r="C679" t="str">
        <f>"Braden"</f>
        <v>Braden</v>
      </c>
      <c r="D679" t="str">
        <f>"24BShiver@franklincountyschools.org"</f>
        <v>24BShiver@franklincountyschools.org</v>
      </c>
      <c r="E679" t="str">
        <f>"09"</f>
        <v>09</v>
      </c>
    </row>
    <row r="680" spans="1:5" x14ac:dyDescent="0.25">
      <c r="A680">
        <f>1908002339</f>
        <v>1908002339</v>
      </c>
      <c r="B680" t="str">
        <f t="shared" si="13"/>
        <v>Shiver</v>
      </c>
      <c r="C680" t="str">
        <f>"Breauna"</f>
        <v>Breauna</v>
      </c>
      <c r="D680" t="str">
        <f>"21BShiver@franklincountyschools.org"</f>
        <v>21BShiver@franklincountyschools.org</v>
      </c>
      <c r="E680">
        <f>12</f>
        <v>12</v>
      </c>
    </row>
    <row r="681" spans="1:5" x14ac:dyDescent="0.25">
      <c r="A681">
        <f>1920000232</f>
        <v>1920000232</v>
      </c>
      <c r="B681" t="str">
        <f t="shared" si="13"/>
        <v>Shiver</v>
      </c>
      <c r="C681" t="str">
        <f>"Emma"</f>
        <v>Emma</v>
      </c>
      <c r="D681" t="str">
        <f>"24EShiver@franklincountyschools.org"</f>
        <v>24EShiver@franklincountyschools.org</v>
      </c>
      <c r="E681" t="str">
        <f>"08"</f>
        <v>08</v>
      </c>
    </row>
    <row r="682" spans="1:5" x14ac:dyDescent="0.25">
      <c r="A682">
        <f>1920000834</f>
        <v>1920000834</v>
      </c>
      <c r="B682" t="str">
        <f t="shared" si="13"/>
        <v>Shiver</v>
      </c>
      <c r="C682" t="str">
        <f>"Emma"</f>
        <v>Emma</v>
      </c>
      <c r="D682" t="str">
        <f>"30EShiver@franklincountyschools.org"</f>
        <v>30EShiver@franklincountyschools.org</v>
      </c>
      <c r="E682" t="str">
        <f>"03"</f>
        <v>03</v>
      </c>
    </row>
    <row r="683" spans="1:5" x14ac:dyDescent="0.25">
      <c r="A683">
        <f>1920000630</f>
        <v>1920000630</v>
      </c>
      <c r="B683" t="str">
        <f t="shared" si="13"/>
        <v>Shiver</v>
      </c>
      <c r="C683" t="str">
        <f>"Ethan"</f>
        <v>Ethan</v>
      </c>
      <c r="D683" t="str">
        <f>"28eshiver@franklincountyschools.org"</f>
        <v>28eshiver@franklincountyschools.org</v>
      </c>
      <c r="E683" t="str">
        <f>"05"</f>
        <v>05</v>
      </c>
    </row>
    <row r="684" spans="1:5" x14ac:dyDescent="0.25">
      <c r="A684">
        <f>1920000320</f>
        <v>1920000320</v>
      </c>
      <c r="B684" t="str">
        <f t="shared" si="13"/>
        <v>Shiver</v>
      </c>
      <c r="C684" t="str">
        <f>"John"</f>
        <v>John</v>
      </c>
      <c r="D684" t="str">
        <f>"27johnshiver@franklincountyschools.org"</f>
        <v>27johnshiver@franklincountyschools.org</v>
      </c>
      <c r="E684" t="str">
        <f>"06"</f>
        <v>06</v>
      </c>
    </row>
    <row r="685" spans="1:5" x14ac:dyDescent="0.25">
      <c r="A685">
        <f>1920000321</f>
        <v>1920000321</v>
      </c>
      <c r="B685" t="str">
        <f t="shared" si="13"/>
        <v>Shiver</v>
      </c>
      <c r="C685" t="str">
        <f>"Jordan"</f>
        <v>Jordan</v>
      </c>
      <c r="D685" t="str">
        <f>"27jordanshiver@franklincountyschools.org"</f>
        <v>27jordanshiver@franklincountyschools.org</v>
      </c>
      <c r="E685" t="str">
        <f>"06"</f>
        <v>06</v>
      </c>
    </row>
    <row r="686" spans="1:5" x14ac:dyDescent="0.25">
      <c r="A686">
        <f>1920001094</f>
        <v>1920001094</v>
      </c>
      <c r="B686" t="str">
        <f t="shared" si="13"/>
        <v>Shiver</v>
      </c>
      <c r="C686" t="str">
        <f>"Krislyn"</f>
        <v>Krislyn</v>
      </c>
      <c r="D686" t="str">
        <f>"30KShiver@franklincountyschools.org"</f>
        <v>30KShiver@franklincountyschools.org</v>
      </c>
      <c r="E686" t="str">
        <f>"03"</f>
        <v>03</v>
      </c>
    </row>
    <row r="687" spans="1:5" x14ac:dyDescent="0.25">
      <c r="A687">
        <f>1920000751</f>
        <v>1920000751</v>
      </c>
      <c r="B687" t="str">
        <f t="shared" si="13"/>
        <v>Shiver</v>
      </c>
      <c r="C687" t="str">
        <f>"Kyleigh"</f>
        <v>Kyleigh</v>
      </c>
      <c r="D687" t="str">
        <f>"29KShiver@franklincountyschools.org"</f>
        <v>29KShiver@franklincountyschools.org</v>
      </c>
      <c r="E687" t="str">
        <f>"04"</f>
        <v>04</v>
      </c>
    </row>
    <row r="688" spans="1:5" x14ac:dyDescent="0.25">
      <c r="A688">
        <f>1912003372</f>
        <v>1912003372</v>
      </c>
      <c r="B688" t="str">
        <f t="shared" si="13"/>
        <v>Shiver</v>
      </c>
      <c r="C688" t="str">
        <f>"Leroy"</f>
        <v>Leroy</v>
      </c>
      <c r="D688" t="str">
        <f>"26LShiver@franklincountyschools.org"</f>
        <v>26LShiver@franklincountyschools.org</v>
      </c>
      <c r="E688" t="str">
        <f>"07"</f>
        <v>07</v>
      </c>
    </row>
    <row r="689" spans="1:5" x14ac:dyDescent="0.25">
      <c r="A689">
        <f>1920000558</f>
        <v>1920000558</v>
      </c>
      <c r="B689" t="str">
        <f t="shared" si="13"/>
        <v>Shiver</v>
      </c>
      <c r="C689" t="str">
        <f>"Lucy"</f>
        <v>Lucy</v>
      </c>
      <c r="D689" t="str">
        <f>"28LShiver@franklincountyschools.org"</f>
        <v>28LShiver@franklincountyschools.org</v>
      </c>
      <c r="E689" t="str">
        <f>"05"</f>
        <v>05</v>
      </c>
    </row>
    <row r="690" spans="1:5" x14ac:dyDescent="0.25">
      <c r="A690">
        <f>1920001672</f>
        <v>1920001672</v>
      </c>
      <c r="B690" t="str">
        <f t="shared" si="13"/>
        <v>Shiver</v>
      </c>
      <c r="C690" t="str">
        <f>"Megan"</f>
        <v>Megan</v>
      </c>
      <c r="D690" t="str">
        <f>"32mshiver@franklincountyschools.org"</f>
        <v>32mshiver@franklincountyschools.org</v>
      </c>
      <c r="E690" t="str">
        <f>"01"</f>
        <v>01</v>
      </c>
    </row>
    <row r="691" spans="1:5" x14ac:dyDescent="0.25">
      <c r="A691">
        <f>1920001959</f>
        <v>1920001959</v>
      </c>
      <c r="B691" t="str">
        <f t="shared" si="13"/>
        <v>Shiver</v>
      </c>
      <c r="C691" t="str">
        <f>"Montana"</f>
        <v>Montana</v>
      </c>
      <c r="D691" t="str">
        <f>"33mshiver@franklincountyschools.org"</f>
        <v>33mshiver@franklincountyschools.org</v>
      </c>
      <c r="E691" t="str">
        <f>"KG"</f>
        <v>KG</v>
      </c>
    </row>
    <row r="692" spans="1:5" x14ac:dyDescent="0.25">
      <c r="A692">
        <f>1920001047</f>
        <v>1920001047</v>
      </c>
      <c r="B692" t="str">
        <f t="shared" si="13"/>
        <v>Shiver</v>
      </c>
      <c r="C692" t="str">
        <f>"Neveah"</f>
        <v>Neveah</v>
      </c>
      <c r="D692" t="str">
        <f>"30NShiver@franklincountyschools.org"</f>
        <v>30NShiver@franklincountyschools.org</v>
      </c>
      <c r="E692" t="str">
        <f>"03"</f>
        <v>03</v>
      </c>
    </row>
    <row r="693" spans="1:5" x14ac:dyDescent="0.25">
      <c r="A693">
        <f>1909002619</f>
        <v>1909002619</v>
      </c>
      <c r="B693" t="str">
        <f t="shared" si="13"/>
        <v>Shiver</v>
      </c>
      <c r="C693" t="str">
        <f>"Rebecca"</f>
        <v>Rebecca</v>
      </c>
      <c r="D693" t="str">
        <f>"22RShiver@franklincountyschools.org"</f>
        <v>22RShiver@franklincountyschools.org</v>
      </c>
      <c r="E693">
        <f>11</f>
        <v>11</v>
      </c>
    </row>
    <row r="694" spans="1:5" x14ac:dyDescent="0.25">
      <c r="A694">
        <f>1920000969</f>
        <v>1920000969</v>
      </c>
      <c r="B694" t="str">
        <f t="shared" si="13"/>
        <v>Shiver</v>
      </c>
      <c r="C694" t="str">
        <f>"Roger"</f>
        <v>Roger</v>
      </c>
      <c r="D694" t="str">
        <f>"30RShiver@franklincountyschools.org"</f>
        <v>30RShiver@franklincountyschools.org</v>
      </c>
      <c r="E694" t="str">
        <f>"03"</f>
        <v>03</v>
      </c>
    </row>
    <row r="695" spans="1:5" x14ac:dyDescent="0.25">
      <c r="A695">
        <f>1920000134</f>
        <v>1920000134</v>
      </c>
      <c r="B695" t="str">
        <f t="shared" si="13"/>
        <v>Shiver</v>
      </c>
      <c r="C695" t="str">
        <f>"Steven"</f>
        <v>Steven</v>
      </c>
      <c r="D695" t="str">
        <f>"26SShiver@franklincountyschools.org"</f>
        <v>26SShiver@franklincountyschools.org</v>
      </c>
      <c r="E695" t="str">
        <f>"06"</f>
        <v>06</v>
      </c>
    </row>
    <row r="696" spans="1:5" x14ac:dyDescent="0.25">
      <c r="A696">
        <f>1920001332</f>
        <v>1920001332</v>
      </c>
      <c r="B696" t="str">
        <f t="shared" si="13"/>
        <v>Shiver</v>
      </c>
      <c r="C696" t="str">
        <f>"Taylor"</f>
        <v>Taylor</v>
      </c>
      <c r="D696" t="str">
        <f>"32tshiver@franklincountyschools.org"</f>
        <v>32tshiver@franklincountyschools.org</v>
      </c>
      <c r="E696" t="str">
        <f>"01"</f>
        <v>01</v>
      </c>
    </row>
    <row r="697" spans="1:5" x14ac:dyDescent="0.25">
      <c r="A697">
        <f>1908002432</f>
        <v>1908002432</v>
      </c>
      <c r="B697" t="str">
        <f>"Shuler"</f>
        <v>Shuler</v>
      </c>
      <c r="C697" t="str">
        <f>"Jeremy"</f>
        <v>Jeremy</v>
      </c>
      <c r="D697" t="str">
        <f>"22jshuler@franklincountyschools.org"</f>
        <v>22jshuler@franklincountyschools.org</v>
      </c>
      <c r="E697">
        <f>11</f>
        <v>11</v>
      </c>
    </row>
    <row r="698" spans="1:5" x14ac:dyDescent="0.25">
      <c r="A698">
        <f>1910002782</f>
        <v>1910002782</v>
      </c>
      <c r="B698" t="str">
        <f>"Shuler"</f>
        <v>Shuler</v>
      </c>
      <c r="C698" t="str">
        <f>"Mahaley"</f>
        <v>Mahaley</v>
      </c>
      <c r="D698" t="str">
        <f>"23mshuler@franklincountyschools.org"</f>
        <v>23mshuler@franklincountyschools.org</v>
      </c>
      <c r="E698">
        <f>10</f>
        <v>10</v>
      </c>
    </row>
    <row r="699" spans="1:5" x14ac:dyDescent="0.25">
      <c r="A699">
        <f>1909002621</f>
        <v>1909002621</v>
      </c>
      <c r="B699" t="str">
        <f>"Shuman"</f>
        <v>Shuman</v>
      </c>
      <c r="C699" t="str">
        <f>"Sydney"</f>
        <v>Sydney</v>
      </c>
      <c r="D699" t="str">
        <f>"22SShuman@franklincountyschools.org"</f>
        <v>22SShuman@franklincountyschools.org</v>
      </c>
      <c r="E699">
        <f>12</f>
        <v>12</v>
      </c>
    </row>
    <row r="700" spans="1:5" x14ac:dyDescent="0.25">
      <c r="A700">
        <f>1920001544</f>
        <v>1920001544</v>
      </c>
      <c r="B700" t="str">
        <f>"Shurock"</f>
        <v>Shurock</v>
      </c>
      <c r="C700" t="str">
        <f>"Harmony"</f>
        <v>Harmony</v>
      </c>
      <c r="D700" t="str">
        <f>"27HShurock@franklincountyschools.org"</f>
        <v>27HShurock@franklincountyschools.org</v>
      </c>
      <c r="E700" t="str">
        <f>"06"</f>
        <v>06</v>
      </c>
    </row>
    <row r="701" spans="1:5" x14ac:dyDescent="0.25">
      <c r="A701">
        <f>1920001543</f>
        <v>1920001543</v>
      </c>
      <c r="B701" t="str">
        <f>"Shurock"</f>
        <v>Shurock</v>
      </c>
      <c r="C701" t="str">
        <f>"Justin "</f>
        <v xml:space="preserve">Justin </v>
      </c>
      <c r="D701" t="str">
        <f>"23JShurock@franklincountyschools.org"</f>
        <v>23JShurock@franklincountyschools.org</v>
      </c>
      <c r="E701">
        <f>10</f>
        <v>10</v>
      </c>
    </row>
    <row r="702" spans="1:5" x14ac:dyDescent="0.25">
      <c r="A702">
        <f>1920000342</f>
        <v>1920000342</v>
      </c>
      <c r="B702" t="str">
        <f>"Siler"</f>
        <v>Siler</v>
      </c>
      <c r="C702" t="str">
        <f>"Tristan"</f>
        <v>Tristan</v>
      </c>
      <c r="D702" t="str">
        <f>"26TSiler@franklincountyschools.org"</f>
        <v>26TSiler@franklincountyschools.org</v>
      </c>
      <c r="E702" t="str">
        <f>"07"</f>
        <v>07</v>
      </c>
    </row>
    <row r="703" spans="1:5" x14ac:dyDescent="0.25">
      <c r="A703">
        <f>1920001944</f>
        <v>1920001944</v>
      </c>
      <c r="B703" t="str">
        <f>"Simmons"</f>
        <v>Simmons</v>
      </c>
      <c r="C703" t="str">
        <f>"Clayton"</f>
        <v>Clayton</v>
      </c>
      <c r="D703" t="str">
        <f>"28csimmons@franklincountyschools.org"</f>
        <v>28csimmons@franklincountyschools.org</v>
      </c>
      <c r="E703" t="str">
        <f>"05"</f>
        <v>05</v>
      </c>
    </row>
    <row r="704" spans="1:5" x14ac:dyDescent="0.25">
      <c r="A704">
        <f>1920001032</f>
        <v>1920001032</v>
      </c>
      <c r="B704" t="str">
        <f>"Simmons"</f>
        <v>Simmons</v>
      </c>
      <c r="C704" t="str">
        <f>"Colby"</f>
        <v>Colby</v>
      </c>
      <c r="D704" t="str">
        <f>"31csimmons@franklincountyschools.org"</f>
        <v>31csimmons@franklincountyschools.org</v>
      </c>
      <c r="E704" t="str">
        <f>"02"</f>
        <v>02</v>
      </c>
    </row>
    <row r="705" spans="1:5" x14ac:dyDescent="0.25">
      <c r="A705">
        <f>1920002026</f>
        <v>1920002026</v>
      </c>
      <c r="B705" t="str">
        <f>"Simmons"</f>
        <v>Simmons</v>
      </c>
      <c r="C705" t="str">
        <f>"Krislynn"</f>
        <v>Krislynn</v>
      </c>
      <c r="D705" t="str">
        <f>"34ksimmons@franklincountyschools.org"</f>
        <v>34ksimmons@franklincountyschools.org</v>
      </c>
      <c r="E705" t="str">
        <f>"PK"</f>
        <v>PK</v>
      </c>
    </row>
    <row r="706" spans="1:5" x14ac:dyDescent="0.25">
      <c r="A706">
        <f>1920000651</f>
        <v>1920000651</v>
      </c>
      <c r="B706" t="str">
        <f>"Sims"</f>
        <v>Sims</v>
      </c>
      <c r="C706" t="str">
        <f>"Nevaeh"</f>
        <v>Nevaeh</v>
      </c>
      <c r="D706" t="str">
        <f>"29NSims@franklincountyschools.org"</f>
        <v>29NSims@franklincountyschools.org</v>
      </c>
      <c r="E706" t="str">
        <f>"04"</f>
        <v>04</v>
      </c>
    </row>
    <row r="707" spans="1:5" x14ac:dyDescent="0.25">
      <c r="A707">
        <f>1920001698</f>
        <v>1920001698</v>
      </c>
      <c r="B707" t="str">
        <f>"Sinitiere"</f>
        <v>Sinitiere</v>
      </c>
      <c r="C707" t="str">
        <f>"Avery"</f>
        <v>Avery</v>
      </c>
      <c r="D707" t="str">
        <f>"31ASinitiere@franklincountyschools.org"</f>
        <v>31ASinitiere@franklincountyschools.org</v>
      </c>
      <c r="E707" t="str">
        <f>"01"</f>
        <v>01</v>
      </c>
    </row>
    <row r="708" spans="1:5" x14ac:dyDescent="0.25">
      <c r="A708">
        <f>1920001696</f>
        <v>1920001696</v>
      </c>
      <c r="B708" t="str">
        <f>"Sinitiere"</f>
        <v>Sinitiere</v>
      </c>
      <c r="C708" t="str">
        <f>"Nolan"</f>
        <v>Nolan</v>
      </c>
      <c r="D708" t="str">
        <f>"29nsinitiere@franklincountyschools.org"</f>
        <v>29nsinitiere@franklincountyschools.org</v>
      </c>
      <c r="E708" t="str">
        <f>"04"</f>
        <v>04</v>
      </c>
    </row>
    <row r="709" spans="1:5" x14ac:dyDescent="0.25">
      <c r="A709">
        <f>1920000568</f>
        <v>1920000568</v>
      </c>
      <c r="B709" t="str">
        <f>"Sloan"</f>
        <v>Sloan</v>
      </c>
      <c r="C709" t="str">
        <f>"Alexis"</f>
        <v>Alexis</v>
      </c>
      <c r="D709" t="str">
        <f>"28asloan@franklincountyschools.org"</f>
        <v>28asloan@franklincountyschools.org</v>
      </c>
      <c r="E709" t="str">
        <f>"04"</f>
        <v>04</v>
      </c>
    </row>
    <row r="710" spans="1:5" x14ac:dyDescent="0.25">
      <c r="A710">
        <f>1920000825</f>
        <v>1920000825</v>
      </c>
      <c r="B710" t="str">
        <f>"Sloan"</f>
        <v>Sloan</v>
      </c>
      <c r="C710" t="str">
        <f>"Lillian"</f>
        <v>Lillian</v>
      </c>
      <c r="D710" t="str">
        <f>"30lsloan@franklincountyschools.org"</f>
        <v>30lsloan@franklincountyschools.org</v>
      </c>
      <c r="E710" t="str">
        <f>"03"</f>
        <v>03</v>
      </c>
    </row>
    <row r="711" spans="1:5" x14ac:dyDescent="0.25">
      <c r="A711">
        <f>1909002623</f>
        <v>1909002623</v>
      </c>
      <c r="B711" t="str">
        <f t="shared" ref="B711:B720" si="14">"Smith"</f>
        <v>Smith</v>
      </c>
      <c r="C711" t="str">
        <f>"Annie"</f>
        <v>Annie</v>
      </c>
      <c r="D711" t="str">
        <f>"22ASmith@franklincountyschools.org"</f>
        <v>22ASmith@franklincountyschools.org</v>
      </c>
      <c r="E711">
        <f>11</f>
        <v>11</v>
      </c>
    </row>
    <row r="712" spans="1:5" x14ac:dyDescent="0.25">
      <c r="A712">
        <f>1910002871</f>
        <v>1910002871</v>
      </c>
      <c r="B712" t="str">
        <f t="shared" si="14"/>
        <v>Smith</v>
      </c>
      <c r="C712" t="str">
        <f>"Emily"</f>
        <v>Emily</v>
      </c>
      <c r="D712" t="str">
        <f>"23esmith@franklincountyschools.org"</f>
        <v>23esmith@franklincountyschools.org</v>
      </c>
      <c r="E712">
        <f>10</f>
        <v>10</v>
      </c>
    </row>
    <row r="713" spans="1:5" x14ac:dyDescent="0.25">
      <c r="A713">
        <f>1920001112</f>
        <v>1920001112</v>
      </c>
      <c r="B713" t="str">
        <f t="shared" si="14"/>
        <v>Smith</v>
      </c>
      <c r="C713" t="str">
        <f>"Erin"</f>
        <v>Erin</v>
      </c>
      <c r="D713" t="str">
        <f>"28ESmith@franklincountyschools.org"</f>
        <v>28ESmith@franklincountyschools.org</v>
      </c>
      <c r="E713" t="str">
        <f>"05"</f>
        <v>05</v>
      </c>
    </row>
    <row r="714" spans="1:5" x14ac:dyDescent="0.25">
      <c r="A714">
        <f>1909002624</f>
        <v>1909002624</v>
      </c>
      <c r="B714" t="str">
        <f t="shared" si="14"/>
        <v>Smith</v>
      </c>
      <c r="C714" t="str">
        <f>"Gracie"</f>
        <v>Gracie</v>
      </c>
      <c r="D714" t="str">
        <f>"22GSmith@franklincountyschools.org"</f>
        <v>22GSmith@franklincountyschools.org</v>
      </c>
      <c r="E714">
        <f>11</f>
        <v>11</v>
      </c>
    </row>
    <row r="715" spans="1:5" x14ac:dyDescent="0.25">
      <c r="A715">
        <f>1920001795</f>
        <v>1920001795</v>
      </c>
      <c r="B715" t="str">
        <f t="shared" si="14"/>
        <v>Smith</v>
      </c>
      <c r="C715" t="str">
        <f>"Harley"</f>
        <v>Harley</v>
      </c>
      <c r="D715" t="str">
        <f>"26HSmith@franklincountyschools.org"</f>
        <v>26HSmith@franklincountyschools.org</v>
      </c>
      <c r="E715" t="str">
        <f>"07"</f>
        <v>07</v>
      </c>
    </row>
    <row r="716" spans="1:5" x14ac:dyDescent="0.25">
      <c r="A716">
        <f>1910002830</f>
        <v>1910002830</v>
      </c>
      <c r="B716" t="str">
        <f t="shared" si="14"/>
        <v>Smith</v>
      </c>
      <c r="C716" t="str">
        <f>"Josie"</f>
        <v>Josie</v>
      </c>
      <c r="D716" t="str">
        <f>"25JSmith@franklincountyschools.org"</f>
        <v>25JSmith@franklincountyschools.org</v>
      </c>
      <c r="E716" t="str">
        <f>"08"</f>
        <v>08</v>
      </c>
    </row>
    <row r="717" spans="1:5" x14ac:dyDescent="0.25">
      <c r="A717">
        <f>1908002350</f>
        <v>1908002350</v>
      </c>
      <c r="B717" t="str">
        <f t="shared" si="14"/>
        <v>Smith</v>
      </c>
      <c r="C717" t="str">
        <f>"Kelson"</f>
        <v>Kelson</v>
      </c>
      <c r="D717" t="str">
        <f>"21ksmith@franklincountyschools.org"</f>
        <v>21ksmith@franklincountyschools.org</v>
      </c>
      <c r="E717">
        <f>12</f>
        <v>12</v>
      </c>
    </row>
    <row r="718" spans="1:5" x14ac:dyDescent="0.25">
      <c r="A718">
        <f>1909002625</f>
        <v>1909002625</v>
      </c>
      <c r="B718" t="str">
        <f t="shared" si="14"/>
        <v>Smith</v>
      </c>
      <c r="C718" t="str">
        <f>"Kylee"</f>
        <v>Kylee</v>
      </c>
      <c r="D718" t="str">
        <f>"23ksmith@franklincountyschools.org"</f>
        <v>23ksmith@franklincountyschools.org</v>
      </c>
      <c r="E718">
        <f>10</f>
        <v>10</v>
      </c>
    </row>
    <row r="719" spans="1:5" x14ac:dyDescent="0.25">
      <c r="A719">
        <f>1920000357</f>
        <v>1920000357</v>
      </c>
      <c r="B719" t="str">
        <f t="shared" si="14"/>
        <v>Smith</v>
      </c>
      <c r="C719" t="str">
        <f>"Mylie"</f>
        <v>Mylie</v>
      </c>
      <c r="D719" t="str">
        <f>"26MSmith@franklincountyschools.org"</f>
        <v>26MSmith@franklincountyschools.org</v>
      </c>
      <c r="E719" t="str">
        <f>"07"</f>
        <v>07</v>
      </c>
    </row>
    <row r="720" spans="1:5" x14ac:dyDescent="0.25">
      <c r="A720">
        <f>1920001120</f>
        <v>1920001120</v>
      </c>
      <c r="B720" t="str">
        <f t="shared" si="14"/>
        <v>Smith</v>
      </c>
      <c r="C720" t="str">
        <f>"Sonya"</f>
        <v>Sonya</v>
      </c>
      <c r="D720" t="str">
        <f>"31ssmith@franklincountyschools.org"</f>
        <v>31ssmith@franklincountyschools.org</v>
      </c>
      <c r="E720" t="str">
        <f>"02"</f>
        <v>02</v>
      </c>
    </row>
    <row r="721" spans="1:5" x14ac:dyDescent="0.25">
      <c r="A721">
        <f>1920001454</f>
        <v>1920001454</v>
      </c>
      <c r="B721" t="str">
        <f>"Sowell"</f>
        <v>Sowell</v>
      </c>
      <c r="C721" t="str">
        <f>"Sadie"</f>
        <v>Sadie</v>
      </c>
      <c r="D721" t="str">
        <f>"32ssowell@franklincountyschools.org"</f>
        <v>32ssowell@franklincountyschools.org</v>
      </c>
      <c r="E721" t="str">
        <f>"01"</f>
        <v>01</v>
      </c>
    </row>
    <row r="722" spans="1:5" x14ac:dyDescent="0.25">
      <c r="A722">
        <f>1920001485</f>
        <v>1920001485</v>
      </c>
      <c r="B722" t="str">
        <f>"Speedling"</f>
        <v>Speedling</v>
      </c>
      <c r="C722" t="str">
        <f>"Jordan"</f>
        <v>Jordan</v>
      </c>
      <c r="D722" t="str">
        <f>"32jspeedling@franklincountyschools.org"</f>
        <v>32jspeedling@franklincountyschools.org</v>
      </c>
      <c r="E722" t="str">
        <f>"01"</f>
        <v>01</v>
      </c>
    </row>
    <row r="723" spans="1:5" x14ac:dyDescent="0.25">
      <c r="A723">
        <f>1920000559</f>
        <v>1920000559</v>
      </c>
      <c r="B723" t="str">
        <f>"Spell"</f>
        <v>Spell</v>
      </c>
      <c r="C723" t="str">
        <f>"Aaron"</f>
        <v>Aaron</v>
      </c>
      <c r="D723" t="str">
        <f>"29ASpell@franklincountyschools.org"</f>
        <v>29ASpell@franklincountyschools.org</v>
      </c>
      <c r="E723" t="str">
        <f>"04"</f>
        <v>04</v>
      </c>
    </row>
    <row r="724" spans="1:5" x14ac:dyDescent="0.25">
      <c r="A724">
        <f>1920001186</f>
        <v>1920001186</v>
      </c>
      <c r="B724" t="str">
        <f>"Spell"</f>
        <v>Spell</v>
      </c>
      <c r="C724" t="str">
        <f>"Ashton"</f>
        <v>Ashton</v>
      </c>
      <c r="D724" t="str">
        <f>"30ASpell@franklincountyschools.org"</f>
        <v>30ASpell@franklincountyschools.org</v>
      </c>
      <c r="E724" t="str">
        <f>"03"</f>
        <v>03</v>
      </c>
    </row>
    <row r="725" spans="1:5" x14ac:dyDescent="0.25">
      <c r="A725">
        <f>1920001968</f>
        <v>1920001968</v>
      </c>
      <c r="B725" t="str">
        <f>"Spell"</f>
        <v>Spell</v>
      </c>
      <c r="C725" t="str">
        <f>"Jace"</f>
        <v>Jace</v>
      </c>
      <c r="D725" t="str">
        <f>"33jspell@franklincountyschools.org"</f>
        <v>33jspell@franklincountyschools.org</v>
      </c>
      <c r="E725" t="str">
        <f>"KG"</f>
        <v>KG</v>
      </c>
    </row>
    <row r="726" spans="1:5" x14ac:dyDescent="0.25">
      <c r="A726">
        <f>1912003516</f>
        <v>1912003516</v>
      </c>
      <c r="B726" t="str">
        <f>"Spell"</f>
        <v>Spell</v>
      </c>
      <c r="C726" t="str">
        <f>"Justin"</f>
        <v>Justin</v>
      </c>
      <c r="D726" t="str">
        <f>"26JSpell@franklincountyschools.org"</f>
        <v>26JSpell@franklincountyschools.org</v>
      </c>
      <c r="E726" t="str">
        <f>"07"</f>
        <v>07</v>
      </c>
    </row>
    <row r="727" spans="1:5" x14ac:dyDescent="0.25">
      <c r="A727">
        <f>1910002784</f>
        <v>1910002784</v>
      </c>
      <c r="B727" t="str">
        <f>"Spell"</f>
        <v>Spell</v>
      </c>
      <c r="C727" t="str">
        <f>"Justus"</f>
        <v>Justus</v>
      </c>
      <c r="D727" t="str">
        <f>"24JSpell@franklincountyschools.org"</f>
        <v>24JSpell@franklincountyschools.org</v>
      </c>
      <c r="E727" t="str">
        <f>"08"</f>
        <v>08</v>
      </c>
    </row>
    <row r="728" spans="1:5" x14ac:dyDescent="0.25">
      <c r="A728">
        <f>1908002423</f>
        <v>1908002423</v>
      </c>
      <c r="B728" t="str">
        <f>"Spohrer"</f>
        <v>Spohrer</v>
      </c>
      <c r="C728" t="str">
        <f>"Torin"</f>
        <v>Torin</v>
      </c>
      <c r="D728" t="str">
        <f>"22tspohrer@franklincountyschools.org"</f>
        <v>22tspohrer@franklincountyschools.org</v>
      </c>
      <c r="E728">
        <f>11</f>
        <v>11</v>
      </c>
    </row>
    <row r="729" spans="1:5" x14ac:dyDescent="0.25">
      <c r="A729">
        <f>1920001261</f>
        <v>1920001261</v>
      </c>
      <c r="B729" t="str">
        <f>"Spurlock"</f>
        <v>Spurlock</v>
      </c>
      <c r="C729" t="str">
        <f>"Aliyah"</f>
        <v>Aliyah</v>
      </c>
      <c r="D729" t="str">
        <f>"31aspurlock@franklincountyschools.org"</f>
        <v>31aspurlock@franklincountyschools.org</v>
      </c>
      <c r="E729" t="str">
        <f>"02"</f>
        <v>02</v>
      </c>
    </row>
    <row r="730" spans="1:5" x14ac:dyDescent="0.25">
      <c r="A730">
        <f>1920000379</f>
        <v>1920000379</v>
      </c>
      <c r="B730" t="str">
        <f>"Spurlock"</f>
        <v>Spurlock</v>
      </c>
      <c r="C730" t="str">
        <f>"Anna"</f>
        <v>Anna</v>
      </c>
      <c r="D730" t="str">
        <f>"27ASpurlock@franklincountyschools.org"</f>
        <v>27ASpurlock@franklincountyschools.org</v>
      </c>
      <c r="E730" t="str">
        <f>"06"</f>
        <v>06</v>
      </c>
    </row>
    <row r="731" spans="1:5" x14ac:dyDescent="0.25">
      <c r="A731">
        <f>1912003373</f>
        <v>1912003373</v>
      </c>
      <c r="B731" t="str">
        <f>"Spurlock"</f>
        <v>Spurlock</v>
      </c>
      <c r="C731" t="str">
        <f>"Katelyn"</f>
        <v>Katelyn</v>
      </c>
      <c r="D731" t="str">
        <f>"26KSpurlock@franklincountyschools.org"</f>
        <v>26KSpurlock@franklincountyschools.org</v>
      </c>
      <c r="E731" t="str">
        <f>"07"</f>
        <v>07</v>
      </c>
    </row>
    <row r="732" spans="1:5" x14ac:dyDescent="0.25">
      <c r="A732">
        <f>1909002626</f>
        <v>1909002626</v>
      </c>
      <c r="B732" t="str">
        <f>"Square"</f>
        <v>Square</v>
      </c>
      <c r="C732" t="str">
        <f>"Michael"</f>
        <v>Michael</v>
      </c>
      <c r="D732" t="str">
        <f>"22michaelsquare@franklincountyschools.org"</f>
        <v>22michaelsquare@franklincountyschools.org</v>
      </c>
      <c r="E732">
        <f>11</f>
        <v>11</v>
      </c>
    </row>
    <row r="733" spans="1:5" x14ac:dyDescent="0.25">
      <c r="A733">
        <f>1920001206</f>
        <v>1920001206</v>
      </c>
      <c r="B733" t="str">
        <f>"Staats"</f>
        <v>Staats</v>
      </c>
      <c r="C733" t="str">
        <f>"Austin"</f>
        <v>Austin</v>
      </c>
      <c r="D733" t="str">
        <f>"22AStaats@franklincountyschools.org"</f>
        <v>22AStaats@franklincountyschools.org</v>
      </c>
      <c r="E733">
        <f>11</f>
        <v>11</v>
      </c>
    </row>
    <row r="734" spans="1:5" x14ac:dyDescent="0.25">
      <c r="A734">
        <f>1908002486</f>
        <v>1908002486</v>
      </c>
      <c r="B734" t="str">
        <f>"Stanley"</f>
        <v>Stanley</v>
      </c>
      <c r="C734" t="str">
        <f>"Evan"</f>
        <v>Evan</v>
      </c>
      <c r="D734" t="str">
        <f>"23estanley@franklincountyschools.org"</f>
        <v>23estanley@franklincountyschools.org</v>
      </c>
      <c r="E734">
        <f>10</f>
        <v>10</v>
      </c>
    </row>
    <row r="735" spans="1:5" x14ac:dyDescent="0.25">
      <c r="A735">
        <f>1920001496</f>
        <v>1920001496</v>
      </c>
      <c r="B735" t="str">
        <f>"Stanley"</f>
        <v>Stanley</v>
      </c>
      <c r="C735" t="str">
        <f>"Isaiah"</f>
        <v>Isaiah</v>
      </c>
      <c r="D735" t="str">
        <f>"32istanley@franklincountyschools.org"</f>
        <v>32istanley@franklincountyschools.org</v>
      </c>
      <c r="E735" t="str">
        <f>"01"</f>
        <v>01</v>
      </c>
    </row>
    <row r="736" spans="1:5" x14ac:dyDescent="0.25">
      <c r="A736">
        <f>1907002118</f>
        <v>1907002118</v>
      </c>
      <c r="B736" t="str">
        <f>"Stanley"</f>
        <v>Stanley</v>
      </c>
      <c r="C736" t="str">
        <f>"Tate"</f>
        <v>Tate</v>
      </c>
      <c r="D736" t="str">
        <f>"22tstanley@franklincountyschools.org"</f>
        <v>22tstanley@franklincountyschools.org</v>
      </c>
      <c r="E736">
        <f>12</f>
        <v>12</v>
      </c>
    </row>
    <row r="737" spans="1:5" x14ac:dyDescent="0.25">
      <c r="A737">
        <f>1920001682</f>
        <v>1920001682</v>
      </c>
      <c r="B737" t="str">
        <f>"Stauffer"</f>
        <v>Stauffer</v>
      </c>
      <c r="C737" t="str">
        <f>"Zayden"</f>
        <v>Zayden</v>
      </c>
      <c r="D737" t="str">
        <f>"33zstauffer@franklincountyschools.org"</f>
        <v>33zstauffer@franklincountyschools.org</v>
      </c>
      <c r="E737" t="str">
        <f>"KG"</f>
        <v>KG</v>
      </c>
    </row>
    <row r="738" spans="1:5" x14ac:dyDescent="0.25">
      <c r="A738">
        <f>1920001640</f>
        <v>1920001640</v>
      </c>
      <c r="B738" t="str">
        <f>"Stelly"</f>
        <v>Stelly</v>
      </c>
      <c r="C738" t="str">
        <f>"Carlyn"</f>
        <v>Carlyn</v>
      </c>
      <c r="D738" t="str">
        <f>"32cstelly@franklincountyschools.org"</f>
        <v>32cstelly@franklincountyschools.org</v>
      </c>
      <c r="E738" t="str">
        <f>"01"</f>
        <v>01</v>
      </c>
    </row>
    <row r="739" spans="1:5" x14ac:dyDescent="0.25">
      <c r="A739">
        <f>1909002628</f>
        <v>1909002628</v>
      </c>
      <c r="B739" t="str">
        <f>"Stephens"</f>
        <v>Stephens</v>
      </c>
      <c r="C739" t="str">
        <f>"Jerymiah"</f>
        <v>Jerymiah</v>
      </c>
      <c r="D739" t="str">
        <f>"23JStephens@franklincountyschools.org"</f>
        <v>23JStephens@franklincountyschools.org</v>
      </c>
      <c r="E739">
        <f>10</f>
        <v>10</v>
      </c>
    </row>
    <row r="740" spans="1:5" x14ac:dyDescent="0.25">
      <c r="A740">
        <f>1920000511</f>
        <v>1920000511</v>
      </c>
      <c r="B740" t="str">
        <f>"Stepro"</f>
        <v>Stepro</v>
      </c>
      <c r="C740" t="str">
        <f>"Cassiddi"</f>
        <v>Cassiddi</v>
      </c>
      <c r="D740" t="str">
        <f>"28CStepro@franklincountyschools.org"</f>
        <v>28CStepro@franklincountyschools.org</v>
      </c>
      <c r="E740" t="str">
        <f>"05"</f>
        <v>05</v>
      </c>
    </row>
    <row r="741" spans="1:5" x14ac:dyDescent="0.25">
      <c r="A741">
        <f>1920000658</f>
        <v>1920000658</v>
      </c>
      <c r="B741" t="str">
        <f>"Sterling"</f>
        <v>Sterling</v>
      </c>
      <c r="C741" t="str">
        <f>"Alexander"</f>
        <v>Alexander</v>
      </c>
      <c r="D741" t="str">
        <f>"24asterling@franklincountyschools.org"</f>
        <v>24asterling@franklincountyschools.org</v>
      </c>
      <c r="E741" t="str">
        <f>"09"</f>
        <v>09</v>
      </c>
    </row>
    <row r="742" spans="1:5" x14ac:dyDescent="0.25">
      <c r="A742">
        <f>1920002063</f>
        <v>1920002063</v>
      </c>
      <c r="B742" t="str">
        <f>"Strevel"</f>
        <v>Strevel</v>
      </c>
      <c r="C742" t="str">
        <f>"Leo"</f>
        <v>Leo</v>
      </c>
      <c r="D742" t="str">
        <f>"Crumstarla4@gmail.com"</f>
        <v>Crumstarla4@gmail.com</v>
      </c>
      <c r="E742" t="str">
        <f>"PK"</f>
        <v>PK</v>
      </c>
    </row>
    <row r="743" spans="1:5" x14ac:dyDescent="0.25">
      <c r="A743">
        <f>1920001835</f>
        <v>1920001835</v>
      </c>
      <c r="B743" t="str">
        <f>"Strunk"</f>
        <v>Strunk</v>
      </c>
      <c r="C743" t="str">
        <f>"Jana"</f>
        <v>Jana</v>
      </c>
      <c r="D743" t="str">
        <f>"21JStrunk@franklincountyschools.org"</f>
        <v>21JStrunk@franklincountyschools.org</v>
      </c>
      <c r="E743">
        <f>12</f>
        <v>12</v>
      </c>
    </row>
    <row r="744" spans="1:5" x14ac:dyDescent="0.25">
      <c r="A744">
        <f>1912003401</f>
        <v>1912003401</v>
      </c>
      <c r="B744" t="str">
        <f>"Stulsky"</f>
        <v>Stulsky</v>
      </c>
      <c r="C744" t="str">
        <f>"Anthony"</f>
        <v>Anthony</v>
      </c>
      <c r="D744" t="str">
        <f>"24AStulsky@franklincountyschools.org"</f>
        <v>24AStulsky@franklincountyschools.org</v>
      </c>
      <c r="E744" t="str">
        <f>"07"</f>
        <v>07</v>
      </c>
    </row>
    <row r="745" spans="1:5" x14ac:dyDescent="0.25">
      <c r="A745">
        <f>1912003374</f>
        <v>1912003374</v>
      </c>
      <c r="B745" t="str">
        <f>"Suddeth"</f>
        <v>Suddeth</v>
      </c>
      <c r="C745" t="str">
        <f>"Promise"</f>
        <v>Promise</v>
      </c>
      <c r="D745" t="str">
        <f>"25psuddeth@franklincountyschools.org"</f>
        <v>25psuddeth@franklincountyschools.org</v>
      </c>
      <c r="E745" t="str">
        <f>"08"</f>
        <v>08</v>
      </c>
    </row>
    <row r="746" spans="1:5" x14ac:dyDescent="0.25">
      <c r="A746">
        <f>1910002786</f>
        <v>1910002786</v>
      </c>
      <c r="B746" t="str">
        <f>"Suddeth"</f>
        <v>Suddeth</v>
      </c>
      <c r="C746" t="str">
        <f>"Shalynn"</f>
        <v>Shalynn</v>
      </c>
      <c r="D746" t="str">
        <f>"23ssuddeth@franklincountyschools.org"</f>
        <v>23ssuddeth@franklincountyschools.org</v>
      </c>
      <c r="E746" t="str">
        <f>"09"</f>
        <v>09</v>
      </c>
    </row>
    <row r="747" spans="1:5" x14ac:dyDescent="0.25">
      <c r="A747">
        <f>1920000652</f>
        <v>1920000652</v>
      </c>
      <c r="B747" t="str">
        <f>"Sudduth"</f>
        <v>Sudduth</v>
      </c>
      <c r="C747" t="str">
        <f>"Kamerion"</f>
        <v>Kamerion</v>
      </c>
      <c r="D747" t="str">
        <f>"30KSudduth@franklincountyschools.org"</f>
        <v>30KSudduth@franklincountyschools.org</v>
      </c>
      <c r="E747" t="str">
        <f>"03"</f>
        <v>03</v>
      </c>
    </row>
    <row r="748" spans="1:5" x14ac:dyDescent="0.25">
      <c r="A748">
        <f>1920001743</f>
        <v>1920001743</v>
      </c>
      <c r="B748" t="str">
        <f>"Suggs"</f>
        <v>Suggs</v>
      </c>
      <c r="C748" t="str">
        <f>"Blake"</f>
        <v>Blake</v>
      </c>
      <c r="D748" t="str">
        <f>"33bsuggs@franklincountyschools.org"</f>
        <v>33bsuggs@franklincountyschools.org</v>
      </c>
      <c r="E748" t="str">
        <f>"KG"</f>
        <v>KG</v>
      </c>
    </row>
    <row r="749" spans="1:5" x14ac:dyDescent="0.25">
      <c r="A749">
        <f>1910002872</f>
        <v>1910002872</v>
      </c>
      <c r="B749" t="str">
        <f>"Sullivan"</f>
        <v>Sullivan</v>
      </c>
      <c r="C749" t="str">
        <f>"Kevin"</f>
        <v>Kevin</v>
      </c>
      <c r="D749" t="str">
        <f>"23ksullivan@franklincountyschools.org"</f>
        <v>23ksullivan@franklincountyschools.org</v>
      </c>
      <c r="E749" t="str">
        <f>"09"</f>
        <v>09</v>
      </c>
    </row>
    <row r="750" spans="1:5" x14ac:dyDescent="0.25">
      <c r="A750">
        <f>1920000281</f>
        <v>1920000281</v>
      </c>
      <c r="B750" t="str">
        <f>"Sullivan"</f>
        <v>Sullivan</v>
      </c>
      <c r="C750" t="str">
        <f>"Noah"</f>
        <v>Noah</v>
      </c>
      <c r="D750" t="str">
        <f>"26nsullivan@franklincountyschools.org"</f>
        <v>26nsullivan@franklincountyschools.org</v>
      </c>
      <c r="E750" t="str">
        <f>"07"</f>
        <v>07</v>
      </c>
    </row>
    <row r="751" spans="1:5" x14ac:dyDescent="0.25">
      <c r="A751">
        <f>1920001964</f>
        <v>1920001964</v>
      </c>
      <c r="B751" t="str">
        <f>"Sutton"</f>
        <v>Sutton</v>
      </c>
      <c r="C751" t="str">
        <f>"Hayden"</f>
        <v>Hayden</v>
      </c>
      <c r="D751" t="str">
        <f>"32haydensutton@franklincountyschools.org"</f>
        <v>32haydensutton@franklincountyschools.org</v>
      </c>
      <c r="E751" t="str">
        <f>"01"</f>
        <v>01</v>
      </c>
    </row>
    <row r="752" spans="1:5" x14ac:dyDescent="0.25">
      <c r="A752">
        <f>1920001942</f>
        <v>1920001942</v>
      </c>
      <c r="B752" t="str">
        <f>"Sutton"</f>
        <v>Sutton</v>
      </c>
      <c r="C752" t="str">
        <f>"Heather"</f>
        <v>Heather</v>
      </c>
      <c r="D752" t="str">
        <f>"32heathersutton@franklincountyschools.org"</f>
        <v>32heathersutton@franklincountyschools.org</v>
      </c>
      <c r="E752" t="str">
        <f>"01"</f>
        <v>01</v>
      </c>
    </row>
    <row r="753" spans="1:5" x14ac:dyDescent="0.25">
      <c r="A753">
        <f>1920000274</f>
        <v>1920000274</v>
      </c>
      <c r="B753" t="str">
        <f>"Tarantino"</f>
        <v>Tarantino</v>
      </c>
      <c r="C753" t="str">
        <f>"Stephen"</f>
        <v>Stephen</v>
      </c>
      <c r="D753" t="str">
        <f>"26STarantino@franklincountyschools.org"</f>
        <v>26STarantino@franklincountyschools.org</v>
      </c>
      <c r="E753" t="str">
        <f>"07"</f>
        <v>07</v>
      </c>
    </row>
    <row r="754" spans="1:5" x14ac:dyDescent="0.25">
      <c r="A754">
        <f>1920001687</f>
        <v>1920001687</v>
      </c>
      <c r="B754" t="str">
        <f>"Tarantino"</f>
        <v>Tarantino</v>
      </c>
      <c r="C754" t="str">
        <f>"Weston"</f>
        <v>Weston</v>
      </c>
      <c r="D754" t="str">
        <f>"33wtarantino@franklincountyschools.org"</f>
        <v>33wtarantino@franklincountyschools.org</v>
      </c>
      <c r="E754" t="str">
        <f>"KG"</f>
        <v>KG</v>
      </c>
    </row>
    <row r="755" spans="1:5" x14ac:dyDescent="0.25">
      <c r="A755">
        <f>1910002811</f>
        <v>1910002811</v>
      </c>
      <c r="B755" t="str">
        <f>"Taranto"</f>
        <v>Taranto</v>
      </c>
      <c r="C755" t="str">
        <f>"Weston"</f>
        <v>Weston</v>
      </c>
      <c r="D755" t="str">
        <f>"24wtaranto@franklincountyschools.org"</f>
        <v>24wtaranto@franklincountyschools.org</v>
      </c>
      <c r="E755" t="str">
        <f>"09"</f>
        <v>09</v>
      </c>
    </row>
    <row r="756" spans="1:5" x14ac:dyDescent="0.25">
      <c r="A756">
        <f>1908002441</f>
        <v>1908002441</v>
      </c>
      <c r="B756" t="str">
        <f>"Taunton"</f>
        <v>Taunton</v>
      </c>
      <c r="C756" t="str">
        <f>"Austin"</f>
        <v>Austin</v>
      </c>
      <c r="D756" t="str">
        <f>"22ATaunton@franklincountyschools.org"</f>
        <v>22ATaunton@franklincountyschools.org</v>
      </c>
      <c r="E756">
        <f>11</f>
        <v>11</v>
      </c>
    </row>
    <row r="757" spans="1:5" x14ac:dyDescent="0.25">
      <c r="A757">
        <f>1920000248</f>
        <v>1920000248</v>
      </c>
      <c r="B757" t="str">
        <f>"Taylor"</f>
        <v>Taylor</v>
      </c>
      <c r="C757" t="str">
        <f>"Camdyn"</f>
        <v>Camdyn</v>
      </c>
      <c r="D757" t="str">
        <f>"27CTaylor@franklincountyschools.org"</f>
        <v>27CTaylor@franklincountyschools.org</v>
      </c>
      <c r="E757" t="str">
        <f>"06"</f>
        <v>06</v>
      </c>
    </row>
    <row r="758" spans="1:5" x14ac:dyDescent="0.25">
      <c r="A758">
        <f>1920000095</f>
        <v>1920000095</v>
      </c>
      <c r="B758" t="str">
        <f>"Taylor"</f>
        <v>Taylor</v>
      </c>
      <c r="C758" t="str">
        <f>"Donivyn"</f>
        <v>Donivyn</v>
      </c>
      <c r="D758" t="str">
        <f>"28DTaylor@franklincountyschools.org"</f>
        <v>28DTaylor@franklincountyschools.org</v>
      </c>
      <c r="E758" t="str">
        <f>"05"</f>
        <v>05</v>
      </c>
    </row>
    <row r="759" spans="1:5" x14ac:dyDescent="0.25">
      <c r="A759">
        <f>1920000881</f>
        <v>1920000881</v>
      </c>
      <c r="B759" t="str">
        <f>"Taylor"</f>
        <v>Taylor</v>
      </c>
      <c r="C759" t="str">
        <f>"Kacen"</f>
        <v>Kacen</v>
      </c>
      <c r="D759" t="str">
        <f>"29KTaylor@franklincountyschools.org"</f>
        <v>29KTaylor@franklincountyschools.org</v>
      </c>
      <c r="E759" t="str">
        <f>"04"</f>
        <v>04</v>
      </c>
    </row>
    <row r="760" spans="1:5" x14ac:dyDescent="0.25">
      <c r="A760">
        <f>1911003085</f>
        <v>1911003085</v>
      </c>
      <c r="B760" t="str">
        <f>"Taylor"</f>
        <v>Taylor</v>
      </c>
      <c r="C760" t="str">
        <f>"Marissa"</f>
        <v>Marissa</v>
      </c>
      <c r="D760" t="str">
        <f>"24MTaylor@franklincountyschools.org"</f>
        <v>24MTaylor@franklincountyschools.org</v>
      </c>
      <c r="E760" t="str">
        <f>"08"</f>
        <v>08</v>
      </c>
    </row>
    <row r="761" spans="1:5" x14ac:dyDescent="0.25">
      <c r="A761">
        <f>1920001140</f>
        <v>1920001140</v>
      </c>
      <c r="B761" t="str">
        <f>"Taylor"</f>
        <v>Taylor</v>
      </c>
      <c r="C761" t="str">
        <f>"Paisleigh"</f>
        <v>Paisleigh</v>
      </c>
      <c r="D761" t="str">
        <f>"32ptaylor@franklincountyschools.org"</f>
        <v>32ptaylor@franklincountyschools.org</v>
      </c>
      <c r="E761" t="str">
        <f>"01"</f>
        <v>01</v>
      </c>
    </row>
    <row r="762" spans="1:5" x14ac:dyDescent="0.25">
      <c r="A762">
        <f>1920000431</f>
        <v>1920000431</v>
      </c>
      <c r="B762" t="str">
        <f>"Teat"</f>
        <v>Teat</v>
      </c>
      <c r="C762" t="str">
        <f>"Dexton"</f>
        <v>Dexton</v>
      </c>
      <c r="D762" t="str">
        <f>"25DTeat@franklincountyschools.org"</f>
        <v>25DTeat@franklincountyschools.org</v>
      </c>
      <c r="E762" t="str">
        <f>"08"</f>
        <v>08</v>
      </c>
    </row>
    <row r="763" spans="1:5" x14ac:dyDescent="0.25">
      <c r="A763">
        <f>1920000322</f>
        <v>1920000322</v>
      </c>
      <c r="B763" t="str">
        <f>"Terrell"</f>
        <v>Terrell</v>
      </c>
      <c r="C763" t="str">
        <f>"Princess"</f>
        <v>Princess</v>
      </c>
      <c r="D763" t="str">
        <f>"27PTerrell@franklincountyschools.org"</f>
        <v>27PTerrell@franklincountyschools.org</v>
      </c>
      <c r="E763" t="str">
        <f>"06"</f>
        <v>06</v>
      </c>
    </row>
    <row r="764" spans="1:5" x14ac:dyDescent="0.25">
      <c r="A764">
        <f>1912003441</f>
        <v>1912003441</v>
      </c>
      <c r="B764" t="str">
        <f t="shared" ref="B764:B778" si="15">"Thompson"</f>
        <v>Thompson</v>
      </c>
      <c r="C764" t="str">
        <f>"Brycen"</f>
        <v>Brycen</v>
      </c>
      <c r="D764" t="str">
        <f>"27BThompson@franklincountyschools.org"</f>
        <v>27BThompson@franklincountyschools.org</v>
      </c>
      <c r="E764" t="str">
        <f>"06"</f>
        <v>06</v>
      </c>
    </row>
    <row r="765" spans="1:5" x14ac:dyDescent="0.25">
      <c r="A765">
        <f>1920000364</f>
        <v>1920000364</v>
      </c>
      <c r="B765" t="str">
        <f t="shared" si="15"/>
        <v>Thompson</v>
      </c>
      <c r="C765" t="str">
        <f>"Haiden"</f>
        <v>Haiden</v>
      </c>
      <c r="D765" t="str">
        <f>"28HThompson@franklincountyschools.org"</f>
        <v>28HThompson@franklincountyschools.org</v>
      </c>
      <c r="E765" t="str">
        <f>"05"</f>
        <v>05</v>
      </c>
    </row>
    <row r="766" spans="1:5" x14ac:dyDescent="0.25">
      <c r="A766">
        <f>1907002165</f>
        <v>1907002165</v>
      </c>
      <c r="B766" t="str">
        <f t="shared" si="15"/>
        <v>Thompson</v>
      </c>
      <c r="C766" t="str">
        <f>"Holly"</f>
        <v>Holly</v>
      </c>
      <c r="D766" t="str">
        <f>"22hthompson@franklincountyschools.org"</f>
        <v>22hthompson@franklincountyschools.org</v>
      </c>
      <c r="E766">
        <f>11</f>
        <v>11</v>
      </c>
    </row>
    <row r="767" spans="1:5" x14ac:dyDescent="0.25">
      <c r="A767">
        <f>1912003433</f>
        <v>1912003433</v>
      </c>
      <c r="B767" t="str">
        <f t="shared" si="15"/>
        <v>Thompson</v>
      </c>
      <c r="C767" t="str">
        <f>"Jabin"</f>
        <v>Jabin</v>
      </c>
      <c r="D767" t="str">
        <f>"25JThompson@franklincountyschools.org"</f>
        <v>25JThompson@franklincountyschools.org</v>
      </c>
      <c r="E767" t="str">
        <f>"07"</f>
        <v>07</v>
      </c>
    </row>
    <row r="768" spans="1:5" x14ac:dyDescent="0.25">
      <c r="A768">
        <f>1920000982</f>
        <v>1920000982</v>
      </c>
      <c r="B768" t="str">
        <f t="shared" si="15"/>
        <v>Thompson</v>
      </c>
      <c r="C768" t="str">
        <f>"Jacelynn"</f>
        <v>Jacelynn</v>
      </c>
      <c r="D768" t="str">
        <f>"31jthompson@franklincountyschools.org"</f>
        <v>31jthompson@franklincountyschools.org</v>
      </c>
      <c r="E768" t="str">
        <f>"02"</f>
        <v>02</v>
      </c>
    </row>
    <row r="769" spans="1:5" x14ac:dyDescent="0.25">
      <c r="A769">
        <f>1912003375</f>
        <v>1912003375</v>
      </c>
      <c r="B769" t="str">
        <f t="shared" si="15"/>
        <v>Thompson</v>
      </c>
      <c r="C769" t="str">
        <f>"Jayce"</f>
        <v>Jayce</v>
      </c>
      <c r="D769" t="str">
        <f>"28JThompson@franklincountyschools.org"</f>
        <v>28JThompson@franklincountyschools.org</v>
      </c>
      <c r="E769" t="str">
        <f>"05"</f>
        <v>05</v>
      </c>
    </row>
    <row r="770" spans="1:5" x14ac:dyDescent="0.25">
      <c r="A770">
        <f>1920000561</f>
        <v>1920000561</v>
      </c>
      <c r="B770" t="str">
        <f t="shared" si="15"/>
        <v>Thompson</v>
      </c>
      <c r="C770" t="str">
        <f>"Jaylynn"</f>
        <v>Jaylynn</v>
      </c>
      <c r="D770" t="str">
        <f>"29JThompson@franklincountyschools.org"</f>
        <v>29JThompson@franklincountyschools.org</v>
      </c>
      <c r="E770" t="str">
        <f>"04"</f>
        <v>04</v>
      </c>
    </row>
    <row r="771" spans="1:5" x14ac:dyDescent="0.25">
      <c r="A771">
        <f>1920001460</f>
        <v>1920001460</v>
      </c>
      <c r="B771" t="str">
        <f t="shared" si="15"/>
        <v>Thompson</v>
      </c>
      <c r="C771" t="str">
        <f>"Jaymus"</f>
        <v>Jaymus</v>
      </c>
      <c r="D771" t="str">
        <f>"33jaymusthompson@franklincountyschools.org"</f>
        <v>33jaymusthompson@franklincountyschools.org</v>
      </c>
      <c r="E771" t="str">
        <f>"KG"</f>
        <v>KG</v>
      </c>
    </row>
    <row r="772" spans="1:5" x14ac:dyDescent="0.25">
      <c r="A772">
        <f>1920001461</f>
        <v>1920001461</v>
      </c>
      <c r="B772" t="str">
        <f t="shared" si="15"/>
        <v>Thompson</v>
      </c>
      <c r="C772" t="str">
        <f>"Jaythan"</f>
        <v>Jaythan</v>
      </c>
      <c r="D772" t="str">
        <f>"33jaythanthompson@franklincountyschools.org"</f>
        <v>33jaythanthompson@franklincountyschools.org</v>
      </c>
      <c r="E772" t="str">
        <f>"KG"</f>
        <v>KG</v>
      </c>
    </row>
    <row r="773" spans="1:5" x14ac:dyDescent="0.25">
      <c r="A773">
        <f>1920001739</f>
        <v>1920001739</v>
      </c>
      <c r="B773" t="str">
        <f t="shared" si="15"/>
        <v>Thompson</v>
      </c>
      <c r="C773" t="str">
        <f>"Julia"</f>
        <v>Julia</v>
      </c>
      <c r="D773" t="str">
        <f>"33jthompson@franklincountyschools.org"</f>
        <v>33jthompson@franklincountyschools.org</v>
      </c>
      <c r="E773" t="str">
        <f>"PK"</f>
        <v>PK</v>
      </c>
    </row>
    <row r="774" spans="1:5" x14ac:dyDescent="0.25">
      <c r="A774">
        <f>1920000562</f>
        <v>1920000562</v>
      </c>
      <c r="B774" t="str">
        <f t="shared" si="15"/>
        <v>Thompson</v>
      </c>
      <c r="C774" t="str">
        <f>"Levi"</f>
        <v>Levi</v>
      </c>
      <c r="D774" t="str">
        <f>"30LThompson@franklincountyschools.org"</f>
        <v>30LThompson@franklincountyschools.org</v>
      </c>
      <c r="E774" t="str">
        <f>"03"</f>
        <v>03</v>
      </c>
    </row>
    <row r="775" spans="1:5" x14ac:dyDescent="0.25">
      <c r="A775">
        <f>1920000563</f>
        <v>1920000563</v>
      </c>
      <c r="B775" t="str">
        <f t="shared" si="15"/>
        <v>Thompson</v>
      </c>
      <c r="C775" t="str">
        <f>"Roy"</f>
        <v>Roy</v>
      </c>
      <c r="D775" t="str">
        <f>"29RThompson@franklincountyschools.org"</f>
        <v>29RThompson@franklincountyschools.org</v>
      </c>
      <c r="E775" t="str">
        <f>"04"</f>
        <v>04</v>
      </c>
    </row>
    <row r="776" spans="1:5" x14ac:dyDescent="0.25">
      <c r="A776">
        <f>1910002825</f>
        <v>1910002825</v>
      </c>
      <c r="B776" t="str">
        <f t="shared" si="15"/>
        <v>Thompson</v>
      </c>
      <c r="C776" t="str">
        <f>"Terry"</f>
        <v>Terry</v>
      </c>
      <c r="D776" t="str">
        <f>"24TThompson@franklincountyschools.org"</f>
        <v>24TThompson@franklincountyschools.org</v>
      </c>
      <c r="E776" t="str">
        <f>"09"</f>
        <v>09</v>
      </c>
    </row>
    <row r="777" spans="1:5" x14ac:dyDescent="0.25">
      <c r="A777">
        <f>1910002829</f>
        <v>1910002829</v>
      </c>
      <c r="B777" t="str">
        <f t="shared" si="15"/>
        <v>Thompson</v>
      </c>
      <c r="C777" t="str">
        <f>"Zachary"</f>
        <v>Zachary</v>
      </c>
      <c r="D777" t="str">
        <f>"24ZThompson@franklincountyschools.org"</f>
        <v>24ZThompson@franklincountyschools.org</v>
      </c>
      <c r="E777" t="str">
        <f>"08"</f>
        <v>08</v>
      </c>
    </row>
    <row r="778" spans="1:5" x14ac:dyDescent="0.25">
      <c r="A778">
        <f>1911003063</f>
        <v>1911003063</v>
      </c>
      <c r="B778" t="str">
        <f t="shared" si="15"/>
        <v>Thompson</v>
      </c>
      <c r="C778" t="str">
        <f>"Zachary"</f>
        <v>Zachary</v>
      </c>
      <c r="D778" t="str">
        <f>"24mthompson@franklincountyschools.org"</f>
        <v>24mthompson@franklincountyschools.org</v>
      </c>
      <c r="E778" t="str">
        <f>"08"</f>
        <v>08</v>
      </c>
    </row>
    <row r="779" spans="1:5" x14ac:dyDescent="0.25">
      <c r="A779">
        <f>1909002636</f>
        <v>1909002636</v>
      </c>
      <c r="B779" t="str">
        <f>"Tipton"</f>
        <v>Tipton</v>
      </c>
      <c r="C779" t="str">
        <f>"Jaelyn"</f>
        <v>Jaelyn</v>
      </c>
      <c r="D779" t="str">
        <f>"22jtipton@franklincountyschools.org"</f>
        <v>22jtipton@franklincountyschools.org</v>
      </c>
      <c r="E779">
        <f>11</f>
        <v>11</v>
      </c>
    </row>
    <row r="780" spans="1:5" x14ac:dyDescent="0.25">
      <c r="A780">
        <f>1910002994</f>
        <v>1910002994</v>
      </c>
      <c r="B780" t="str">
        <f>"Tipton"</f>
        <v>Tipton</v>
      </c>
      <c r="C780" t="str">
        <f>"Jostyn"</f>
        <v>Jostyn</v>
      </c>
      <c r="D780" t="str">
        <f>"24jtipton@franklincountyschools.org"</f>
        <v>24jtipton@franklincountyschools.org</v>
      </c>
      <c r="E780" t="str">
        <f>"09"</f>
        <v>09</v>
      </c>
    </row>
    <row r="781" spans="1:5" x14ac:dyDescent="0.25">
      <c r="A781">
        <f>1911003176</f>
        <v>1911003176</v>
      </c>
      <c r="B781" t="str">
        <f>"Tolliver"</f>
        <v>Tolliver</v>
      </c>
      <c r="C781" t="str">
        <f>"Tylin"</f>
        <v>Tylin</v>
      </c>
      <c r="D781" t="str">
        <f>"24TTolliver@franklincountyschools.org"</f>
        <v>24TTolliver@franklincountyschools.org</v>
      </c>
      <c r="E781" t="str">
        <f>"09"</f>
        <v>09</v>
      </c>
    </row>
    <row r="782" spans="1:5" x14ac:dyDescent="0.25">
      <c r="A782">
        <f>1920001697</f>
        <v>1920001697</v>
      </c>
      <c r="B782" t="str">
        <f>"Toole"</f>
        <v>Toole</v>
      </c>
      <c r="C782" t="str">
        <f>"Michael"</f>
        <v>Michael</v>
      </c>
      <c r="D782" t="str">
        <f>"33mtoole@franklincountyschools.org"</f>
        <v>33mtoole@franklincountyschools.org</v>
      </c>
      <c r="E782" t="str">
        <f>"KG"</f>
        <v>KG</v>
      </c>
    </row>
    <row r="783" spans="1:5" x14ac:dyDescent="0.25">
      <c r="A783">
        <f>1920001765</f>
        <v>1920001765</v>
      </c>
      <c r="B783" t="str">
        <f>"Toole"</f>
        <v>Toole</v>
      </c>
      <c r="C783" t="str">
        <f>"Pamela"</f>
        <v>Pamela</v>
      </c>
      <c r="D783" t="str">
        <f>"33ptoole@franklincountyschools.org"</f>
        <v>33ptoole@franklincountyschools.org</v>
      </c>
      <c r="E783" t="str">
        <f>"KG"</f>
        <v>KG</v>
      </c>
    </row>
    <row r="784" spans="1:5" x14ac:dyDescent="0.25">
      <c r="A784">
        <f>1920000135</f>
        <v>1920000135</v>
      </c>
      <c r="B784" t="str">
        <f>"Topham"</f>
        <v>Topham</v>
      </c>
      <c r="C784" t="str">
        <f>"Rodney"</f>
        <v>Rodney</v>
      </c>
      <c r="D784" t="str">
        <f>"27RTopham@franklincountyschools.org"</f>
        <v>27RTopham@franklincountyschools.org</v>
      </c>
      <c r="E784" t="str">
        <f>"06"</f>
        <v>06</v>
      </c>
    </row>
    <row r="785" spans="1:5" x14ac:dyDescent="0.25">
      <c r="A785">
        <f>1920000323</f>
        <v>1920000323</v>
      </c>
      <c r="B785" t="str">
        <f>"Townsend"</f>
        <v>Townsend</v>
      </c>
      <c r="C785" t="str">
        <f>"Destiny"</f>
        <v>Destiny</v>
      </c>
      <c r="D785" t="str">
        <f>"27DTownsend@franklincountyschools.org"</f>
        <v>27DTownsend@franklincountyschools.org</v>
      </c>
      <c r="E785" t="str">
        <f>"06"</f>
        <v>06</v>
      </c>
    </row>
    <row r="786" spans="1:5" x14ac:dyDescent="0.25">
      <c r="A786">
        <f>1920000679</f>
        <v>1920000679</v>
      </c>
      <c r="B786" t="str">
        <f>"Tucker"</f>
        <v>Tucker</v>
      </c>
      <c r="C786" t="str">
        <f>"Ja'kobi"</f>
        <v>Ja'kobi</v>
      </c>
      <c r="D786" t="str">
        <f>"30JakobiTucker@franklincountyschools.org"</f>
        <v>30JakobiTucker@franklincountyschools.org</v>
      </c>
      <c r="E786" t="str">
        <f>"03"</f>
        <v>03</v>
      </c>
    </row>
    <row r="787" spans="1:5" x14ac:dyDescent="0.25">
      <c r="A787">
        <f>1920000684</f>
        <v>1920000684</v>
      </c>
      <c r="B787" t="str">
        <f>"Tucker"</f>
        <v>Tucker</v>
      </c>
      <c r="C787" t="str">
        <f>"Jordan"</f>
        <v>Jordan</v>
      </c>
      <c r="D787" t="str">
        <f>"30JordanTucker@franklincountyschools.org"</f>
        <v>30JordanTucker@franklincountyschools.org</v>
      </c>
      <c r="E787" t="str">
        <f>"03"</f>
        <v>03</v>
      </c>
    </row>
    <row r="788" spans="1:5" x14ac:dyDescent="0.25">
      <c r="A788">
        <f>1911003172</f>
        <v>1911003172</v>
      </c>
      <c r="B788" t="str">
        <f>"Turner"</f>
        <v>Turner</v>
      </c>
      <c r="C788" t="str">
        <f>"Ariel"</f>
        <v>Ariel</v>
      </c>
      <c r="D788" t="str">
        <f>"24aturner1@franklincountyschools.org"</f>
        <v>24aturner1@franklincountyschools.org</v>
      </c>
      <c r="E788" t="str">
        <f>"08"</f>
        <v>08</v>
      </c>
    </row>
    <row r="789" spans="1:5" x14ac:dyDescent="0.25">
      <c r="A789">
        <f>1920000979</f>
        <v>1920000979</v>
      </c>
      <c r="B789" t="str">
        <f>"Turner"</f>
        <v>Turner</v>
      </c>
      <c r="C789" t="str">
        <f>"Colten"</f>
        <v>Colten</v>
      </c>
      <c r="D789" t="str">
        <f>"30CTurner@franklincountyschools.org"</f>
        <v>30CTurner@franklincountyschools.org</v>
      </c>
      <c r="E789" t="str">
        <f>"02"</f>
        <v>02</v>
      </c>
    </row>
    <row r="790" spans="1:5" x14ac:dyDescent="0.25">
      <c r="A790">
        <f>1920001565</f>
        <v>1920001565</v>
      </c>
      <c r="B790" t="str">
        <f>"Turner"</f>
        <v>Turner</v>
      </c>
      <c r="C790" t="str">
        <f>"Hannah"</f>
        <v>Hannah</v>
      </c>
      <c r="D790" t="str">
        <f>"22HTurner@franklincountyschools.org"</f>
        <v>22HTurner@franklincountyschools.org</v>
      </c>
      <c r="E790">
        <f>11</f>
        <v>11</v>
      </c>
    </row>
    <row r="791" spans="1:5" x14ac:dyDescent="0.25">
      <c r="A791">
        <f>1911003171</f>
        <v>1911003171</v>
      </c>
      <c r="B791" t="str">
        <f>"Turrell"</f>
        <v>Turrell</v>
      </c>
      <c r="C791" t="str">
        <f>"Ja'marcus"</f>
        <v>Ja'marcus</v>
      </c>
      <c r="D791" t="str">
        <f>"24jamarcusturrell@franklincountyschools.org"</f>
        <v>24jamarcusturrell@franklincountyschools.org</v>
      </c>
      <c r="E791" t="str">
        <f>"09"</f>
        <v>09</v>
      </c>
    </row>
    <row r="792" spans="1:5" x14ac:dyDescent="0.25">
      <c r="A792">
        <f>1908002296</f>
        <v>1908002296</v>
      </c>
      <c r="B792" t="str">
        <f>"Turrell"</f>
        <v>Turrell</v>
      </c>
      <c r="C792" t="str">
        <f>"Jarvis"</f>
        <v>Jarvis</v>
      </c>
      <c r="D792" t="str">
        <f>"24jturrell@franklincountyschools.org"</f>
        <v>24jturrell@franklincountyschools.org</v>
      </c>
      <c r="E792">
        <f>12</f>
        <v>12</v>
      </c>
    </row>
    <row r="793" spans="1:5" x14ac:dyDescent="0.25">
      <c r="A793">
        <f>1909002631</f>
        <v>1909002631</v>
      </c>
      <c r="B793" t="str">
        <f>"Turrell"</f>
        <v>Turrell</v>
      </c>
      <c r="C793" t="str">
        <f>"Saunti"</f>
        <v>Saunti</v>
      </c>
      <c r="D793" t="str">
        <f>"22sturrell@franklincountyschools.org"</f>
        <v>22sturrell@franklincountyschools.org</v>
      </c>
      <c r="E793">
        <f>11</f>
        <v>11</v>
      </c>
    </row>
    <row r="794" spans="1:5" x14ac:dyDescent="0.25">
      <c r="A794">
        <f>1920000629</f>
        <v>1920000629</v>
      </c>
      <c r="B794" t="str">
        <f>"Tyson"</f>
        <v>Tyson</v>
      </c>
      <c r="C794" t="str">
        <f>" Johnny"</f>
        <v xml:space="preserve"> Johnny</v>
      </c>
      <c r="D794" t="str">
        <f>"28jtyson@franklincountyschools.org"</f>
        <v>28jtyson@franklincountyschools.org</v>
      </c>
      <c r="E794" t="str">
        <f>"05"</f>
        <v>05</v>
      </c>
    </row>
    <row r="795" spans="1:5" x14ac:dyDescent="0.25">
      <c r="A795">
        <f>1911003173</f>
        <v>1911003173</v>
      </c>
      <c r="B795" t="str">
        <f>"Valencia"</f>
        <v>Valencia</v>
      </c>
      <c r="C795" t="str">
        <f>"Jaqueline"</f>
        <v>Jaqueline</v>
      </c>
      <c r="D795" t="str">
        <f>"24JValencia@franklincountyschools.org"</f>
        <v>24JValencia@franklincountyschools.org</v>
      </c>
      <c r="E795" t="str">
        <f>"09"</f>
        <v>09</v>
      </c>
    </row>
    <row r="796" spans="1:5" x14ac:dyDescent="0.25">
      <c r="A796">
        <f>1908002340</f>
        <v>1908002340</v>
      </c>
      <c r="B796" t="str">
        <f>"Varner"</f>
        <v>Varner</v>
      </c>
      <c r="C796" t="str">
        <f>"Makayla"</f>
        <v>Makayla</v>
      </c>
      <c r="D796" t="str">
        <f>"21MVarner@franklincountyschools.org"</f>
        <v>21MVarner@franklincountyschools.org</v>
      </c>
      <c r="E796">
        <f>12</f>
        <v>12</v>
      </c>
    </row>
    <row r="797" spans="1:5" x14ac:dyDescent="0.25">
      <c r="A797">
        <f>1920000843</f>
        <v>1920000843</v>
      </c>
      <c r="B797" t="str">
        <f>"Varnes"</f>
        <v>Varnes</v>
      </c>
      <c r="C797" t="str">
        <f>"Jaylen"</f>
        <v>Jaylen</v>
      </c>
      <c r="D797" t="str">
        <f>"29JVarnes@franklincountyschools.org"</f>
        <v>29JVarnes@franklincountyschools.org</v>
      </c>
      <c r="E797" t="str">
        <f>"04"</f>
        <v>04</v>
      </c>
    </row>
    <row r="798" spans="1:5" x14ac:dyDescent="0.25">
      <c r="A798">
        <f>1920001176</f>
        <v>1920001176</v>
      </c>
      <c r="B798" t="str">
        <f>"Varnes"</f>
        <v>Varnes</v>
      </c>
      <c r="C798" t="str">
        <f>"Payton"</f>
        <v>Payton</v>
      </c>
      <c r="D798" t="str">
        <f>"31pvarnes@franklincountyschools.org"</f>
        <v>31pvarnes@franklincountyschools.org</v>
      </c>
      <c r="E798" t="str">
        <f>"02"</f>
        <v>02</v>
      </c>
    </row>
    <row r="799" spans="1:5" x14ac:dyDescent="0.25">
      <c r="A799">
        <f>1908002435</f>
        <v>1908002435</v>
      </c>
      <c r="B799" t="str">
        <f>"Varnes"</f>
        <v>Varnes</v>
      </c>
      <c r="C799" t="str">
        <f>"Robert"</f>
        <v>Robert</v>
      </c>
      <c r="D799" t="str">
        <f>"22wvarnes@franklincountyschools.org"</f>
        <v>22wvarnes@franklincountyschools.org</v>
      </c>
      <c r="E799">
        <f>11</f>
        <v>11</v>
      </c>
    </row>
    <row r="800" spans="1:5" x14ac:dyDescent="0.25">
      <c r="A800">
        <f>1920000375</f>
        <v>1920000375</v>
      </c>
      <c r="B800" t="str">
        <f>"Vickery"</f>
        <v>Vickery</v>
      </c>
      <c r="C800" t="str">
        <f>"Thomas"</f>
        <v>Thomas</v>
      </c>
      <c r="D800" t="str">
        <f>"24TVickery@franklincountyschools.org"</f>
        <v>24TVickery@franklincountyschools.org</v>
      </c>
      <c r="E800" t="str">
        <f>"09"</f>
        <v>09</v>
      </c>
    </row>
    <row r="801" spans="1:5" x14ac:dyDescent="0.25">
      <c r="A801">
        <f>1920000137</f>
        <v>1920000137</v>
      </c>
      <c r="B801" t="str">
        <f>"Vilchez"</f>
        <v>Vilchez</v>
      </c>
      <c r="C801" t="str">
        <f>"Jaime"</f>
        <v>Jaime</v>
      </c>
      <c r="D801" t="str">
        <f>"26JVilchez@franklincountyschools.org"</f>
        <v>26JVilchez@franklincountyschools.org</v>
      </c>
      <c r="E801" t="str">
        <f>"07"</f>
        <v>07</v>
      </c>
    </row>
    <row r="802" spans="1:5" x14ac:dyDescent="0.25">
      <c r="A802">
        <f>1920001232</f>
        <v>1920001232</v>
      </c>
      <c r="B802" t="str">
        <f>"Wagner"</f>
        <v>Wagner</v>
      </c>
      <c r="C802" t="str">
        <f>"Thomas"</f>
        <v>Thomas</v>
      </c>
      <c r="D802" t="str">
        <f>"23twagner@franklincountyschools.org"</f>
        <v>23twagner@franklincountyschools.org</v>
      </c>
      <c r="E802" t="str">
        <f>"09"</f>
        <v>09</v>
      </c>
    </row>
    <row r="803" spans="1:5" x14ac:dyDescent="0.25">
      <c r="A803">
        <f>1920001095</f>
        <v>1920001095</v>
      </c>
      <c r="B803" t="str">
        <f>"Wallace"</f>
        <v>Wallace</v>
      </c>
      <c r="C803" t="str">
        <f>"Bently"</f>
        <v>Bently</v>
      </c>
      <c r="D803" t="str">
        <f>"31bwallace@franklincountyschools.org"</f>
        <v>31bwallace@franklincountyschools.org</v>
      </c>
      <c r="E803" t="str">
        <f>"01"</f>
        <v>01</v>
      </c>
    </row>
    <row r="804" spans="1:5" x14ac:dyDescent="0.25">
      <c r="A804">
        <f>1920001731</f>
        <v>1920001731</v>
      </c>
      <c r="B804" t="str">
        <f>"Waller"</f>
        <v>Waller</v>
      </c>
      <c r="C804" t="str">
        <f>"Elizabeth"</f>
        <v>Elizabeth</v>
      </c>
      <c r="D804" t="str">
        <f>"33ewaller@franklincountyschools.org"</f>
        <v>33ewaller@franklincountyschools.org</v>
      </c>
      <c r="E804" t="str">
        <f>"KG"</f>
        <v>KG</v>
      </c>
    </row>
    <row r="805" spans="1:5" x14ac:dyDescent="0.25">
      <c r="A805">
        <f>1920001699</f>
        <v>1920001699</v>
      </c>
      <c r="B805" t="str">
        <f>"Walrond"</f>
        <v>Walrond</v>
      </c>
      <c r="C805" t="str">
        <f>"Gavin"</f>
        <v>Gavin</v>
      </c>
      <c r="D805" t="str">
        <f>"33gwalrond@franklincountyschools.org"</f>
        <v>33gwalrond@franklincountyschools.org</v>
      </c>
      <c r="E805" t="str">
        <f>"KG"</f>
        <v>KG</v>
      </c>
    </row>
    <row r="806" spans="1:5" x14ac:dyDescent="0.25">
      <c r="A806">
        <f>1920002075</f>
        <v>1920002075</v>
      </c>
      <c r="B806" t="str">
        <f>"Ward"</f>
        <v>Ward</v>
      </c>
      <c r="C806" t="str">
        <f>"Josalyn"</f>
        <v>Josalyn</v>
      </c>
      <c r="D806" t="str">
        <f>"25jward@franklincountyschools.org"</f>
        <v>25jward@franklincountyschools.org</v>
      </c>
      <c r="E806" t="str">
        <f>"08"</f>
        <v>08</v>
      </c>
    </row>
    <row r="807" spans="1:5" x14ac:dyDescent="0.25">
      <c r="A807">
        <f>1912003440</f>
        <v>1912003440</v>
      </c>
      <c r="B807" t="str">
        <f>"Ward"</f>
        <v>Ward</v>
      </c>
      <c r="C807" t="str">
        <f>"Shyian"</f>
        <v>Shyian</v>
      </c>
      <c r="D807" t="str">
        <f>"27SWard@franklincountyschools.org"</f>
        <v>27SWard@franklincountyschools.org</v>
      </c>
      <c r="E807" t="str">
        <f>"06"</f>
        <v>06</v>
      </c>
    </row>
    <row r="808" spans="1:5" x14ac:dyDescent="0.25">
      <c r="A808">
        <f>1920001695</f>
        <v>1920001695</v>
      </c>
      <c r="B808" t="str">
        <f>"Watson"</f>
        <v>Watson</v>
      </c>
      <c r="C808" t="str">
        <f>"Loriana"</f>
        <v>Loriana</v>
      </c>
      <c r="D808" t="str">
        <f>"31LWatson@franklincountyschools.org"</f>
        <v>31LWatson@franklincountyschools.org</v>
      </c>
      <c r="E808" t="str">
        <f>"02"</f>
        <v>02</v>
      </c>
    </row>
    <row r="809" spans="1:5" x14ac:dyDescent="0.25">
      <c r="A809">
        <f>1920000139</f>
        <v>1920000139</v>
      </c>
      <c r="B809" t="str">
        <f>"Webb"</f>
        <v>Webb</v>
      </c>
      <c r="C809" t="str">
        <f>"Alexis"</f>
        <v>Alexis</v>
      </c>
      <c r="D809" t="str">
        <f>"26AWebb@franklincountyschools.org"</f>
        <v>26AWebb@franklincountyschools.org</v>
      </c>
      <c r="E809" t="str">
        <f>"07"</f>
        <v>07</v>
      </c>
    </row>
    <row r="810" spans="1:5" x14ac:dyDescent="0.25">
      <c r="A810">
        <f>1910002908</f>
        <v>1910002908</v>
      </c>
      <c r="B810" t="str">
        <f>"Wefing"</f>
        <v>Wefing</v>
      </c>
      <c r="C810" t="str">
        <f>"Colin"</f>
        <v>Colin</v>
      </c>
      <c r="D810" t="str">
        <f>"23cwefing@franklincountyschools.org"</f>
        <v>23cwefing@franklincountyschools.org</v>
      </c>
      <c r="E810">
        <f>10</f>
        <v>10</v>
      </c>
    </row>
    <row r="811" spans="1:5" x14ac:dyDescent="0.25">
      <c r="A811">
        <f>1920001871</f>
        <v>1920001871</v>
      </c>
      <c r="B811" t="str">
        <f>"Wells"</f>
        <v>Wells</v>
      </c>
      <c r="C811" t="str">
        <f>"Forest"</f>
        <v>Forest</v>
      </c>
      <c r="D811" t="str">
        <f>"34fwells@franklincountyschools.org"</f>
        <v>34fwells@franklincountyschools.org</v>
      </c>
      <c r="E811" t="str">
        <f>"PK"</f>
        <v>PK</v>
      </c>
    </row>
    <row r="812" spans="1:5" x14ac:dyDescent="0.25">
      <c r="A812">
        <f>1909002632</f>
        <v>1909002632</v>
      </c>
      <c r="B812" t="str">
        <f>"West"</f>
        <v>West</v>
      </c>
      <c r="C812" t="str">
        <f>"Raymiona"</f>
        <v>Raymiona</v>
      </c>
      <c r="D812" t="str">
        <f>"22rwest@franklincountyschools.org"</f>
        <v>22rwest@franklincountyschools.org</v>
      </c>
      <c r="E812">
        <f>11</f>
        <v>11</v>
      </c>
    </row>
    <row r="813" spans="1:5" x14ac:dyDescent="0.25">
      <c r="A813">
        <f>1920001015</f>
        <v>1920001015</v>
      </c>
      <c r="B813" t="str">
        <f>"Wheeler"</f>
        <v>Wheeler</v>
      </c>
      <c r="C813" t="str">
        <f>"Briar"</f>
        <v>Briar</v>
      </c>
      <c r="D813" t="str">
        <f>"31bwheeler@franklincountyschools.org"</f>
        <v>31bwheeler@franklincountyschools.org</v>
      </c>
      <c r="E813" t="str">
        <f>"02"</f>
        <v>02</v>
      </c>
    </row>
    <row r="814" spans="1:5" x14ac:dyDescent="0.25">
      <c r="A814">
        <f>1920000101</f>
        <v>1920000101</v>
      </c>
      <c r="B814" t="str">
        <f>"Wheeler"</f>
        <v>Wheeler</v>
      </c>
      <c r="C814" t="str">
        <f>"Chrome"</f>
        <v>Chrome</v>
      </c>
      <c r="D814" t="str">
        <f>"25CWheeler@franklincountyschools.org"</f>
        <v>25CWheeler@franklincountyschools.org</v>
      </c>
      <c r="E814" t="str">
        <f>"08"</f>
        <v>08</v>
      </c>
    </row>
    <row r="815" spans="1:5" x14ac:dyDescent="0.25">
      <c r="A815">
        <f>1920001508</f>
        <v>1920001508</v>
      </c>
      <c r="B815" t="str">
        <f>"Wheeler"</f>
        <v>Wheeler</v>
      </c>
      <c r="C815" t="str">
        <f>"Emily"</f>
        <v>Emily</v>
      </c>
      <c r="D815" t="str">
        <f>"32ewheeler@franklincountyschools.org"</f>
        <v>32ewheeler@franklincountyschools.org</v>
      </c>
      <c r="E815" t="str">
        <f>"01"</f>
        <v>01</v>
      </c>
    </row>
    <row r="816" spans="1:5" x14ac:dyDescent="0.25">
      <c r="A816">
        <f>1920000328</f>
        <v>1920000328</v>
      </c>
      <c r="B816" t="str">
        <f>"Wheeler"</f>
        <v>Wheeler</v>
      </c>
      <c r="C816" t="str">
        <f>"Jayden"</f>
        <v>Jayden</v>
      </c>
      <c r="D816" t="str">
        <f>"26JWheeler@franklincountyschools.org"</f>
        <v>26JWheeler@franklincountyschools.org</v>
      </c>
      <c r="E816" t="str">
        <f>"06"</f>
        <v>06</v>
      </c>
    </row>
    <row r="817" spans="1:5" x14ac:dyDescent="0.25">
      <c r="A817">
        <f>1920001218</f>
        <v>1920001218</v>
      </c>
      <c r="B817" t="str">
        <f>"Wheeler"</f>
        <v>Wheeler</v>
      </c>
      <c r="C817" t="str">
        <f>"Trista"</f>
        <v>Trista</v>
      </c>
      <c r="D817" t="str">
        <f>"31twheeler@franklincountyschools.org"</f>
        <v>31twheeler@franklincountyschools.org</v>
      </c>
      <c r="E817" t="str">
        <f>"02"</f>
        <v>02</v>
      </c>
    </row>
    <row r="818" spans="1:5" x14ac:dyDescent="0.25">
      <c r="A818">
        <f>1908002304</f>
        <v>1908002304</v>
      </c>
      <c r="B818" t="str">
        <f>"Wheetley"</f>
        <v>Wheetley</v>
      </c>
      <c r="C818" t="str">
        <f>"Alecia"</f>
        <v>Alecia</v>
      </c>
      <c r="D818" t="str">
        <f>"22aleciawheetley@franklincountyschools.org"</f>
        <v>22aleciawheetley@franklincountyschools.org</v>
      </c>
      <c r="E818">
        <f>11</f>
        <v>11</v>
      </c>
    </row>
    <row r="819" spans="1:5" x14ac:dyDescent="0.25">
      <c r="A819">
        <f>1907002203</f>
        <v>1907002203</v>
      </c>
      <c r="B819" t="str">
        <f>"Wheetley"</f>
        <v>Wheetley</v>
      </c>
      <c r="C819" t="str">
        <f>"Alexis"</f>
        <v>Alexis</v>
      </c>
      <c r="D819" t="str">
        <f>"22alexiswheetley@franklincountyschools.org"</f>
        <v>22alexiswheetley@franklincountyschools.org</v>
      </c>
      <c r="E819">
        <f>11</f>
        <v>11</v>
      </c>
    </row>
    <row r="820" spans="1:5" x14ac:dyDescent="0.25">
      <c r="A820">
        <f>1912003442</f>
        <v>1912003442</v>
      </c>
      <c r="B820" t="str">
        <f>"Whiddon"</f>
        <v>Whiddon</v>
      </c>
      <c r="C820" t="str">
        <f>"Nathaniel"</f>
        <v>Nathaniel</v>
      </c>
      <c r="D820" t="str">
        <f>"26NWhiddon@franklincountyschools.org"</f>
        <v>26NWhiddon@franklincountyschools.org</v>
      </c>
      <c r="E820" t="str">
        <f>"06"</f>
        <v>06</v>
      </c>
    </row>
    <row r="821" spans="1:5" x14ac:dyDescent="0.25">
      <c r="A821">
        <f>1910002993</f>
        <v>1910002993</v>
      </c>
      <c r="B821" t="str">
        <f>"White"</f>
        <v>White</v>
      </c>
      <c r="C821" t="str">
        <f>"Jayla"</f>
        <v>Jayla</v>
      </c>
      <c r="D821" t="str">
        <f>"24jwhite@franklincountyschools.org"</f>
        <v>24jwhite@franklincountyschools.org</v>
      </c>
      <c r="E821" t="str">
        <f>"09"</f>
        <v>09</v>
      </c>
    </row>
    <row r="822" spans="1:5" x14ac:dyDescent="0.25">
      <c r="A822">
        <f>1920000153</f>
        <v>1920000153</v>
      </c>
      <c r="B822" t="str">
        <f>"Whitnauer"</f>
        <v>Whitnauer</v>
      </c>
      <c r="C822" t="str">
        <f>"Shasta"</f>
        <v>Shasta</v>
      </c>
      <c r="D822" t="str">
        <f>"22SWhitnauer@franklincountyschools.org"</f>
        <v>22SWhitnauer@franklincountyschools.org</v>
      </c>
      <c r="E822">
        <f>11</f>
        <v>11</v>
      </c>
    </row>
    <row r="823" spans="1:5" x14ac:dyDescent="0.25">
      <c r="A823">
        <f>1910002896</f>
        <v>1910002896</v>
      </c>
      <c r="B823" t="str">
        <f>"Whitten"</f>
        <v>Whitten</v>
      </c>
      <c r="C823" t="str">
        <f>"Maddison"</f>
        <v>Maddison</v>
      </c>
      <c r="D823" t="str">
        <f>"22MWhitten@franklincountyschools.org"</f>
        <v>22MWhitten@franklincountyschools.org</v>
      </c>
      <c r="E823">
        <f>11</f>
        <v>11</v>
      </c>
    </row>
    <row r="824" spans="1:5" x14ac:dyDescent="0.25">
      <c r="A824">
        <f>1920000343</f>
        <v>1920000343</v>
      </c>
      <c r="B824" t="str">
        <f>"Whitten"</f>
        <v>Whitten</v>
      </c>
      <c r="C824" t="str">
        <f>"Makynna"</f>
        <v>Makynna</v>
      </c>
      <c r="D824" t="str">
        <f>"26MWhitten@franklincountyschools.org"</f>
        <v>26MWhitten@franklincountyschools.org</v>
      </c>
      <c r="E824" t="str">
        <f>"07"</f>
        <v>07</v>
      </c>
    </row>
    <row r="825" spans="1:5" x14ac:dyDescent="0.25">
      <c r="A825">
        <f>1920001721</f>
        <v>1920001721</v>
      </c>
      <c r="B825" t="str">
        <f>"Wilkes"</f>
        <v>Wilkes</v>
      </c>
      <c r="C825" t="str">
        <f>"Lily"</f>
        <v>Lily</v>
      </c>
      <c r="D825" t="str">
        <f>"33lwilkes@franklincountyschools.org"</f>
        <v>33lwilkes@franklincountyschools.org</v>
      </c>
      <c r="E825" t="str">
        <f>"KG"</f>
        <v>KG</v>
      </c>
    </row>
    <row r="826" spans="1:5" x14ac:dyDescent="0.25">
      <c r="A826">
        <f>1920001764</f>
        <v>1920001764</v>
      </c>
      <c r="B826" t="str">
        <f>"Williams"</f>
        <v>Williams</v>
      </c>
      <c r="C826" t="str">
        <f>"Khloie"</f>
        <v>Khloie</v>
      </c>
      <c r="D826" t="str">
        <f>"33kwilliams@franklincountyschools.org"</f>
        <v>33kwilliams@franklincountyschools.org</v>
      </c>
      <c r="E826" t="str">
        <f>"KG"</f>
        <v>KG</v>
      </c>
    </row>
    <row r="827" spans="1:5" x14ac:dyDescent="0.25">
      <c r="A827">
        <f>1920001001</f>
        <v>1920001001</v>
      </c>
      <c r="B827" t="str">
        <f>"Williams"</f>
        <v>Williams</v>
      </c>
      <c r="C827" t="str">
        <f>"Mariah"</f>
        <v>Mariah</v>
      </c>
      <c r="D827" t="str">
        <f>"30mwilliams@franklincountyschools.org"</f>
        <v>30mwilliams@franklincountyschools.org</v>
      </c>
      <c r="E827" t="str">
        <f>"03"</f>
        <v>03</v>
      </c>
    </row>
    <row r="828" spans="1:5" x14ac:dyDescent="0.25">
      <c r="A828">
        <f>1912003377</f>
        <v>1912003377</v>
      </c>
      <c r="B828" t="str">
        <f>"Williams"</f>
        <v>Williams</v>
      </c>
      <c r="C828" t="str">
        <f>"Prince"</f>
        <v>Prince</v>
      </c>
      <c r="D828" t="str">
        <f>"25PWilliams@franklincountyschools.org"</f>
        <v>25PWilliams@franklincountyschools.org</v>
      </c>
      <c r="E828" t="str">
        <f>"08"</f>
        <v>08</v>
      </c>
    </row>
    <row r="829" spans="1:5" x14ac:dyDescent="0.25">
      <c r="A829">
        <f>1920000590</f>
        <v>1920000590</v>
      </c>
      <c r="B829" t="str">
        <f>"Wilsey"</f>
        <v>Wilsey</v>
      </c>
      <c r="C829" t="str">
        <f>"Skye"</f>
        <v>Skye</v>
      </c>
      <c r="D829" t="str">
        <f>"27SWilsey@franklincountyschools.org"</f>
        <v>27SWilsey@franklincountyschools.org</v>
      </c>
      <c r="E829" t="str">
        <f>"06"</f>
        <v>06</v>
      </c>
    </row>
    <row r="830" spans="1:5" x14ac:dyDescent="0.25">
      <c r="A830">
        <f>1908002312</f>
        <v>1908002312</v>
      </c>
      <c r="B830" t="str">
        <f t="shared" ref="B830:B835" si="16">"Wilson"</f>
        <v>Wilson</v>
      </c>
      <c r="C830" t="str">
        <f>"Alaina"</f>
        <v>Alaina</v>
      </c>
      <c r="D830" t="str">
        <f>"21AWilson@franklincountyschools.org"</f>
        <v>21AWilson@franklincountyschools.org</v>
      </c>
      <c r="E830">
        <f>10</f>
        <v>10</v>
      </c>
    </row>
    <row r="831" spans="1:5" x14ac:dyDescent="0.25">
      <c r="A831">
        <f>1910002962</f>
        <v>1910002962</v>
      </c>
      <c r="B831" t="str">
        <f t="shared" si="16"/>
        <v>Wilson</v>
      </c>
      <c r="C831" t="str">
        <f>"Christian"</f>
        <v>Christian</v>
      </c>
      <c r="D831" t="str">
        <f>"24cwilson@franklincountyschools.org"</f>
        <v>24cwilson@franklincountyschools.org</v>
      </c>
      <c r="E831" t="str">
        <f>"09"</f>
        <v>09</v>
      </c>
    </row>
    <row r="832" spans="1:5" x14ac:dyDescent="0.25">
      <c r="A832">
        <f>1920001124</f>
        <v>1920001124</v>
      </c>
      <c r="B832" t="str">
        <f t="shared" si="16"/>
        <v>Wilson</v>
      </c>
      <c r="C832" t="str">
        <f>"Elzie"</f>
        <v>Elzie</v>
      </c>
      <c r="D832" t="str">
        <f>"31ewilson@franklincountyschools.org"</f>
        <v>31ewilson@franklincountyschools.org</v>
      </c>
      <c r="E832" t="str">
        <f>"01"</f>
        <v>01</v>
      </c>
    </row>
    <row r="833" spans="1:5" x14ac:dyDescent="0.25">
      <c r="A833">
        <f>1920000977</f>
        <v>1920000977</v>
      </c>
      <c r="B833" t="str">
        <f t="shared" si="16"/>
        <v>Wilson</v>
      </c>
      <c r="C833" t="str">
        <f>"Kimberly"</f>
        <v>Kimberly</v>
      </c>
      <c r="D833" t="str">
        <f>"30KimberlyWilson@franklincountyschools.org"</f>
        <v>30KimberlyWilson@franklincountyschools.org</v>
      </c>
      <c r="E833" t="str">
        <f>"03"</f>
        <v>03</v>
      </c>
    </row>
    <row r="834" spans="1:5" x14ac:dyDescent="0.25">
      <c r="A834">
        <f>1920000739</f>
        <v>1920000739</v>
      </c>
      <c r="B834" t="str">
        <f t="shared" si="16"/>
        <v>Wilson</v>
      </c>
      <c r="C834" t="str">
        <f>"Maelynn"</f>
        <v>Maelynn</v>
      </c>
      <c r="D834" t="str">
        <f>"29mwilson@franklincountyschools.org"</f>
        <v>29mwilson@franklincountyschools.org</v>
      </c>
      <c r="E834" t="str">
        <f>"04"</f>
        <v>04</v>
      </c>
    </row>
    <row r="835" spans="1:5" x14ac:dyDescent="0.25">
      <c r="A835">
        <f>1920001480</f>
        <v>1920001480</v>
      </c>
      <c r="B835" t="str">
        <f t="shared" si="16"/>
        <v>Wilson</v>
      </c>
      <c r="C835" t="str">
        <f>"Scarlett"</f>
        <v>Scarlett</v>
      </c>
      <c r="D835" t="str">
        <f>"32swilson@franklincountyschools.org"</f>
        <v>32swilson@franklincountyschools.org</v>
      </c>
      <c r="E835" t="str">
        <f>"01"</f>
        <v>01</v>
      </c>
    </row>
    <row r="836" spans="1:5" x14ac:dyDescent="0.25">
      <c r="A836">
        <f>1908002392</f>
        <v>1908002392</v>
      </c>
      <c r="B836" t="str">
        <f>"Winchester"</f>
        <v>Winchester</v>
      </c>
      <c r="C836" t="str">
        <f>"Charlee"</f>
        <v>Charlee</v>
      </c>
      <c r="D836" t="str">
        <f>"21CWinchester@franklincountyschools.org"</f>
        <v>21CWinchester@franklincountyschools.org</v>
      </c>
      <c r="E836">
        <f>12</f>
        <v>12</v>
      </c>
    </row>
    <row r="837" spans="1:5" x14ac:dyDescent="0.25">
      <c r="A837">
        <f>1909002634</f>
        <v>1909002634</v>
      </c>
      <c r="B837" t="str">
        <f>"Winchester"</f>
        <v>Winchester</v>
      </c>
      <c r="C837" t="str">
        <f>"Larry"</f>
        <v>Larry</v>
      </c>
      <c r="D837" t="str">
        <f>"22LWinchester@franklincountyschools.org"</f>
        <v>22LWinchester@franklincountyschools.org</v>
      </c>
      <c r="E837">
        <f>11</f>
        <v>11</v>
      </c>
    </row>
    <row r="838" spans="1:5" x14ac:dyDescent="0.25">
      <c r="A838">
        <f>1920000774</f>
        <v>1920000774</v>
      </c>
      <c r="B838" t="str">
        <f>"Winfield"</f>
        <v>Winfield</v>
      </c>
      <c r="C838" t="str">
        <f>"Dalyn"</f>
        <v>Dalyn</v>
      </c>
      <c r="D838" t="str">
        <f>"29DWinfield@franklincountyschools.org"</f>
        <v>29DWinfield@franklincountyschools.org</v>
      </c>
      <c r="E838" t="str">
        <f>"04"</f>
        <v>04</v>
      </c>
    </row>
    <row r="839" spans="1:5" x14ac:dyDescent="0.25">
      <c r="A839">
        <f>1920000589</f>
        <v>1920000589</v>
      </c>
      <c r="B839" t="str">
        <f>"Wolfhagen"</f>
        <v>Wolfhagen</v>
      </c>
      <c r="C839" t="str">
        <f>"Jaiden"</f>
        <v>Jaiden</v>
      </c>
      <c r="D839" t="str">
        <f>"28JWolfhagen@franklincountyschools.org"</f>
        <v>28JWolfhagen@franklincountyschools.org</v>
      </c>
      <c r="E839" t="str">
        <f>"05"</f>
        <v>05</v>
      </c>
    </row>
    <row r="840" spans="1:5" x14ac:dyDescent="0.25">
      <c r="A840">
        <f>1920000653</f>
        <v>1920000653</v>
      </c>
      <c r="B840" t="str">
        <f>"Wood"</f>
        <v>Wood</v>
      </c>
      <c r="C840" t="str">
        <f>"Colette"</f>
        <v>Colette</v>
      </c>
      <c r="D840" t="str">
        <f>"29CWood@franklincountyschools.org"</f>
        <v>29CWood@franklincountyschools.org</v>
      </c>
      <c r="E840" t="str">
        <f>"04"</f>
        <v>04</v>
      </c>
    </row>
    <row r="841" spans="1:5" x14ac:dyDescent="0.25">
      <c r="A841">
        <f>1920000141</f>
        <v>1920000141</v>
      </c>
      <c r="B841" t="str">
        <f>"Wood"</f>
        <v>Wood</v>
      </c>
      <c r="C841" t="str">
        <f>"Rylan"</f>
        <v>Rylan</v>
      </c>
      <c r="D841" t="str">
        <f>"26RWood@franklincountyschools.org"</f>
        <v>26RWood@franklincountyschools.org</v>
      </c>
      <c r="E841" t="str">
        <f>"06"</f>
        <v>06</v>
      </c>
    </row>
    <row r="842" spans="1:5" x14ac:dyDescent="0.25">
      <c r="A842">
        <f>1920001841</f>
        <v>1920001841</v>
      </c>
      <c r="B842" t="str">
        <f>"Wynn"</f>
        <v>Wynn</v>
      </c>
      <c r="C842" t="str">
        <f>"Hazyl"</f>
        <v>Hazyl</v>
      </c>
      <c r="D842" t="str">
        <f>"34hwynn@franklincountyschools.org"</f>
        <v>34hwynn@franklincountyschools.org</v>
      </c>
      <c r="E842" t="str">
        <f>"PK"</f>
        <v>PK</v>
      </c>
    </row>
    <row r="843" spans="1:5" x14ac:dyDescent="0.25">
      <c r="A843">
        <f>1920001861</f>
        <v>1920001861</v>
      </c>
      <c r="B843" t="str">
        <f>"Yowell"</f>
        <v>Yowell</v>
      </c>
      <c r="C843" t="str">
        <f>"Kingsleigh"</f>
        <v>Kingsleigh</v>
      </c>
      <c r="D843" t="str">
        <f>"34kyowell@franklincountyschools.org"</f>
        <v>34kyowell@franklincountyschools.org</v>
      </c>
      <c r="E843" t="str">
        <f>"PK"</f>
        <v>PK</v>
      </c>
    </row>
    <row r="844" spans="1:5" x14ac:dyDescent="0.25">
      <c r="A844">
        <f>1920000374</f>
        <v>1920000374</v>
      </c>
      <c r="B844" t="str">
        <f>"Yowell"</f>
        <v>Yowell</v>
      </c>
      <c r="C844" t="str">
        <f>"Theus"</f>
        <v>Theus</v>
      </c>
      <c r="D844" t="str">
        <f>"28rYowell@franklincountyschools.org"</f>
        <v>28rYowell@franklincountyschools.org</v>
      </c>
      <c r="E844" t="str">
        <f>"05"</f>
        <v>05</v>
      </c>
    </row>
    <row r="845" spans="1:5" x14ac:dyDescent="0.25">
      <c r="A845">
        <f>1920001052</f>
        <v>1920001052</v>
      </c>
      <c r="B845" t="str">
        <f>"Yowell"</f>
        <v>Yowell</v>
      </c>
      <c r="C845" t="str">
        <f>"Tyler"</f>
        <v>Tyler</v>
      </c>
      <c r="D845" t="str">
        <f>"31tyowell@franklincountyschools.org"</f>
        <v>31tyowell@franklincountyschools.org</v>
      </c>
      <c r="E845" t="str">
        <f>"02"</f>
        <v>02</v>
      </c>
    </row>
    <row r="846" spans="1:5" x14ac:dyDescent="0.25">
      <c r="A846">
        <f>1920001951</f>
        <v>1920001951</v>
      </c>
      <c r="B846" t="str">
        <f>"Zacarias Lopez"</f>
        <v>Zacarias Lopez</v>
      </c>
      <c r="C846" t="str">
        <f>"Dilan "</f>
        <v xml:space="preserve">Dilan </v>
      </c>
      <c r="D846" t="str">
        <f>"34dlopez@franklincountyschools.org"</f>
        <v>34dlopez@franklincountyschools.org</v>
      </c>
      <c r="E846" t="str">
        <f>"PK"</f>
        <v>PK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Focus Students Feburary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Lemieux</cp:lastModifiedBy>
  <dcterms:created xsi:type="dcterms:W3CDTF">2021-02-19T03:18:06Z</dcterms:created>
  <dcterms:modified xsi:type="dcterms:W3CDTF">2021-02-19T03:18:06Z</dcterms:modified>
</cp:coreProperties>
</file>