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esnn/Desktop/"/>
    </mc:Choice>
  </mc:AlternateContent>
  <xr:revisionPtr revIDLastSave="0" documentId="13_ncr:1_{DEF3E4AA-900C-6D42-A811-4B44094D5670}" xr6:coauthVersionLast="47" xr6:coauthVersionMax="47" xr10:uidLastSave="{00000000-0000-0000-0000-000000000000}"/>
  <bookViews>
    <workbookView xWindow="0" yWindow="760" windowWidth="30240" windowHeight="17800" xr2:uid="{E1F5BCB3-0904-F044-A203-C0CE43AF672C}"/>
  </bookViews>
  <sheets>
    <sheet name="List of artifacts" sheetId="1" r:id="rId1"/>
    <sheet name="Parameters" sheetId="2" r:id="rId2"/>
    <sheet name="Summ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5" i="1"/>
  <c r="G5" i="1"/>
  <c r="H5" i="1"/>
  <c r="M5" i="1"/>
  <c r="R5" i="1"/>
  <c r="R2" i="1"/>
  <c r="H2" i="1"/>
  <c r="M3" i="1"/>
  <c r="M4" i="1"/>
  <c r="M6" i="1"/>
  <c r="M2" i="1"/>
  <c r="C3" i="1"/>
  <c r="G3" i="1"/>
  <c r="H3" i="1"/>
  <c r="R3" i="1" s="1"/>
  <c r="C4" i="1"/>
  <c r="G4" i="1"/>
  <c r="H4" i="1"/>
  <c r="R4" i="1" s="1"/>
  <c r="C6" i="1"/>
  <c r="G6" i="1"/>
  <c r="H6" i="1"/>
  <c r="R6" i="1" s="1"/>
  <c r="G2" i="1"/>
  <c r="B11" i="2"/>
  <c r="C2" i="1"/>
  <c r="O5" i="1" l="1"/>
  <c r="F5" i="1" s="1"/>
  <c r="Q5" i="1" s="1"/>
  <c r="N5" i="1"/>
  <c r="O3" i="1"/>
  <c r="O6" i="1"/>
  <c r="O4" i="1"/>
  <c r="O2" i="1"/>
  <c r="F2" i="1" s="1"/>
  <c r="F4" i="1"/>
  <c r="Q4" i="1" s="1"/>
  <c r="F6" i="1"/>
  <c r="F3" i="1"/>
  <c r="Q3" i="1" s="1"/>
  <c r="Q6" i="1"/>
  <c r="N6" i="1"/>
  <c r="N4" i="1"/>
  <c r="N3" i="1"/>
  <c r="N2" i="1"/>
  <c r="L5" i="1" l="1"/>
  <c r="P5" i="1"/>
  <c r="L4" i="1"/>
  <c r="L6" i="1"/>
  <c r="Q2" i="1"/>
  <c r="B4" i="3" s="1"/>
  <c r="B2" i="3"/>
  <c r="P6" i="1"/>
  <c r="P4" i="1"/>
  <c r="L3" i="1"/>
  <c r="P3" i="1"/>
  <c r="L2" i="1"/>
  <c r="P2" i="1"/>
  <c r="B5" i="3" l="1"/>
  <c r="B3" i="3"/>
  <c r="B6" i="3"/>
</calcChain>
</file>

<file path=xl/sharedStrings.xml><?xml version="1.0" encoding="utf-8"?>
<sst xmlns="http://schemas.openxmlformats.org/spreadsheetml/2006/main" count="82" uniqueCount="71">
  <si>
    <t>Command line</t>
  </si>
  <si>
    <t>WCU/s (Peak)</t>
  </si>
  <si>
    <t>Tiles (Glue Jobs)</t>
  </si>
  <si>
    <t>Worker DPU Type</t>
  </si>
  <si>
    <t>writetime-column</t>
  </si>
  <si>
    <t>Approx. number of rows</t>
  </si>
  <si>
    <t>Prod</t>
  </si>
  <si>
    <t>Prefix</t>
  </si>
  <si>
    <t>./cqlreplicator --state run --inc-traffic</t>
  </si>
  <si>
    <t>Landing zone</t>
  </si>
  <si>
    <t>Region</t>
  </si>
  <si>
    <t>Tiles</t>
  </si>
  <si>
    <t>Required WCUs per AWS account</t>
  </si>
  <si>
    <t>WCUs</t>
  </si>
  <si>
    <t>Worker Type</t>
  </si>
  <si>
    <t>Required IPs in C* subnet</t>
  </si>
  <si>
    <t>IPs</t>
  </si>
  <si>
    <t>Source KS</t>
  </si>
  <si>
    <t>Total DPUs</t>
  </si>
  <si>
    <t>Source TBL</t>
  </si>
  <si>
    <t>Total Glue Migration Costs (USD)</t>
  </si>
  <si>
    <t>Target KS</t>
  </si>
  <si>
    <t>Target TBL</t>
  </si>
  <si>
    <t>Writetime column</t>
  </si>
  <si>
    <t>Command line with placeholders</t>
  </si>
  <si>
    <t>Extra parameter</t>
  </si>
  <si>
    <t>col1</t>
  </si>
  <si>
    <t>Keyspace name</t>
  </si>
  <si>
    <t>Table name</t>
  </si>
  <si>
    <t>my_keyspace</t>
  </si>
  <si>
    <t>Glue Worker DPUs</t>
  </si>
  <si>
    <t>Glue Discovery DPUs</t>
  </si>
  <si>
    <t>Row size (bytes)</t>
  </si>
  <si>
    <t>Env name</t>
  </si>
  <si>
    <t>Buffer</t>
  </si>
  <si>
    <t>DPUs</t>
  </si>
  <si>
    <t>USD</t>
  </si>
  <si>
    <t>%</t>
  </si>
  <si>
    <t>Value</t>
  </si>
  <si>
    <t>Unit</t>
  </si>
  <si>
    <t xml:space="preserve"> --landing-zone s3://cql-replicator-eu-central-1</t>
  </si>
  <si>
    <t xml:space="preserve"> --region eu-central-1</t>
  </si>
  <si>
    <t xml:space="preserve"> --tiles $TILES</t>
  </si>
  <si>
    <t xml:space="preserve"> --worker-type $WORKER_TYPE</t>
  </si>
  <si>
    <t xml:space="preserve"> --src-keyspace $SRC_KS</t>
  </si>
  <si>
    <t xml:space="preserve"> --src-table $SRC_TBL</t>
  </si>
  <si>
    <t xml:space="preserve"> --trg-keyspace $TRG_KS</t>
  </si>
  <si>
    <t xml:space="preserve"> --trg-table $TRG_TBL</t>
  </si>
  <si>
    <t xml:space="preserve"> --writetime-column $WC</t>
  </si>
  <si>
    <t>DPU price per hour</t>
  </si>
  <si>
    <t>Keyspaces table size (GiB)</t>
  </si>
  <si>
    <t>Cassandra table size - 1 replica (GiB)</t>
  </si>
  <si>
    <t>my_table1</t>
  </si>
  <si>
    <t>my_table2</t>
  </si>
  <si>
    <t>my_table3</t>
  </si>
  <si>
    <t>GB per tile</t>
  </si>
  <si>
    <t>Time to load (hrs)</t>
  </si>
  <si>
    <t>col3</t>
  </si>
  <si>
    <t>my_table4</t>
  </si>
  <si>
    <t>col4</t>
  </si>
  <si>
    <t>col5</t>
  </si>
  <si>
    <t>Total Processing Time</t>
  </si>
  <si>
    <t>Hours</t>
  </si>
  <si>
    <t>must be filled by customer</t>
  </si>
  <si>
    <t>the value over the default AWS quota</t>
  </si>
  <si>
    <t>Rows per DPU</t>
  </si>
  <si>
    <t xml:space="preserve"> --json-mapping '{
    "replication": {
        "useMaterializedView": {
            "enabled": true,
            "mvName": "ks_test_cql_replicator_mv"
        }
     }
}'</t>
  </si>
  <si>
    <t>Amazon Keyspaces Account - 80000</t>
  </si>
  <si>
    <t>Amazon Keyspaces Table - 40000</t>
  </si>
  <si>
    <t>AWS Glue - 500 DPUs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</si>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</sst>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mazon Ember Cd RC Regular"/>
    </font>
    <font>
      <b/>
      <sz val="10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1"/>
      <name val="Amazon Ember Cd RC Regula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0" fontId="1" fillId="2" borderId="0" xfId="1"/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4072-A83D-2743-8F9D-667BA63B4BA7}">
  <dimension ref="A1:R18"/>
  <sheetViews>
    <sheetView tabSelected="1" topLeftCell="A4" zoomScale="142" zoomScaleNormal="142" workbookViewId="0">
      <selection activeCell="F5" sqref="F5"/>
    </sheetView>
  </sheetViews>
  <sheetFormatPr baseColWidth="10" defaultRowHeight="16"/>
  <cols>
    <col min="1" max="1" width="10" customWidth="1"/>
    <col min="2" max="3" width="12.1640625" customWidth="1"/>
    <col min="4" max="4" width="11.33203125" customWidth="1"/>
    <col min="5" max="5" width="37.83203125" customWidth="1"/>
    <col min="7" max="7" width="8.33203125" customWidth="1"/>
    <col min="9" max="9" width="6" customWidth="1"/>
    <col min="10" max="10" width="7.83203125" customWidth="1"/>
    <col min="13" max="13" width="14.33203125" customWidth="1"/>
    <col min="14" max="14" width="16.1640625" customWidth="1"/>
    <col min="15" max="15" width="15.1640625" customWidth="1"/>
    <col min="16" max="16" width="10.5" customWidth="1"/>
    <col min="17" max="17" width="10.83203125" customWidth="1"/>
    <col min="19" max="19" width="10.83203125" customWidth="1"/>
    <col min="21" max="21" width="10.83203125" customWidth="1"/>
  </cols>
  <sheetData>
    <row r="1" spans="1:18" s="3" customFormat="1" ht="45">
      <c r="A1" s="9" t="s">
        <v>28</v>
      </c>
      <c r="B1" s="9" t="s">
        <v>51</v>
      </c>
      <c r="C1" s="9" t="s">
        <v>50</v>
      </c>
      <c r="D1" s="9" t="s">
        <v>27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33</v>
      </c>
      <c r="J1" s="9" t="s">
        <v>32</v>
      </c>
      <c r="K1" s="9" t="s">
        <v>4</v>
      </c>
      <c r="L1" s="9" t="s">
        <v>15</v>
      </c>
      <c r="M1" s="9" t="s">
        <v>5</v>
      </c>
      <c r="N1" s="9" t="s">
        <v>31</v>
      </c>
      <c r="O1" s="9" t="s">
        <v>30</v>
      </c>
      <c r="P1" s="9" t="s">
        <v>18</v>
      </c>
      <c r="Q1" s="9" t="s">
        <v>56</v>
      </c>
      <c r="R1" s="9" t="s">
        <v>65</v>
      </c>
    </row>
    <row r="2" spans="1:18" s="2" customFormat="1" ht="168" customHeight="1">
      <c r="A2" s="4" t="s">
        <v>52</v>
      </c>
      <c r="B2" s="4">
        <v>500</v>
      </c>
      <c r="C2" s="5">
        <f>B2*1.6</f>
        <v>800</v>
      </c>
      <c r="D2" s="4" t="s">
        <v>29</v>
      </c>
      <c r="E2" s="6" t="str">
        <f>SUBSTITUTE(_xlfn.CONCAT(SUBSTITUTE(SUBSTITUTE(SUBSTITUTE(SUBSTITUTE(SUBSTITUTE(SUBSTITUTE(SUBSTITUTE(Parameters!B$11,"$TILES",G2),"$WORKER_TYPE",H2),"$SRC_KS",D2),"$SRC_TBL",A2),"$TRG_KS",D2),"$TRG_TBL",D2),"$WC",K2), " --orw ", R2), "--writetime-column N/A", "")</f>
        <v>./cqlreplicator --state run --inc-traffic --landing-zone s3://cql-replicator-eu-central-1 --region eu-central-1 --tiles 9 --worker-type G.025X --src-keyspace my_keyspace --src-table my_table1 --trg-keyspace my_keyspace --trg-table my_keyspace --writetime-column col1 --json-mapping '{
    "replication": {
        "useMaterializedView": {
            "enabled": true,
            "mvName": "ks_test_cql_replicator_mv"
        }
     }
}' --orw 8000000</v>
      </c>
      <c r="F2" s="5">
        <f>IF(H2="G.025X",750,IF(H2="G.1X",1500,3000)) * O2</f>
        <v>178875</v>
      </c>
      <c r="G2" s="5">
        <f>(ROUND(B2/Parameters!B$15, 0) + 1)</f>
        <v>9</v>
      </c>
      <c r="H2" s="5" t="str">
        <f>IF(J2&lt;=1024,"G.025X",IF(J2&lt;=2048,"G.1X", "G.2X"))</f>
        <v>G.025X</v>
      </c>
      <c r="I2" s="4" t="s">
        <v>6</v>
      </c>
      <c r="J2" s="4">
        <v>1024</v>
      </c>
      <c r="K2" s="4" t="s">
        <v>26</v>
      </c>
      <c r="L2" s="5">
        <f>ROUNDUP(N2+O2,0)</f>
        <v>245</v>
      </c>
      <c r="M2" s="7">
        <f>((B2 * 1.6) * 1024 * 1024 ) / ROUNDUP(J2 / 1024, 0)</f>
        <v>838860800</v>
      </c>
      <c r="N2" s="5">
        <f>ROUNDUP(G2/2,0) + 1</f>
        <v>6</v>
      </c>
      <c r="O2" s="5">
        <f>((ROUNDUP((M2) / R2,0) + 1)/IF(H2="G.025X",4,IF(H2="G.1X",1,IF(H2="G.2X",0.5))) * G2)</f>
        <v>238.5</v>
      </c>
      <c r="P2" s="5">
        <f>N2+O2</f>
        <v>244.5</v>
      </c>
      <c r="Q2" s="8">
        <f>ROUNDUP(((C2 * 1024 * 1024) / F2) / 3600, 0)</f>
        <v>2</v>
      </c>
      <c r="R2" s="8">
        <f>IF(H2 = "G.025X", 8000000, IF(H2= "G.1X", 16000000, IF(H2= "G.2X", 32000000)))</f>
        <v>8000000</v>
      </c>
    </row>
    <row r="3" spans="1:18" s="2" customFormat="1" ht="167" customHeight="1">
      <c r="A3" s="4" t="s">
        <v>53</v>
      </c>
      <c r="B3" s="4">
        <v>277</v>
      </c>
      <c r="C3" s="5">
        <f t="shared" ref="C3:C6" si="0">B3*1.6</f>
        <v>443.20000000000005</v>
      </c>
      <c r="D3" s="4" t="s">
        <v>29</v>
      </c>
      <c r="E3" s="6" t="str">
        <f>SUBSTITUTE(_xlfn.CONCAT(SUBSTITUTE(SUBSTITUTE(SUBSTITUTE(SUBSTITUTE(SUBSTITUTE(SUBSTITUTE(SUBSTITUTE(Parameters!B$11,"$TILES",G3),"$WORKER_TYPE",H3),"$SRC_KS",D3),"$SRC_TBL",A3),"$TRG_KS",D3),"$TRG_TBL",D3),"$WC",K3), " --orw ", R3), "--writetime-column N/A", "")</f>
        <v>./cqlreplicator --state run --inc-traffic --landing-zone s3://cql-replicator-eu-central-1 --region eu-central-1 --tiles 6 --worker-type G.025X --src-keyspace my_keyspace --src-table my_table2 --trg-keyspace my_keyspace --trg-table my_keyspace --writetime-column col3 --json-mapping '{
    "replication": {
        "useMaterializedView": {
            "enabled": true,
            "mvName": "ks_test_cql_replicator_mv"
        }
     }
}' --orw 8000000</v>
      </c>
      <c r="F3" s="5">
        <f t="shared" ref="F3:F6" si="1">IF(H3="G.025X",750,IF(H3="G.1X",1500,3000)) * O3</f>
        <v>67500</v>
      </c>
      <c r="G3" s="5">
        <f>(ROUND(B3/Parameters!B$15, 0) + 1)</f>
        <v>6</v>
      </c>
      <c r="H3" s="5" t="str">
        <f t="shared" ref="H3:H6" si="2">IF(J3&lt;=1024,"G.025X",IF(J3&lt;=2048,"G.1X", "G.2X"))</f>
        <v>G.025X</v>
      </c>
      <c r="I3" s="4" t="s">
        <v>6</v>
      </c>
      <c r="J3" s="4">
        <v>250</v>
      </c>
      <c r="K3" s="4" t="s">
        <v>57</v>
      </c>
      <c r="L3" s="5">
        <f t="shared" ref="L3:L6" si="3">ROUNDUP(N3+O3,0)</f>
        <v>94</v>
      </c>
      <c r="M3" s="7">
        <f t="shared" ref="M3:M6" si="4">((B3 * 1.6) * 1024 * 1024 ) / ROUNDUP(J3 / 1024, 0)</f>
        <v>464728883.20000005</v>
      </c>
      <c r="N3" s="5">
        <f>ROUNDUP(G3/2,0) + 1</f>
        <v>4</v>
      </c>
      <c r="O3" s="5">
        <f t="shared" ref="O3:O6" si="5">((ROUNDUP((M3) / R3,0) + 1)/IF(H3="G.025X",4,IF(H3="G.1X",1,IF(H3="G.2X",0.5))) * G3)</f>
        <v>90</v>
      </c>
      <c r="P3" s="5">
        <f t="shared" ref="P3:P6" si="6">N3+O3</f>
        <v>94</v>
      </c>
      <c r="Q3" s="8">
        <f>ROUNDUP(((C3 * 1024 * 1024) / F3) / 3600, 0)</f>
        <v>2</v>
      </c>
      <c r="R3" s="8">
        <f t="shared" ref="R3:R6" si="7">IF(H3 = "G.025X", 8000000, IF(H3= "G.1X", 16000000, IF(H3= "G.2X", 32000000)))</f>
        <v>8000000</v>
      </c>
    </row>
    <row r="4" spans="1:18" s="2" customFormat="1" ht="161" customHeight="1">
      <c r="A4" s="4" t="s">
        <v>54</v>
      </c>
      <c r="B4" s="4">
        <v>10</v>
      </c>
      <c r="C4" s="5">
        <f t="shared" si="0"/>
        <v>16</v>
      </c>
      <c r="D4" s="4" t="s">
        <v>29</v>
      </c>
      <c r="E4" s="6" t="str">
        <f>SUBSTITUTE(_xlfn.CONCAT(SUBSTITUTE(SUBSTITUTE(SUBSTITUTE(SUBSTITUTE(SUBSTITUTE(SUBSTITUTE(SUBSTITUTE(Parameters!B$11,"$TILES",G4),"$WORKER_TYPE",H4),"$SRC_KS",D4),"$SRC_TBL",A4),"$TRG_KS",D4),"$TRG_TBL",D4),"$WC",K4), " --orw ", R4), "--writetime-column N/A", "")</f>
        <v>./cqlreplicator --state run --inc-traffic --landing-zone s3://cql-replicator-eu-central-1 --region eu-central-1 --tiles 1 --worker-type G.1X --src-keyspace my_keyspace --src-table my_table3 --trg-keyspace my_keyspace --trg-table my_keyspace --writetime-column col4 --json-mapping '{
    "replication": {
        "useMaterializedView": {
            "enabled": true,
            "mvName": "ks_test_cql_replicator_mv"
        }
     }
}' --orw 16000000</v>
      </c>
      <c r="F4" s="5">
        <f t="shared" si="1"/>
        <v>3000</v>
      </c>
      <c r="G4" s="5">
        <f>(ROUND(B4/Parameters!B$15, 0) + 1)</f>
        <v>1</v>
      </c>
      <c r="H4" s="5" t="str">
        <f t="shared" si="2"/>
        <v>G.1X</v>
      </c>
      <c r="I4" s="4" t="s">
        <v>6</v>
      </c>
      <c r="J4" s="4">
        <v>2048</v>
      </c>
      <c r="K4" s="4" t="s">
        <v>59</v>
      </c>
      <c r="L4" s="5">
        <f t="shared" si="3"/>
        <v>4</v>
      </c>
      <c r="M4" s="7">
        <f t="shared" si="4"/>
        <v>8388608</v>
      </c>
      <c r="N4" s="5">
        <f>ROUNDUP(G4/2,0) + 1</f>
        <v>2</v>
      </c>
      <c r="O4" s="5">
        <f t="shared" si="5"/>
        <v>2</v>
      </c>
      <c r="P4" s="5">
        <f t="shared" si="6"/>
        <v>4</v>
      </c>
      <c r="Q4" s="8">
        <f>ROUNDUP(((C4 * 1024 * 1024) / F4) / 3600, 0)</f>
        <v>2</v>
      </c>
      <c r="R4" s="8">
        <f t="shared" si="7"/>
        <v>16000000</v>
      </c>
    </row>
    <row r="5" spans="1:18" s="2" customFormat="1" ht="161" customHeight="1">
      <c r="A5" s="4" t="s">
        <v>58</v>
      </c>
      <c r="B5" s="4">
        <v>11</v>
      </c>
      <c r="C5" s="5">
        <f t="shared" ref="C5" si="8">B5*1.6</f>
        <v>17.600000000000001</v>
      </c>
      <c r="D5" s="4" t="s">
        <v>29</v>
      </c>
      <c r="E5" s="6" t="str">
        <f>SUBSTITUTE(_xlfn.CONCAT(SUBSTITUTE(SUBSTITUTE(SUBSTITUTE(SUBSTITUTE(SUBSTITUTE(SUBSTITUTE(SUBSTITUTE(Parameters!B$11,"$TILES",G5),"$WORKER_TYPE",H5),"$SRC_KS",D5),"$SRC_TBL",A5),"$TRG_KS",D5),"$TRG_TBL",D5),"$WC",K5), " --orw ", R5), "--writetime-column N/A", "")</f>
        <v>./cqlreplicator --state run --inc-traffic --landing-zone s3://cql-replicator-eu-central-1 --region eu-central-1 --tiles 1 --worker-type G.1X --src-keyspace my_keyspace --src-table my_table4 --trg-keyspace my_keyspace --trg-table my_keyspace  --json-mapping '{
    "replication": {
        "useMaterializedView": {
            "enabled": true,
            "mvName": "ks_test_cql_replicator_mv"
        }
     }
}' --orw 16000000</v>
      </c>
      <c r="F5" s="5">
        <f t="shared" ref="F5" si="9">IF(H5="G.025X",750,IF(H5="G.1X",1500,3000)) * O5</f>
        <v>3000</v>
      </c>
      <c r="G5" s="5">
        <f>(ROUND(B5/Parameters!B$15, 0) + 1)</f>
        <v>1</v>
      </c>
      <c r="H5" s="5" t="str">
        <f t="shared" ref="H5" si="10">IF(J5&lt;=1024,"G.025X",IF(J5&lt;=2048,"G.1X", "G.2X"))</f>
        <v>G.1X</v>
      </c>
      <c r="I5" s="4" t="s">
        <v>6</v>
      </c>
      <c r="J5" s="4">
        <v>2048</v>
      </c>
      <c r="K5" s="4" t="s">
        <v>70</v>
      </c>
      <c r="L5" s="5">
        <f t="shared" ref="L5" si="11">ROUNDUP(N5+O5,0)</f>
        <v>4</v>
      </c>
      <c r="M5" s="7">
        <f t="shared" ref="M5" si="12">((B5 * 1.6) * 1024 * 1024 ) / ROUNDUP(J5 / 1024, 0)</f>
        <v>9227468.8000000007</v>
      </c>
      <c r="N5" s="5">
        <f>ROUNDUP(G5/2,0) + 1</f>
        <v>2</v>
      </c>
      <c r="O5" s="5">
        <f t="shared" ref="O5" si="13">((ROUNDUP((M5) / R5,0) + 1)/IF(H5="G.025X",4,IF(H5="G.1X",1,IF(H5="G.2X",0.5))) * G5)</f>
        <v>2</v>
      </c>
      <c r="P5" s="5">
        <f t="shared" ref="P5" si="14">N5+O5</f>
        <v>4</v>
      </c>
      <c r="Q5" s="8">
        <f>ROUNDUP(((C5 * 1024 * 1024) / F5) / 3600, 0)</f>
        <v>2</v>
      </c>
      <c r="R5" s="8">
        <f t="shared" ref="R5" si="15">IF(H5 = "G.025X", 8000000, IF(H5= "G.1X", 16000000, IF(H5= "G.2X", 32000000)))</f>
        <v>16000000</v>
      </c>
    </row>
    <row r="6" spans="1:18" s="2" customFormat="1" ht="163" customHeight="1">
      <c r="A6" s="4" t="s">
        <v>58</v>
      </c>
      <c r="B6" s="4">
        <v>50</v>
      </c>
      <c r="C6" s="5">
        <f t="shared" si="0"/>
        <v>80</v>
      </c>
      <c r="D6" s="4" t="s">
        <v>29</v>
      </c>
      <c r="E6" s="6" t="str">
        <f>SUBSTITUTE(_xlfn.CONCAT(SUBSTITUTE(SUBSTITUTE(SUBSTITUTE(SUBSTITUTE(SUBSTITUTE(SUBSTITUTE(SUBSTITUTE(Parameters!B$11,"$TILES",G6),"$WORKER_TYPE",H6),"$SRC_KS",D6),"$SRC_TBL",A6),"$TRG_KS",D6),"$TRG_TBL",D6),"$WC",K6), " --orw ", R6), "--writetime-column N/A", "")</f>
        <v>./cqlreplicator --state run --inc-traffic --landing-zone s3://cql-replicator-eu-central-1 --region eu-central-1 --tiles 2 --worker-type G.2X --src-keyspace my_keyspace --src-table my_table4 --trg-keyspace my_keyspace --trg-table my_keyspace --writetime-column col5 --json-mapping '{
    "replication": {
        "useMaterializedView": {
            "enabled": true,
            "mvName": "ks_test_cql_replicator_mv"
        }
     }
}' --orw 32000000</v>
      </c>
      <c r="F6" s="5">
        <f t="shared" si="1"/>
        <v>24000</v>
      </c>
      <c r="G6" s="5">
        <f>(ROUND(B6/Parameters!B$15, 0) + 1)</f>
        <v>2</v>
      </c>
      <c r="H6" s="5" t="str">
        <f t="shared" si="2"/>
        <v>G.2X</v>
      </c>
      <c r="I6" s="4" t="s">
        <v>6</v>
      </c>
      <c r="J6" s="4">
        <v>3048</v>
      </c>
      <c r="K6" s="4" t="s">
        <v>60</v>
      </c>
      <c r="L6" s="5">
        <f t="shared" si="3"/>
        <v>10</v>
      </c>
      <c r="M6" s="7">
        <f t="shared" si="4"/>
        <v>27962026.666666668</v>
      </c>
      <c r="N6" s="5">
        <f>ROUNDUP(G6/2,0) + 1</f>
        <v>2</v>
      </c>
      <c r="O6" s="5">
        <f t="shared" si="5"/>
        <v>8</v>
      </c>
      <c r="P6" s="5">
        <f t="shared" si="6"/>
        <v>10</v>
      </c>
      <c r="Q6" s="8">
        <f>ROUNDUP(((C6 * 1024 * 1024) / F6) / 3600, 0)</f>
        <v>1</v>
      </c>
      <c r="R6" s="8">
        <f t="shared" si="7"/>
        <v>32000000</v>
      </c>
    </row>
    <row r="7" spans="1:18" s="2" customFormat="1" ht="13"/>
    <row r="8" spans="1:18" s="2" customFormat="1" ht="13">
      <c r="A8" s="10"/>
      <c r="B8" s="2" t="s">
        <v>63</v>
      </c>
    </row>
    <row r="9" spans="1:18" s="2" customFormat="1">
      <c r="A9" s="11"/>
      <c r="B9" s="2" t="s">
        <v>64</v>
      </c>
    </row>
    <row r="10" spans="1:18" s="2" customFormat="1" ht="13">
      <c r="A10" s="2" t="s">
        <v>67</v>
      </c>
    </row>
    <row r="11" spans="1:18" s="2" customFormat="1" ht="13">
      <c r="A11" s="2" t="s">
        <v>68</v>
      </c>
    </row>
    <row r="12" spans="1:18" s="2" customFormat="1" ht="13">
      <c r="A12" s="2" t="s">
        <v>69</v>
      </c>
    </row>
    <row r="13" spans="1:18" s="2" customFormat="1" ht="13"/>
    <row r="14" spans="1:18" s="2" customFormat="1" ht="13"/>
    <row r="15" spans="1:18" s="2" customFormat="1" ht="13"/>
    <row r="16" spans="1:18" s="2" customFormat="1" ht="13"/>
    <row r="17" spans="4:16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4:16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honeticPr fontId="6" type="noConversion"/>
  <conditionalFormatting sqref="F2:F6">
    <cfRule type="cellIs" dxfId="2" priority="2" operator="greaterThan">
      <formula>80000</formula>
    </cfRule>
  </conditionalFormatting>
  <conditionalFormatting sqref="F3:F6">
    <cfRule type="cellIs" dxfId="1" priority="1" operator="greaterThan">
      <formula>40000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E2FE-8717-A44B-935E-DECA88C246BE}">
  <dimension ref="A1:C15"/>
  <sheetViews>
    <sheetView topLeftCell="A2" zoomScale="187" zoomScaleNormal="187" workbookViewId="0">
      <selection activeCell="B11" sqref="B11"/>
    </sheetView>
  </sheetViews>
  <sheetFormatPr baseColWidth="10" defaultRowHeight="16"/>
  <cols>
    <col min="1" max="1" width="24.5" customWidth="1"/>
    <col min="2" max="2" width="177.83203125" customWidth="1"/>
  </cols>
  <sheetData>
    <row r="1" spans="1:3">
      <c r="A1" s="5" t="s">
        <v>7</v>
      </c>
      <c r="B1" s="12" t="s">
        <v>8</v>
      </c>
      <c r="C1" s="1"/>
    </row>
    <row r="2" spans="1:3">
      <c r="A2" s="5" t="s">
        <v>9</v>
      </c>
      <c r="B2" s="12" t="s">
        <v>40</v>
      </c>
      <c r="C2" s="1"/>
    </row>
    <row r="3" spans="1:3">
      <c r="A3" s="5" t="s">
        <v>10</v>
      </c>
      <c r="B3" s="12" t="s">
        <v>41</v>
      </c>
      <c r="C3" s="1"/>
    </row>
    <row r="4" spans="1:3">
      <c r="A4" s="5" t="s">
        <v>11</v>
      </c>
      <c r="B4" s="12" t="s">
        <v>42</v>
      </c>
      <c r="C4" s="1"/>
    </row>
    <row r="5" spans="1:3">
      <c r="A5" s="5" t="s">
        <v>14</v>
      </c>
      <c r="B5" s="12" t="s">
        <v>43</v>
      </c>
      <c r="C5" s="1"/>
    </row>
    <row r="6" spans="1:3">
      <c r="A6" s="5" t="s">
        <v>17</v>
      </c>
      <c r="B6" s="12" t="s">
        <v>44</v>
      </c>
      <c r="C6" s="1"/>
    </row>
    <row r="7" spans="1:3">
      <c r="A7" s="5" t="s">
        <v>19</v>
      </c>
      <c r="B7" s="12" t="s">
        <v>45</v>
      </c>
      <c r="C7" s="1"/>
    </row>
    <row r="8" spans="1:3">
      <c r="A8" s="5" t="s">
        <v>21</v>
      </c>
      <c r="B8" s="12" t="s">
        <v>46</v>
      </c>
      <c r="C8" s="1"/>
    </row>
    <row r="9" spans="1:3">
      <c r="A9" s="5" t="s">
        <v>22</v>
      </c>
      <c r="B9" s="12" t="s">
        <v>47</v>
      </c>
      <c r="C9" s="1"/>
    </row>
    <row r="10" spans="1:3">
      <c r="A10" s="5" t="s">
        <v>23</v>
      </c>
      <c r="B10" s="12" t="s">
        <v>48</v>
      </c>
      <c r="C10" s="1"/>
    </row>
    <row r="11" spans="1:3" ht="126">
      <c r="A11" s="5" t="s">
        <v>24</v>
      </c>
      <c r="B11" s="16" t="str">
        <f>_xlfn.CONCAT(_xlfn.CONCAT(_xlfn.CONCAT(_xlfn.CONCAT(_xlfn.CONCAT(_xlfn.CONCAT(_xlfn.CONCAT(_xlfn.CONCAT(_xlfn.CONCAT(_xlfn.CONCAT(_xlfn.CONCAT(B1,B2),B3),B4),B5),B6),B7),B8),B9),B10),B14),B12)</f>
        <v>./cqlreplicator --state run --inc-traffic --landing-zone s3://cql-replicator-eu-central-1 --region eu-central-1 --tiles $TILES --worker-type $WORKER_TYPE --src-keyspace $SRC_KS --src-table $SRC_TBL --trg-keyspace $TRG_KS --trg-table $TRG_TBL --writetime-column $WC --json-mapping '{
    "replication": {
        "useMaterializedView": {
            "enabled": true,
            "mvName": "ks_test_cql_replicator_mv"
        }
     }
}'</v>
      </c>
      <c r="C11" s="1"/>
    </row>
    <row r="12" spans="1:3" hidden="1">
      <c r="A12" s="15"/>
      <c r="B12" s="12"/>
      <c r="C12" s="1"/>
    </row>
    <row r="13" spans="1:3">
      <c r="A13" s="5" t="s">
        <v>49</v>
      </c>
      <c r="B13" s="12">
        <v>0.44</v>
      </c>
      <c r="C13" s="1"/>
    </row>
    <row r="14" spans="1:3" ht="112">
      <c r="A14" s="5" t="s">
        <v>25</v>
      </c>
      <c r="B14" s="14" t="s">
        <v>66</v>
      </c>
      <c r="C14" s="1"/>
    </row>
    <row r="15" spans="1:3">
      <c r="A15" s="5" t="s">
        <v>55</v>
      </c>
      <c r="B15" s="1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1999-E311-104A-8ABD-D4150A5E8810}">
  <dimension ref="A1:C7"/>
  <sheetViews>
    <sheetView zoomScale="130" zoomScaleNormal="130" workbookViewId="0">
      <selection activeCell="B2" sqref="B2"/>
    </sheetView>
  </sheetViews>
  <sheetFormatPr baseColWidth="10" defaultRowHeight="16"/>
  <cols>
    <col min="1" max="1" width="36.33203125" customWidth="1"/>
    <col min="2" max="2" width="19" customWidth="1"/>
    <col min="3" max="3" width="14.1640625" customWidth="1"/>
  </cols>
  <sheetData>
    <row r="1" spans="1:3">
      <c r="A1" s="5"/>
      <c r="B1" s="13" t="s">
        <v>38</v>
      </c>
      <c r="C1" s="13" t="s">
        <v>39</v>
      </c>
    </row>
    <row r="2" spans="1:3">
      <c r="A2" s="13" t="s">
        <v>12</v>
      </c>
      <c r="B2" s="5">
        <f>SUM('List of artifacts'!F2:F6)*(B7/100+1)</f>
        <v>290193.75</v>
      </c>
      <c r="C2" s="5" t="s">
        <v>13</v>
      </c>
    </row>
    <row r="3" spans="1:3">
      <c r="A3" s="13" t="s">
        <v>15</v>
      </c>
      <c r="B3" s="5">
        <f>SUM('List of artifacts'!L2:L6)*(B7/100+1)</f>
        <v>374.85</v>
      </c>
      <c r="C3" s="5" t="s">
        <v>16</v>
      </c>
    </row>
    <row r="4" spans="1:3">
      <c r="A4" s="13" t="s">
        <v>61</v>
      </c>
      <c r="B4" s="5">
        <f>SUM('List of artifacts'!Q2:Q6)*(B7/100+1)</f>
        <v>9.4500000000000011</v>
      </c>
      <c r="C4" s="5" t="s">
        <v>62</v>
      </c>
    </row>
    <row r="5" spans="1:3">
      <c r="A5" s="13" t="s">
        <v>18</v>
      </c>
      <c r="B5" s="5">
        <f>SUM('List of artifacts'!P2:P6)*(B7/100+1)</f>
        <v>374.32499999999999</v>
      </c>
      <c r="C5" s="5" t="s">
        <v>35</v>
      </c>
    </row>
    <row r="6" spans="1:3">
      <c r="A6" s="13" t="s">
        <v>20</v>
      </c>
      <c r="B6" s="5">
        <f>(B4*Parameters!B13*B5)*(B7/100+1)</f>
        <v>1634.2655175</v>
      </c>
      <c r="C6" s="5" t="s">
        <v>36</v>
      </c>
    </row>
    <row r="7" spans="1:3">
      <c r="A7" s="13" t="s">
        <v>34</v>
      </c>
      <c r="B7" s="5">
        <v>5</v>
      </c>
      <c r="C7" s="5" t="s">
        <v>37</v>
      </c>
    </row>
  </sheetData>
  <conditionalFormatting sqref="B2">
    <cfRule type="cellIs" dxfId="0" priority="1" operator="greaterThan">
      <formula>80000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artifacts</vt:lpstr>
      <vt:lpstr>Parameters</vt:lpstr>
      <vt:lpstr>Summay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Kolesnikov, Nikolai</dc:creator>
  <cp:lastModifiedBy>Kolesnikov, Nikolai</cp:lastModifiedBy>
  <dcterms:created xsi:type="dcterms:W3CDTF">2024-08-12T12:35:06Z</dcterms:created>
  <dcterms:modified xsi:type="dcterms:W3CDTF">2024-08-16T22:18:53Z</dcterms:modified>
</cp:coreProperties>
</file>