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jcascioli\Dropbox\01 -- Work Computer\01 - PYTHON PROGRAMS\Estimating_Gensum_Database\"/>
    </mc:Choice>
  </mc:AlternateContent>
  <xr:revisionPtr revIDLastSave="0" documentId="8_{DC2150E1-9C2C-40F3-897C-8DAB0608CFC5}" xr6:coauthVersionLast="45" xr6:coauthVersionMax="45" xr10:uidLastSave="{00000000-0000-0000-0000-000000000000}"/>
  <bookViews>
    <workbookView xWindow="28800" yWindow="15900" windowWidth="28800" windowHeight="15900" activeTab="4" xr2:uid="{00000000-000D-0000-FFFF-FFFF00000000}"/>
  </bookViews>
  <sheets>
    <sheet name="05 03 11 Model" sheetId="1" r:id="rId1"/>
    <sheet name="Updated 2018" sheetId="2" r:id="rId2"/>
    <sheet name="Comp 2018" sheetId="3" r:id="rId3"/>
    <sheet name="Comp Fusion" sheetId="5" r:id="rId4"/>
    <sheet name="Graph" sheetId="4" r:id="rId5"/>
  </sheets>
  <externalReferences>
    <externalReference r:id="rId6"/>
  </externalReferences>
  <definedNames>
    <definedName name="FrameType" localSheetId="3">#REF!</definedName>
    <definedName name="FrameType" localSheetId="4">#REF!</definedName>
    <definedName name="FrameType">#REF!</definedName>
    <definedName name="_xlnm.Print_Area" localSheetId="0">'05 03 11 Model'!$B$1:$Q$76</definedName>
    <definedName name="_xlnm.Print_Area" localSheetId="2">'Comp 2018'!$A$2:$I$31</definedName>
    <definedName name="_xlnm.Print_Area" localSheetId="3">'Comp Fusion'!$A$2:$J$31</definedName>
    <definedName name="_xlnm.Print_Area" localSheetId="4">Graph!$B$29:$Y$85</definedName>
    <definedName name="SkinType" localSheetId="3">#REF!</definedName>
    <definedName name="SkinType" localSheetId="4">#REF!</definedName>
    <definedName name="SkinType">#REF!</definedName>
    <definedName name="wrn.ADD._.ALTERNATES." localSheetId="0" hidden="1">{#N/A,#N/A,FALSE,"VE STUDY";#N/A,#N/A,FALSE,"HARDSCAPE IMPROVEMENTS";#N/A,#N/A,FALSE,"BRIDGES";#N/A,#N/A,FALSE,"CHILLED WATER LOOP"}</definedName>
    <definedName name="wrn.ADD._.ALTERNATES." hidden="1">{#N/A,#N/A,FALSE,"VE STUDY";#N/A,#N/A,FALSE,"HARDSCAPE IMPROVEMENTS";#N/A,#N/A,FALSE,"BRIDGES";#N/A,#N/A,FALSE,"CHILLED WATER LOOP"}</definedName>
    <definedName name="wrn.COSTSTUDY." localSheetId="0" hidden="1">{#N/A,#N/A,TRUE,"bridge scheme 1C ";#N/A,#N/A,TRUE,"bridge scheme 1E";#N/A,#N/A,TRUE,"connector - scheme 4d";#N/A,#N/A,TRUE,"parking deck scheme A";#N/A,#N/A,TRUE,"parking deck scheme B ";#N/A,#N/A,TRUE,"parking deck scheme C";#N/A,#N/A,TRUE,"parking deck scheme D";#N/A,#N/A,TRUE,"pond &amp; hardscape - scheme A";#N/A,#N/A,TRUE,"pond &amp; hardscape - scheme B"}</definedName>
    <definedName name="wrn.COSTSTUDY." hidden="1">{#N/A,#N/A,TRUE,"bridge scheme 1C ";#N/A,#N/A,TRUE,"bridge scheme 1E";#N/A,#N/A,TRUE,"connector - scheme 4d";#N/A,#N/A,TRUE,"parking deck scheme A";#N/A,#N/A,TRUE,"parking deck scheme B ";#N/A,#N/A,TRUE,"parking deck scheme C";#N/A,#N/A,TRUE,"parking deck scheme D";#N/A,#N/A,TRUE,"pond &amp; hardscape - scheme A";#N/A,#N/A,TRUE,"pond &amp; hardscape - scheme B"}</definedName>
    <definedName name="wrn.GSU._.CONC." localSheetId="0" hidden="1">{#N/A,#N/A,FALSE,"CONC SUM";#N/A,#N/A,FALSE,"FOOTINGS";#N/A,#N/A,FALSE,"WALLS";#N/A,#N/A,FALSE,"SOG";#N/A,#N/A,FALSE,"ELEVATED SLABS";#N/A,#N/A,FALSE,"MTL DECK SLAB";#N/A,#N/A,FALSE,"STAIRS";#N/A,#N/A,FALSE,"PADS";#N/A,#N/A,FALSE,"MISC";#N/A,#N/A,FALSE,"SITE"}</definedName>
    <definedName name="wrn.GSU._.CONC." hidden="1">{#N/A,#N/A,FALSE,"CONC SUM";#N/A,#N/A,FALSE,"FOOTINGS";#N/A,#N/A,FALSE,"WALLS";#N/A,#N/A,FALSE,"SOG";#N/A,#N/A,FALSE,"ELEVATED SLABS";#N/A,#N/A,FALSE,"MTL DECK SLAB";#N/A,#N/A,FALSE,"STAIRS";#N/A,#N/A,FALSE,"PADS";#N/A,#N/A,FALSE,"MISC";#N/A,#N/A,FALSE,"SITE"}</definedName>
    <definedName name="wrn.GSU._.FINISHES." localSheetId="0" hidden="1">{#N/A,#N/A,FALSE,"SUMMATION";#N/A,#N/A,FALSE,"1st LEVEL";#N/A,#N/A,FALSE,"2nd LEVEL";#N/A,#N/A,FALSE,"3rd LEVEL"}</definedName>
    <definedName name="wrn.GSU._.FINISHES." hidden="1">{#N/A,#N/A,FALSE,"SUMMATION";#N/A,#N/A,FALSE,"1st LEVEL";#N/A,#N/A,FALSE,"2nd LEVEL";#N/A,#N/A,FALSE,"3rd LEVEL"}</definedName>
    <definedName name="wrn.GSU._.PKG." localSheetId="0" hidden="1">{#N/A,#N/A,FALSE,"CSI SUMMARY";#N/A,#N/A,FALSE,"DIRECTS";#N/A,#N/A,FALSE,"CONC SUM";#N/A,#N/A,FALSE,"AREAS";#N/A,#N/A,FALSE,"FTGS";#N/A,#N/A,FALSE,"WALLS";#N/A,#N/A,FALSE,"SOG";#N/A,#N/A,FALSE,"ELEV SLAB";#N/A,#N/A,FALSE,"STAIRS";#N/A,#N/A,FALSE,"PADS"}</definedName>
    <definedName name="wrn.GSU._.PKG." hidden="1">{#N/A,#N/A,FALSE,"CSI SUMMARY";#N/A,#N/A,FALSE,"DIRECTS";#N/A,#N/A,FALSE,"CONC SUM";#N/A,#N/A,FALSE,"AREAS";#N/A,#N/A,FALSE,"FTGS";#N/A,#N/A,FALSE,"WALLS";#N/A,#N/A,FALSE,"SOG";#N/A,#N/A,FALSE,"ELEV SLAB";#N/A,#N/A,FALSE,"STAIRS";#N/A,#N/A,FALSE,"PADS"}</definedName>
    <definedName name="wrn.GSU._.STUDENT._.CTR." localSheetId="0" hidden="1">{#N/A,#N/A,TRUE,"CSI SUMMARY";#N/A,#N/A,TRUE,"SYSTEM SUMMARY";#N/A,#N/A,TRUE,"DIRECTS";#N/A,#N/A,TRUE,"AREAS";#N/A,#N/A,TRUE,"CONC SUM";#N/A,#N/A,TRUE,"FOOTINGS";#N/A,#N/A,TRUE,"SOG";#N/A,#N/A,TRUE,"ELEVATED SLABS";#N/A,#N/A,TRUE,"MTL DECK SLAB";#N/A,#N/A,TRUE,"STAIRS";#N/A,#N/A,TRUE,"PADS";#N/A,#N/A,TRUE,"MISC";#N/A,#N/A,TRUE,"WALLS";#N/A,#N/A,TRUE,"EXTWALL";#N/A,#N/A,TRUE,"DOORS,FRAMES&amp; HDWE.";#N/A,#N/A,TRUE,"INTPART";#N/A,#N/A,TRUE,"SUMMATION-FINISHES";#N/A,#N/A,TRUE,"1st LEVEL-FINISHES";#N/A,#N/A,TRUE,"2nd LEVEL-FINISHES";#N/A,#N/A,TRUE,"3rd LEVEL-FINISHES";#N/A,#N/A,TRUE,"SUB COMPARISON"}</definedName>
    <definedName name="wrn.GSU._.STUDENT._.CTR." hidden="1">{#N/A,#N/A,TRUE,"CSI SUMMARY";#N/A,#N/A,TRUE,"SYSTEM SUMMARY";#N/A,#N/A,TRUE,"DIRECTS";#N/A,#N/A,TRUE,"AREAS";#N/A,#N/A,TRUE,"CONC SUM";#N/A,#N/A,TRUE,"FOOTINGS";#N/A,#N/A,TRUE,"SOG";#N/A,#N/A,TRUE,"ELEVATED SLABS";#N/A,#N/A,TRUE,"MTL DECK SLAB";#N/A,#N/A,TRUE,"STAIRS";#N/A,#N/A,TRUE,"PADS";#N/A,#N/A,TRUE,"MISC";#N/A,#N/A,TRUE,"WALLS";#N/A,#N/A,TRUE,"EXTWALL";#N/A,#N/A,TRUE,"DOORS,FRAMES&amp; HDWE.";#N/A,#N/A,TRUE,"INTPART";#N/A,#N/A,TRUE,"SUMMATION-FINISHES";#N/A,#N/A,TRUE,"1st LEVEL-FINISHES";#N/A,#N/A,TRUE,"2nd LEVEL-FINISHES";#N/A,#N/A,TRUE,"3rd LEVEL-FINISHES";#N/A,#N/A,TRUE,"SUB COMPARISON"}</definedName>
    <definedName name="wrn.GSU._.VE._.DIVISIONS." localSheetId="0" hidden="1">{"ve division",#N/A,FALSE,"VE STUDY"}</definedName>
    <definedName name="wrn.GSU._.VE._.DIVISIONS." hidden="1">{"ve division",#N/A,FALSE,"VE STUDY"}</definedName>
    <definedName name="wrn.GSU._.VE._.PRESENT." localSheetId="0" hidden="1">{"VE PRESENT",#N/A,FALSE,"VE STUDY"}</definedName>
    <definedName name="wrn.GSU._.VE._.PRESENT." hidden="1">{"VE PRESENT",#N/A,FALSE,"VE STUDY"}</definedName>
    <definedName name="wrn.IGMP." localSheetId="0" hidden="1">{#N/A,#N/A,FALSE,"CSI SUMMARY";"GSU DIV 2 THRU 16",#N/A,FALSE,"DIRECTS";"GSU PRESENT",#N/A,FALSE,"AREAS"}</definedName>
    <definedName name="wrn.IGMP." hidden="1">{#N/A,#N/A,FALSE,"CSI SUMMARY";"GSU DIV 2 THRU 16",#N/A,FALSE,"DIRECTS";"GSU PRESENT",#N/A,FALSE,"AREAS"}</definedName>
    <definedName name="wrn.PRECAST._.DK._.CONC." localSheetId="0" hidden="1">{#N/A,#N/A,FALSE,"CONC SUM";#N/A,#N/A,FALSE,"FTGS";#N/A,#N/A,FALSE,"WALLS";#N/A,#N/A,FALSE,"SOG";#N/A,#N/A,FALSE,"ELEV SLAB";#N/A,#N/A,FALSE,"STAIRS";#N/A,#N/A,FALSE,"PADS"}</definedName>
    <definedName name="wrn.PRECAST._.DK._.CONC." hidden="1">{#N/A,#N/A,FALSE,"CONC SUM";#N/A,#N/A,FALSE,"FTGS";#N/A,#N/A,FALSE,"WALLS";#N/A,#N/A,FALSE,"SOG";#N/A,#N/A,FALSE,"ELEV SLAB";#N/A,#N/A,FALSE,"STAIRS";#N/A,#N/A,FALSE,"PADS"}</definedName>
    <definedName name="wrn.RECONCILED._.INITIAL._.BUDGET." localSheetId="0" hidden="1">{#N/A,#N/A,FALSE,"CSI SUMMARY";#N/A,#N/A,FALSE,"SYSTEM SUMMARY";#N/A,#N/A,FALSE,"DIRECTS";#N/A,#N/A,FALSE,"AREAS"}</definedName>
    <definedName name="wrn.RECONCILED._.INITIAL._.BUDGET." hidden="1">{#N/A,#N/A,FALSE,"CSI SUMMARY";#N/A,#N/A,FALSE,"SYSTEM SUMMARY";#N/A,#N/A,FALSE,"DIRECTS";#N/A,#N/A,FALSE,"AREAS"}</definedName>
    <definedName name="wrn.REVIEW._.COPY." localSheetId="0" hidden="1">{#N/A,#N/A,FALSE,"CSI SUMMARY";"SHOW SUB QUOTES",#N/A,FALSE,"DIRECTS"}</definedName>
    <definedName name="wrn.REVIEW._.COPY." hidden="1">{#N/A,#N/A,FALSE,"CSI SUMMARY";"SHOW SUB QUOTES",#N/A,FALSE,"DIRECTS"}</definedName>
    <definedName name="wrn.SUM._.ONLY." localSheetId="0" hidden="1">{"SUMMARY",#N/A,FALSE,"BIDSUM"}</definedName>
    <definedName name="wrn.SUM._.ONLY." hidden="1">{"SUMMARY",#N/A,FALSE,"BIDSUM"}</definedName>
    <definedName name="wrn.SUM._.WITH._.GC." localSheetId="0" hidden="1">{"SUMMARY",#N/A,FALSE,"BIDSUM";"SUMALTS",#N/A,FALSE,"BIDSUM";#N/A,#N/A,FALSE,"GCOND"}</definedName>
    <definedName name="wrn.SUM._.WITH._.GC." hidden="1">{"SUMMARY",#N/A,FALSE,"BIDSUM";"SUMALTS",#N/A,FALSE,"BIDSUM";#N/A,#N/A,FALSE,"GCOND"}</definedName>
    <definedName name="wrn.VAOFFICE." localSheetId="0" hidden="1">{#N/A,#N/A,FALSE,"OFFICE";#N/A,#N/A,FALSE,"DECK";#N/A,#N/A,FALSE,"SITE";#N/A,#N/A,FALSE,"TENANT";#N/A,#N/A,FALSE,"CSISUM"}</definedName>
    <definedName name="wrn.VAOFFICE." hidden="1">{#N/A,#N/A,FALSE,"OFFICE";#N/A,#N/A,FALSE,"DECK";#N/A,#N/A,FALSE,"SITE";#N/A,#N/A,FALSE,"TENANT";#N/A,#N/A,FALSE,"CSISUM"}</definedName>
    <definedName name="wrn.VE._.show._.manual._.entry." localSheetId="0" hidden="1">{"VE with manual entry",#N/A,FALSE,"VE STUDY"}</definedName>
    <definedName name="wrn.VE._.show._.manual._.entry." hidden="1">{"VE with manual entry",#N/A,FALSE,"VE STUDY"}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4" l="1"/>
  <c r="J10" i="4" s="1"/>
  <c r="G10" i="4"/>
  <c r="I16" i="4"/>
  <c r="J16" i="4" s="1"/>
  <c r="G16" i="4"/>
  <c r="I3" i="4"/>
  <c r="J3" i="4" s="1"/>
  <c r="G3" i="4"/>
  <c r="I13" i="4"/>
  <c r="J13" i="4" s="1"/>
  <c r="G13" i="4"/>
  <c r="I24" i="4"/>
  <c r="J24" i="4" s="1"/>
  <c r="I23" i="4"/>
  <c r="J23" i="4" s="1"/>
  <c r="I22" i="4"/>
  <c r="J22" i="4" s="1"/>
  <c r="G5" i="4"/>
  <c r="I5" i="4"/>
  <c r="J5" i="4" s="1"/>
  <c r="I4" i="4"/>
  <c r="J4" i="4" s="1"/>
  <c r="G4" i="4"/>
  <c r="H14" i="4" l="1"/>
  <c r="I14" i="4" s="1"/>
  <c r="H18" i="4"/>
  <c r="H20" i="4"/>
  <c r="I20" i="4" s="1"/>
  <c r="J20" i="4" s="1"/>
  <c r="C20" i="4"/>
  <c r="C19" i="4"/>
  <c r="C17" i="4"/>
  <c r="C18" i="4"/>
  <c r="C7" i="4"/>
  <c r="C6" i="4"/>
  <c r="C11" i="4"/>
  <c r="C14" i="4"/>
  <c r="F20" i="4"/>
  <c r="B20" i="4" s="1"/>
  <c r="F19" i="4"/>
  <c r="B19" i="4" s="1"/>
  <c r="F18" i="4"/>
  <c r="B18" i="4" s="1"/>
  <c r="F17" i="4"/>
  <c r="B17" i="4" s="1"/>
  <c r="F15" i="4"/>
  <c r="B15" i="4" s="1"/>
  <c r="F9" i="4"/>
  <c r="B9" i="4" s="1"/>
  <c r="F8" i="4"/>
  <c r="F12" i="4"/>
  <c r="B12" i="4" s="1"/>
  <c r="F7" i="4"/>
  <c r="B7" i="4" s="1"/>
  <c r="F6" i="4"/>
  <c r="B6" i="4" s="1"/>
  <c r="F11" i="4"/>
  <c r="B11" i="4" s="1"/>
  <c r="F14" i="4"/>
  <c r="B14" i="4" s="1"/>
  <c r="E14" i="4"/>
  <c r="E11" i="4"/>
  <c r="E8" i="4"/>
  <c r="E7" i="4"/>
  <c r="E6" i="4"/>
  <c r="E12" i="4"/>
  <c r="E18" i="4"/>
  <c r="E17" i="4"/>
  <c r="E19" i="4"/>
  <c r="E20" i="4"/>
  <c r="E9" i="4"/>
  <c r="I18" i="4"/>
  <c r="J18" i="4" s="1"/>
  <c r="I11" i="4"/>
  <c r="J11" i="4" s="1"/>
  <c r="I6" i="4"/>
  <c r="J6" i="4" s="1"/>
  <c r="I7" i="4"/>
  <c r="J7" i="4" s="1"/>
  <c r="I12" i="4"/>
  <c r="J12" i="4" s="1"/>
  <c r="I8" i="4"/>
  <c r="J8" i="4" s="1"/>
  <c r="I9" i="4"/>
  <c r="J9" i="4" s="1"/>
  <c r="K9" i="4" s="1"/>
  <c r="I21" i="4"/>
  <c r="J21" i="4" s="1"/>
  <c r="I15" i="4"/>
  <c r="J15" i="4" s="1"/>
  <c r="I17" i="4"/>
  <c r="J17" i="4" s="1"/>
  <c r="I19" i="4"/>
  <c r="J19" i="4" s="1"/>
  <c r="H25" i="4" l="1"/>
  <c r="I25" i="4" s="1"/>
  <c r="G17" i="4" l="1"/>
  <c r="G12" i="4"/>
  <c r="G11" i="4" l="1"/>
  <c r="G20" i="4" l="1"/>
  <c r="G19" i="4" l="1"/>
  <c r="G18" i="4"/>
  <c r="G15" i="4"/>
  <c r="G9" i="4"/>
  <c r="G8" i="4"/>
  <c r="G7" i="4"/>
  <c r="G6" i="4"/>
  <c r="G14" i="4" l="1"/>
  <c r="J28" i="5" l="1"/>
  <c r="I21" i="5"/>
  <c r="J21" i="5" s="1"/>
  <c r="I20" i="5"/>
  <c r="J20" i="5" s="1"/>
  <c r="I19" i="5"/>
  <c r="J19" i="5" s="1"/>
  <c r="I18" i="5"/>
  <c r="J18" i="5" s="1"/>
  <c r="I17" i="5"/>
  <c r="J17" i="5" s="1"/>
  <c r="I16" i="5"/>
  <c r="J16" i="5" s="1"/>
  <c r="I15" i="5"/>
  <c r="J15" i="5" s="1"/>
  <c r="I14" i="5"/>
  <c r="J14" i="5" s="1"/>
  <c r="I13" i="5"/>
  <c r="J13" i="5" s="1"/>
  <c r="I12" i="5"/>
  <c r="J12" i="5" s="1"/>
  <c r="I11" i="5"/>
  <c r="J11" i="5" s="1"/>
  <c r="I10" i="5"/>
  <c r="J10" i="5" s="1"/>
  <c r="H28" i="5"/>
  <c r="H21" i="5"/>
  <c r="H20" i="5"/>
  <c r="H19" i="5"/>
  <c r="H18" i="5"/>
  <c r="H17" i="5"/>
  <c r="H16" i="5"/>
  <c r="H15" i="5"/>
  <c r="H14" i="5"/>
  <c r="H13" i="5"/>
  <c r="H12" i="5"/>
  <c r="H11" i="5"/>
  <c r="H10" i="5"/>
  <c r="G31" i="5"/>
  <c r="H5" i="5"/>
  <c r="N29" i="5"/>
  <c r="N26" i="5"/>
  <c r="F23" i="5"/>
  <c r="F31" i="5" s="1"/>
  <c r="E23" i="5"/>
  <c r="E31" i="5" s="1"/>
  <c r="D23" i="5"/>
  <c r="D31" i="5" s="1"/>
  <c r="C23" i="5"/>
  <c r="C31" i="5" s="1"/>
  <c r="B23" i="5"/>
  <c r="B31" i="5" s="1"/>
  <c r="N21" i="5"/>
  <c r="N12" i="5"/>
  <c r="N11" i="5"/>
  <c r="N23" i="5" s="1"/>
  <c r="H31" i="5" l="1"/>
  <c r="J23" i="5"/>
  <c r="T17" i="5" s="1"/>
  <c r="O18" i="5"/>
  <c r="P18" i="5" s="1"/>
  <c r="Q18" i="5" s="1"/>
  <c r="O13" i="5"/>
  <c r="P13" i="5" s="1"/>
  <c r="Q13" i="5" s="1"/>
  <c r="O14" i="5"/>
  <c r="P14" i="5" s="1"/>
  <c r="Q14" i="5" s="1"/>
  <c r="O11" i="5"/>
  <c r="P11" i="5" s="1"/>
  <c r="Q11" i="5" s="1"/>
  <c r="O16" i="5"/>
  <c r="P16" i="5" s="1"/>
  <c r="Q16" i="5" s="1"/>
  <c r="O17" i="5"/>
  <c r="P17" i="5" s="1"/>
  <c r="Q17" i="5" s="1"/>
  <c r="O19" i="5"/>
  <c r="P19" i="5" s="1"/>
  <c r="Q19" i="5" s="1"/>
  <c r="O20" i="5"/>
  <c r="P20" i="5" s="1"/>
  <c r="Q20" i="5" s="1"/>
  <c r="O15" i="5"/>
  <c r="P15" i="5" s="1"/>
  <c r="Q15" i="5" s="1"/>
  <c r="O10" i="5"/>
  <c r="P10" i="5" s="1"/>
  <c r="Q10" i="5" s="1"/>
  <c r="O21" i="5"/>
  <c r="P21" i="5" s="1"/>
  <c r="Q21" i="5" s="1"/>
  <c r="H23" i="5"/>
  <c r="S11" i="5" s="1"/>
  <c r="I23" i="5"/>
  <c r="I31" i="5" s="1"/>
  <c r="O12" i="5"/>
  <c r="P12" i="5" s="1"/>
  <c r="Q12" i="5" s="1"/>
  <c r="I28" i="3"/>
  <c r="I11" i="3"/>
  <c r="I12" i="3"/>
  <c r="I13" i="3"/>
  <c r="I14" i="3"/>
  <c r="I15" i="3"/>
  <c r="I16" i="3"/>
  <c r="I17" i="3"/>
  <c r="I18" i="3"/>
  <c r="I19" i="3"/>
  <c r="I20" i="3"/>
  <c r="I10" i="3"/>
  <c r="H21" i="3"/>
  <c r="H23" i="3" s="1"/>
  <c r="H31" i="3" s="1"/>
  <c r="M29" i="3"/>
  <c r="M26" i="3"/>
  <c r="M12" i="3"/>
  <c r="M11" i="3"/>
  <c r="M23" i="3" s="1"/>
  <c r="N13" i="3" s="1"/>
  <c r="O13" i="3" s="1"/>
  <c r="P13" i="3" s="1"/>
  <c r="M21" i="3"/>
  <c r="L45" i="2"/>
  <c r="K45" i="2"/>
  <c r="K36" i="2"/>
  <c r="J45" i="2"/>
  <c r="J34" i="2"/>
  <c r="I43" i="2"/>
  <c r="I45" i="2" s="1"/>
  <c r="H43" i="2"/>
  <c r="H30" i="2"/>
  <c r="H45" i="2" s="1"/>
  <c r="H31" i="2"/>
  <c r="H32" i="2"/>
  <c r="H33" i="2"/>
  <c r="H34" i="2"/>
  <c r="H35" i="2"/>
  <c r="H36" i="2"/>
  <c r="H37" i="2"/>
  <c r="H38" i="2"/>
  <c r="H39" i="2"/>
  <c r="H40" i="2"/>
  <c r="H41" i="2"/>
  <c r="B23" i="3"/>
  <c r="B31" i="3" s="1"/>
  <c r="C23" i="3"/>
  <c r="D23" i="3"/>
  <c r="D31" i="3"/>
  <c r="E23" i="3"/>
  <c r="E31" i="3" s="1"/>
  <c r="F23" i="3"/>
  <c r="F31" i="3" s="1"/>
  <c r="G28" i="3"/>
  <c r="G21" i="3"/>
  <c r="G20" i="3"/>
  <c r="G19" i="3"/>
  <c r="G18" i="3"/>
  <c r="G17" i="3"/>
  <c r="G16" i="3"/>
  <c r="G15" i="3"/>
  <c r="G14" i="3"/>
  <c r="G13" i="3"/>
  <c r="G12" i="3"/>
  <c r="G11" i="3"/>
  <c r="G10" i="3"/>
  <c r="G5" i="3"/>
  <c r="D25" i="2"/>
  <c r="E25" i="2"/>
  <c r="F25" i="2"/>
  <c r="C25" i="2"/>
  <c r="A77" i="2"/>
  <c r="A76" i="2"/>
  <c r="A75" i="2"/>
  <c r="A74" i="2"/>
  <c r="A73" i="2"/>
  <c r="A72" i="2"/>
  <c r="A71" i="2"/>
  <c r="A70" i="2"/>
  <c r="A69" i="2"/>
  <c r="A68" i="2"/>
  <c r="A67" i="2"/>
  <c r="A66" i="2"/>
  <c r="A64" i="2"/>
  <c r="A63" i="2"/>
  <c r="A62" i="2"/>
  <c r="A61" i="2"/>
  <c r="A60" i="2"/>
  <c r="A59" i="2"/>
  <c r="A58" i="2"/>
  <c r="A57" i="2"/>
  <c r="A56" i="2"/>
  <c r="A55" i="2"/>
  <c r="A53" i="2"/>
  <c r="A52" i="2"/>
  <c r="A51" i="2"/>
  <c r="A50" i="2"/>
  <c r="A49" i="2"/>
  <c r="A48" i="2"/>
  <c r="A47" i="2"/>
  <c r="A46" i="2"/>
  <c r="A45" i="2"/>
  <c r="A44" i="2"/>
  <c r="A41" i="2"/>
  <c r="C35" i="1"/>
  <c r="C57" i="1"/>
  <c r="C54" i="1"/>
  <c r="C53" i="1"/>
  <c r="C52" i="1"/>
  <c r="C47" i="1"/>
  <c r="C46" i="1"/>
  <c r="C45" i="1"/>
  <c r="C44" i="1"/>
  <c r="C43" i="1"/>
  <c r="C42" i="1"/>
  <c r="C41" i="1"/>
  <c r="C40" i="1"/>
  <c r="C39" i="1"/>
  <c r="C38" i="1"/>
  <c r="C37" i="1"/>
  <c r="C36" i="1"/>
  <c r="E48" i="1"/>
  <c r="E55" i="1"/>
  <c r="E58" i="1" s="1"/>
  <c r="E15" i="1"/>
  <c r="D40" i="1" s="1"/>
  <c r="D52" i="1"/>
  <c r="D46" i="1"/>
  <c r="D44" i="1"/>
  <c r="D42" i="1"/>
  <c r="D36" i="1"/>
  <c r="D41" i="1"/>
  <c r="D39" i="1"/>
  <c r="D37" i="1"/>
  <c r="F74" i="1"/>
  <c r="H57" i="1"/>
  <c r="F57" i="1" s="1"/>
  <c r="F54" i="1"/>
  <c r="H52" i="1"/>
  <c r="H47" i="1"/>
  <c r="F47" i="1" s="1"/>
  <c r="H46" i="1"/>
  <c r="H45" i="1"/>
  <c r="F45" i="1" s="1"/>
  <c r="H44" i="1"/>
  <c r="H43" i="1"/>
  <c r="F43" i="1"/>
  <c r="H42" i="1"/>
  <c r="F42" i="1" s="1"/>
  <c r="H41" i="1"/>
  <c r="H40" i="1"/>
  <c r="F40" i="1" s="1"/>
  <c r="H39" i="1"/>
  <c r="F39" i="1" s="1"/>
  <c r="H38" i="1"/>
  <c r="H37" i="1"/>
  <c r="H36" i="1"/>
  <c r="F36" i="1" s="1"/>
  <c r="F35" i="1"/>
  <c r="H17" i="1"/>
  <c r="F73" i="1" s="1"/>
  <c r="F52" i="1"/>
  <c r="F41" i="1"/>
  <c r="F37" i="1"/>
  <c r="F46" i="1"/>
  <c r="G23" i="3" l="1"/>
  <c r="H48" i="1"/>
  <c r="H75" i="1"/>
  <c r="C48" i="1"/>
  <c r="C55" i="1" s="1"/>
  <c r="C58" i="1" s="1"/>
  <c r="N12" i="3"/>
  <c r="O12" i="3" s="1"/>
  <c r="P12" i="3" s="1"/>
  <c r="S17" i="5"/>
  <c r="T15" i="5"/>
  <c r="T14" i="5"/>
  <c r="T13" i="5"/>
  <c r="H53" i="1"/>
  <c r="H15" i="1"/>
  <c r="F38" i="1"/>
  <c r="D43" i="1"/>
  <c r="D54" i="1"/>
  <c r="C31" i="3"/>
  <c r="G31" i="3" s="1"/>
  <c r="N19" i="3"/>
  <c r="O19" i="3" s="1"/>
  <c r="P19" i="3" s="1"/>
  <c r="T12" i="5"/>
  <c r="D45" i="1"/>
  <c r="N18" i="3"/>
  <c r="O18" i="3" s="1"/>
  <c r="P18" i="3" s="1"/>
  <c r="I21" i="3"/>
  <c r="I23" i="3" s="1"/>
  <c r="I31" i="3" s="1"/>
  <c r="N11" i="3"/>
  <c r="O11" i="3" s="1"/>
  <c r="P11" i="3" s="1"/>
  <c r="N21" i="3"/>
  <c r="O21" i="3" s="1"/>
  <c r="P21" i="3" s="1"/>
  <c r="D47" i="1"/>
  <c r="N17" i="3"/>
  <c r="O17" i="3" s="1"/>
  <c r="P17" i="3" s="1"/>
  <c r="D53" i="1"/>
  <c r="N16" i="3"/>
  <c r="O16" i="3" s="1"/>
  <c r="P16" i="3" s="1"/>
  <c r="S19" i="5"/>
  <c r="S21" i="5"/>
  <c r="S10" i="5"/>
  <c r="S20" i="5"/>
  <c r="T20" i="5"/>
  <c r="T21" i="5"/>
  <c r="T19" i="5"/>
  <c r="T10" i="5"/>
  <c r="T18" i="5"/>
  <c r="T16" i="5"/>
  <c r="N10" i="3"/>
  <c r="O10" i="3" s="1"/>
  <c r="P10" i="3" s="1"/>
  <c r="N20" i="3"/>
  <c r="O20" i="3" s="1"/>
  <c r="P20" i="3" s="1"/>
  <c r="F44" i="1"/>
  <c r="D57" i="1"/>
  <c r="N15" i="3"/>
  <c r="O15" i="3" s="1"/>
  <c r="P15" i="3" s="1"/>
  <c r="S16" i="5"/>
  <c r="N14" i="3"/>
  <c r="O14" i="3" s="1"/>
  <c r="P14" i="3" s="1"/>
  <c r="T11" i="5"/>
  <c r="S15" i="5"/>
  <c r="D38" i="1"/>
  <c r="S12" i="5"/>
  <c r="S14" i="5"/>
  <c r="S18" i="5"/>
  <c r="S13" i="5"/>
  <c r="J31" i="5"/>
  <c r="J35" i="5" s="1"/>
  <c r="F48" i="1" l="1"/>
  <c r="D48" i="1"/>
  <c r="D55" i="1" s="1"/>
  <c r="D58" i="1" s="1"/>
  <c r="G42" i="1"/>
  <c r="G46" i="1"/>
  <c r="G52" i="1"/>
  <c r="G47" i="1"/>
  <c r="G41" i="1"/>
  <c r="G39" i="1"/>
  <c r="G54" i="1"/>
  <c r="G43" i="1"/>
  <c r="G45" i="1"/>
  <c r="G44" i="1"/>
  <c r="G40" i="1"/>
  <c r="G36" i="1"/>
  <c r="G57" i="1"/>
  <c r="G37" i="1"/>
  <c r="G38" i="1"/>
  <c r="H61" i="1"/>
  <c r="F53" i="1"/>
  <c r="F55" i="1" s="1"/>
  <c r="F58" i="1" s="1"/>
  <c r="G53" i="1"/>
  <c r="H55" i="1"/>
  <c r="H58" i="1" s="1"/>
  <c r="H63" i="1" l="1"/>
  <c r="H60" i="1"/>
  <c r="H62" i="1"/>
  <c r="G48" i="1"/>
  <c r="G55" i="1" s="1"/>
  <c r="G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Turner User</author>
    <author>jhathaway</author>
  </authors>
  <commentList>
    <comment ref="H1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30,000 sf of elevated plaza
50,000 sf Glazed building crown</t>
        </r>
        <r>
          <rPr>
            <sz val="8"/>
            <color indexed="81"/>
            <rFont val="Tahoma"/>
            <family val="2"/>
          </rPr>
          <t xml:space="preserve">
   ($2.5 mil glass + steel truss framing)</t>
        </r>
      </text>
    </comment>
    <comment ref="K16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43,000 sf Glazed Crown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6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From IOR #5 dated 01/17/97</t>
        </r>
      </text>
    </comment>
    <comment ref="N1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From IOR #5 dated 01/17/97</t>
        </r>
      </text>
    </comment>
    <comment ref="L24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From IOR #5 dated 01/17/97</t>
        </r>
      </text>
    </comment>
    <comment ref="H36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12,000 sf of shoring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37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Caisons       =           $ 1.65 /sf
Caps &amp; GBs =           $ 2.50 /sf
SOG $4/sf x 
26ksf/317ksf =        $ 0.35 /sf
Bmt Walls 500lf
 x15'x$25/317ksf = $ 0.60 /sf
-------------------------------
      Total =        $ 5.10 /sf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3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"Ideal" is 325 sf/car to 350 sf/car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4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The higher this % is, the better - "Ideal" is 90% +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5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"Ideal" is anything better than 50%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<sst xmlns="http://schemas.openxmlformats.org/spreadsheetml/2006/main" count="284" uniqueCount="174">
  <si>
    <t>OFFICE BUILDINGS</t>
  </si>
  <si>
    <t xml:space="preserve">DIRECT COST STUDY  </t>
  </si>
  <si>
    <t>Updated</t>
  </si>
  <si>
    <t>CURRENT TCCO COST INDEX</t>
  </si>
  <si>
    <t>By</t>
  </si>
  <si>
    <t>High Rise</t>
  </si>
  <si>
    <t>JOB NAME</t>
  </si>
  <si>
    <t>GSU "M' Deck</t>
  </si>
  <si>
    <t>LOCATION</t>
  </si>
  <si>
    <t>Atlanta, GA</t>
  </si>
  <si>
    <t>TCCO INDEX</t>
  </si>
  <si>
    <t>INDEX YEAR</t>
  </si>
  <si>
    <t>1st quarter/2004</t>
  </si>
  <si>
    <t>DURATION (SCHED) MONTHS</t>
  </si>
  <si>
    <t>GROSS SQUARE FOOT</t>
  </si>
  <si>
    <t>GSF TOWER</t>
  </si>
  <si>
    <t>GSF PARKING DECK</t>
  </si>
  <si>
    <t>LEASEABLE SQUARE FOOTAGE</t>
  </si>
  <si>
    <t xml:space="preserve">N/A  </t>
  </si>
  <si>
    <t>RENOVATION AREA</t>
  </si>
  <si>
    <t>NO. OF STORIES</t>
  </si>
  <si>
    <t>NO. OF CARS</t>
  </si>
  <si>
    <t>FOUNDATIONS</t>
  </si>
  <si>
    <t>Drilled Piers</t>
  </si>
  <si>
    <t>FRAME TYPE</t>
  </si>
  <si>
    <t>CIP Concrete - Post Tension</t>
  </si>
  <si>
    <t>PARKING DECK (LOCATION)</t>
  </si>
  <si>
    <t>Under Bldg. Footprint/ Partial Underground</t>
  </si>
  <si>
    <t>SKIN TYPE</t>
  </si>
  <si>
    <t>100% Curtainwall Glazing</t>
  </si>
  <si>
    <t>GLAZING TYPE</t>
  </si>
  <si>
    <t>Curtainwall</t>
  </si>
  <si>
    <t>TYPICAL FLOOR TO FLOOR HT.</t>
  </si>
  <si>
    <t>14'-0"</t>
  </si>
  <si>
    <t>INFORMATION SOURCE</t>
  </si>
  <si>
    <t>Mar. 19, 2004 E &amp; A (GMP)</t>
  </si>
  <si>
    <t>Escalated</t>
  </si>
  <si>
    <t xml:space="preserve">COST SUMMARY   </t>
  </si>
  <si>
    <t>Cost</t>
  </si>
  <si>
    <t>Cost/GSF</t>
  </si>
  <si>
    <t>Original Cost</t>
  </si>
  <si>
    <t>% of escalation (Change to present day)</t>
  </si>
  <si>
    <t>SITEWORK</t>
  </si>
  <si>
    <t>EXCAVATION/FOUNDATIONS</t>
  </si>
  <si>
    <t>STRUCTURAL FRAME</t>
  </si>
  <si>
    <t>ROOFING / WATERPROOFING / SEALANTS</t>
  </si>
  <si>
    <t>EXTERIOR WALL</t>
  </si>
  <si>
    <t>INTERIOR FINISHES</t>
  </si>
  <si>
    <t>SPECIAL EQUIPMENT / REQUIREMENTS</t>
  </si>
  <si>
    <t>VERTICAL TRANSPORTATION</t>
  </si>
  <si>
    <t>PLUMBING</t>
  </si>
  <si>
    <t>FIRE PROTECTION</t>
  </si>
  <si>
    <t>H.V.A.C.</t>
  </si>
  <si>
    <t>ELECTRICAL</t>
  </si>
  <si>
    <t>TOTAL DIRECT</t>
  </si>
  <si>
    <t>GENERAL REQUIREMENTS</t>
  </si>
  <si>
    <t>BOND, INS. &amp; PERMITS</t>
  </si>
  <si>
    <t>CONTINGENCY</t>
  </si>
  <si>
    <t>GENERAL CONDITIONS</t>
  </si>
  <si>
    <t>TOTAL EXCLUDING FEE</t>
  </si>
  <si>
    <t>FEE</t>
  </si>
  <si>
    <t>TOTAL INCLUDING FEE</t>
  </si>
  <si>
    <t>Bond, Insurance (% of Total)</t>
  </si>
  <si>
    <t>Contingency (% of Directs)</t>
  </si>
  <si>
    <t>GCs (% of Total)</t>
  </si>
  <si>
    <t>Fee (% of Total)</t>
  </si>
  <si>
    <t>COSTS W/O SITEWORK</t>
  </si>
  <si>
    <t>SITEWORK COSTS (/TOWER GSF)</t>
  </si>
  <si>
    <t>TOWER (/TOWER GSF)</t>
  </si>
  <si>
    <t>PARKING DECK (/PARKING GSF)</t>
  </si>
  <si>
    <t>CONTINGENCY (/TOWER GSF)</t>
  </si>
  <si>
    <t>LEASABLE</t>
  </si>
  <si>
    <t>EFFIENCIES</t>
  </si>
  <si>
    <t>DECK EFFICIENCY SF/CAR</t>
  </si>
  <si>
    <t>TOWER EFFICIENCY (LEASABLE SF)</t>
  </si>
  <si>
    <t>EXTERIOR SKIN EFF (Enclosure Area/GSF)</t>
  </si>
  <si>
    <t>Symphony Tower</t>
  </si>
  <si>
    <t>1180 Peachtree (S &amp; C + Deck)</t>
  </si>
  <si>
    <t>Three Alliance</t>
  </si>
  <si>
    <t>2nd Quarter/2014</t>
  </si>
  <si>
    <t>GMP</t>
  </si>
  <si>
    <t xml:space="preserve">Demolition </t>
  </si>
  <si>
    <t>Exc &amp; Fdns:</t>
  </si>
  <si>
    <t>Structure:</t>
  </si>
  <si>
    <t>Roofing:</t>
  </si>
  <si>
    <t>Ext Wall:</t>
  </si>
  <si>
    <t>Finishes:</t>
  </si>
  <si>
    <t>Specials:</t>
  </si>
  <si>
    <t>Vert Trans:</t>
  </si>
  <si>
    <t>Plumbing:</t>
  </si>
  <si>
    <t>Fire Prot:</t>
  </si>
  <si>
    <t>HVAC:</t>
  </si>
  <si>
    <t>Electrical:</t>
  </si>
  <si>
    <t>Sitework:</t>
  </si>
  <si>
    <t>Const Cont:</t>
  </si>
  <si>
    <t>Gen Conds:</t>
  </si>
  <si>
    <t>Gen Reqs:</t>
  </si>
  <si>
    <t>Fee:</t>
  </si>
  <si>
    <t>MEFP Subtotal</t>
  </si>
  <si>
    <t>Excavation and Structure Subtotal</t>
  </si>
  <si>
    <t>Direct Work Building Only Subtotal:</t>
  </si>
  <si>
    <t>Sitework Subtotal:</t>
  </si>
  <si>
    <t>Direct Work Subtotal:</t>
  </si>
  <si>
    <t>CM Compensation Subtotal:</t>
  </si>
  <si>
    <t>Total Construction Costs:</t>
  </si>
  <si>
    <t>Escalated Construction Cost:</t>
  </si>
  <si>
    <t>Total Project Gross Square Footage:</t>
  </si>
  <si>
    <t>Construction Duration</t>
  </si>
  <si>
    <t>560 Mission</t>
  </si>
  <si>
    <t>Three Alliance Office Tower</t>
  </si>
  <si>
    <t>Town Square</t>
  </si>
  <si>
    <t>West End Summit</t>
  </si>
  <si>
    <t>San Francisco, CA</t>
  </si>
  <si>
    <t>Hartford, CT</t>
  </si>
  <si>
    <t>TN - Nashville</t>
  </si>
  <si>
    <t>Average Cost/SF</t>
  </si>
  <si>
    <t>GROSS SQUARE FOOT (GSF)</t>
  </si>
  <si>
    <t>Adjusted</t>
  </si>
  <si>
    <t>Sitework &amp; Demo</t>
  </si>
  <si>
    <t>Excavation and Foundation</t>
  </si>
  <si>
    <t>Structural Frame</t>
  </si>
  <si>
    <t>Roofing and Waterproofing</t>
  </si>
  <si>
    <t>Exterior Wall</t>
  </si>
  <si>
    <t>Interior Finishes</t>
  </si>
  <si>
    <t>Equipment &amp; Specialties</t>
  </si>
  <si>
    <t>Vertical Transportation</t>
  </si>
  <si>
    <t>Plumbing</t>
  </si>
  <si>
    <t>Fire Protection</t>
  </si>
  <si>
    <t>HVAC</t>
  </si>
  <si>
    <t>Electrical</t>
  </si>
  <si>
    <t>TOTAL DIRECT COSTS</t>
  </si>
  <si>
    <t>BOND, INS. &amp; LIC.</t>
  </si>
  <si>
    <t>GENERAL CONDITIONS, FEE</t>
  </si>
  <si>
    <t>CONSTRUCTION TOTAL</t>
  </si>
  <si>
    <t>GCs &amp; Fee</t>
  </si>
  <si>
    <t>1180 Peachtree</t>
  </si>
  <si>
    <t>13th &amp; Demonbreun</t>
  </si>
  <si>
    <t>Nashville, TN</t>
  </si>
  <si>
    <t>901 West Peachtree</t>
  </si>
  <si>
    <t>SF, CA</t>
  </si>
  <si>
    <t>Schematic</t>
  </si>
  <si>
    <t>Average</t>
  </si>
  <si>
    <t>Project Fusion</t>
  </si>
  <si>
    <t>Average Cost</t>
  </si>
  <si>
    <t>Avg</t>
  </si>
  <si>
    <t>Fusion</t>
  </si>
  <si>
    <t>Confidential Client Interior Office Reno</t>
  </si>
  <si>
    <t>Austin, TX</t>
  </si>
  <si>
    <t>Millwork</t>
  </si>
  <si>
    <t>Glass</t>
  </si>
  <si>
    <t>DFH</t>
  </si>
  <si>
    <t>Flooring</t>
  </si>
  <si>
    <t>Fire Alarm</t>
  </si>
  <si>
    <t>Drywall &amp; Ceilings</t>
  </si>
  <si>
    <t xml:space="preserve">Painting </t>
  </si>
  <si>
    <t xml:space="preserve">Deloitte </t>
  </si>
  <si>
    <t>Parsley Energy</t>
  </si>
  <si>
    <t>BP Westlake</t>
  </si>
  <si>
    <t>Statoil</t>
  </si>
  <si>
    <t>Intel</t>
  </si>
  <si>
    <t>Demountables</t>
  </si>
  <si>
    <t>$15/sf indirects</t>
  </si>
  <si>
    <t>130/directs</t>
  </si>
  <si>
    <t>Cost per floor</t>
  </si>
  <si>
    <t>Misc. Metals</t>
  </si>
  <si>
    <t>Data Cabling</t>
  </si>
  <si>
    <t>Audio Visual</t>
  </si>
  <si>
    <t>Security</t>
  </si>
  <si>
    <t>Cast in Place Concrete</t>
  </si>
  <si>
    <t>Polished Concrete</t>
  </si>
  <si>
    <t>Demolition</t>
  </si>
  <si>
    <t xml:space="preserve">Specialties </t>
  </si>
  <si>
    <t>Window Treatments</t>
  </si>
  <si>
    <t xml:space="preserve">Tile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</si>
</sst>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&quot;$&quot;#,###.00\ &quot;/sf&quot;"/>
    <numFmt numFmtId="166" formatCode="#,###\ &quot;sf&quot;"/>
    <numFmt numFmtId="167" formatCode="&quot;$&quot;#,###.00\ &quot;/sfew&quot;"/>
    <numFmt numFmtId="168" formatCode="#,##0\ &quot;GSF&quot;"/>
    <numFmt numFmtId="169" formatCode="0.0%"/>
    <numFmt numFmtId="170" formatCode="0.000"/>
    <numFmt numFmtId="171" formatCode="_(* #,##0_);_(* \(#,##0\);_(* &quot;-&quot;??_);_(@_)"/>
  </numFmts>
  <fonts count="26"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9"/>
      <color rgb="FFFF0000"/>
      <name val="Arial"/>
      <family val="2"/>
    </font>
    <font>
      <sz val="9"/>
      <color indexed="12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u/>
      <sz val="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name val="Technical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0"/>
      <name val="Arial"/>
      <family val="2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-0.2499465926084170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</cellStyleXfs>
  <cellXfs count="236">
    <xf numFmtId="0" fontId="0" fillId="0" borderId="0" xfId="0"/>
    <xf numFmtId="0" fontId="2" fillId="0" borderId="0" xfId="1" applyFont="1" applyFill="1"/>
    <xf numFmtId="0" fontId="3" fillId="0" borderId="0" xfId="1" applyFont="1" applyFill="1" applyBorder="1"/>
    <xf numFmtId="0" fontId="2" fillId="0" borderId="0" xfId="1" applyFont="1" applyFill="1" applyBorder="1"/>
    <xf numFmtId="0" fontId="1" fillId="0" borderId="0" xfId="1" applyFill="1"/>
    <xf numFmtId="7" fontId="2" fillId="0" borderId="0" xfId="1" applyNumberFormat="1" applyFont="1" applyFill="1" applyBorder="1"/>
    <xf numFmtId="0" fontId="2" fillId="0" borderId="0" xfId="1" applyFont="1" applyFill="1" applyBorder="1" applyAlignment="1">
      <alignment horizontal="right"/>
    </xf>
    <xf numFmtId="164" fontId="2" fillId="0" borderId="0" xfId="1" applyNumberFormat="1" applyFont="1" applyFill="1" applyBorder="1"/>
    <xf numFmtId="0" fontId="2" fillId="0" borderId="1" xfId="1" applyFont="1" applyFill="1" applyBorder="1"/>
    <xf numFmtId="0" fontId="1" fillId="0" borderId="1" xfId="1" applyFill="1" applyBorder="1"/>
    <xf numFmtId="0" fontId="1" fillId="0" borderId="0" xfId="1" applyFill="1" applyBorder="1" applyAlignment="1">
      <alignment horizontal="right"/>
    </xf>
    <xf numFmtId="0" fontId="2" fillId="0" borderId="2" xfId="1" applyFont="1" applyFill="1" applyBorder="1"/>
    <xf numFmtId="0" fontId="2" fillId="0" borderId="3" xfId="1" applyFont="1" applyFill="1" applyBorder="1"/>
    <xf numFmtId="0" fontId="2" fillId="0" borderId="4" xfId="1" applyFont="1" applyFill="1" applyBorder="1"/>
    <xf numFmtId="0" fontId="2" fillId="0" borderId="5" xfId="1" applyFont="1" applyFill="1" applyBorder="1"/>
    <xf numFmtId="0" fontId="2" fillId="0" borderId="6" xfId="1" applyFont="1" applyFill="1" applyBorder="1"/>
    <xf numFmtId="0" fontId="2" fillId="0" borderId="7" xfId="1" applyFont="1" applyFill="1" applyBorder="1"/>
    <xf numFmtId="0" fontId="2" fillId="0" borderId="8" xfId="1" applyFont="1" applyFill="1" applyBorder="1"/>
    <xf numFmtId="0" fontId="3" fillId="0" borderId="7" xfId="1" applyFont="1" applyFill="1" applyBorder="1" applyAlignment="1">
      <alignment horizontal="center"/>
    </xf>
    <xf numFmtId="0" fontId="3" fillId="0" borderId="7" xfId="1" applyFont="1" applyFill="1" applyBorder="1"/>
    <xf numFmtId="0" fontId="3" fillId="0" borderId="9" xfId="1" applyFont="1" applyFill="1" applyBorder="1" applyAlignment="1">
      <alignment horizontal="center"/>
    </xf>
    <xf numFmtId="0" fontId="2" fillId="0" borderId="10" xfId="1" applyFont="1" applyFill="1" applyBorder="1"/>
    <xf numFmtId="0" fontId="2" fillId="0" borderId="11" xfId="1" applyFont="1" applyFill="1" applyBorder="1"/>
    <xf numFmtId="0" fontId="3" fillId="0" borderId="0" xfId="1" applyFont="1" applyFill="1"/>
    <xf numFmtId="0" fontId="3" fillId="0" borderId="12" xfId="1" applyFont="1" applyFill="1" applyBorder="1"/>
    <xf numFmtId="0" fontId="4" fillId="0" borderId="0" xfId="1" applyFont="1" applyFill="1"/>
    <xf numFmtId="0" fontId="2" fillId="0" borderId="12" xfId="1" applyFont="1" applyFill="1" applyBorder="1"/>
    <xf numFmtId="0" fontId="2" fillId="0" borderId="12" xfId="1" applyFont="1" applyFill="1" applyBorder="1" applyAlignment="1">
      <alignment horizontal="right"/>
    </xf>
    <xf numFmtId="0" fontId="2" fillId="0" borderId="13" xfId="1" applyFont="1" applyFill="1" applyBorder="1" applyAlignment="1">
      <alignment horizontal="right"/>
    </xf>
    <xf numFmtId="0" fontId="2" fillId="0" borderId="14" xfId="1" applyFont="1" applyFill="1" applyBorder="1" applyAlignment="1">
      <alignment horizontal="right"/>
    </xf>
    <xf numFmtId="0" fontId="3" fillId="0" borderId="13" xfId="1" applyFont="1" applyFill="1" applyBorder="1" applyAlignment="1">
      <alignment horizontal="center"/>
    </xf>
    <xf numFmtId="17" fontId="2" fillId="0" borderId="12" xfId="1" applyNumberFormat="1" applyFont="1" applyFill="1" applyBorder="1" applyAlignment="1">
      <alignment horizontal="right"/>
    </xf>
    <xf numFmtId="17" fontId="2" fillId="0" borderId="14" xfId="1" applyNumberFormat="1" applyFont="1" applyFill="1" applyBorder="1" applyAlignment="1">
      <alignment horizontal="right"/>
    </xf>
    <xf numFmtId="17" fontId="2" fillId="0" borderId="13" xfId="1" applyNumberFormat="1" applyFont="1" applyFill="1" applyBorder="1" applyAlignment="1">
      <alignment horizontal="right"/>
    </xf>
    <xf numFmtId="38" fontId="2" fillId="0" borderId="12" xfId="1" applyNumberFormat="1" applyFont="1" applyFill="1" applyBorder="1" applyAlignment="1">
      <alignment horizontal="right"/>
    </xf>
    <xf numFmtId="38" fontId="2" fillId="0" borderId="13" xfId="1" applyNumberFormat="1" applyFont="1" applyFill="1" applyBorder="1" applyAlignment="1">
      <alignment horizontal="right"/>
    </xf>
    <xf numFmtId="38" fontId="2" fillId="0" borderId="14" xfId="1" applyNumberFormat="1" applyFont="1" applyFill="1" applyBorder="1" applyAlignment="1">
      <alignment horizontal="right"/>
    </xf>
    <xf numFmtId="38" fontId="1" fillId="0" borderId="0" xfId="1" applyNumberFormat="1" applyFill="1"/>
    <xf numFmtId="40" fontId="2" fillId="0" borderId="14" xfId="1" applyNumberFormat="1" applyFont="1" applyFill="1" applyBorder="1" applyAlignment="1">
      <alignment horizontal="right"/>
    </xf>
    <xf numFmtId="40" fontId="2" fillId="0" borderId="13" xfId="1" applyNumberFormat="1" applyFont="1" applyFill="1" applyBorder="1" applyAlignment="1">
      <alignment horizontal="right"/>
    </xf>
    <xf numFmtId="9" fontId="2" fillId="0" borderId="12" xfId="2" applyFont="1" applyFill="1" applyBorder="1" applyAlignment="1">
      <alignment horizontal="right"/>
    </xf>
    <xf numFmtId="38" fontId="6" fillId="0" borderId="13" xfId="1" applyNumberFormat="1" applyFont="1" applyFill="1" applyBorder="1" applyAlignment="1">
      <alignment horizontal="center"/>
    </xf>
    <xf numFmtId="38" fontId="3" fillId="0" borderId="14" xfId="1" applyNumberFormat="1" applyFont="1" applyFill="1" applyBorder="1" applyAlignment="1">
      <alignment horizontal="right"/>
    </xf>
    <xf numFmtId="38" fontId="3" fillId="0" borderId="13" xfId="1" applyNumberFormat="1" applyFont="1" applyFill="1" applyBorder="1" applyAlignment="1">
      <alignment horizontal="right"/>
    </xf>
    <xf numFmtId="0" fontId="2" fillId="0" borderId="15" xfId="1" applyFont="1" applyFill="1" applyBorder="1"/>
    <xf numFmtId="38" fontId="2" fillId="0" borderId="15" xfId="1" applyNumberFormat="1" applyFont="1" applyFill="1" applyBorder="1" applyAlignment="1">
      <alignment horizontal="right"/>
    </xf>
    <xf numFmtId="38" fontId="2" fillId="0" borderId="16" xfId="1" applyNumberFormat="1" applyFont="1" applyFill="1" applyBorder="1" applyAlignment="1">
      <alignment horizontal="right"/>
    </xf>
    <xf numFmtId="38" fontId="2" fillId="0" borderId="17" xfId="1" applyNumberFormat="1" applyFont="1" applyFill="1" applyBorder="1" applyAlignment="1">
      <alignment horizontal="right"/>
    </xf>
    <xf numFmtId="0" fontId="2" fillId="0" borderId="18" xfId="1" applyFont="1" applyFill="1" applyBorder="1"/>
    <xf numFmtId="38" fontId="2" fillId="0" borderId="18" xfId="1" applyNumberFormat="1" applyFont="1" applyFill="1" applyBorder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2" fillId="0" borderId="19" xfId="1" applyNumberFormat="1" applyFont="1" applyFill="1" applyBorder="1" applyAlignment="1">
      <alignment horizontal="right"/>
    </xf>
    <xf numFmtId="0" fontId="3" fillId="0" borderId="6" xfId="1" applyFont="1" applyFill="1" applyBorder="1"/>
    <xf numFmtId="0" fontId="3" fillId="0" borderId="20" xfId="1" applyFont="1" applyFill="1" applyBorder="1" applyAlignment="1">
      <alignment horizontal="center"/>
    </xf>
    <xf numFmtId="0" fontId="3" fillId="0" borderId="21" xfId="1" applyFont="1" applyFill="1" applyBorder="1" applyAlignment="1">
      <alignment horizontal="center"/>
    </xf>
    <xf numFmtId="0" fontId="3" fillId="0" borderId="22" xfId="1" applyFont="1" applyFill="1" applyBorder="1"/>
    <xf numFmtId="0" fontId="3" fillId="0" borderId="23" xfId="1" applyFont="1" applyFill="1" applyBorder="1"/>
    <xf numFmtId="0" fontId="2" fillId="0" borderId="19" xfId="1" applyFont="1" applyFill="1" applyBorder="1" applyAlignment="1">
      <alignment horizontal="center"/>
    </xf>
    <xf numFmtId="0" fontId="3" fillId="0" borderId="15" xfId="1" applyFont="1" applyFill="1" applyBorder="1" applyAlignment="1">
      <alignment horizontal="center"/>
    </xf>
    <xf numFmtId="0" fontId="3" fillId="0" borderId="24" xfId="1" applyFont="1" applyFill="1" applyBorder="1" applyAlignment="1">
      <alignment horizontal="center"/>
    </xf>
    <xf numFmtId="0" fontId="3" fillId="0" borderId="25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/>
    </xf>
    <xf numFmtId="0" fontId="3" fillId="0" borderId="27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0" fontId="7" fillId="0" borderId="11" xfId="1" applyFont="1" applyFill="1" applyBorder="1"/>
    <xf numFmtId="10" fontId="7" fillId="0" borderId="11" xfId="2" applyNumberFormat="1" applyFont="1" applyFill="1" applyBorder="1"/>
    <xf numFmtId="0" fontId="2" fillId="0" borderId="28" xfId="1" applyFont="1" applyFill="1" applyBorder="1"/>
    <xf numFmtId="9" fontId="2" fillId="0" borderId="28" xfId="2" applyFont="1" applyFill="1" applyBorder="1"/>
    <xf numFmtId="0" fontId="2" fillId="0" borderId="9" xfId="1" applyFont="1" applyFill="1" applyBorder="1"/>
    <xf numFmtId="5" fontId="2" fillId="0" borderId="12" xfId="1" applyNumberFormat="1" applyFont="1" applyFill="1" applyBorder="1"/>
    <xf numFmtId="7" fontId="2" fillId="0" borderId="29" xfId="1" applyNumberFormat="1" applyFont="1" applyFill="1" applyBorder="1"/>
    <xf numFmtId="5" fontId="2" fillId="0" borderId="14" xfId="1" applyNumberFormat="1" applyFont="1" applyFill="1" applyBorder="1"/>
    <xf numFmtId="5" fontId="2" fillId="0" borderId="13" xfId="1" applyNumberFormat="1" applyFont="1" applyFill="1" applyBorder="1"/>
    <xf numFmtId="0" fontId="8" fillId="0" borderId="0" xfId="1" applyFont="1" applyFill="1"/>
    <xf numFmtId="5" fontId="2" fillId="0" borderId="15" xfId="1" applyNumberFormat="1" applyFont="1" applyFill="1" applyBorder="1"/>
    <xf numFmtId="7" fontId="2" fillId="0" borderId="25" xfId="1" applyNumberFormat="1" applyFont="1" applyFill="1" applyBorder="1"/>
    <xf numFmtId="5" fontId="2" fillId="0" borderId="17" xfId="1" applyNumberFormat="1" applyFont="1" applyFill="1" applyBorder="1"/>
    <xf numFmtId="5" fontId="2" fillId="0" borderId="16" xfId="1" applyNumberFormat="1" applyFont="1" applyFill="1" applyBorder="1"/>
    <xf numFmtId="0" fontId="3" fillId="0" borderId="11" xfId="1" applyFont="1" applyFill="1" applyBorder="1"/>
    <xf numFmtId="5" fontId="3" fillId="0" borderId="11" xfId="1" applyNumberFormat="1" applyFont="1" applyFill="1" applyBorder="1"/>
    <xf numFmtId="7" fontId="3" fillId="0" borderId="28" xfId="1" applyNumberFormat="1" applyFont="1" applyFill="1" applyBorder="1"/>
    <xf numFmtId="5" fontId="3" fillId="0" borderId="10" xfId="1" applyNumberFormat="1" applyFont="1" applyFill="1" applyBorder="1"/>
    <xf numFmtId="5" fontId="3" fillId="0" borderId="9" xfId="1" applyNumberFormat="1" applyFont="1" applyFill="1" applyBorder="1"/>
    <xf numFmtId="0" fontId="9" fillId="0" borderId="0" xfId="1" applyFont="1" applyFill="1"/>
    <xf numFmtId="0" fontId="2" fillId="0" borderId="14" xfId="1" applyFont="1" applyFill="1" applyBorder="1"/>
    <xf numFmtId="7" fontId="3" fillId="0" borderId="9" xfId="1" applyNumberFormat="1" applyFont="1" applyFill="1" applyBorder="1"/>
    <xf numFmtId="7" fontId="2" fillId="0" borderId="9" xfId="1" applyNumberFormat="1" applyFont="1" applyFill="1" applyBorder="1"/>
    <xf numFmtId="10" fontId="2" fillId="0" borderId="14" xfId="1" applyNumberFormat="1" applyFont="1" applyFill="1" applyBorder="1"/>
    <xf numFmtId="7" fontId="2" fillId="0" borderId="13" xfId="1" applyNumberFormat="1" applyFont="1" applyFill="1" applyBorder="1"/>
    <xf numFmtId="10" fontId="2" fillId="0" borderId="13" xfId="1" applyNumberFormat="1" applyFont="1" applyFill="1" applyBorder="1"/>
    <xf numFmtId="0" fontId="10" fillId="0" borderId="12" xfId="1" applyFont="1" applyFill="1" applyBorder="1"/>
    <xf numFmtId="165" fontId="2" fillId="0" borderId="12" xfId="1" applyNumberFormat="1" applyFont="1" applyFill="1" applyBorder="1"/>
    <xf numFmtId="165" fontId="2" fillId="0" borderId="13" xfId="1" applyNumberFormat="1" applyFont="1" applyFill="1" applyBorder="1"/>
    <xf numFmtId="165" fontId="2" fillId="0" borderId="14" xfId="1" applyNumberFormat="1" applyFont="1" applyFill="1" applyBorder="1"/>
    <xf numFmtId="166" fontId="2" fillId="0" borderId="12" xfId="1" applyNumberFormat="1" applyFont="1" applyFill="1" applyBorder="1"/>
    <xf numFmtId="9" fontId="2" fillId="0" borderId="12" xfId="2" applyFont="1" applyFill="1" applyBorder="1"/>
    <xf numFmtId="167" fontId="2" fillId="0" borderId="14" xfId="1" applyNumberFormat="1" applyFont="1" applyFill="1" applyBorder="1"/>
    <xf numFmtId="0" fontId="11" fillId="0" borderId="0" xfId="1" applyFont="1" applyFill="1"/>
    <xf numFmtId="0" fontId="11" fillId="0" borderId="15" xfId="1" applyFont="1" applyFill="1" applyBorder="1"/>
    <xf numFmtId="7" fontId="11" fillId="0" borderId="15" xfId="1" applyNumberFormat="1" applyFont="1" applyFill="1" applyBorder="1"/>
    <xf numFmtId="7" fontId="11" fillId="0" borderId="16" xfId="1" applyNumberFormat="1" applyFont="1" applyFill="1" applyBorder="1"/>
    <xf numFmtId="7" fontId="12" fillId="0" borderId="17" xfId="1" applyNumberFormat="1" applyFont="1" applyFill="1" applyBorder="1" applyAlignment="1">
      <alignment horizontal="right"/>
    </xf>
    <xf numFmtId="7" fontId="12" fillId="0" borderId="16" xfId="1" applyNumberFormat="1" applyFont="1" applyFill="1" applyBorder="1" applyAlignment="1">
      <alignment horizontal="right"/>
    </xf>
    <xf numFmtId="0" fontId="0" fillId="0" borderId="0" xfId="0" applyBorder="1"/>
    <xf numFmtId="39" fontId="0" fillId="0" borderId="30" xfId="0" applyNumberFormat="1" applyBorder="1" applyAlignment="1">
      <alignment horizontal="left"/>
    </xf>
    <xf numFmtId="39" fontId="17" fillId="0" borderId="30" xfId="0" applyNumberFormat="1" applyFont="1" applyBorder="1" applyAlignment="1">
      <alignment horizontal="left"/>
    </xf>
    <xf numFmtId="0" fontId="0" fillId="0" borderId="31" xfId="0" applyBorder="1" applyAlignment="1">
      <alignment vertical="center"/>
    </xf>
    <xf numFmtId="0" fontId="0" fillId="0" borderId="31" xfId="0" applyBorder="1"/>
    <xf numFmtId="8" fontId="0" fillId="0" borderId="0" xfId="0" applyNumberFormat="1"/>
    <xf numFmtId="0" fontId="18" fillId="2" borderId="32" xfId="0" applyFont="1" applyFill="1" applyBorder="1" applyAlignment="1">
      <alignment vertical="top"/>
    </xf>
    <xf numFmtId="0" fontId="16" fillId="3" borderId="33" xfId="0" applyFont="1" applyFill="1" applyBorder="1" applyAlignment="1">
      <alignment horizontal="center" vertical="top" wrapText="1"/>
    </xf>
    <xf numFmtId="0" fontId="16" fillId="3" borderId="34" xfId="0" applyFont="1" applyFill="1" applyBorder="1" applyAlignment="1">
      <alignment horizontal="center" vertical="top" wrapText="1"/>
    </xf>
    <xf numFmtId="0" fontId="19" fillId="4" borderId="32" xfId="0" applyFont="1" applyFill="1" applyBorder="1" applyAlignment="1">
      <alignment horizontal="center" vertical="center" wrapText="1"/>
    </xf>
    <xf numFmtId="0" fontId="18" fillId="2" borderId="36" xfId="0" applyFont="1" applyFill="1" applyBorder="1"/>
    <xf numFmtId="0" fontId="16" fillId="3" borderId="37" xfId="0" applyFont="1" applyFill="1" applyBorder="1" applyAlignment="1">
      <alignment horizontal="center"/>
    </xf>
    <xf numFmtId="0" fontId="16" fillId="3" borderId="38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21" fillId="0" borderId="41" xfId="0" applyFont="1" applyFill="1" applyBorder="1"/>
    <xf numFmtId="0" fontId="21" fillId="0" borderId="42" xfId="0" applyFont="1" applyFill="1" applyBorder="1" applyAlignment="1">
      <alignment horizontal="right"/>
    </xf>
    <xf numFmtId="0" fontId="21" fillId="0" borderId="30" xfId="0" applyFont="1" applyFill="1" applyBorder="1" applyAlignment="1">
      <alignment horizontal="right"/>
    </xf>
    <xf numFmtId="0" fontId="21" fillId="0" borderId="41" xfId="0" applyFont="1" applyFill="1" applyBorder="1" applyAlignment="1">
      <alignment horizontal="right"/>
    </xf>
    <xf numFmtId="0" fontId="21" fillId="0" borderId="43" xfId="0" applyFont="1" applyFill="1" applyBorder="1" applyAlignment="1">
      <alignment horizontal="right"/>
    </xf>
    <xf numFmtId="0" fontId="21" fillId="0" borderId="44" xfId="0" applyFont="1" applyFill="1" applyBorder="1" applyAlignment="1">
      <alignment horizontal="right"/>
    </xf>
    <xf numFmtId="0" fontId="22" fillId="0" borderId="41" xfId="0" applyFont="1" applyFill="1" applyBorder="1"/>
    <xf numFmtId="168" fontId="22" fillId="0" borderId="42" xfId="0" applyNumberFormat="1" applyFont="1" applyFill="1" applyBorder="1" applyAlignment="1">
      <alignment horizontal="center"/>
    </xf>
    <xf numFmtId="168" fontId="22" fillId="0" borderId="30" xfId="0" applyNumberFormat="1" applyFont="1" applyFill="1" applyBorder="1" applyAlignment="1">
      <alignment horizontal="center"/>
    </xf>
    <xf numFmtId="168" fontId="22" fillId="0" borderId="41" xfId="0" applyNumberFormat="1" applyFont="1" applyFill="1" applyBorder="1" applyAlignment="1">
      <alignment horizontal="center"/>
    </xf>
    <xf numFmtId="0" fontId="21" fillId="0" borderId="39" xfId="0" applyFont="1" applyFill="1" applyBorder="1" applyAlignment="1">
      <alignment horizontal="right"/>
    </xf>
    <xf numFmtId="0" fontId="21" fillId="0" borderId="40" xfId="0" applyFont="1" applyFill="1" applyBorder="1" applyAlignment="1">
      <alignment horizontal="right"/>
    </xf>
    <xf numFmtId="0" fontId="19" fillId="0" borderId="45" xfId="0" applyFont="1" applyFill="1" applyBorder="1"/>
    <xf numFmtId="0" fontId="22" fillId="0" borderId="46" xfId="0" applyFont="1" applyFill="1" applyBorder="1" applyAlignment="1">
      <alignment horizontal="center"/>
    </xf>
    <xf numFmtId="0" fontId="22" fillId="0" borderId="47" xfId="0" applyFont="1" applyFill="1" applyBorder="1" applyAlignment="1">
      <alignment horizontal="center"/>
    </xf>
    <xf numFmtId="0" fontId="22" fillId="0" borderId="45" xfId="0" applyFont="1" applyFill="1" applyBorder="1" applyAlignment="1">
      <alignment horizontal="center"/>
    </xf>
    <xf numFmtId="0" fontId="22" fillId="0" borderId="2" xfId="0" applyFont="1" applyFill="1" applyBorder="1" applyAlignment="1">
      <alignment horizontal="center"/>
    </xf>
    <xf numFmtId="0" fontId="22" fillId="0" borderId="35" xfId="0" applyFont="1" applyFill="1" applyBorder="1" applyAlignment="1">
      <alignment horizontal="center"/>
    </xf>
    <xf numFmtId="0" fontId="22" fillId="0" borderId="36" xfId="0" applyFont="1" applyFill="1" applyBorder="1" applyAlignment="1">
      <alignment horizontal="left"/>
    </xf>
    <xf numFmtId="0" fontId="22" fillId="0" borderId="37" xfId="0" applyFont="1" applyFill="1" applyBorder="1" applyAlignment="1">
      <alignment horizontal="center"/>
    </xf>
    <xf numFmtId="0" fontId="22" fillId="0" borderId="38" xfId="0" applyFont="1" applyFill="1" applyBorder="1" applyAlignment="1">
      <alignment horizontal="center"/>
    </xf>
    <xf numFmtId="0" fontId="22" fillId="0" borderId="36" xfId="0" applyFont="1" applyFill="1" applyBorder="1" applyAlignment="1">
      <alignment horizontal="center"/>
    </xf>
    <xf numFmtId="0" fontId="22" fillId="0" borderId="48" xfId="0" applyFont="1" applyFill="1" applyBorder="1" applyAlignment="1">
      <alignment horizontal="center"/>
    </xf>
    <xf numFmtId="0" fontId="22" fillId="0" borderId="49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right"/>
    </xf>
    <xf numFmtId="0" fontId="21" fillId="0" borderId="35" xfId="0" applyFont="1" applyFill="1" applyBorder="1" applyAlignment="1">
      <alignment horizontal="right"/>
    </xf>
    <xf numFmtId="0" fontId="19" fillId="0" borderId="50" xfId="0" applyFont="1" applyFill="1" applyBorder="1"/>
    <xf numFmtId="7" fontId="23" fillId="0" borderId="51" xfId="0" applyNumberFormat="1" applyFont="1" applyFill="1" applyBorder="1"/>
    <xf numFmtId="7" fontId="23" fillId="0" borderId="52" xfId="0" applyNumberFormat="1" applyFont="1" applyFill="1" applyBorder="1"/>
    <xf numFmtId="7" fontId="23" fillId="0" borderId="53" xfId="0" applyNumberFormat="1" applyFont="1" applyFill="1" applyBorder="1"/>
    <xf numFmtId="7" fontId="23" fillId="0" borderId="54" xfId="0" applyNumberFormat="1" applyFont="1" applyFill="1" applyBorder="1"/>
    <xf numFmtId="5" fontId="23" fillId="0" borderId="55" xfId="0" applyNumberFormat="1" applyFont="1" applyFill="1" applyBorder="1"/>
    <xf numFmtId="0" fontId="19" fillId="0" borderId="56" xfId="0" applyFont="1" applyFill="1" applyBorder="1"/>
    <xf numFmtId="7" fontId="23" fillId="0" borderId="57" xfId="0" applyNumberFormat="1" applyFont="1" applyFill="1" applyBorder="1"/>
    <xf numFmtId="7" fontId="23" fillId="0" borderId="58" xfId="0" applyNumberFormat="1" applyFont="1" applyFill="1" applyBorder="1"/>
    <xf numFmtId="7" fontId="23" fillId="0" borderId="59" xfId="0" applyNumberFormat="1" applyFont="1" applyFill="1" applyBorder="1"/>
    <xf numFmtId="0" fontId="21" fillId="0" borderId="60" xfId="0" applyFont="1" applyFill="1" applyBorder="1"/>
    <xf numFmtId="7" fontId="23" fillId="0" borderId="61" xfId="0" applyNumberFormat="1" applyFont="1" applyFill="1" applyBorder="1"/>
    <xf numFmtId="7" fontId="23" fillId="0" borderId="62" xfId="0" applyNumberFormat="1" applyFont="1" applyFill="1" applyBorder="1"/>
    <xf numFmtId="7" fontId="23" fillId="0" borderId="60" xfId="0" applyNumberFormat="1" applyFont="1" applyFill="1" applyBorder="1"/>
    <xf numFmtId="7" fontId="23" fillId="0" borderId="63" xfId="0" applyNumberFormat="1" applyFont="1" applyFill="1" applyBorder="1"/>
    <xf numFmtId="7" fontId="23" fillId="0" borderId="64" xfId="0" applyNumberFormat="1" applyFont="1" applyFill="1" applyBorder="1"/>
    <xf numFmtId="0" fontId="19" fillId="0" borderId="41" xfId="0" applyFont="1" applyFill="1" applyBorder="1"/>
    <xf numFmtId="7" fontId="24" fillId="0" borderId="42" xfId="0" applyNumberFormat="1" applyFont="1" applyFill="1" applyBorder="1"/>
    <xf numFmtId="7" fontId="24" fillId="0" borderId="30" xfId="0" applyNumberFormat="1" applyFont="1" applyFill="1" applyBorder="1"/>
    <xf numFmtId="7" fontId="24" fillId="0" borderId="41" xfId="0" applyNumberFormat="1" applyFont="1" applyFill="1" applyBorder="1"/>
    <xf numFmtId="7" fontId="24" fillId="0" borderId="18" xfId="0" applyNumberFormat="1" applyFont="1" applyFill="1" applyBorder="1"/>
    <xf numFmtId="5" fontId="24" fillId="0" borderId="19" xfId="0" applyNumberFormat="1" applyFont="1" applyFill="1" applyBorder="1"/>
    <xf numFmtId="7" fontId="21" fillId="0" borderId="42" xfId="0" applyNumberFormat="1" applyFont="1" applyFill="1" applyBorder="1"/>
    <xf numFmtId="7" fontId="21" fillId="0" borderId="30" xfId="0" applyNumberFormat="1" applyFont="1" applyFill="1" applyBorder="1"/>
    <xf numFmtId="7" fontId="21" fillId="0" borderId="41" xfId="0" applyNumberFormat="1" applyFont="1" applyFill="1" applyBorder="1"/>
    <xf numFmtId="7" fontId="21" fillId="0" borderId="18" xfId="0" applyNumberFormat="1" applyFont="1" applyFill="1" applyBorder="1"/>
    <xf numFmtId="7" fontId="21" fillId="0" borderId="19" xfId="0" applyNumberFormat="1" applyFont="1" applyFill="1" applyBorder="1"/>
    <xf numFmtId="7" fontId="21" fillId="0" borderId="61" xfId="0" applyNumberFormat="1" applyFont="1" applyFill="1" applyBorder="1"/>
    <xf numFmtId="7" fontId="21" fillId="0" borderId="62" xfId="0" applyNumberFormat="1" applyFont="1" applyFill="1" applyBorder="1"/>
    <xf numFmtId="7" fontId="21" fillId="0" borderId="60" xfId="0" applyNumberFormat="1" applyFont="1" applyFill="1" applyBorder="1"/>
    <xf numFmtId="7" fontId="21" fillId="0" borderId="63" xfId="0" applyNumberFormat="1" applyFont="1" applyFill="1" applyBorder="1"/>
    <xf numFmtId="5" fontId="21" fillId="0" borderId="64" xfId="0" applyNumberFormat="1" applyFont="1" applyFill="1" applyBorder="1"/>
    <xf numFmtId="0" fontId="25" fillId="0" borderId="41" xfId="0" applyFont="1" applyFill="1" applyBorder="1"/>
    <xf numFmtId="7" fontId="25" fillId="0" borderId="42" xfId="0" applyNumberFormat="1" applyFont="1" applyFill="1" applyBorder="1"/>
    <xf numFmtId="7" fontId="25" fillId="0" borderId="30" xfId="0" applyNumberFormat="1" applyFont="1" applyFill="1" applyBorder="1"/>
    <xf numFmtId="7" fontId="25" fillId="0" borderId="41" xfId="0" applyNumberFormat="1" applyFont="1" applyFill="1" applyBorder="1"/>
    <xf numFmtId="7" fontId="25" fillId="0" borderId="18" xfId="0" applyNumberFormat="1" applyFont="1" applyFill="1" applyBorder="1"/>
    <xf numFmtId="7" fontId="25" fillId="0" borderId="19" xfId="0" applyNumberFormat="1" applyFont="1" applyFill="1" applyBorder="1"/>
    <xf numFmtId="0" fontId="18" fillId="2" borderId="65" xfId="0" applyFont="1" applyFill="1" applyBorder="1"/>
    <xf numFmtId="7" fontId="18" fillId="3" borderId="66" xfId="0" applyNumberFormat="1" applyFont="1" applyFill="1" applyBorder="1"/>
    <xf numFmtId="7" fontId="18" fillId="3" borderId="67" xfId="0" applyNumberFormat="1" applyFont="1" applyFill="1" applyBorder="1"/>
    <xf numFmtId="7" fontId="24" fillId="4" borderId="65" xfId="0" applyNumberFormat="1" applyFont="1" applyFill="1" applyBorder="1"/>
    <xf numFmtId="7" fontId="18" fillId="5" borderId="68" xfId="0" applyNumberFormat="1" applyFont="1" applyFill="1" applyBorder="1"/>
    <xf numFmtId="5" fontId="18" fillId="5" borderId="5" xfId="0" applyNumberFormat="1" applyFont="1" applyFill="1" applyBorder="1"/>
    <xf numFmtId="8" fontId="0" fillId="6" borderId="0" xfId="0" applyNumberFormat="1" applyFill="1"/>
    <xf numFmtId="0" fontId="19" fillId="0" borderId="0" xfId="0" applyFont="1" applyFill="1" applyBorder="1"/>
    <xf numFmtId="10" fontId="0" fillId="0" borderId="0" xfId="3" applyNumberFormat="1" applyFont="1"/>
    <xf numFmtId="4" fontId="0" fillId="0" borderId="0" xfId="0" applyNumberFormat="1"/>
    <xf numFmtId="170" fontId="0" fillId="0" borderId="0" xfId="0" applyNumberFormat="1"/>
    <xf numFmtId="3" fontId="0" fillId="0" borderId="0" xfId="0" applyNumberFormat="1"/>
    <xf numFmtId="169" fontId="23" fillId="0" borderId="69" xfId="3" applyNumberFormat="1" applyFont="1" applyFill="1" applyBorder="1"/>
    <xf numFmtId="5" fontId="0" fillId="0" borderId="0" xfId="0" applyNumberFormat="1"/>
    <xf numFmtId="0" fontId="16" fillId="3" borderId="71" xfId="0" applyFont="1" applyFill="1" applyBorder="1" applyAlignment="1">
      <alignment horizontal="center" vertical="top" wrapText="1"/>
    </xf>
    <xf numFmtId="0" fontId="16" fillId="3" borderId="72" xfId="0" applyFont="1" applyFill="1" applyBorder="1" applyAlignment="1">
      <alignment horizontal="center"/>
    </xf>
    <xf numFmtId="0" fontId="21" fillId="0" borderId="73" xfId="0" applyFont="1" applyFill="1" applyBorder="1" applyAlignment="1">
      <alignment horizontal="right"/>
    </xf>
    <xf numFmtId="168" fontId="22" fillId="0" borderId="73" xfId="0" applyNumberFormat="1" applyFont="1" applyFill="1" applyBorder="1" applyAlignment="1">
      <alignment horizontal="center"/>
    </xf>
    <xf numFmtId="0" fontId="22" fillId="0" borderId="74" xfId="0" applyFont="1" applyFill="1" applyBorder="1" applyAlignment="1">
      <alignment horizontal="center"/>
    </xf>
    <xf numFmtId="0" fontId="22" fillId="0" borderId="72" xfId="0" applyFont="1" applyFill="1" applyBorder="1" applyAlignment="1">
      <alignment horizontal="center"/>
    </xf>
    <xf numFmtId="7" fontId="23" fillId="0" borderId="75" xfId="0" applyNumberFormat="1" applyFont="1" applyFill="1" applyBorder="1"/>
    <xf numFmtId="7" fontId="23" fillId="0" borderId="76" xfId="0" applyNumberFormat="1" applyFont="1" applyFill="1" applyBorder="1"/>
    <xf numFmtId="7" fontId="23" fillId="0" borderId="77" xfId="0" applyNumberFormat="1" applyFont="1" applyFill="1" applyBorder="1"/>
    <xf numFmtId="7" fontId="24" fillId="0" borderId="73" xfId="0" applyNumberFormat="1" applyFont="1" applyFill="1" applyBorder="1"/>
    <xf numFmtId="7" fontId="21" fillId="0" borderId="73" xfId="0" applyNumberFormat="1" applyFont="1" applyFill="1" applyBorder="1"/>
    <xf numFmtId="7" fontId="21" fillId="0" borderId="77" xfId="0" applyNumberFormat="1" applyFont="1" applyFill="1" applyBorder="1"/>
    <xf numFmtId="7" fontId="25" fillId="0" borderId="73" xfId="0" applyNumberFormat="1" applyFont="1" applyFill="1" applyBorder="1"/>
    <xf numFmtId="7" fontId="18" fillId="3" borderId="70" xfId="0" applyNumberFormat="1" applyFont="1" applyFill="1" applyBorder="1"/>
    <xf numFmtId="169" fontId="0" fillId="0" borderId="0" xfId="3" applyNumberFormat="1" applyFont="1"/>
    <xf numFmtId="0" fontId="21" fillId="0" borderId="69" xfId="0" applyFont="1" applyFill="1" applyBorder="1"/>
    <xf numFmtId="0" fontId="21" fillId="0" borderId="69" xfId="0" applyFont="1" applyFill="1" applyBorder="1" applyAlignment="1">
      <alignment horizontal="right"/>
    </xf>
    <xf numFmtId="0" fontId="21" fillId="7" borderId="69" xfId="0" applyFont="1" applyFill="1" applyBorder="1" applyAlignment="1">
      <alignment horizontal="right"/>
    </xf>
    <xf numFmtId="0" fontId="19" fillId="0" borderId="69" xfId="0" applyFont="1" applyFill="1" applyBorder="1"/>
    <xf numFmtId="171" fontId="0" fillId="0" borderId="0" xfId="4" applyNumberFormat="1" applyFont="1"/>
    <xf numFmtId="44" fontId="0" fillId="0" borderId="0" xfId="5" applyFont="1"/>
    <xf numFmtId="44" fontId="23" fillId="0" borderId="69" xfId="5" applyFont="1" applyFill="1" applyBorder="1"/>
    <xf numFmtId="44" fontId="23" fillId="7" borderId="69" xfId="5" applyFont="1" applyFill="1" applyBorder="1"/>
    <xf numFmtId="44" fontId="0" fillId="0" borderId="0" xfId="0" applyNumberFormat="1"/>
    <xf numFmtId="44" fontId="23" fillId="0" borderId="0" xfId="5" applyFont="1" applyFill="1" applyBorder="1"/>
    <xf numFmtId="169" fontId="23" fillId="0" borderId="0" xfId="3" applyNumberFormat="1" applyFont="1" applyFill="1" applyBorder="1"/>
    <xf numFmtId="44" fontId="23" fillId="7" borderId="0" xfId="5" applyFont="1" applyFill="1" applyBorder="1"/>
    <xf numFmtId="0" fontId="21" fillId="0" borderId="0" xfId="0" applyFont="1" applyFill="1" applyBorder="1" applyAlignment="1">
      <alignment horizontal="right"/>
    </xf>
    <xf numFmtId="0" fontId="21" fillId="0" borderId="78" xfId="0" applyFont="1" applyFill="1" applyBorder="1" applyAlignment="1">
      <alignment horizontal="right"/>
    </xf>
    <xf numFmtId="0" fontId="3" fillId="0" borderId="12" xfId="1" applyFont="1" applyFill="1" applyBorder="1" applyAlignment="1">
      <alignment horizontal="center"/>
    </xf>
    <xf numFmtId="0" fontId="3" fillId="0" borderId="13" xfId="1" applyFont="1" applyFill="1" applyBorder="1" applyAlignment="1">
      <alignment horizontal="center"/>
    </xf>
    <xf numFmtId="0" fontId="3" fillId="0" borderId="14" xfId="1" applyFont="1" applyFill="1" applyBorder="1" applyAlignment="1">
      <alignment horizontal="center"/>
    </xf>
    <xf numFmtId="38" fontId="2" fillId="0" borderId="12" xfId="1" applyNumberFormat="1" applyFont="1" applyFill="1" applyBorder="1" applyAlignment="1">
      <alignment horizontal="right"/>
    </xf>
    <xf numFmtId="38" fontId="2" fillId="0" borderId="13" xfId="1" applyNumberFormat="1" applyFont="1" applyFill="1" applyBorder="1" applyAlignment="1">
      <alignment horizontal="right"/>
    </xf>
    <xf numFmtId="38" fontId="2" fillId="0" borderId="14" xfId="1" applyNumberFormat="1" applyFont="1" applyFill="1" applyBorder="1" applyAlignment="1">
      <alignment horizontal="right"/>
    </xf>
    <xf numFmtId="0" fontId="16" fillId="5" borderId="2" xfId="0" applyFont="1" applyFill="1" applyBorder="1" applyAlignment="1">
      <alignment horizontal="center" vertical="top" wrapText="1"/>
    </xf>
    <xf numFmtId="0" fontId="20" fillId="5" borderId="35" xfId="0" applyFont="1" applyFill="1" applyBorder="1" applyAlignment="1">
      <alignment horizontal="center" vertical="top" wrapText="1"/>
    </xf>
    <xf numFmtId="0" fontId="16" fillId="5" borderId="39" xfId="0" applyFont="1" applyFill="1" applyBorder="1" applyAlignment="1">
      <alignment horizontal="center"/>
    </xf>
    <xf numFmtId="0" fontId="20" fillId="5" borderId="40" xfId="0" applyFont="1" applyFill="1" applyBorder="1" applyAlignment="1">
      <alignment horizontal="center"/>
    </xf>
    <xf numFmtId="168" fontId="22" fillId="0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</cellXfs>
  <cellStyles count="6">
    <cellStyle name="Comma" xfId="4" builtinId="3"/>
    <cellStyle name="Currency" xfId="5" builtinId="4"/>
    <cellStyle name="Normal" xfId="0" builtinId="0"/>
    <cellStyle name="Normal 2" xfId="1" xr:uid="{00000000-0005-0000-0000-000003000000}"/>
    <cellStyle name="Percent" xfId="3" builtinId="5"/>
    <cellStyle name="Percent 2" xfId="2" xr:uid="{00000000-0005-0000-0000-000005000000}"/>
  </cellStyles>
  <dxfs count="11">
    <dxf>
      <border>
        <top/>
        <bottom style="thin">
          <color theme="4" tint="-0.24994659260841701"/>
        </bottom>
      </border>
    </dxf>
    <dxf>
      <border>
        <top style="thin">
          <color theme="4" tint="-0.24994659260841701"/>
        </top>
      </border>
    </dxf>
    <dxf>
      <border>
        <top style="thin">
          <color theme="4" tint="-0.24994659260841701"/>
        </top>
        <bottom style="thin">
          <color theme="4" tint="-0.24994659260841701"/>
        </bottom>
      </border>
    </dxf>
    <dxf>
      <border>
        <top/>
        <bottom style="thin">
          <color theme="4" tint="-0.24994659260841701"/>
        </bottom>
      </border>
    </dxf>
    <dxf>
      <border>
        <top style="thin">
          <color theme="4" tint="-0.24994659260841701"/>
        </top>
        <bottom style="thin">
          <color theme="4" tint="-0.24994659260841701"/>
        </bottom>
      </border>
    </dxf>
    <dxf>
      <border>
        <bottom style="thin">
          <color theme="4" tint="-0.24994659260841701"/>
        </bottom>
        <vertical/>
        <horizontal/>
      </border>
    </dxf>
    <dxf>
      <border>
        <left style="thin">
          <color theme="4" tint="-0.24994659260841701"/>
        </left>
        <right style="thin">
          <color theme="4" tint="-0.24994659260841701"/>
        </right>
        <vertical/>
        <horizontal/>
      </border>
    </dxf>
    <dxf>
      <border>
        <top/>
        <bottom style="thin">
          <color theme="4" tint="-0.24994659260841701"/>
        </bottom>
      </border>
    </dxf>
    <dxf>
      <border>
        <top style="thin">
          <color theme="4" tint="-0.24994659260841701"/>
        </top>
      </border>
    </dxf>
    <dxf>
      <border>
        <top style="thin">
          <color theme="4" tint="-0.24994659260841701"/>
        </top>
      </border>
    </dxf>
    <dxf>
      <border>
        <top style="thin">
          <color theme="4" tint="-0.24994659260841701"/>
        </top>
        <vertical/>
        <horizontal/>
      </border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Office</a:t>
            </a:r>
            <a:r>
              <a:rPr lang="en-US" baseline="0">
                <a:solidFill>
                  <a:schemeClr val="bg1"/>
                </a:solidFill>
              </a:rPr>
              <a:t> T.I. - Comparison Study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794123827412082"/>
          <c:y val="1.3917842192697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16"/>
          <c:order val="0"/>
          <c:tx>
            <c:strRef>
              <c:f>Graph!$A$24</c:f>
              <c:strCache>
                <c:ptCount val="1"/>
                <c:pt idx="0">
                  <c:v>Security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Graph!$B$24:$H$24</c:f>
              <c:numCache>
                <c:formatCode>_("$"* #,##0.00_);_("$"* \(#,##0.00\);_("$"* "-"??_);_(@_)</c:formatCode>
                <c:ptCount val="6"/>
                <c:pt idx="0">
                  <c:v>2.5</c:v>
                </c:pt>
                <c:pt idx="1">
                  <c:v>2.4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D2-4D42-91DA-B3D77ED8AA0D}"/>
            </c:ext>
          </c:extLst>
        </c:ser>
        <c:ser>
          <c:idx val="14"/>
          <c:order val="1"/>
          <c:tx>
            <c:strRef>
              <c:f>Graph!$A$22</c:f>
              <c:strCache>
                <c:ptCount val="1"/>
                <c:pt idx="0">
                  <c:v>Data Cabling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Graph!$B$22:$H$22</c:f>
              <c:numCache>
                <c:formatCode>_("$"* #,##0.00_);_("$"* \(#,##0.00\);_("$"* "-"??_);_(@_)</c:formatCode>
                <c:ptCount val="6"/>
                <c:pt idx="0">
                  <c:v>2.5</c:v>
                </c:pt>
                <c:pt idx="1">
                  <c:v>2.4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D2-4D42-91DA-B3D77ED8AA0D}"/>
            </c:ext>
          </c:extLst>
        </c:ser>
        <c:ser>
          <c:idx val="15"/>
          <c:order val="2"/>
          <c:tx>
            <c:strRef>
              <c:f>Graph!$A$23</c:f>
              <c:strCache>
                <c:ptCount val="1"/>
                <c:pt idx="0">
                  <c:v>Audio Visual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Graph!$B$23:$H$23</c:f>
              <c:numCache>
                <c:formatCode>_("$"* #,##0.00_);_("$"* \(#,##0.00\);_("$"* "-"??_);_(@_)</c:formatCode>
                <c:ptCount val="6"/>
                <c:pt idx="0">
                  <c:v>2.5</c:v>
                </c:pt>
                <c:pt idx="1">
                  <c:v>2.4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D2-4D42-91DA-B3D77ED8AA0D}"/>
            </c:ext>
          </c:extLst>
        </c:ser>
        <c:ser>
          <c:idx val="13"/>
          <c:order val="3"/>
          <c:tx>
            <c:strRef>
              <c:f>Graph!$A$21</c:f>
              <c:strCache>
                <c:ptCount val="1"/>
                <c:pt idx="0">
                  <c:v>Fire Alarm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Graph!$B$21:$H$21</c:f>
              <c:numCache>
                <c:formatCode>_("$"* #,##0.00_);_("$"* \(#,##0.00\);_("$"* "-"??_);_(@_)</c:formatCode>
                <c:ptCount val="6"/>
                <c:pt idx="0">
                  <c:v>2.5</c:v>
                </c:pt>
                <c:pt idx="1">
                  <c:v>2.4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2-4D42-91DA-B3D77ED8AA0D}"/>
            </c:ext>
          </c:extLst>
        </c:ser>
        <c:ser>
          <c:idx val="7"/>
          <c:order val="4"/>
          <c:tx>
            <c:strRef>
              <c:f>Graph!$A$20</c:f>
              <c:strCache>
                <c:ptCount val="1"/>
                <c:pt idx="0">
                  <c:v>Electrical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5"/>
              <c:layout>
                <c:manualLayout>
                  <c:x val="3.302125216588213E-3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4C-4401-8274-63F7AE7697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Graph!$B$2:$H$2</c:f>
              <c:strCache>
                <c:ptCount val="6"/>
                <c:pt idx="0">
                  <c:v>Intel</c:v>
                </c:pt>
                <c:pt idx="1">
                  <c:v>Deloitte </c:v>
                </c:pt>
                <c:pt idx="2">
                  <c:v>Statoil</c:v>
                </c:pt>
                <c:pt idx="3">
                  <c:v>BP Westlake</c:v>
                </c:pt>
                <c:pt idx="4">
                  <c:v>Average</c:v>
                </c:pt>
                <c:pt idx="5">
                  <c:v>Parsley Energy</c:v>
                </c:pt>
              </c:strCache>
            </c:strRef>
          </c:cat>
          <c:val>
            <c:numRef>
              <c:f>Graph!$B$20:$H$20</c:f>
              <c:numCache>
                <c:formatCode>_("$"* #,##0.00_);_("$"* \(#,##0.00\);_("$"* "-"??_);_(@_)</c:formatCode>
                <c:ptCount val="6"/>
                <c:pt idx="0">
                  <c:v>24.642857142857142</c:v>
                </c:pt>
                <c:pt idx="1">
                  <c:v>47.337278106508876</c:v>
                </c:pt>
                <c:pt idx="2">
                  <c:v>28.571428571428573</c:v>
                </c:pt>
                <c:pt idx="3">
                  <c:v>27.38095238095238</c:v>
                </c:pt>
                <c:pt idx="4">
                  <c:v>25.586503240349394</c:v>
                </c:pt>
                <c:pt idx="5">
                  <c:v>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9B-40A0-8A05-4D76E41BCC48}"/>
            </c:ext>
          </c:extLst>
        </c:ser>
        <c:ser>
          <c:idx val="10"/>
          <c:order val="5"/>
          <c:tx>
            <c:strRef>
              <c:f>Graph!$A$19</c:f>
              <c:strCache>
                <c:ptCount val="1"/>
                <c:pt idx="0">
                  <c:v>HVAC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Graph!$B$2:$H$2</c:f>
              <c:strCache>
                <c:ptCount val="6"/>
                <c:pt idx="0">
                  <c:v>Intel</c:v>
                </c:pt>
                <c:pt idx="1">
                  <c:v>Deloitte </c:v>
                </c:pt>
                <c:pt idx="2">
                  <c:v>Statoil</c:v>
                </c:pt>
                <c:pt idx="3">
                  <c:v>BP Westlake</c:v>
                </c:pt>
                <c:pt idx="4">
                  <c:v>Average</c:v>
                </c:pt>
                <c:pt idx="5">
                  <c:v>Parsley Energy</c:v>
                </c:pt>
              </c:strCache>
            </c:strRef>
          </c:cat>
          <c:val>
            <c:numRef>
              <c:f>Graph!$B$19:$H$19</c:f>
              <c:numCache>
                <c:formatCode>_("$"* #,##0.00_);_("$"* \(#,##0.00\);_("$"* "-"??_);_(@_)</c:formatCode>
                <c:ptCount val="6"/>
                <c:pt idx="0">
                  <c:v>21.428571428571431</c:v>
                </c:pt>
                <c:pt idx="1">
                  <c:v>19.946911242603552</c:v>
                </c:pt>
                <c:pt idx="2">
                  <c:v>13.569857142857144</c:v>
                </c:pt>
                <c:pt idx="3">
                  <c:v>23.80952380952381</c:v>
                </c:pt>
                <c:pt idx="4">
                  <c:v>15.750972724711186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9B-40A0-8A05-4D76E41BCC48}"/>
            </c:ext>
          </c:extLst>
        </c:ser>
        <c:ser>
          <c:idx val="8"/>
          <c:order val="6"/>
          <c:tx>
            <c:strRef>
              <c:f>Graph!$A$18</c:f>
              <c:strCache>
                <c:ptCount val="1"/>
                <c:pt idx="0">
                  <c:v>Plumbing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Graph!$B$2:$H$2</c:f>
              <c:strCache>
                <c:ptCount val="6"/>
                <c:pt idx="0">
                  <c:v>Intel</c:v>
                </c:pt>
                <c:pt idx="1">
                  <c:v>Deloitte </c:v>
                </c:pt>
                <c:pt idx="2">
                  <c:v>Statoil</c:v>
                </c:pt>
                <c:pt idx="3">
                  <c:v>BP Westlake</c:v>
                </c:pt>
                <c:pt idx="4">
                  <c:v>Average</c:v>
                </c:pt>
                <c:pt idx="5">
                  <c:v>Parsley Energy</c:v>
                </c:pt>
              </c:strCache>
            </c:strRef>
          </c:cat>
          <c:val>
            <c:numRef>
              <c:f>Graph!$B$18:$H$18</c:f>
              <c:numCache>
                <c:formatCode>_("$"* #,##0.00_);_("$"* \(#,##0.00\);_("$"* "-"??_);_(@_)</c:formatCode>
                <c:ptCount val="6"/>
                <c:pt idx="0">
                  <c:v>7.2589821428571426</c:v>
                </c:pt>
                <c:pt idx="1">
                  <c:v>6.7428639053254438</c:v>
                </c:pt>
                <c:pt idx="2">
                  <c:v>1.3968253968253967</c:v>
                </c:pt>
                <c:pt idx="3">
                  <c:v>8.0655357142857138</c:v>
                </c:pt>
                <c:pt idx="4">
                  <c:v>4.6928414318587395</c:v>
                </c:pt>
                <c:pt idx="5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9B-40A0-8A05-4D76E41BCC48}"/>
            </c:ext>
          </c:extLst>
        </c:ser>
        <c:ser>
          <c:idx val="9"/>
          <c:order val="7"/>
          <c:tx>
            <c:strRef>
              <c:f>Graph!$A$17</c:f>
              <c:strCache>
                <c:ptCount val="1"/>
                <c:pt idx="0">
                  <c:v>Fire Protection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Graph!$B$2:$H$2</c:f>
              <c:strCache>
                <c:ptCount val="6"/>
                <c:pt idx="0">
                  <c:v>Intel</c:v>
                </c:pt>
                <c:pt idx="1">
                  <c:v>Deloitte </c:v>
                </c:pt>
                <c:pt idx="2">
                  <c:v>Statoil</c:v>
                </c:pt>
                <c:pt idx="3">
                  <c:v>BP Westlake</c:v>
                </c:pt>
                <c:pt idx="4">
                  <c:v>Average</c:v>
                </c:pt>
                <c:pt idx="5">
                  <c:v>Parsley Energy</c:v>
                </c:pt>
              </c:strCache>
            </c:strRef>
          </c:cat>
          <c:val>
            <c:numRef>
              <c:f>Graph!$B$17:$H$17</c:f>
              <c:numCache>
                <c:formatCode>_("$"* #,##0.00_);_("$"* \(#,##0.00\);_("$"* "-"??_);_(@_)</c:formatCode>
                <c:ptCount val="6"/>
                <c:pt idx="0">
                  <c:v>1.5535714285714286</c:v>
                </c:pt>
                <c:pt idx="1">
                  <c:v>2.7544615384615385</c:v>
                </c:pt>
                <c:pt idx="2">
                  <c:v>1.8847222222222222</c:v>
                </c:pt>
                <c:pt idx="3">
                  <c:v>1.7261904761904763</c:v>
                </c:pt>
                <c:pt idx="4">
                  <c:v>1.5837891330891332</c:v>
                </c:pt>
                <c:pt idx="5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9B-40A0-8A05-4D76E41BCC48}"/>
            </c:ext>
          </c:extLst>
        </c:ser>
        <c:ser>
          <c:idx val="21"/>
          <c:order val="8"/>
          <c:tx>
            <c:strRef>
              <c:f>Graph!$A$16</c:f>
              <c:strCache>
                <c:ptCount val="1"/>
                <c:pt idx="0">
                  <c:v>Window Treatments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Graph!$B$16:$H$16</c:f>
              <c:numCache>
                <c:formatCode>_("$"* #,##0.00_);_("$"* \(#,##0.00\);_("$"* "-"??_);_(@_)</c:formatCode>
                <c:ptCount val="6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8</c:v>
                </c:pt>
                <c:pt idx="4">
                  <c:v>3.6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D2-4D42-91DA-B3D77ED8AA0D}"/>
            </c:ext>
          </c:extLst>
        </c:ser>
        <c:ser>
          <c:idx val="0"/>
          <c:order val="9"/>
          <c:tx>
            <c:strRef>
              <c:f>Graph!$A$14</c:f>
              <c:strCache>
                <c:ptCount val="1"/>
                <c:pt idx="0">
                  <c:v>Demountables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Graph!$B$2:$H$2</c:f>
              <c:strCache>
                <c:ptCount val="6"/>
                <c:pt idx="0">
                  <c:v>Intel</c:v>
                </c:pt>
                <c:pt idx="1">
                  <c:v>Deloitte </c:v>
                </c:pt>
                <c:pt idx="2">
                  <c:v>Statoil</c:v>
                </c:pt>
                <c:pt idx="3">
                  <c:v>BP Westlake</c:v>
                </c:pt>
                <c:pt idx="4">
                  <c:v>Average</c:v>
                </c:pt>
                <c:pt idx="5">
                  <c:v>Parsley Energy</c:v>
                </c:pt>
              </c:strCache>
            </c:strRef>
          </c:cat>
          <c:val>
            <c:numRef>
              <c:f>Graph!$B$14:$H$14</c:f>
              <c:numCache>
                <c:formatCode>_("$"* #,##0.00_);_("$"* \(#,##0.00\);_("$"* "-"??_);_(@_)</c:formatCode>
                <c:ptCount val="6"/>
                <c:pt idx="0">
                  <c:v>8.6678571428571427</c:v>
                </c:pt>
                <c:pt idx="1">
                  <c:v>7.0639585798816569</c:v>
                </c:pt>
                <c:pt idx="2">
                  <c:v>6.0671230158730163</c:v>
                </c:pt>
                <c:pt idx="3">
                  <c:v>9.6309523809523814</c:v>
                </c:pt>
                <c:pt idx="4">
                  <c:v>6.2859782239128394</c:v>
                </c:pt>
                <c:pt idx="5">
                  <c:v>10.417241379310346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B-40A0-8A05-4D76E41BCC48}"/>
            </c:ext>
          </c:extLst>
        </c:ser>
        <c:ser>
          <c:idx val="6"/>
          <c:order val="10"/>
          <c:tx>
            <c:strRef>
              <c:f>Graph!$A$15</c:f>
              <c:strCache>
                <c:ptCount val="1"/>
                <c:pt idx="0">
                  <c:v>Specialties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Graph!$B$2:$H$2</c:f>
              <c:strCache>
                <c:ptCount val="6"/>
                <c:pt idx="0">
                  <c:v>Intel</c:v>
                </c:pt>
                <c:pt idx="1">
                  <c:v>Deloitte </c:v>
                </c:pt>
                <c:pt idx="2">
                  <c:v>Statoil</c:v>
                </c:pt>
                <c:pt idx="3">
                  <c:v>BP Westlake</c:v>
                </c:pt>
                <c:pt idx="4">
                  <c:v>Average</c:v>
                </c:pt>
                <c:pt idx="5">
                  <c:v>Parsley Energy</c:v>
                </c:pt>
              </c:strCache>
            </c:strRef>
          </c:cat>
          <c:val>
            <c:numRef>
              <c:f>Graph!$B$15:$H$15</c:f>
              <c:numCache>
                <c:formatCode>_("$"* #,##0.00_);_("$"* \(#,##0.00\);_("$"* "-"??_);_(@_)</c:formatCode>
                <c:ptCount val="6"/>
                <c:pt idx="0">
                  <c:v>5.0571428571428569</c:v>
                </c:pt>
                <c:pt idx="1">
                  <c:v>6.25</c:v>
                </c:pt>
                <c:pt idx="2">
                  <c:v>8.25</c:v>
                </c:pt>
                <c:pt idx="3">
                  <c:v>5.6190476190476186</c:v>
                </c:pt>
                <c:pt idx="4">
                  <c:v>5.0352380952380953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9B-40A0-8A05-4D76E41BCC48}"/>
            </c:ext>
          </c:extLst>
        </c:ser>
        <c:ser>
          <c:idx val="11"/>
          <c:order val="11"/>
          <c:tx>
            <c:strRef>
              <c:f>Graph!$A$12</c:f>
              <c:strCache>
                <c:ptCount val="1"/>
                <c:pt idx="0">
                  <c:v>Flooring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Graph!$B$2:$H$2</c:f>
              <c:strCache>
                <c:ptCount val="6"/>
                <c:pt idx="0">
                  <c:v>Intel</c:v>
                </c:pt>
                <c:pt idx="1">
                  <c:v>Deloitte </c:v>
                </c:pt>
                <c:pt idx="2">
                  <c:v>Statoil</c:v>
                </c:pt>
                <c:pt idx="3">
                  <c:v>BP Westlake</c:v>
                </c:pt>
                <c:pt idx="4">
                  <c:v>Average</c:v>
                </c:pt>
                <c:pt idx="5">
                  <c:v>Parsley Energy</c:v>
                </c:pt>
              </c:strCache>
            </c:strRef>
          </c:cat>
          <c:val>
            <c:numRef>
              <c:f>Graph!$B$12:$H$12</c:f>
              <c:numCache>
                <c:formatCode>_("$"* #,##0.00_);_("$"* \(#,##0.00\);_("$"* "-"??_);_(@_)</c:formatCode>
                <c:ptCount val="6"/>
                <c:pt idx="0">
                  <c:v>4.7678571428571432</c:v>
                </c:pt>
                <c:pt idx="1">
                  <c:v>7</c:v>
                </c:pt>
                <c:pt idx="2">
                  <c:v>3.8313412698412699</c:v>
                </c:pt>
                <c:pt idx="3">
                  <c:v>5.2976190476190474</c:v>
                </c:pt>
                <c:pt idx="4">
                  <c:v>4.1793634920634917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9B-40A0-8A05-4D76E41BCC48}"/>
            </c:ext>
          </c:extLst>
        </c:ser>
        <c:ser>
          <c:idx val="1"/>
          <c:order val="12"/>
          <c:tx>
            <c:strRef>
              <c:f>Graph!$A$11</c:f>
              <c:strCache>
                <c:ptCount val="1"/>
                <c:pt idx="0">
                  <c:v>Painting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Graph!$B$2:$H$2</c:f>
              <c:strCache>
                <c:ptCount val="6"/>
                <c:pt idx="0">
                  <c:v>Intel</c:v>
                </c:pt>
                <c:pt idx="1">
                  <c:v>Deloitte </c:v>
                </c:pt>
                <c:pt idx="2">
                  <c:v>Statoil</c:v>
                </c:pt>
                <c:pt idx="3">
                  <c:v>BP Westlake</c:v>
                </c:pt>
                <c:pt idx="4">
                  <c:v>Average</c:v>
                </c:pt>
                <c:pt idx="5">
                  <c:v>Parsley Energy</c:v>
                </c:pt>
              </c:strCache>
            </c:strRef>
          </c:cat>
          <c:val>
            <c:numRef>
              <c:f>Graph!$B$11:$H$11</c:f>
              <c:numCache>
                <c:formatCode>_("$"* #,##0.00_);_("$"* \(#,##0.00\);_("$"* "-"??_);_(@_)</c:formatCode>
                <c:ptCount val="6"/>
                <c:pt idx="0">
                  <c:v>2.1107142857142858</c:v>
                </c:pt>
                <c:pt idx="1">
                  <c:v>4.6982248520710055</c:v>
                </c:pt>
                <c:pt idx="2">
                  <c:v>2.8571428571428572</c:v>
                </c:pt>
                <c:pt idx="3">
                  <c:v>2.3452380952380953</c:v>
                </c:pt>
                <c:pt idx="4">
                  <c:v>2.4022640180332488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B-40A0-8A05-4D76E41BCC48}"/>
            </c:ext>
          </c:extLst>
        </c:ser>
        <c:ser>
          <c:idx val="17"/>
          <c:order val="13"/>
          <c:tx>
            <c:strRef>
              <c:f>Graph!$A$13</c:f>
              <c:strCache>
                <c:ptCount val="1"/>
                <c:pt idx="0">
                  <c:v>Polished Concrete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Graph!$B$13:$H$13</c:f>
              <c:numCache>
                <c:formatCode>_("$"* #,##0.00_);_("$"* \(#,##0.00\);_("$"* "-"??_);_(@_)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D2-4D42-91DA-B3D77ED8AA0D}"/>
            </c:ext>
          </c:extLst>
        </c:ser>
        <c:ser>
          <c:idx val="22"/>
          <c:order val="14"/>
          <c:tx>
            <c:strRef>
              <c:f>Graph!$A$10</c:f>
              <c:strCache>
                <c:ptCount val="1"/>
                <c:pt idx="0">
                  <c:v>Tile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Graph!$B$10:$H$10</c:f>
              <c:numCache>
                <c:formatCode>_("$"* #,##0.00_);_("$"* \(#,##0.00\);_("$"* "-"??_);_(@_)</c:formatCode>
                <c:ptCount val="6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D2-4D42-91DA-B3D77ED8AA0D}"/>
            </c:ext>
          </c:extLst>
        </c:ser>
        <c:ser>
          <c:idx val="12"/>
          <c:order val="15"/>
          <c:tx>
            <c:strRef>
              <c:f>Graph!$A$12</c:f>
              <c:strCache>
                <c:ptCount val="1"/>
                <c:pt idx="0">
                  <c:v>Flooring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Graph!$B$12:$H$12</c:f>
              <c:numCache>
                <c:formatCode>_("$"* #,##0.00_);_("$"* \(#,##0.00\);_("$"* "-"??_);_(@_)</c:formatCode>
                <c:ptCount val="6"/>
                <c:pt idx="0">
                  <c:v>4.7678571428571432</c:v>
                </c:pt>
                <c:pt idx="1">
                  <c:v>7</c:v>
                </c:pt>
                <c:pt idx="2">
                  <c:v>3.8313412698412699</c:v>
                </c:pt>
                <c:pt idx="3">
                  <c:v>5.2976190476190474</c:v>
                </c:pt>
                <c:pt idx="4">
                  <c:v>4.1793634920634917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9B-40A0-8A05-4D76E41BCC48}"/>
            </c:ext>
          </c:extLst>
        </c:ser>
        <c:ser>
          <c:idx val="5"/>
          <c:order val="16"/>
          <c:tx>
            <c:strRef>
              <c:f>Graph!$A$9</c:f>
              <c:strCache>
                <c:ptCount val="1"/>
                <c:pt idx="0">
                  <c:v>Drywall &amp; Ceilings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Graph!$B$2:$H$2</c:f>
              <c:strCache>
                <c:ptCount val="6"/>
                <c:pt idx="0">
                  <c:v>Intel</c:v>
                </c:pt>
                <c:pt idx="1">
                  <c:v>Deloitte </c:v>
                </c:pt>
                <c:pt idx="2">
                  <c:v>Statoil</c:v>
                </c:pt>
                <c:pt idx="3">
                  <c:v>BP Westlake</c:v>
                </c:pt>
                <c:pt idx="4">
                  <c:v>Average</c:v>
                </c:pt>
                <c:pt idx="5">
                  <c:v>Parsley Energy</c:v>
                </c:pt>
              </c:strCache>
            </c:strRef>
          </c:cat>
          <c:val>
            <c:numRef>
              <c:f>Graph!$B$9:$H$9</c:f>
              <c:numCache>
                <c:formatCode>_("$"* #,##0.00_);_("$"* \(#,##0.00\);_("$"* "-"??_);_(@_)</c:formatCode>
                <c:ptCount val="6"/>
                <c:pt idx="0">
                  <c:v>7.6463035714285716</c:v>
                </c:pt>
                <c:pt idx="1">
                  <c:v>19.7</c:v>
                </c:pt>
                <c:pt idx="2">
                  <c:v>11.904761904761905</c:v>
                </c:pt>
                <c:pt idx="3">
                  <c:v>8.4958928571428576</c:v>
                </c:pt>
                <c:pt idx="4">
                  <c:v>9.5493916666666667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9B-40A0-8A05-4D76E41BCC48}"/>
            </c:ext>
          </c:extLst>
        </c:ser>
        <c:ser>
          <c:idx val="3"/>
          <c:order val="17"/>
          <c:tx>
            <c:strRef>
              <c:f>Graph!$A$7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Graph!$B$2:$H$2</c:f>
              <c:strCache>
                <c:ptCount val="6"/>
                <c:pt idx="0">
                  <c:v>Intel</c:v>
                </c:pt>
                <c:pt idx="1">
                  <c:v>Deloitte </c:v>
                </c:pt>
                <c:pt idx="2">
                  <c:v>Statoil</c:v>
                </c:pt>
                <c:pt idx="3">
                  <c:v>BP Westlake</c:v>
                </c:pt>
                <c:pt idx="4">
                  <c:v>Average</c:v>
                </c:pt>
                <c:pt idx="5">
                  <c:v>Parsley Energy</c:v>
                </c:pt>
              </c:strCache>
            </c:strRef>
          </c:cat>
          <c:val>
            <c:numRef>
              <c:f>Graph!$B$7:$H$7</c:f>
              <c:numCache>
                <c:formatCode>_("$"* #,##0.00_);_("$"* \(#,##0.00\);_("$"* "-"??_);_(@_)</c:formatCode>
                <c:ptCount val="6"/>
                <c:pt idx="0">
                  <c:v>0.8035714285714286</c:v>
                </c:pt>
                <c:pt idx="1">
                  <c:v>2.1005917159763312</c:v>
                </c:pt>
                <c:pt idx="2">
                  <c:v>3.178234126984127</c:v>
                </c:pt>
                <c:pt idx="3">
                  <c:v>0.8928571428571429</c:v>
                </c:pt>
                <c:pt idx="4">
                  <c:v>1.3950508828778061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9B-40A0-8A05-4D76E41BCC48}"/>
            </c:ext>
          </c:extLst>
        </c:ser>
        <c:ser>
          <c:idx val="4"/>
          <c:order val="18"/>
          <c:tx>
            <c:strRef>
              <c:f>Graph!$A$8</c:f>
              <c:strCache>
                <c:ptCount val="1"/>
                <c:pt idx="0">
                  <c:v>DFH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Graph!$B$2:$H$2</c:f>
              <c:strCache>
                <c:ptCount val="6"/>
                <c:pt idx="0">
                  <c:v>Intel</c:v>
                </c:pt>
                <c:pt idx="1">
                  <c:v>Deloitte </c:v>
                </c:pt>
                <c:pt idx="2">
                  <c:v>Statoil</c:v>
                </c:pt>
                <c:pt idx="3">
                  <c:v>BP Westlake</c:v>
                </c:pt>
                <c:pt idx="4">
                  <c:v>Average</c:v>
                </c:pt>
                <c:pt idx="5">
                  <c:v>Parsley Energy</c:v>
                </c:pt>
              </c:strCache>
            </c:strRef>
          </c:cat>
          <c:val>
            <c:numRef>
              <c:f>Graph!$B$8:$H$8</c:f>
              <c:numCache>
                <c:formatCode>_("$"* #,##0.00_);_("$"* \(#,##0.00\);_("$"* "-"??_);_(@_)</c:formatCode>
                <c:ptCount val="6"/>
                <c:pt idx="0">
                  <c:v>2.5</c:v>
                </c:pt>
                <c:pt idx="1">
                  <c:v>1.76</c:v>
                </c:pt>
                <c:pt idx="2">
                  <c:v>1.6111111111111112</c:v>
                </c:pt>
                <c:pt idx="3">
                  <c:v>0.8928571428571429</c:v>
                </c:pt>
                <c:pt idx="4">
                  <c:v>1.3527936507936507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9B-40A0-8A05-4D76E41BCC48}"/>
            </c:ext>
          </c:extLst>
        </c:ser>
        <c:ser>
          <c:idx val="2"/>
          <c:order val="19"/>
          <c:tx>
            <c:strRef>
              <c:f>Graph!$A$6</c:f>
              <c:strCache>
                <c:ptCount val="1"/>
                <c:pt idx="0">
                  <c:v>Millwork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Graph!$B$2:$H$2</c:f>
              <c:strCache>
                <c:ptCount val="6"/>
                <c:pt idx="0">
                  <c:v>Intel</c:v>
                </c:pt>
                <c:pt idx="1">
                  <c:v>Deloitte </c:v>
                </c:pt>
                <c:pt idx="2">
                  <c:v>Statoil</c:v>
                </c:pt>
                <c:pt idx="3">
                  <c:v>BP Westlake</c:v>
                </c:pt>
                <c:pt idx="4">
                  <c:v>Average</c:v>
                </c:pt>
                <c:pt idx="5">
                  <c:v>Parsley Energy</c:v>
                </c:pt>
              </c:strCache>
            </c:strRef>
          </c:cat>
          <c:val>
            <c:numRef>
              <c:f>Graph!$B$6:$H$6</c:f>
              <c:numCache>
                <c:formatCode>_("$"* #,##0.00_);_("$"* \(#,##0.00\);_("$"* "-"??_);_(@_)</c:formatCode>
                <c:ptCount val="6"/>
                <c:pt idx="0">
                  <c:v>15.171428571428573</c:v>
                </c:pt>
                <c:pt idx="1">
                  <c:v>8.2495562130177511</c:v>
                </c:pt>
                <c:pt idx="2">
                  <c:v>2.0455198412698414</c:v>
                </c:pt>
                <c:pt idx="3">
                  <c:v>16.857142857142858</c:v>
                </c:pt>
                <c:pt idx="4">
                  <c:v>8.4647294965718043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B-40A0-8A05-4D76E41BCC48}"/>
            </c:ext>
          </c:extLst>
        </c:ser>
        <c:ser>
          <c:idx val="20"/>
          <c:order val="20"/>
          <c:tx>
            <c:strRef>
              <c:f>Graph!$A$5</c:f>
              <c:strCache>
                <c:ptCount val="1"/>
                <c:pt idx="0">
                  <c:v>Misc. Metals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Graph!$B$5:$H$5</c:f>
              <c:numCache>
                <c:formatCode>_("$"* #,##0.00_);_("$"* \(#,##0.00\);_("$"* "-"??_);_(@_)</c:formatCode>
                <c:ptCount val="6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</c:v>
                </c:pt>
                <c:pt idx="4">
                  <c:v>4.4000000000000004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D2-4D42-91DA-B3D77ED8AA0D}"/>
            </c:ext>
          </c:extLst>
        </c:ser>
        <c:ser>
          <c:idx val="19"/>
          <c:order val="21"/>
          <c:tx>
            <c:strRef>
              <c:f>Graph!$A$4</c:f>
              <c:strCache>
                <c:ptCount val="1"/>
                <c:pt idx="0">
                  <c:v>Cast in Place Concrete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Graph!$B$4:$H$4</c:f>
              <c:numCache>
                <c:formatCode>_("$"* #,##0.00_);_("$"* \(#,##0.00\);_("$"* "-"??_);_(@_)</c:formatCode>
                <c:ptCount val="6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4.4000000000000004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D2-4D42-91DA-B3D77ED8AA0D}"/>
            </c:ext>
          </c:extLst>
        </c:ser>
        <c:ser>
          <c:idx val="18"/>
          <c:order val="22"/>
          <c:tx>
            <c:strRef>
              <c:f>Graph!$A$3</c:f>
              <c:strCache>
                <c:ptCount val="1"/>
                <c:pt idx="0">
                  <c:v>Demolition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Graph!$B$3:$H$3</c:f>
              <c:numCache>
                <c:formatCode>_("$"* #,##0.00_);_("$"* \(#,##0.00\);_("$"* "-"??_);_(@_)</c:formatCode>
                <c:ptCount val="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5.6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D2-4D42-91DA-B3D77ED8A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621760"/>
        <c:axId val="187622544"/>
        <c:axId val="0"/>
        <c:extLst/>
      </c:bar3DChart>
      <c:catAx>
        <c:axId val="18762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2544"/>
        <c:crosses val="autoZero"/>
        <c:auto val="1"/>
        <c:lblAlgn val="ctr"/>
        <c:lblOffset val="100"/>
        <c:noMultiLvlLbl val="0"/>
      </c:catAx>
      <c:valAx>
        <c:axId val="1876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0</xdr:row>
      <xdr:rowOff>95250</xdr:rowOff>
    </xdr:from>
    <xdr:to>
      <xdr:col>16</xdr:col>
      <xdr:colOff>914400</xdr:colOff>
      <xdr:row>2</xdr:row>
      <xdr:rowOff>123825</xdr:rowOff>
    </xdr:to>
    <xdr:pic>
      <xdr:nvPicPr>
        <xdr:cNvPr id="2" name="Picture 32" descr="Trgb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11300" y="95250"/>
          <a:ext cx="10477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28</xdr:row>
      <xdr:rowOff>38099</xdr:rowOff>
    </xdr:from>
    <xdr:to>
      <xdr:col>24</xdr:col>
      <xdr:colOff>403411</xdr:colOff>
      <xdr:row>83</xdr:row>
      <xdr:rowOff>78440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68036</xdr:colOff>
      <xdr:row>30</xdr:row>
      <xdr:rowOff>68037</xdr:rowOff>
    </xdr:from>
    <xdr:to>
      <xdr:col>22</xdr:col>
      <xdr:colOff>432226</xdr:colOff>
      <xdr:row>81</xdr:row>
      <xdr:rowOff>126147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6954500" y="5783037"/>
          <a:ext cx="2201155" cy="9773610"/>
        </a:xfrm>
        <a:prstGeom prst="rect">
          <a:avLst/>
        </a:prstGeom>
        <a:noFill/>
        <a:ln w="34925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 w="38100"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0.94707</cdr:x>
      <cdr:y>0.20021</cdr:y>
    </cdr:from>
    <cdr:to>
      <cdr:x>0.98173</cdr:x>
      <cdr:y>0.26874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52861" y="1424940"/>
          <a:ext cx="419099" cy="487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leftwich/Desktop/TOE%20Current/The%20TO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Start Here"/>
      <sheetName val="REPORT"/>
      <sheetName val="Project Summary"/>
      <sheetName val="PCD Summary"/>
      <sheetName val="Work Horse"/>
      <sheetName val="DataValidation"/>
      <sheetName val="Chart1"/>
      <sheetName val="Sheet1"/>
    </sheetNames>
    <sheetDataSet>
      <sheetData sheetId="0"/>
      <sheetData sheetId="1"/>
      <sheetData sheetId="2"/>
      <sheetData sheetId="3"/>
      <sheetData sheetId="4">
        <row r="1">
          <cell r="B1" t="str">
            <v>PROJECT COST DATA</v>
          </cell>
        </row>
        <row r="10">
          <cell r="B10" t="str">
            <v>Project Information</v>
          </cell>
        </row>
        <row r="27">
          <cell r="B27" t="str">
            <v>Project Type &amp; Program</v>
          </cell>
        </row>
      </sheetData>
      <sheetData sheetId="5"/>
      <sheetData sheetId="6"/>
      <sheetData sheetId="7" refreshError="1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76"/>
  <sheetViews>
    <sheetView showGridLines="0" topLeftCell="A16" zoomScale="90" zoomScaleNormal="90" workbookViewId="0">
      <pane xSplit="26295" topLeftCell="R1"/>
      <selection activeCell="F26" sqref="F26"/>
      <selection pane="topRight" activeCell="W66" sqref="W66"/>
    </sheetView>
  </sheetViews>
  <sheetFormatPr defaultColWidth="9.140625" defaultRowHeight="11.25" outlineLevelRow="1"/>
  <cols>
    <col min="1" max="1" width="9.140625" style="4"/>
    <col min="2" max="2" width="39.7109375" style="4" customWidth="1"/>
    <col min="3" max="3" width="13.85546875" style="4" customWidth="1"/>
    <col min="4" max="4" width="9" style="4" customWidth="1"/>
    <col min="5" max="5" width="13" style="4" customWidth="1"/>
    <col min="6" max="6" width="13.85546875" style="4" customWidth="1"/>
    <col min="7" max="7" width="9" style="4" customWidth="1"/>
    <col min="8" max="8" width="13" style="4" customWidth="1"/>
    <col min="9" max="9" width="13.85546875" style="4" customWidth="1"/>
    <col min="10" max="10" width="9" style="4" customWidth="1"/>
    <col min="11" max="11" width="13" style="4" customWidth="1"/>
    <col min="12" max="12" width="13.85546875" style="4" customWidth="1"/>
    <col min="13" max="13" width="9" style="4" customWidth="1"/>
    <col min="14" max="14" width="13" style="4" customWidth="1"/>
    <col min="15" max="15" width="13.85546875" style="4" customWidth="1"/>
    <col min="16" max="16" width="9" style="4" customWidth="1"/>
    <col min="17" max="17" width="13.85546875" style="4" customWidth="1"/>
    <col min="18" max="62" width="9.140625" style="4"/>
    <col min="63" max="63" width="8.7109375" style="4" bestFit="1" customWidth="1"/>
    <col min="64" max="64" width="8.140625" style="4" bestFit="1" customWidth="1"/>
    <col min="65" max="16384" width="9.140625" style="4"/>
  </cols>
  <sheetData>
    <row r="1" spans="1:32" ht="12">
      <c r="A1" s="1"/>
      <c r="B1" s="2" t="s">
        <v>0</v>
      </c>
      <c r="C1" s="2"/>
      <c r="D1" s="3"/>
      <c r="E1" s="3"/>
      <c r="F1" s="2"/>
      <c r="G1" s="3"/>
      <c r="H1" s="3"/>
      <c r="I1" s="2"/>
      <c r="J1" s="3"/>
      <c r="K1" s="3"/>
      <c r="L1" s="2"/>
      <c r="M1" s="3"/>
      <c r="N1" s="3"/>
      <c r="O1" s="2"/>
      <c r="P1" s="3"/>
      <c r="Q1" s="3"/>
    </row>
    <row r="2" spans="1:32" ht="12">
      <c r="A2" s="1"/>
      <c r="B2" s="2" t="s">
        <v>1</v>
      </c>
      <c r="C2" s="2"/>
      <c r="D2" s="3"/>
      <c r="E2" s="3"/>
      <c r="F2" s="2"/>
      <c r="G2" s="3"/>
      <c r="H2" s="3"/>
      <c r="I2" s="2"/>
      <c r="J2" s="3"/>
      <c r="K2" s="3"/>
      <c r="L2" s="2"/>
      <c r="M2" s="3"/>
      <c r="N2" s="3"/>
      <c r="O2" s="2"/>
      <c r="P2" s="3"/>
      <c r="Q2" s="3"/>
    </row>
    <row r="3" spans="1:32" ht="12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2" ht="12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32" ht="12">
      <c r="A5" s="1"/>
      <c r="B5" s="3"/>
      <c r="C5" s="3"/>
      <c r="D5" s="3"/>
      <c r="E5" s="5"/>
      <c r="F5" s="3"/>
      <c r="G5" s="3"/>
      <c r="H5" s="5"/>
      <c r="I5" s="3"/>
      <c r="J5" s="3"/>
      <c r="K5" s="5"/>
      <c r="L5" s="3"/>
      <c r="M5" s="3"/>
      <c r="N5" s="5"/>
      <c r="O5" s="3"/>
      <c r="P5" s="6" t="s">
        <v>2</v>
      </c>
      <c r="Q5" s="7">
        <v>40666</v>
      </c>
    </row>
    <row r="6" spans="1:32" ht="12.75" thickBot="1">
      <c r="A6" s="1"/>
      <c r="B6" s="8" t="s">
        <v>3</v>
      </c>
      <c r="C6" s="8">
        <v>1089</v>
      </c>
      <c r="D6" s="8"/>
      <c r="E6" s="9"/>
      <c r="F6" s="8"/>
      <c r="G6" s="8"/>
      <c r="H6" s="9"/>
      <c r="I6" s="8"/>
      <c r="J6" s="8"/>
      <c r="K6" s="9"/>
      <c r="L6" s="8"/>
      <c r="M6" s="8"/>
      <c r="N6" s="9"/>
      <c r="O6" s="8"/>
      <c r="P6" s="6" t="s">
        <v>4</v>
      </c>
      <c r="Q6" s="10"/>
    </row>
    <row r="7" spans="1:32" ht="12.75" thickBot="1">
      <c r="A7" s="1"/>
      <c r="B7" s="11"/>
      <c r="C7" s="12"/>
      <c r="D7" s="12"/>
      <c r="E7" s="12"/>
      <c r="F7" s="12"/>
      <c r="G7" s="12" t="s">
        <v>5</v>
      </c>
      <c r="H7" s="12"/>
      <c r="I7" s="12"/>
      <c r="J7" s="12"/>
      <c r="K7" s="12"/>
      <c r="L7" s="12"/>
      <c r="M7" s="12"/>
      <c r="N7" s="12"/>
      <c r="O7" s="12"/>
      <c r="P7" s="13"/>
      <c r="Q7" s="14"/>
    </row>
    <row r="8" spans="1:32" ht="12">
      <c r="A8" s="1"/>
      <c r="B8" s="15"/>
      <c r="C8" s="15"/>
      <c r="D8" s="16"/>
      <c r="E8" s="17"/>
      <c r="F8" s="15"/>
      <c r="G8" s="18" t="s">
        <v>76</v>
      </c>
      <c r="H8" s="17"/>
      <c r="I8" s="15"/>
      <c r="J8" s="19"/>
      <c r="K8" s="17"/>
      <c r="L8" s="15"/>
      <c r="M8" s="16"/>
      <c r="N8" s="16"/>
      <c r="O8" s="15"/>
      <c r="P8" s="20"/>
      <c r="Q8" s="21"/>
    </row>
    <row r="9" spans="1:32" s="25" customFormat="1" ht="12">
      <c r="A9" s="23"/>
      <c r="B9" s="24" t="s">
        <v>6</v>
      </c>
      <c r="C9" s="224" t="s">
        <v>78</v>
      </c>
      <c r="D9" s="225"/>
      <c r="E9" s="226"/>
      <c r="F9" s="224" t="s">
        <v>77</v>
      </c>
      <c r="G9" s="225"/>
      <c r="H9" s="226" t="s">
        <v>7</v>
      </c>
      <c r="I9" s="224"/>
      <c r="J9" s="225"/>
      <c r="K9" s="226"/>
      <c r="L9" s="224"/>
      <c r="M9" s="225"/>
      <c r="N9" s="225"/>
      <c r="O9" s="224"/>
      <c r="P9" s="225"/>
      <c r="Q9" s="226"/>
    </row>
    <row r="10" spans="1:32" s="25" customFormat="1" ht="12">
      <c r="A10" s="23"/>
      <c r="B10" s="24" t="s">
        <v>8</v>
      </c>
      <c r="C10" s="224" t="s">
        <v>9</v>
      </c>
      <c r="D10" s="225"/>
      <c r="E10" s="226"/>
      <c r="F10" s="224" t="s">
        <v>9</v>
      </c>
      <c r="G10" s="225"/>
      <c r="H10" s="226"/>
      <c r="I10" s="224"/>
      <c r="J10" s="225"/>
      <c r="K10" s="226"/>
      <c r="L10" s="224"/>
      <c r="M10" s="225"/>
      <c r="N10" s="225"/>
      <c r="O10" s="224"/>
      <c r="P10" s="225"/>
      <c r="Q10" s="226"/>
    </row>
    <row r="11" spans="1:32" ht="12">
      <c r="A11" s="1"/>
      <c r="B11" s="26"/>
      <c r="C11" s="27"/>
      <c r="D11" s="28"/>
      <c r="E11" s="29"/>
      <c r="F11" s="27"/>
      <c r="G11" s="28"/>
      <c r="H11" s="29"/>
      <c r="I11" s="27"/>
      <c r="J11" s="28"/>
      <c r="K11" s="29"/>
      <c r="L11" s="27"/>
      <c r="M11" s="30"/>
      <c r="N11" s="28"/>
      <c r="O11" s="27"/>
      <c r="P11" s="28"/>
      <c r="Q11" s="29"/>
    </row>
    <row r="12" spans="1:32" ht="14.25" customHeight="1">
      <c r="A12" s="1"/>
      <c r="B12" s="26" t="s">
        <v>10</v>
      </c>
      <c r="C12" s="27"/>
      <c r="D12" s="28"/>
      <c r="E12" s="29">
        <v>896</v>
      </c>
      <c r="F12" s="27"/>
      <c r="G12" s="28"/>
      <c r="H12" s="29">
        <v>631</v>
      </c>
      <c r="I12" s="27"/>
      <c r="J12" s="28"/>
      <c r="K12" s="29"/>
      <c r="L12" s="27"/>
      <c r="M12" s="28"/>
      <c r="N12" s="28"/>
      <c r="O12" s="27"/>
      <c r="P12" s="28"/>
      <c r="Q12" s="29"/>
    </row>
    <row r="13" spans="1:32" ht="14.25" customHeight="1">
      <c r="A13" s="1"/>
      <c r="B13" s="26" t="s">
        <v>11</v>
      </c>
      <c r="C13" s="31"/>
      <c r="D13" s="28"/>
      <c r="E13" s="32" t="s">
        <v>79</v>
      </c>
      <c r="F13" s="31"/>
      <c r="G13" s="28"/>
      <c r="H13" s="32" t="s">
        <v>12</v>
      </c>
      <c r="I13" s="31"/>
      <c r="J13" s="28"/>
      <c r="K13" s="32"/>
      <c r="L13" s="31"/>
      <c r="M13" s="28"/>
      <c r="N13" s="33"/>
      <c r="O13" s="31"/>
      <c r="P13" s="28"/>
      <c r="Q13" s="32"/>
    </row>
    <row r="14" spans="1:32" ht="14.25" customHeight="1">
      <c r="A14" s="1"/>
      <c r="B14" s="26" t="s">
        <v>13</v>
      </c>
      <c r="C14" s="27"/>
      <c r="D14" s="28"/>
      <c r="E14" s="29"/>
      <c r="F14" s="27"/>
      <c r="G14" s="28"/>
      <c r="H14" s="29"/>
      <c r="I14" s="27"/>
      <c r="J14" s="28"/>
      <c r="K14" s="29"/>
      <c r="L14" s="27"/>
      <c r="M14" s="28"/>
      <c r="N14" s="28"/>
      <c r="O14" s="27"/>
      <c r="P14" s="28"/>
      <c r="Q14" s="29"/>
    </row>
    <row r="15" spans="1:32" ht="14.25" customHeight="1">
      <c r="A15" s="1"/>
      <c r="B15" s="26" t="s">
        <v>14</v>
      </c>
      <c r="C15" s="34"/>
      <c r="D15" s="35"/>
      <c r="E15" s="36">
        <f>539000+456000</f>
        <v>995000</v>
      </c>
      <c r="F15" s="34"/>
      <c r="G15" s="35"/>
      <c r="H15" s="36">
        <f>H16+H17</f>
        <v>1340000</v>
      </c>
      <c r="I15" s="34"/>
      <c r="J15" s="35"/>
      <c r="K15" s="36"/>
      <c r="L15" s="34"/>
      <c r="M15" s="35"/>
      <c r="N15" s="35"/>
      <c r="O15" s="34"/>
      <c r="P15" s="35"/>
      <c r="Q15" s="36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</row>
    <row r="16" spans="1:32" ht="14.25" customHeight="1">
      <c r="A16" s="1"/>
      <c r="B16" s="26" t="s">
        <v>15</v>
      </c>
      <c r="C16" s="34"/>
      <c r="D16" s="35"/>
      <c r="E16" s="36">
        <v>539000</v>
      </c>
      <c r="F16" s="34"/>
      <c r="G16" s="35"/>
      <c r="H16" s="36">
        <v>742000</v>
      </c>
      <c r="I16" s="34"/>
      <c r="J16" s="35"/>
      <c r="K16" s="36"/>
      <c r="L16" s="34"/>
      <c r="M16" s="35"/>
      <c r="N16" s="35"/>
      <c r="O16" s="34"/>
      <c r="P16" s="35"/>
      <c r="Q16" s="36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</row>
    <row r="17" spans="1:32" ht="14.25" customHeight="1">
      <c r="A17" s="1"/>
      <c r="B17" s="26" t="s">
        <v>16</v>
      </c>
      <c r="C17" s="34"/>
      <c r="D17" s="35"/>
      <c r="E17" s="36">
        <v>456000</v>
      </c>
      <c r="F17" s="34"/>
      <c r="G17" s="35"/>
      <c r="H17" s="36">
        <f>439756+158244</f>
        <v>598000</v>
      </c>
      <c r="I17" s="34"/>
      <c r="J17" s="35"/>
      <c r="K17" s="36"/>
      <c r="L17" s="34"/>
      <c r="M17" s="35"/>
      <c r="N17" s="35"/>
      <c r="O17" s="34"/>
      <c r="P17" s="35"/>
      <c r="Q17" s="36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</row>
    <row r="18" spans="1:32" ht="14.25" customHeight="1">
      <c r="A18" s="1"/>
      <c r="B18" s="26" t="s">
        <v>17</v>
      </c>
      <c r="C18" s="27"/>
      <c r="D18" s="28"/>
      <c r="E18" s="36"/>
      <c r="F18" s="27"/>
      <c r="G18" s="28"/>
      <c r="H18" s="36">
        <v>707212</v>
      </c>
      <c r="I18" s="27"/>
      <c r="J18" s="28"/>
      <c r="K18" s="36"/>
      <c r="L18" s="27"/>
      <c r="M18" s="28"/>
      <c r="N18" s="36"/>
      <c r="O18" s="27"/>
      <c r="P18" s="35"/>
      <c r="Q18" s="36"/>
    </row>
    <row r="19" spans="1:32" ht="14.25" customHeight="1">
      <c r="A19" s="1"/>
      <c r="B19" s="26" t="s">
        <v>19</v>
      </c>
      <c r="C19" s="27"/>
      <c r="D19" s="28"/>
      <c r="E19" s="36"/>
      <c r="F19" s="27"/>
      <c r="G19" s="28"/>
      <c r="H19" s="36" t="s">
        <v>18</v>
      </c>
      <c r="I19" s="27"/>
      <c r="J19" s="28"/>
      <c r="K19" s="36"/>
      <c r="L19" s="27"/>
      <c r="M19" s="28"/>
      <c r="N19" s="36"/>
      <c r="O19" s="27"/>
      <c r="P19" s="35"/>
      <c r="Q19" s="36"/>
    </row>
    <row r="20" spans="1:32" ht="14.25" customHeight="1">
      <c r="A20" s="1"/>
      <c r="B20" s="26" t="s">
        <v>20</v>
      </c>
      <c r="C20" s="27"/>
      <c r="D20" s="28"/>
      <c r="E20" s="36"/>
      <c r="F20" s="27"/>
      <c r="G20" s="28"/>
      <c r="H20" s="36">
        <v>41</v>
      </c>
      <c r="I20" s="27"/>
      <c r="J20" s="28"/>
      <c r="K20" s="36"/>
      <c r="L20" s="27"/>
      <c r="M20" s="28"/>
      <c r="N20" s="35"/>
      <c r="O20" s="27"/>
      <c r="P20" s="28"/>
      <c r="Q20" s="36"/>
    </row>
    <row r="21" spans="1:32" ht="14.25" customHeight="1">
      <c r="A21" s="1"/>
      <c r="B21" s="26" t="s">
        <v>21</v>
      </c>
      <c r="C21" s="27"/>
      <c r="D21" s="28"/>
      <c r="E21" s="36">
        <v>1154</v>
      </c>
      <c r="F21" s="27"/>
      <c r="G21" s="28"/>
      <c r="H21" s="36">
        <v>1200</v>
      </c>
      <c r="I21" s="27"/>
      <c r="J21" s="28"/>
      <c r="K21" s="36"/>
      <c r="L21" s="27"/>
      <c r="M21" s="28"/>
      <c r="N21" s="35"/>
      <c r="O21" s="27"/>
      <c r="P21" s="28"/>
      <c r="Q21" s="36"/>
    </row>
    <row r="22" spans="1:32" ht="14.25" customHeight="1">
      <c r="A22" s="1"/>
      <c r="B22" s="26" t="s">
        <v>22</v>
      </c>
      <c r="C22" s="34"/>
      <c r="D22" s="35"/>
      <c r="E22" s="36" t="s">
        <v>23</v>
      </c>
      <c r="F22" s="34"/>
      <c r="G22" s="35"/>
      <c r="H22" s="36" t="s">
        <v>23</v>
      </c>
      <c r="I22" s="34"/>
      <c r="J22" s="35"/>
      <c r="K22" s="36"/>
      <c r="L22" s="34"/>
      <c r="M22" s="35"/>
      <c r="N22" s="35"/>
      <c r="O22" s="34"/>
      <c r="P22" s="35"/>
      <c r="Q22" s="36"/>
    </row>
    <row r="23" spans="1:32" ht="14.25" customHeight="1">
      <c r="A23" s="1"/>
      <c r="B23" s="26" t="s">
        <v>24</v>
      </c>
      <c r="C23" s="34"/>
      <c r="D23" s="35"/>
      <c r="E23" s="36" t="s">
        <v>25</v>
      </c>
      <c r="F23" s="34"/>
      <c r="G23" s="35"/>
      <c r="H23" s="36" t="s">
        <v>25</v>
      </c>
      <c r="I23" s="34"/>
      <c r="J23" s="35"/>
      <c r="K23" s="36"/>
      <c r="L23" s="34"/>
      <c r="M23" s="35"/>
      <c r="N23" s="35"/>
      <c r="O23" s="34"/>
      <c r="P23" s="35"/>
      <c r="Q23" s="36"/>
    </row>
    <row r="24" spans="1:32" ht="14.25" customHeight="1">
      <c r="A24" s="1"/>
      <c r="B24" s="26" t="s">
        <v>26</v>
      </c>
      <c r="C24" s="34"/>
      <c r="D24" s="35"/>
      <c r="E24" s="36" t="s">
        <v>27</v>
      </c>
      <c r="F24" s="34"/>
      <c r="G24" s="35"/>
      <c r="H24" s="36" t="s">
        <v>27</v>
      </c>
      <c r="I24" s="34"/>
      <c r="J24" s="35"/>
      <c r="K24" s="36"/>
      <c r="L24" s="227"/>
      <c r="M24" s="228"/>
      <c r="N24" s="229"/>
      <c r="O24" s="34"/>
      <c r="P24" s="35"/>
      <c r="Q24" s="36"/>
    </row>
    <row r="25" spans="1:32" ht="14.25" customHeight="1">
      <c r="A25" s="1"/>
      <c r="B25" s="26" t="s">
        <v>28</v>
      </c>
      <c r="C25" s="34"/>
      <c r="D25" s="35"/>
      <c r="E25" s="36" t="s">
        <v>29</v>
      </c>
      <c r="F25" s="34"/>
      <c r="G25" s="35"/>
      <c r="H25" s="36" t="s">
        <v>29</v>
      </c>
      <c r="I25" s="34"/>
      <c r="J25" s="35"/>
      <c r="K25" s="36"/>
      <c r="L25" s="34"/>
      <c r="M25" s="35"/>
      <c r="N25" s="35"/>
      <c r="O25" s="34"/>
      <c r="P25" s="35"/>
      <c r="Q25" s="36"/>
    </row>
    <row r="26" spans="1:32" ht="14.25" customHeight="1">
      <c r="A26" s="1"/>
      <c r="B26" s="26" t="s">
        <v>30</v>
      </c>
      <c r="C26" s="34"/>
      <c r="D26" s="35"/>
      <c r="E26" s="36" t="s">
        <v>31</v>
      </c>
      <c r="F26" s="34"/>
      <c r="G26" s="35"/>
      <c r="H26" s="36" t="s">
        <v>31</v>
      </c>
      <c r="I26" s="34"/>
      <c r="J26" s="35"/>
      <c r="K26" s="36"/>
      <c r="L26" s="34"/>
      <c r="M26" s="35"/>
      <c r="N26" s="36"/>
      <c r="O26" s="34"/>
      <c r="P26" s="35"/>
      <c r="Q26" s="36"/>
    </row>
    <row r="27" spans="1:32" ht="14.25" customHeight="1">
      <c r="A27" s="1"/>
      <c r="B27" s="26" t="s">
        <v>32</v>
      </c>
      <c r="C27" s="34"/>
      <c r="D27" s="35"/>
      <c r="E27" s="38"/>
      <c r="F27" s="34"/>
      <c r="G27" s="35"/>
      <c r="H27" s="38" t="s">
        <v>33</v>
      </c>
      <c r="I27" s="34"/>
      <c r="J27" s="35"/>
      <c r="K27" s="38"/>
      <c r="L27" s="34"/>
      <c r="M27" s="35"/>
      <c r="N27" s="39"/>
      <c r="O27" s="34"/>
      <c r="P27" s="35"/>
      <c r="Q27" s="38"/>
    </row>
    <row r="28" spans="1:32" ht="14.25" customHeight="1">
      <c r="A28" s="1"/>
      <c r="B28" s="26"/>
      <c r="C28" s="40"/>
      <c r="D28" s="35"/>
      <c r="E28" s="36"/>
      <c r="F28" s="40"/>
      <c r="G28" s="35"/>
      <c r="H28" s="36"/>
      <c r="I28" s="40"/>
      <c r="J28" s="35"/>
      <c r="K28" s="36"/>
      <c r="L28" s="40"/>
      <c r="M28" s="41"/>
      <c r="N28" s="35"/>
      <c r="O28" s="40"/>
      <c r="P28" s="35"/>
      <c r="Q28" s="36"/>
    </row>
    <row r="29" spans="1:32" ht="14.25" customHeight="1">
      <c r="A29" s="1"/>
      <c r="B29" s="26"/>
      <c r="C29" s="34"/>
      <c r="D29" s="35"/>
      <c r="E29" s="36"/>
      <c r="F29" s="34"/>
      <c r="G29" s="35"/>
      <c r="H29" s="36"/>
      <c r="I29" s="34"/>
      <c r="J29" s="35"/>
      <c r="K29" s="36"/>
      <c r="L29" s="34"/>
      <c r="M29" s="35"/>
      <c r="N29" s="35"/>
      <c r="O29" s="34"/>
      <c r="P29" s="35"/>
      <c r="Q29" s="36"/>
    </row>
    <row r="30" spans="1:32" ht="14.25" customHeight="1">
      <c r="A30" s="1"/>
      <c r="B30" s="26" t="s">
        <v>34</v>
      </c>
      <c r="C30" s="34"/>
      <c r="D30" s="35"/>
      <c r="E30" s="42" t="s">
        <v>80</v>
      </c>
      <c r="F30" s="34"/>
      <c r="G30" s="35"/>
      <c r="H30" s="42" t="s">
        <v>35</v>
      </c>
      <c r="I30" s="34"/>
      <c r="J30" s="35"/>
      <c r="K30" s="42"/>
      <c r="L30" s="34"/>
      <c r="M30" s="35"/>
      <c r="N30" s="43"/>
      <c r="O30" s="34"/>
      <c r="P30" s="35"/>
      <c r="Q30" s="42"/>
    </row>
    <row r="31" spans="1:32" ht="14.25" customHeight="1" thickBot="1">
      <c r="A31" s="1"/>
      <c r="B31" s="44"/>
      <c r="C31" s="45"/>
      <c r="D31" s="46"/>
      <c r="E31" s="47"/>
      <c r="F31" s="45"/>
      <c r="G31" s="46"/>
      <c r="H31" s="47"/>
      <c r="I31" s="45"/>
      <c r="J31" s="46"/>
      <c r="K31" s="47"/>
      <c r="L31" s="45"/>
      <c r="M31" s="46"/>
      <c r="N31" s="46"/>
      <c r="O31" s="45"/>
      <c r="P31" s="46"/>
      <c r="Q31" s="47"/>
    </row>
    <row r="32" spans="1:32" ht="14.25" customHeight="1" thickBot="1">
      <c r="A32" s="1"/>
      <c r="B32" s="48"/>
      <c r="C32" s="49"/>
      <c r="D32" s="50"/>
      <c r="E32" s="51"/>
      <c r="F32" s="49"/>
      <c r="G32" s="50"/>
      <c r="H32" s="51"/>
      <c r="I32" s="49"/>
      <c r="J32" s="50"/>
      <c r="K32" s="51"/>
      <c r="L32" s="49"/>
      <c r="M32" s="50"/>
      <c r="N32" s="50"/>
      <c r="O32" s="49"/>
      <c r="P32" s="50"/>
      <c r="Q32" s="51"/>
    </row>
    <row r="33" spans="1:21" ht="14.25" customHeight="1">
      <c r="A33" s="1"/>
      <c r="B33" s="52"/>
      <c r="C33" s="53"/>
      <c r="D33" s="54"/>
      <c r="E33" s="55"/>
      <c r="F33" s="53" t="s">
        <v>36</v>
      </c>
      <c r="G33" s="54" t="s">
        <v>36</v>
      </c>
      <c r="H33" s="55"/>
      <c r="I33" s="53"/>
      <c r="J33" s="54"/>
      <c r="K33" s="55"/>
      <c r="L33" s="53"/>
      <c r="M33" s="54"/>
      <c r="N33" s="55"/>
      <c r="O33" s="53"/>
      <c r="P33" s="54"/>
      <c r="Q33" s="56"/>
    </row>
    <row r="34" spans="1:21" ht="14.25" customHeight="1" thickBot="1">
      <c r="A34" s="57"/>
      <c r="B34" s="58" t="s">
        <v>37</v>
      </c>
      <c r="C34" s="59"/>
      <c r="D34" s="60"/>
      <c r="E34" s="61"/>
      <c r="F34" s="59" t="s">
        <v>38</v>
      </c>
      <c r="G34" s="60" t="s">
        <v>39</v>
      </c>
      <c r="H34" s="61" t="s">
        <v>40</v>
      </c>
      <c r="I34" s="59"/>
      <c r="J34" s="60"/>
      <c r="K34" s="61"/>
      <c r="L34" s="59"/>
      <c r="M34" s="60"/>
      <c r="N34" s="61"/>
      <c r="O34" s="59"/>
      <c r="P34" s="60"/>
      <c r="Q34" s="62"/>
    </row>
    <row r="35" spans="1:21" ht="14.25" customHeight="1">
      <c r="A35" s="63"/>
      <c r="B35" s="64" t="s">
        <v>41</v>
      </c>
      <c r="C35" s="65">
        <f>$C$6/E12-100%</f>
        <v>0.21540178571428581</v>
      </c>
      <c r="D35" s="66"/>
      <c r="E35" s="21"/>
      <c r="F35" s="65">
        <f>$C$6/H12-100%</f>
        <v>0.72583201267828845</v>
      </c>
      <c r="G35" s="67"/>
      <c r="H35" s="21"/>
      <c r="I35" s="65"/>
      <c r="J35" s="66"/>
      <c r="K35" s="21"/>
      <c r="L35" s="65"/>
      <c r="M35" s="66"/>
      <c r="N35" s="68"/>
      <c r="O35" s="65"/>
      <c r="P35" s="66"/>
      <c r="Q35" s="21"/>
    </row>
    <row r="36" spans="1:21" ht="14.25" customHeight="1">
      <c r="A36" s="63"/>
      <c r="B36" s="26" t="s">
        <v>42</v>
      </c>
      <c r="C36" s="69">
        <f t="shared" ref="C36:C47" si="0">E36*$C$6/E$12</f>
        <v>4245668.2566964282</v>
      </c>
      <c r="D36" s="70">
        <f t="shared" ref="D36:D47" si="1">E36/E$15*$C$6/E$12</f>
        <v>4.2670032730617375</v>
      </c>
      <c r="E36" s="71">
        <v>3493222</v>
      </c>
      <c r="F36" s="69">
        <f t="shared" ref="F36:F47" si="2">H36*$C$6/H$12</f>
        <v>7872843.5229793973</v>
      </c>
      <c r="G36" s="70">
        <f t="shared" ref="G36:G47" si="3">H36/H$15*$C$6/H$12</f>
        <v>5.8752563604323864</v>
      </c>
      <c r="H36" s="71">
        <f>3613764+304602+643401</f>
        <v>4561767</v>
      </c>
      <c r="I36" s="69"/>
      <c r="J36" s="70"/>
      <c r="K36" s="71"/>
      <c r="L36" s="69"/>
      <c r="M36" s="70"/>
      <c r="N36" s="72"/>
      <c r="O36" s="69"/>
      <c r="P36" s="70"/>
      <c r="Q36" s="71"/>
    </row>
    <row r="37" spans="1:21" ht="14.25" customHeight="1">
      <c r="A37" s="63"/>
      <c r="B37" s="26" t="s">
        <v>43</v>
      </c>
      <c r="C37" s="69">
        <f t="shared" si="0"/>
        <v>9395207.7287946437</v>
      </c>
      <c r="D37" s="70">
        <f t="shared" si="1"/>
        <v>9.4424198279343141</v>
      </c>
      <c r="E37" s="71">
        <v>7730125</v>
      </c>
      <c r="F37" s="69">
        <f t="shared" si="2"/>
        <v>5849371.0697305864</v>
      </c>
      <c r="G37" s="70">
        <f t="shared" si="3"/>
        <v>4.3652022908437207</v>
      </c>
      <c r="H37" s="71">
        <f>1700963+1245962+442380</f>
        <v>3389305</v>
      </c>
      <c r="I37" s="69"/>
      <c r="J37" s="70"/>
      <c r="K37" s="71"/>
      <c r="L37" s="69"/>
      <c r="M37" s="70"/>
      <c r="N37" s="72"/>
      <c r="O37" s="69"/>
      <c r="P37" s="70"/>
      <c r="Q37" s="71"/>
    </row>
    <row r="38" spans="1:21" ht="14.25" customHeight="1">
      <c r="A38" s="63"/>
      <c r="B38" s="26" t="s">
        <v>44</v>
      </c>
      <c r="C38" s="69">
        <f t="shared" si="0"/>
        <v>34010933.34375</v>
      </c>
      <c r="D38" s="70">
        <f t="shared" si="1"/>
        <v>34.181842556532665</v>
      </c>
      <c r="E38" s="71">
        <v>27983284</v>
      </c>
      <c r="F38" s="69">
        <f t="shared" si="2"/>
        <v>38652784.787638672</v>
      </c>
      <c r="G38" s="70">
        <f t="shared" si="3"/>
        <v>28.8453617818199</v>
      </c>
      <c r="H38" s="71">
        <f>14858549+1246074+6291986</f>
        <v>22396609</v>
      </c>
      <c r="I38" s="69"/>
      <c r="J38" s="70"/>
      <c r="K38" s="71"/>
      <c r="L38" s="69"/>
      <c r="M38" s="70"/>
      <c r="N38" s="72"/>
      <c r="O38" s="69"/>
      <c r="P38" s="70"/>
      <c r="Q38" s="71"/>
      <c r="R38" s="73"/>
      <c r="S38" s="73"/>
      <c r="T38" s="73"/>
      <c r="U38" s="73"/>
    </row>
    <row r="39" spans="1:21" ht="14.25" customHeight="1">
      <c r="A39" s="63"/>
      <c r="B39" s="26" t="s">
        <v>45</v>
      </c>
      <c r="C39" s="69">
        <f t="shared" si="0"/>
        <v>1337153.4441964286</v>
      </c>
      <c r="D39" s="70">
        <f t="shared" si="1"/>
        <v>1.3438728082376168</v>
      </c>
      <c r="E39" s="71">
        <v>1100174</v>
      </c>
      <c r="F39" s="69">
        <f t="shared" si="2"/>
        <v>1301163.4326465926</v>
      </c>
      <c r="G39" s="70">
        <f t="shared" si="3"/>
        <v>0.97101748704969604</v>
      </c>
      <c r="H39" s="71">
        <f>753934</f>
        <v>753934</v>
      </c>
      <c r="I39" s="69"/>
      <c r="J39" s="70"/>
      <c r="K39" s="71"/>
      <c r="L39" s="69"/>
      <c r="M39" s="70"/>
      <c r="N39" s="72"/>
      <c r="O39" s="69"/>
      <c r="P39" s="70"/>
      <c r="Q39" s="71"/>
      <c r="R39" s="73"/>
      <c r="S39" s="73"/>
      <c r="T39" s="73"/>
      <c r="U39" s="73"/>
    </row>
    <row r="40" spans="1:21" ht="14.25" customHeight="1">
      <c r="A40" s="63"/>
      <c r="B40" s="26" t="s">
        <v>46</v>
      </c>
      <c r="C40" s="69">
        <f t="shared" si="0"/>
        <v>23303758.941964287</v>
      </c>
      <c r="D40" s="70">
        <f t="shared" si="1"/>
        <v>23.420863258255562</v>
      </c>
      <c r="E40" s="71">
        <v>19173708</v>
      </c>
      <c r="F40" s="69">
        <f t="shared" si="2"/>
        <v>31959557.800316956</v>
      </c>
      <c r="G40" s="70">
        <f t="shared" si="3"/>
        <v>23.850416268893252</v>
      </c>
      <c r="H40" s="71">
        <f>14669737+3848611</f>
        <v>18518348</v>
      </c>
      <c r="I40" s="69"/>
      <c r="J40" s="70"/>
      <c r="K40" s="71"/>
      <c r="L40" s="69"/>
      <c r="M40" s="70"/>
      <c r="N40" s="72"/>
      <c r="O40" s="69"/>
      <c r="P40" s="70"/>
      <c r="Q40" s="71"/>
      <c r="R40" s="73"/>
      <c r="S40" s="73"/>
      <c r="T40" s="73"/>
      <c r="U40" s="73"/>
    </row>
    <row r="41" spans="1:21" ht="14.25" customHeight="1">
      <c r="A41" s="63"/>
      <c r="B41" s="26" t="s">
        <v>47</v>
      </c>
      <c r="C41" s="69">
        <f t="shared" si="0"/>
        <v>8853105.7165178563</v>
      </c>
      <c r="D41" s="70">
        <f t="shared" si="1"/>
        <v>8.897593684942569</v>
      </c>
      <c r="E41" s="71">
        <v>7284098</v>
      </c>
      <c r="F41" s="69">
        <f t="shared" si="2"/>
        <v>18912010.635499209</v>
      </c>
      <c r="G41" s="70">
        <f t="shared" si="3"/>
        <v>14.113440772760603</v>
      </c>
      <c r="H41" s="71">
        <f>1047265+281218+4146778+3406219+211130+1865589</f>
        <v>10958199</v>
      </c>
      <c r="I41" s="69"/>
      <c r="J41" s="70"/>
      <c r="K41" s="71"/>
      <c r="L41" s="69"/>
      <c r="M41" s="70"/>
      <c r="N41" s="72"/>
      <c r="O41" s="69"/>
      <c r="P41" s="70"/>
      <c r="Q41" s="71"/>
      <c r="R41" s="73"/>
      <c r="S41" s="73"/>
      <c r="T41" s="73"/>
      <c r="U41" s="73"/>
    </row>
    <row r="42" spans="1:21" ht="14.25" customHeight="1">
      <c r="A42" s="63"/>
      <c r="B42" s="26" t="s">
        <v>48</v>
      </c>
      <c r="C42" s="69">
        <f t="shared" si="0"/>
        <v>581551.5234375</v>
      </c>
      <c r="D42" s="70">
        <f t="shared" si="1"/>
        <v>0.58447389290201002</v>
      </c>
      <c r="E42" s="71">
        <v>478485</v>
      </c>
      <c r="F42" s="69">
        <f t="shared" si="2"/>
        <v>3246360.7749603805</v>
      </c>
      <c r="G42" s="70">
        <f t="shared" si="3"/>
        <v>2.4226572947465526</v>
      </c>
      <c r="H42" s="71">
        <f>625138+685770+570133</f>
        <v>1881041</v>
      </c>
      <c r="I42" s="69"/>
      <c r="J42" s="70"/>
      <c r="K42" s="71"/>
      <c r="L42" s="69"/>
      <c r="M42" s="70"/>
      <c r="N42" s="72"/>
      <c r="O42" s="69"/>
      <c r="P42" s="70"/>
      <c r="Q42" s="71"/>
      <c r="R42" s="73"/>
      <c r="S42" s="73"/>
      <c r="T42" s="73"/>
      <c r="U42" s="73"/>
    </row>
    <row r="43" spans="1:21" ht="14.25" customHeight="1">
      <c r="A43" s="63"/>
      <c r="B43" s="26" t="s">
        <v>49</v>
      </c>
      <c r="C43" s="69">
        <f t="shared" si="0"/>
        <v>5477693.0926339282</v>
      </c>
      <c r="D43" s="70">
        <f t="shared" si="1"/>
        <v>5.5052191885768123</v>
      </c>
      <c r="E43" s="71">
        <v>4506899</v>
      </c>
      <c r="F43" s="69">
        <f t="shared" si="2"/>
        <v>11053954.041204438</v>
      </c>
      <c r="G43" s="70">
        <f t="shared" si="3"/>
        <v>8.2492194337346554</v>
      </c>
      <c r="H43" s="71">
        <f>5850533+79210+475257</f>
        <v>6405000</v>
      </c>
      <c r="I43" s="69"/>
      <c r="J43" s="70"/>
      <c r="K43" s="71"/>
      <c r="L43" s="69"/>
      <c r="M43" s="70"/>
      <c r="N43" s="72"/>
      <c r="O43" s="69"/>
      <c r="P43" s="70"/>
      <c r="Q43" s="71"/>
      <c r="R43" s="73"/>
      <c r="S43" s="73"/>
      <c r="T43" s="73"/>
      <c r="U43" s="73"/>
    </row>
    <row r="44" spans="1:21" ht="14.25" customHeight="1">
      <c r="A44" s="63"/>
      <c r="B44" s="26" t="s">
        <v>50</v>
      </c>
      <c r="C44" s="69">
        <f t="shared" si="0"/>
        <v>3160044.6428571427</v>
      </c>
      <c r="D44" s="70">
        <f t="shared" si="1"/>
        <v>3.175924264178033</v>
      </c>
      <c r="E44" s="71">
        <v>2600000</v>
      </c>
      <c r="F44" s="69">
        <f t="shared" si="2"/>
        <v>3086282.9524564184</v>
      </c>
      <c r="G44" s="70">
        <f t="shared" si="3"/>
        <v>2.3031962331764313</v>
      </c>
      <c r="H44" s="71">
        <f>1727075+11567+49645</f>
        <v>1788287</v>
      </c>
      <c r="I44" s="69"/>
      <c r="J44" s="70"/>
      <c r="K44" s="71"/>
      <c r="L44" s="69"/>
      <c r="M44" s="70"/>
      <c r="N44" s="72"/>
      <c r="O44" s="69"/>
      <c r="P44" s="70"/>
      <c r="Q44" s="71"/>
      <c r="R44" s="73"/>
      <c r="S44" s="73"/>
      <c r="T44" s="73"/>
      <c r="U44" s="73"/>
    </row>
    <row r="45" spans="1:21" ht="14.25" customHeight="1">
      <c r="A45" s="63"/>
      <c r="B45" s="26" t="s">
        <v>51</v>
      </c>
      <c r="C45" s="69">
        <f t="shared" si="0"/>
        <v>1419140.802455357</v>
      </c>
      <c r="D45" s="70">
        <f t="shared" si="1"/>
        <v>1.4262721632717157</v>
      </c>
      <c r="E45" s="71">
        <v>1167631</v>
      </c>
      <c r="F45" s="69">
        <f t="shared" si="2"/>
        <v>1746426.3660855785</v>
      </c>
      <c r="G45" s="70">
        <f t="shared" si="3"/>
        <v>1.3033032582728197</v>
      </c>
      <c r="H45" s="71">
        <f>475968+101278+434687</f>
        <v>1011933</v>
      </c>
      <c r="I45" s="69"/>
      <c r="J45" s="70"/>
      <c r="K45" s="71"/>
      <c r="L45" s="69"/>
      <c r="M45" s="70"/>
      <c r="N45" s="72"/>
      <c r="O45" s="69"/>
      <c r="P45" s="70"/>
      <c r="Q45" s="71"/>
      <c r="R45" s="73"/>
      <c r="S45" s="73"/>
      <c r="T45" s="73"/>
      <c r="U45" s="73"/>
    </row>
    <row r="46" spans="1:21" ht="14.25" customHeight="1">
      <c r="A46" s="63"/>
      <c r="B46" s="26" t="s">
        <v>52</v>
      </c>
      <c r="C46" s="69">
        <f t="shared" si="0"/>
        <v>6808104.703125</v>
      </c>
      <c r="D46" s="70">
        <f t="shared" si="1"/>
        <v>6.8423162845477394</v>
      </c>
      <c r="E46" s="71">
        <v>5601526</v>
      </c>
      <c r="F46" s="69">
        <f t="shared" si="2"/>
        <v>14755768.787638668</v>
      </c>
      <c r="G46" s="70">
        <f t="shared" si="3"/>
        <v>11.011767751969154</v>
      </c>
      <c r="H46" s="71">
        <f>7474445+855957+25159+16326+107984+70074</f>
        <v>8549945</v>
      </c>
      <c r="I46" s="69"/>
      <c r="J46" s="70"/>
      <c r="K46" s="71"/>
      <c r="L46" s="69"/>
      <c r="M46" s="70"/>
      <c r="N46" s="72"/>
      <c r="O46" s="69"/>
      <c r="P46" s="70"/>
      <c r="Q46" s="71"/>
      <c r="R46" s="73"/>
      <c r="S46" s="73"/>
      <c r="T46" s="73"/>
      <c r="U46" s="73"/>
    </row>
    <row r="47" spans="1:21" ht="14.25" customHeight="1" thickBot="1">
      <c r="A47" s="63"/>
      <c r="B47" s="44" t="s">
        <v>53</v>
      </c>
      <c r="C47" s="74">
        <f t="shared" si="0"/>
        <v>6642803.9832589282</v>
      </c>
      <c r="D47" s="75">
        <f t="shared" si="1"/>
        <v>6.6761849077979178</v>
      </c>
      <c r="E47" s="76">
        <v>5465521</v>
      </c>
      <c r="F47" s="74">
        <f t="shared" si="2"/>
        <v>11589714.427892234</v>
      </c>
      <c r="G47" s="75">
        <f t="shared" si="3"/>
        <v>8.6490406178300248</v>
      </c>
      <c r="H47" s="76">
        <f>4970006+329822+1415608</f>
        <v>6715436</v>
      </c>
      <c r="I47" s="74"/>
      <c r="J47" s="75"/>
      <c r="K47" s="76"/>
      <c r="L47" s="74"/>
      <c r="M47" s="75"/>
      <c r="N47" s="77"/>
      <c r="O47" s="74"/>
      <c r="P47" s="75"/>
      <c r="Q47" s="76"/>
      <c r="R47" s="73"/>
      <c r="S47" s="73"/>
      <c r="T47" s="73"/>
      <c r="U47" s="73"/>
    </row>
    <row r="48" spans="1:21" s="25" customFormat="1" ht="14.25" customHeight="1">
      <c r="A48" s="23"/>
      <c r="B48" s="78" t="s">
        <v>54</v>
      </c>
      <c r="C48" s="79">
        <f t="shared" ref="C48:D48" si="4">SUM(C36:C47)</f>
        <v>105235166.1796875</v>
      </c>
      <c r="D48" s="80">
        <f t="shared" si="4"/>
        <v>105.7639861102387</v>
      </c>
      <c r="E48" s="81">
        <f>SUM(E36:E47)</f>
        <v>86584673</v>
      </c>
      <c r="F48" s="79">
        <f t="shared" ref="F48:H48" si="5">SUM(F36:F47)</f>
        <v>150026238.59904912</v>
      </c>
      <c r="G48" s="80">
        <f t="shared" si="5"/>
        <v>111.9598795515292</v>
      </c>
      <c r="H48" s="81">
        <f t="shared" si="5"/>
        <v>86929804</v>
      </c>
      <c r="I48" s="79"/>
      <c r="J48" s="80"/>
      <c r="K48" s="81"/>
      <c r="L48" s="79"/>
      <c r="M48" s="80"/>
      <c r="N48" s="82"/>
      <c r="O48" s="79"/>
      <c r="P48" s="80"/>
      <c r="Q48" s="81"/>
      <c r="R48" s="83"/>
      <c r="S48" s="83"/>
      <c r="T48" s="83"/>
      <c r="U48" s="83"/>
    </row>
    <row r="49" spans="1:21" ht="14.25" customHeight="1">
      <c r="A49" s="1"/>
      <c r="B49" s="26"/>
      <c r="C49" s="69"/>
      <c r="D49" s="70"/>
      <c r="E49" s="71"/>
      <c r="F49" s="69"/>
      <c r="G49" s="70"/>
      <c r="H49" s="71"/>
      <c r="I49" s="69"/>
      <c r="J49" s="70"/>
      <c r="K49" s="71"/>
      <c r="L49" s="69"/>
      <c r="M49" s="70"/>
      <c r="N49" s="72"/>
      <c r="O49" s="69"/>
      <c r="P49" s="70"/>
      <c r="Q49" s="71"/>
      <c r="R49" s="73"/>
      <c r="S49" s="73"/>
      <c r="T49" s="73"/>
      <c r="U49" s="73"/>
    </row>
    <row r="50" spans="1:21" ht="14.25" customHeight="1">
      <c r="A50" s="1"/>
      <c r="B50" s="26"/>
      <c r="C50" s="69"/>
      <c r="D50" s="70"/>
      <c r="E50" s="71"/>
      <c r="F50" s="69"/>
      <c r="G50" s="70"/>
      <c r="H50" s="71"/>
      <c r="I50" s="69"/>
      <c r="J50" s="70"/>
      <c r="K50" s="71"/>
      <c r="L50" s="69"/>
      <c r="M50" s="70"/>
      <c r="N50" s="72"/>
      <c r="O50" s="69"/>
      <c r="P50" s="70"/>
      <c r="Q50" s="71"/>
      <c r="R50" s="73"/>
      <c r="S50" s="73"/>
      <c r="T50" s="73"/>
      <c r="U50" s="73"/>
    </row>
    <row r="51" spans="1:21" ht="14.25" customHeight="1">
      <c r="A51" s="1"/>
      <c r="B51" s="26" t="s">
        <v>55</v>
      </c>
      <c r="C51" s="69"/>
      <c r="D51" s="70"/>
      <c r="E51" s="71">
        <v>800000</v>
      </c>
      <c r="F51" s="69"/>
      <c r="G51" s="70"/>
      <c r="H51" s="84"/>
      <c r="I51" s="69"/>
      <c r="J51" s="70"/>
      <c r="K51" s="71"/>
      <c r="L51" s="69"/>
      <c r="M51" s="70"/>
      <c r="N51" s="72"/>
      <c r="O51" s="69"/>
      <c r="P51" s="70"/>
      <c r="Q51" s="71"/>
      <c r="R51" s="73"/>
      <c r="S51" s="73"/>
      <c r="T51" s="73"/>
      <c r="U51" s="73"/>
    </row>
    <row r="52" spans="1:21" ht="14.25" customHeight="1">
      <c r="A52" s="1"/>
      <c r="B52" s="26" t="s">
        <v>56</v>
      </c>
      <c r="C52" s="69">
        <f>E52*$C$6/E$12</f>
        <v>0</v>
      </c>
      <c r="D52" s="70">
        <f>E52/E$15*$C$6/E$12</f>
        <v>0</v>
      </c>
      <c r="E52" s="71">
        <v>0</v>
      </c>
      <c r="F52" s="69">
        <f>H52*$C$6/H$12</f>
        <v>2320829.8573692553</v>
      </c>
      <c r="G52" s="70">
        <f>H52/H$15*$C$6/H$12</f>
        <v>1.7319625801263097</v>
      </c>
      <c r="H52" s="71">
        <f>628660+716100</f>
        <v>1344760</v>
      </c>
      <c r="I52" s="69"/>
      <c r="J52" s="70"/>
      <c r="K52" s="71"/>
      <c r="L52" s="69"/>
      <c r="M52" s="70"/>
      <c r="N52" s="72"/>
      <c r="O52" s="69"/>
      <c r="P52" s="70"/>
      <c r="Q52" s="71"/>
      <c r="R52" s="73"/>
      <c r="S52" s="73"/>
      <c r="T52" s="73"/>
      <c r="U52" s="73"/>
    </row>
    <row r="53" spans="1:21" ht="14.25" customHeight="1">
      <c r="A53" s="1"/>
      <c r="B53" s="26" t="s">
        <v>57</v>
      </c>
      <c r="C53" s="69">
        <f>E53*$C$6/E$12</f>
        <v>0</v>
      </c>
      <c r="D53" s="70">
        <f>E53/E$15*$C$6/E$12</f>
        <v>0</v>
      </c>
      <c r="E53" s="71">
        <v>0</v>
      </c>
      <c r="F53" s="69">
        <f>H53*$C$6/H$12</f>
        <v>2250393.5789857372</v>
      </c>
      <c r="G53" s="70">
        <f>H53/H$15*$C$6/H$12</f>
        <v>1.6793981932729383</v>
      </c>
      <c r="H53" s="71">
        <f>H48*0.015</f>
        <v>1303947.06</v>
      </c>
      <c r="I53" s="69"/>
      <c r="J53" s="70"/>
      <c r="K53" s="71"/>
      <c r="L53" s="69"/>
      <c r="M53" s="70"/>
      <c r="N53" s="72"/>
      <c r="O53" s="69"/>
      <c r="P53" s="70"/>
      <c r="Q53" s="71"/>
      <c r="R53" s="73"/>
      <c r="S53" s="73"/>
      <c r="T53" s="73"/>
      <c r="U53" s="73"/>
    </row>
    <row r="54" spans="1:21" ht="14.25" customHeight="1" thickBot="1">
      <c r="A54" s="1"/>
      <c r="B54" s="44" t="s">
        <v>58</v>
      </c>
      <c r="C54" s="74">
        <f>E54*$C$6/E$12</f>
        <v>6182521.6037946427</v>
      </c>
      <c r="D54" s="75">
        <f>E54/E$15*$C$6/E$12</f>
        <v>6.2135895515524044</v>
      </c>
      <c r="E54" s="76">
        <v>5086813</v>
      </c>
      <c r="F54" s="74">
        <f>H54*$C$6/H$12</f>
        <v>9242865.9270998407</v>
      </c>
      <c r="G54" s="75">
        <f>H54/H$15*$C$6/H$12</f>
        <v>6.8976611396267478</v>
      </c>
      <c r="H54" s="76">
        <v>5355600</v>
      </c>
      <c r="I54" s="74"/>
      <c r="J54" s="75"/>
      <c r="K54" s="76"/>
      <c r="L54" s="74"/>
      <c r="M54" s="75"/>
      <c r="N54" s="77"/>
      <c r="O54" s="74"/>
      <c r="P54" s="75"/>
      <c r="Q54" s="76"/>
      <c r="R54" s="73"/>
      <c r="S54" s="73"/>
      <c r="T54" s="73"/>
      <c r="U54" s="73"/>
    </row>
    <row r="55" spans="1:21" s="25" customFormat="1" ht="14.25" customHeight="1">
      <c r="A55" s="23"/>
      <c r="B55" s="78" t="s">
        <v>59</v>
      </c>
      <c r="C55" s="79">
        <f t="shared" ref="C55:D55" si="6">SUM(C48:C54)</f>
        <v>111417687.78348215</v>
      </c>
      <c r="D55" s="80">
        <f t="shared" si="6"/>
        <v>111.97757566179111</v>
      </c>
      <c r="E55" s="81">
        <f t="shared" ref="E55:H55" si="7">SUM(E48:E54)</f>
        <v>92471486</v>
      </c>
      <c r="F55" s="79">
        <f t="shared" si="7"/>
        <v>163840327.96250397</v>
      </c>
      <c r="G55" s="80">
        <f t="shared" si="7"/>
        <v>122.2689014645552</v>
      </c>
      <c r="H55" s="81">
        <f t="shared" si="7"/>
        <v>94934111.060000002</v>
      </c>
      <c r="I55" s="79"/>
      <c r="J55" s="80"/>
      <c r="K55" s="81"/>
      <c r="L55" s="79"/>
      <c r="M55" s="80"/>
      <c r="N55" s="82"/>
      <c r="O55" s="79"/>
      <c r="P55" s="80"/>
      <c r="Q55" s="81"/>
      <c r="R55" s="83"/>
      <c r="S55" s="83"/>
      <c r="T55" s="83"/>
      <c r="U55" s="83"/>
    </row>
    <row r="56" spans="1:21" ht="14.25" customHeight="1">
      <c r="A56" s="1"/>
      <c r="B56" s="26"/>
      <c r="C56" s="69"/>
      <c r="D56" s="70"/>
      <c r="E56" s="71"/>
      <c r="F56" s="69"/>
      <c r="G56" s="70"/>
      <c r="H56" s="71"/>
      <c r="I56" s="69"/>
      <c r="J56" s="70"/>
      <c r="K56" s="71"/>
      <c r="L56" s="69"/>
      <c r="M56" s="70"/>
      <c r="N56" s="72"/>
      <c r="O56" s="69"/>
      <c r="P56" s="70"/>
      <c r="Q56" s="71"/>
    </row>
    <row r="57" spans="1:21" ht="14.25" customHeight="1" thickBot="1">
      <c r="A57" s="1"/>
      <c r="B57" s="44" t="s">
        <v>60</v>
      </c>
      <c r="C57" s="74">
        <f>E57*$C$6/E$12</f>
        <v>3063625.6037946427</v>
      </c>
      <c r="D57" s="75">
        <f>E57/E$15*$C$6/E$12</f>
        <v>3.0790207073312992</v>
      </c>
      <c r="E57" s="76">
        <v>2520669</v>
      </c>
      <c r="F57" s="74">
        <f>H57*$C$6/H$12</f>
        <v>3348114.1045958796</v>
      </c>
      <c r="G57" s="75">
        <f>H57/H$15*$C$6/H$12</f>
        <v>2.4985926153700593</v>
      </c>
      <c r="H57" s="76">
        <f>1850000+90000</f>
        <v>1940000</v>
      </c>
      <c r="I57" s="74"/>
      <c r="J57" s="75"/>
      <c r="K57" s="76"/>
      <c r="L57" s="74"/>
      <c r="M57" s="75"/>
      <c r="N57" s="77"/>
      <c r="O57" s="74"/>
      <c r="P57" s="75"/>
      <c r="Q57" s="76"/>
    </row>
    <row r="58" spans="1:21" s="25" customFormat="1" ht="14.25" customHeight="1">
      <c r="A58" s="23"/>
      <c r="B58" s="78" t="s">
        <v>61</v>
      </c>
      <c r="C58" s="79">
        <f t="shared" ref="C58:D58" si="8">SUM(C55:C57)</f>
        <v>114481313.3872768</v>
      </c>
      <c r="D58" s="80">
        <f t="shared" si="8"/>
        <v>115.0565963691224</v>
      </c>
      <c r="E58" s="81">
        <f t="shared" ref="E58:H58" si="9">SUM(E55:E57)</f>
        <v>94992155</v>
      </c>
      <c r="F58" s="79">
        <f t="shared" si="9"/>
        <v>167188442.06709984</v>
      </c>
      <c r="G58" s="80">
        <f t="shared" si="9"/>
        <v>124.76749407992526</v>
      </c>
      <c r="H58" s="81">
        <f t="shared" si="9"/>
        <v>96874111.060000002</v>
      </c>
      <c r="I58" s="79"/>
      <c r="J58" s="80"/>
      <c r="K58" s="81"/>
      <c r="L58" s="79"/>
      <c r="M58" s="80"/>
      <c r="N58" s="82"/>
      <c r="O58" s="79"/>
      <c r="P58" s="80"/>
      <c r="Q58" s="81"/>
    </row>
    <row r="59" spans="1:21" s="25" customFormat="1" ht="14.25" customHeight="1">
      <c r="A59" s="23"/>
      <c r="B59" s="78"/>
      <c r="C59" s="79"/>
      <c r="D59" s="85"/>
      <c r="E59" s="81"/>
      <c r="F59" s="79"/>
      <c r="G59" s="85"/>
      <c r="H59" s="81"/>
      <c r="I59" s="79"/>
      <c r="J59" s="85"/>
      <c r="K59" s="81"/>
      <c r="L59" s="79"/>
      <c r="M59" s="85"/>
      <c r="N59" s="82"/>
      <c r="O59" s="79"/>
      <c r="P59" s="85"/>
      <c r="Q59" s="81"/>
    </row>
    <row r="60" spans="1:21" s="25" customFormat="1" ht="14.25" customHeight="1" outlineLevel="1">
      <c r="A60" s="23"/>
      <c r="B60" s="22" t="s">
        <v>62</v>
      </c>
      <c r="C60" s="79"/>
      <c r="D60" s="86"/>
      <c r="E60" s="87"/>
      <c r="F60" s="79"/>
      <c r="G60" s="85"/>
      <c r="H60" s="87">
        <f>H52/H58</f>
        <v>1.3881520927372522E-2</v>
      </c>
      <c r="I60" s="79"/>
      <c r="J60" s="85"/>
      <c r="K60" s="87"/>
      <c r="L60" s="79"/>
      <c r="M60" s="85"/>
      <c r="N60" s="87"/>
      <c r="O60" s="79"/>
      <c r="P60" s="85"/>
      <c r="Q60" s="87"/>
    </row>
    <row r="61" spans="1:21" s="25" customFormat="1" ht="14.25" customHeight="1" outlineLevel="1">
      <c r="A61" s="23"/>
      <c r="B61" s="26" t="s">
        <v>63</v>
      </c>
      <c r="C61" s="79"/>
      <c r="D61" s="86"/>
      <c r="E61" s="87"/>
      <c r="F61" s="79"/>
      <c r="G61" s="85"/>
      <c r="H61" s="87">
        <f>H53/H48</f>
        <v>1.5000000000000001E-2</v>
      </c>
      <c r="I61" s="79"/>
      <c r="J61" s="85"/>
      <c r="K61" s="87"/>
      <c r="L61" s="79"/>
      <c r="M61" s="85"/>
      <c r="N61" s="87"/>
      <c r="O61" s="79"/>
      <c r="P61" s="85"/>
      <c r="Q61" s="87"/>
    </row>
    <row r="62" spans="1:21" ht="14.25" customHeight="1" outlineLevel="1">
      <c r="A62" s="1"/>
      <c r="B62" s="26" t="s">
        <v>64</v>
      </c>
      <c r="C62" s="69"/>
      <c r="D62" s="88"/>
      <c r="E62" s="87"/>
      <c r="F62" s="69"/>
      <c r="G62" s="88"/>
      <c r="H62" s="87">
        <f>H54/H58</f>
        <v>5.5284120198872869E-2</v>
      </c>
      <c r="I62" s="69"/>
      <c r="J62" s="88"/>
      <c r="K62" s="87"/>
      <c r="L62" s="69"/>
      <c r="M62" s="88"/>
      <c r="N62" s="87"/>
      <c r="O62" s="69"/>
      <c r="P62" s="88"/>
      <c r="Q62" s="87"/>
    </row>
    <row r="63" spans="1:21" ht="14.25" customHeight="1" outlineLevel="1">
      <c r="A63" s="1"/>
      <c r="B63" s="26" t="s">
        <v>65</v>
      </c>
      <c r="C63" s="69"/>
      <c r="D63" s="88"/>
      <c r="E63" s="87"/>
      <c r="F63" s="69"/>
      <c r="G63" s="88"/>
      <c r="H63" s="87">
        <f>H57/H58</f>
        <v>2.0025990213199899E-2</v>
      </c>
      <c r="I63" s="69"/>
      <c r="J63" s="88"/>
      <c r="K63" s="87"/>
      <c r="L63" s="69"/>
      <c r="M63" s="88"/>
      <c r="N63" s="87"/>
      <c r="O63" s="69"/>
      <c r="P63" s="88"/>
      <c r="Q63" s="87"/>
    </row>
    <row r="64" spans="1:21" ht="14.25" customHeight="1" outlineLevel="1">
      <c r="A64" s="1"/>
      <c r="B64" s="26"/>
      <c r="C64" s="69"/>
      <c r="D64" s="88"/>
      <c r="E64" s="87"/>
      <c r="F64" s="69"/>
      <c r="G64" s="88"/>
      <c r="H64" s="87"/>
      <c r="I64" s="69"/>
      <c r="J64" s="88"/>
      <c r="K64" s="87"/>
      <c r="L64" s="69"/>
      <c r="M64" s="88"/>
      <c r="N64" s="89"/>
      <c r="O64" s="69"/>
      <c r="P64" s="88"/>
      <c r="Q64" s="87"/>
    </row>
    <row r="65" spans="1:17" ht="14.25" customHeight="1">
      <c r="A65" s="1"/>
      <c r="B65" s="90" t="s">
        <v>66</v>
      </c>
      <c r="C65" s="69" t="s">
        <v>36</v>
      </c>
      <c r="D65" s="88"/>
      <c r="E65" s="71"/>
      <c r="F65" s="69"/>
      <c r="G65" s="88"/>
      <c r="H65" s="71"/>
      <c r="I65" s="69"/>
      <c r="J65" s="88"/>
      <c r="K65" s="71"/>
      <c r="L65" s="69"/>
      <c r="M65" s="88"/>
      <c r="N65" s="72"/>
      <c r="O65" s="69"/>
      <c r="P65" s="88"/>
      <c r="Q65" s="72"/>
    </row>
    <row r="66" spans="1:17" ht="14.25" customHeight="1">
      <c r="A66" s="1"/>
      <c r="B66" s="26" t="s">
        <v>67</v>
      </c>
      <c r="C66" s="91"/>
      <c r="D66" s="92"/>
      <c r="E66" s="93"/>
      <c r="F66" s="91">
        <v>8.7513268889452434</v>
      </c>
      <c r="G66" s="92"/>
      <c r="H66" s="93"/>
      <c r="I66" s="91"/>
      <c r="J66" s="92"/>
      <c r="K66" s="93"/>
      <c r="L66" s="91"/>
      <c r="M66" s="92"/>
      <c r="N66" s="92"/>
      <c r="O66" s="91"/>
      <c r="P66" s="92"/>
      <c r="Q66" s="92"/>
    </row>
    <row r="67" spans="1:17" ht="14.25" customHeight="1">
      <c r="A67" s="1"/>
      <c r="B67" s="26" t="s">
        <v>68</v>
      </c>
      <c r="C67" s="91">
        <v>134</v>
      </c>
      <c r="D67" s="92"/>
      <c r="E67" s="93"/>
      <c r="F67" s="91">
        <v>121.1506523182852</v>
      </c>
      <c r="G67" s="92"/>
      <c r="H67" s="93"/>
      <c r="I67" s="91"/>
      <c r="J67" s="92"/>
      <c r="K67" s="93"/>
      <c r="L67" s="91"/>
      <c r="M67" s="92"/>
      <c r="N67" s="92"/>
      <c r="O67" s="91"/>
      <c r="P67" s="92"/>
      <c r="Q67" s="92"/>
    </row>
    <row r="68" spans="1:17" ht="14.25" customHeight="1">
      <c r="A68" s="1"/>
      <c r="B68" s="26" t="s">
        <v>69</v>
      </c>
      <c r="C68" s="91">
        <v>59.5</v>
      </c>
      <c r="D68" s="92"/>
      <c r="E68" s="93"/>
      <c r="F68" s="91">
        <v>45.741926457383776</v>
      </c>
      <c r="G68" s="92"/>
      <c r="H68" s="93"/>
      <c r="I68" s="91"/>
      <c r="J68" s="92"/>
      <c r="K68" s="93"/>
      <c r="L68" s="91"/>
      <c r="M68" s="92"/>
      <c r="N68" s="92"/>
      <c r="O68" s="91"/>
      <c r="P68" s="92"/>
      <c r="Q68" s="92"/>
    </row>
    <row r="69" spans="1:17" ht="14.25" customHeight="1">
      <c r="A69" s="1"/>
      <c r="B69" s="26" t="s">
        <v>70</v>
      </c>
      <c r="C69" s="91"/>
      <c r="D69" s="92"/>
      <c r="E69" s="93"/>
      <c r="F69" s="91"/>
      <c r="G69" s="92"/>
      <c r="H69" s="93"/>
      <c r="I69" s="91"/>
      <c r="J69" s="92"/>
      <c r="K69" s="93"/>
      <c r="L69" s="91"/>
      <c r="M69" s="92"/>
      <c r="N69" s="92"/>
      <c r="O69" s="91"/>
      <c r="P69" s="92"/>
      <c r="Q69" s="92"/>
    </row>
    <row r="70" spans="1:17" ht="14.25" customHeight="1">
      <c r="A70" s="1"/>
      <c r="B70" s="26" t="s">
        <v>71</v>
      </c>
      <c r="C70" s="91"/>
      <c r="D70" s="92"/>
      <c r="E70" s="93"/>
      <c r="F70" s="91">
        <v>121.1506523182852</v>
      </c>
      <c r="G70" s="92"/>
      <c r="H70" s="93"/>
      <c r="I70" s="91"/>
      <c r="J70" s="92"/>
      <c r="K70" s="93"/>
      <c r="L70" s="91"/>
      <c r="M70" s="92"/>
      <c r="N70" s="92"/>
      <c r="O70" s="91"/>
      <c r="P70" s="92"/>
      <c r="Q70" s="92"/>
    </row>
    <row r="71" spans="1:17" ht="14.25" customHeight="1">
      <c r="A71" s="1"/>
      <c r="B71" s="26"/>
      <c r="C71" s="69"/>
      <c r="D71" s="88"/>
      <c r="E71" s="71"/>
      <c r="F71" s="69"/>
      <c r="G71" s="88"/>
      <c r="H71" s="71"/>
      <c r="I71" s="69"/>
      <c r="J71" s="88"/>
      <c r="K71" s="71"/>
      <c r="L71" s="69"/>
      <c r="M71" s="88"/>
      <c r="N71" s="72"/>
      <c r="O71" s="69"/>
      <c r="P71" s="88"/>
      <c r="Q71" s="71"/>
    </row>
    <row r="72" spans="1:17" ht="14.25" customHeight="1">
      <c r="A72" s="1"/>
      <c r="B72" s="90" t="s">
        <v>72</v>
      </c>
      <c r="C72" s="69"/>
      <c r="D72" s="88"/>
      <c r="E72" s="71"/>
      <c r="F72" s="69"/>
      <c r="G72" s="88"/>
      <c r="H72" s="71"/>
      <c r="I72" s="69"/>
      <c r="J72" s="88"/>
      <c r="K72" s="71"/>
      <c r="L72" s="69"/>
      <c r="M72" s="88"/>
      <c r="N72" s="72"/>
      <c r="O72" s="69"/>
      <c r="P72" s="88"/>
      <c r="Q72" s="71"/>
    </row>
    <row r="73" spans="1:17" ht="14.25" customHeight="1">
      <c r="A73" s="1"/>
      <c r="B73" s="26" t="s">
        <v>73</v>
      </c>
      <c r="C73" s="94"/>
      <c r="D73" s="88"/>
      <c r="E73" s="71"/>
      <c r="F73" s="94">
        <f>H17/H21</f>
        <v>498.33333333333331</v>
      </c>
      <c r="G73" s="88"/>
      <c r="H73" s="71"/>
      <c r="I73" s="94"/>
      <c r="J73" s="88"/>
      <c r="K73" s="71"/>
      <c r="L73" s="94"/>
      <c r="M73" s="88"/>
      <c r="N73" s="72"/>
      <c r="O73" s="94"/>
      <c r="P73" s="88"/>
      <c r="Q73" s="71"/>
    </row>
    <row r="74" spans="1:17" ht="14.25" customHeight="1">
      <c r="A74" s="1"/>
      <c r="B74" s="26" t="s">
        <v>74</v>
      </c>
      <c r="C74" s="95"/>
      <c r="D74" s="88"/>
      <c r="E74" s="71"/>
      <c r="F74" s="95">
        <f>H18/H16</f>
        <v>0.95311590296495952</v>
      </c>
      <c r="G74" s="88"/>
      <c r="H74" s="71"/>
      <c r="I74" s="95"/>
      <c r="J74" s="88"/>
      <c r="K74" s="71"/>
      <c r="L74" s="95"/>
      <c r="M74" s="88"/>
      <c r="N74" s="72"/>
      <c r="O74" s="95"/>
      <c r="P74" s="88"/>
      <c r="Q74" s="71"/>
    </row>
    <row r="75" spans="1:17" ht="14.25" customHeight="1">
      <c r="A75" s="1"/>
      <c r="B75" s="26" t="s">
        <v>75</v>
      </c>
      <c r="C75" s="95"/>
      <c r="D75" s="88"/>
      <c r="E75" s="96"/>
      <c r="F75" s="95">
        <v>0.53</v>
      </c>
      <c r="G75" s="88"/>
      <c r="H75" s="96">
        <f>H40/(H16*F75)</f>
        <v>47.089325128413769</v>
      </c>
      <c r="I75" s="95"/>
      <c r="J75" s="88"/>
      <c r="K75" s="96"/>
      <c r="L75" s="95"/>
      <c r="M75" s="88"/>
      <c r="N75" s="96"/>
      <c r="O75" s="95"/>
      <c r="P75" s="88"/>
      <c r="Q75" s="96"/>
    </row>
    <row r="76" spans="1:17" s="97" customFormat="1" ht="14.25" customHeight="1" thickBot="1">
      <c r="B76" s="98"/>
      <c r="C76" s="99"/>
      <c r="D76" s="100"/>
      <c r="E76" s="101"/>
      <c r="F76" s="99"/>
      <c r="G76" s="100"/>
      <c r="H76" s="101"/>
      <c r="I76" s="99"/>
      <c r="J76" s="100"/>
      <c r="K76" s="101"/>
      <c r="L76" s="99"/>
      <c r="M76" s="100"/>
      <c r="N76" s="102"/>
      <c r="O76" s="99"/>
      <c r="P76" s="100"/>
      <c r="Q76" s="101"/>
    </row>
  </sheetData>
  <mergeCells count="11">
    <mergeCell ref="O9:Q9"/>
    <mergeCell ref="L24:N24"/>
    <mergeCell ref="F10:H10"/>
    <mergeCell ref="I10:K10"/>
    <mergeCell ref="L10:N10"/>
    <mergeCell ref="O10:Q10"/>
    <mergeCell ref="C10:E10"/>
    <mergeCell ref="C9:E9"/>
    <mergeCell ref="F9:H9"/>
    <mergeCell ref="I9:K9"/>
    <mergeCell ref="L9:N9"/>
  </mergeCells>
  <printOptions horizontalCentered="1" verticalCentered="1"/>
  <pageMargins left="0" right="0" top="0" bottom="0.5" header="0.25" footer="0.1"/>
  <pageSetup paperSize="119" scale="77" orientation="landscape" r:id="rId1"/>
  <headerFooter alignWithMargins="0">
    <oddFooter>&amp;LC:\SAS\&amp;F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77"/>
  <sheetViews>
    <sheetView workbookViewId="0">
      <selection activeCell="B30" sqref="B30"/>
    </sheetView>
  </sheetViews>
  <sheetFormatPr defaultRowHeight="15"/>
  <cols>
    <col min="1" max="1" width="28.85546875" bestFit="1" customWidth="1"/>
    <col min="3" max="3" width="13.28515625" customWidth="1"/>
    <col min="4" max="4" width="23.7109375" customWidth="1"/>
    <col min="5" max="5" width="11.42578125" customWidth="1"/>
    <col min="7" max="7" width="28.28515625" customWidth="1"/>
    <col min="8" max="8" width="15.5703125" customWidth="1"/>
    <col min="9" max="9" width="16" customWidth="1"/>
    <col min="10" max="10" width="19.42578125" customWidth="1"/>
    <col min="11" max="11" width="17.85546875" customWidth="1"/>
    <col min="12" max="12" width="12.85546875" customWidth="1"/>
  </cols>
  <sheetData>
    <row r="2" spans="1:6">
      <c r="C2" t="s">
        <v>108</v>
      </c>
      <c r="D2" t="s">
        <v>109</v>
      </c>
      <c r="E2" t="s">
        <v>110</v>
      </c>
      <c r="F2" t="s">
        <v>111</v>
      </c>
    </row>
    <row r="3" spans="1:6">
      <c r="C3" t="s">
        <v>112</v>
      </c>
      <c r="D3" t="s">
        <v>9</v>
      </c>
      <c r="E3" t="s">
        <v>113</v>
      </c>
      <c r="F3" t="s">
        <v>114</v>
      </c>
    </row>
    <row r="4" spans="1:6">
      <c r="C4">
        <v>776000</v>
      </c>
      <c r="D4">
        <v>995000</v>
      </c>
      <c r="E4">
        <v>1017000</v>
      </c>
      <c r="F4">
        <v>1713000</v>
      </c>
    </row>
    <row r="6" spans="1:6">
      <c r="A6" t="s">
        <v>81</v>
      </c>
      <c r="C6" s="187">
        <v>4.0585703917121817E-2</v>
      </c>
      <c r="D6" s="108">
        <v>0</v>
      </c>
      <c r="E6" s="108">
        <v>4.1663095575161844</v>
      </c>
      <c r="F6" s="108">
        <v>0</v>
      </c>
    </row>
    <row r="7" spans="1:6">
      <c r="A7" t="s">
        <v>82</v>
      </c>
      <c r="C7" s="108">
        <v>3.1647601679778958</v>
      </c>
      <c r="D7" s="108">
        <v>9.5377978059942574</v>
      </c>
      <c r="E7" s="108">
        <v>1.1972299372947233</v>
      </c>
      <c r="F7" s="108">
        <v>3.9433121650547247</v>
      </c>
    </row>
    <row r="8" spans="1:6">
      <c r="A8" t="s">
        <v>83</v>
      </c>
      <c r="C8" s="108">
        <v>37.634231041851663</v>
      </c>
      <c r="D8" s="108">
        <v>34.527113693467342</v>
      </c>
      <c r="E8" s="108">
        <v>33.330574073357823</v>
      </c>
      <c r="F8" s="108">
        <v>37.791485627238508</v>
      </c>
    </row>
    <row r="9" spans="1:6">
      <c r="A9" t="s">
        <v>84</v>
      </c>
      <c r="C9" s="108">
        <v>2.209095276501567</v>
      </c>
      <c r="D9" s="108">
        <v>1.357447281048098</v>
      </c>
      <c r="E9" s="108">
        <v>0.88432085911254865</v>
      </c>
      <c r="F9" s="108">
        <v>2.6583489770161597</v>
      </c>
    </row>
    <row r="10" spans="1:6">
      <c r="A10" t="s">
        <v>85</v>
      </c>
      <c r="C10" s="108">
        <v>27.326948676902727</v>
      </c>
      <c r="D10" s="108">
        <v>23.657437634601582</v>
      </c>
      <c r="E10" s="108">
        <v>22.244542501183727</v>
      </c>
      <c r="F10" s="108">
        <v>18.094023148102924</v>
      </c>
    </row>
    <row r="11" spans="1:6">
      <c r="A11" t="s">
        <v>86</v>
      </c>
      <c r="C11" s="108">
        <v>16.727079348727468</v>
      </c>
      <c r="D11" s="108">
        <v>8.9874683686288588</v>
      </c>
      <c r="E11" s="108">
        <v>28.116509998060167</v>
      </c>
      <c r="F11" s="108">
        <v>14.761361367280603</v>
      </c>
    </row>
    <row r="12" spans="1:6">
      <c r="A12" t="s">
        <v>87</v>
      </c>
      <c r="C12" s="108">
        <v>1.7089218563624418</v>
      </c>
      <c r="D12" s="108">
        <v>0.59037766959798998</v>
      </c>
      <c r="E12" s="108">
        <v>5.0958860521069917</v>
      </c>
      <c r="F12" s="108">
        <v>1.743916639994413</v>
      </c>
    </row>
    <row r="13" spans="1:6">
      <c r="A13" t="s">
        <v>88</v>
      </c>
      <c r="C13" s="108">
        <v>8.0590021906823264</v>
      </c>
      <c r="D13" s="108">
        <v>5.560827463208903</v>
      </c>
      <c r="E13" s="108">
        <v>3.2771151941042982</v>
      </c>
      <c r="F13" s="108">
        <v>7.6373228266863293</v>
      </c>
    </row>
    <row r="14" spans="1:6">
      <c r="A14" t="s">
        <v>89</v>
      </c>
      <c r="C14" s="108">
        <v>4.1767313018506371</v>
      </c>
      <c r="D14" s="108">
        <v>3.2080043072505391</v>
      </c>
      <c r="E14" s="108">
        <v>16.422707771418388</v>
      </c>
      <c r="F14" s="108">
        <v>2.4077351125906716</v>
      </c>
    </row>
    <row r="15" spans="1:6">
      <c r="A15" t="s">
        <v>90</v>
      </c>
      <c r="C15" s="108">
        <v>3.8270435069191491</v>
      </c>
      <c r="D15" s="108">
        <v>1.440678952799713</v>
      </c>
      <c r="E15" s="108">
        <v>3.1213119203685169</v>
      </c>
      <c r="F15" s="108">
        <v>0</v>
      </c>
    </row>
    <row r="16" spans="1:6">
      <c r="A16" t="s">
        <v>91</v>
      </c>
      <c r="C16" s="108">
        <v>12.172870175862345</v>
      </c>
      <c r="D16" s="108">
        <v>6.9114305904522624</v>
      </c>
      <c r="E16" s="108">
        <v>9.4875577123074919</v>
      </c>
      <c r="F16" s="108">
        <v>12.396261278967076</v>
      </c>
    </row>
    <row r="17" spans="1:12">
      <c r="A17" t="s">
        <v>92</v>
      </c>
      <c r="C17" s="108">
        <v>12.065753029629439</v>
      </c>
      <c r="D17" s="108">
        <v>6.7436211189877966</v>
      </c>
      <c r="E17" s="108">
        <v>12.013216545137459</v>
      </c>
      <c r="F17" s="108">
        <v>10.298012484610647</v>
      </c>
    </row>
    <row r="18" spans="1:12">
      <c r="A18" t="s">
        <v>93</v>
      </c>
      <c r="C18" s="187">
        <v>2.222500546132927</v>
      </c>
      <c r="D18" s="108">
        <v>4.3101043162239776</v>
      </c>
      <c r="E18" s="108">
        <v>3.1906960057421228</v>
      </c>
      <c r="F18" s="108">
        <v>1.8046194120992916</v>
      </c>
    </row>
    <row r="19" spans="1:12">
      <c r="C19" s="187"/>
      <c r="D19" s="108"/>
      <c r="E19" s="108"/>
      <c r="F19" s="108"/>
    </row>
    <row r="20" spans="1:12">
      <c r="C20" s="187"/>
      <c r="D20" s="108"/>
      <c r="E20" s="108"/>
      <c r="F20" s="108"/>
    </row>
    <row r="21" spans="1:12">
      <c r="A21" t="s">
        <v>94</v>
      </c>
      <c r="C21" s="108">
        <v>0</v>
      </c>
      <c r="D21" s="108">
        <v>0</v>
      </c>
      <c r="E21" s="108">
        <v>0</v>
      </c>
      <c r="F21" s="108">
        <v>1.3290693021661655</v>
      </c>
    </row>
    <row r="22" spans="1:12">
      <c r="A22" t="s">
        <v>95</v>
      </c>
      <c r="C22" s="108">
        <v>9.5650400518600804</v>
      </c>
      <c r="D22" s="108">
        <v>6.2763530823761675</v>
      </c>
      <c r="E22" s="108">
        <v>8.9690879832047408</v>
      </c>
      <c r="F22" s="108">
        <v>5.7856255014997942</v>
      </c>
    </row>
    <row r="23" spans="1:12">
      <c r="A23" t="s">
        <v>96</v>
      </c>
      <c r="C23" s="108">
        <v>0</v>
      </c>
      <c r="D23" s="108">
        <v>0.9870782483847812</v>
      </c>
      <c r="E23" s="108">
        <v>8.4736779808607867</v>
      </c>
      <c r="F23" s="108">
        <v>5.3523921986794667</v>
      </c>
    </row>
    <row r="24" spans="1:12">
      <c r="A24" t="s">
        <v>97</v>
      </c>
      <c r="C24" s="108">
        <v>3.4677658410199017</v>
      </c>
      <c r="D24" s="108">
        <v>3.1101219265972722</v>
      </c>
      <c r="E24" s="108">
        <v>1.9482557833450467</v>
      </c>
      <c r="F24" s="108">
        <v>1.9947910020031256</v>
      </c>
    </row>
    <row r="25" spans="1:12">
      <c r="C25" s="108">
        <f>SUM(C6:C24)</f>
        <v>144.36832871619768</v>
      </c>
      <c r="D25" s="108">
        <f t="shared" ref="D25:F25" si="0">SUM(D6:D24)</f>
        <v>117.2058624596195</v>
      </c>
      <c r="E25" s="108">
        <f t="shared" si="0"/>
        <v>161.93899987512103</v>
      </c>
      <c r="F25" s="108">
        <f t="shared" si="0"/>
        <v>127.99827704398989</v>
      </c>
      <c r="H25" t="s">
        <v>108</v>
      </c>
      <c r="I25" t="s">
        <v>111</v>
      </c>
      <c r="J25" t="s">
        <v>135</v>
      </c>
      <c r="K25" t="s">
        <v>136</v>
      </c>
      <c r="L25" t="s">
        <v>78</v>
      </c>
    </row>
    <row r="26" spans="1:12">
      <c r="A26" s="103"/>
      <c r="H26" t="s">
        <v>112</v>
      </c>
      <c r="I26" t="s">
        <v>137</v>
      </c>
      <c r="J26" t="s">
        <v>9</v>
      </c>
      <c r="K26" t="s">
        <v>137</v>
      </c>
      <c r="L26" t="s">
        <v>9</v>
      </c>
    </row>
    <row r="27" spans="1:12">
      <c r="A27" s="104" t="s">
        <v>98</v>
      </c>
      <c r="H27">
        <v>776000</v>
      </c>
      <c r="I27">
        <v>1713000</v>
      </c>
      <c r="J27">
        <v>1340000</v>
      </c>
      <c r="K27">
        <v>660079</v>
      </c>
      <c r="L27">
        <v>995000</v>
      </c>
    </row>
    <row r="28" spans="1:12">
      <c r="A28" s="104" t="s">
        <v>99</v>
      </c>
    </row>
    <row r="29" spans="1:12">
      <c r="A29" s="105" t="s">
        <v>100</v>
      </c>
    </row>
    <row r="30" spans="1:12">
      <c r="A30" s="104" t="s">
        <v>101</v>
      </c>
      <c r="G30" s="143" t="s">
        <v>118</v>
      </c>
      <c r="H30" s="108">
        <f>C6+C18</f>
        <v>2.263086250050049</v>
      </c>
      <c r="I30" s="108">
        <v>1.9108187915723909</v>
      </c>
      <c r="J30" s="108">
        <v>5.8752563604323864</v>
      </c>
      <c r="K30" s="108">
        <v>3.49</v>
      </c>
      <c r="L30" s="108">
        <v>4.3099999999999996</v>
      </c>
    </row>
    <row r="31" spans="1:12">
      <c r="A31" s="104" t="s">
        <v>102</v>
      </c>
      <c r="G31" s="149" t="s">
        <v>119</v>
      </c>
      <c r="H31" s="108">
        <f t="shared" ref="H31:H41" si="1">C7</f>
        <v>3.1647601679778958</v>
      </c>
      <c r="I31" s="108">
        <v>4.1753706823186931</v>
      </c>
      <c r="J31" s="108">
        <v>4.3652022908437207</v>
      </c>
      <c r="K31" s="108">
        <v>3.5</v>
      </c>
      <c r="L31" s="108">
        <v>9.5377978059942574</v>
      </c>
    </row>
    <row r="32" spans="1:12">
      <c r="A32" s="104" t="s">
        <v>103</v>
      </c>
      <c r="G32" s="143" t="s">
        <v>120</v>
      </c>
      <c r="H32" s="108">
        <f t="shared" si="1"/>
        <v>37.634231041851663</v>
      </c>
      <c r="I32" s="108">
        <v>40.015462769493951</v>
      </c>
      <c r="J32" s="108">
        <v>28.8453617818199</v>
      </c>
      <c r="K32" s="108">
        <v>34.78</v>
      </c>
      <c r="L32" s="108">
        <v>34.527113693467342</v>
      </c>
    </row>
    <row r="33" spans="1:12">
      <c r="A33" s="105" t="s">
        <v>104</v>
      </c>
      <c r="G33" s="143" t="s">
        <v>121</v>
      </c>
      <c r="H33" s="108">
        <f t="shared" si="1"/>
        <v>2.209095276501567</v>
      </c>
      <c r="I33" s="108">
        <v>2.8147891714910993</v>
      </c>
      <c r="J33" s="108">
        <v>0.97101748704969604</v>
      </c>
      <c r="K33" s="108">
        <v>1.8</v>
      </c>
      <c r="L33" s="108">
        <v>1.357447281048098</v>
      </c>
    </row>
    <row r="34" spans="1:12">
      <c r="A34" s="103"/>
      <c r="G34" s="143" t="s">
        <v>122</v>
      </c>
      <c r="H34" s="108">
        <f t="shared" si="1"/>
        <v>27.326948676902727</v>
      </c>
      <c r="I34" s="108">
        <v>19.158831615537661</v>
      </c>
      <c r="J34" s="108">
        <f>23.8504162688933+1.5</f>
        <v>25.350416268893301</v>
      </c>
      <c r="K34" s="108">
        <v>21</v>
      </c>
      <c r="L34" s="108">
        <v>23.657437634601582</v>
      </c>
    </row>
    <row r="35" spans="1:12">
      <c r="A35" s="103"/>
      <c r="G35" s="143" t="s">
        <v>123</v>
      </c>
      <c r="H35" s="108">
        <f t="shared" si="1"/>
        <v>16.727079348727468</v>
      </c>
      <c r="I35" s="108">
        <v>15.630047255769277</v>
      </c>
      <c r="J35" s="108">
        <v>14.113440772760603</v>
      </c>
      <c r="K35" s="108">
        <v>12</v>
      </c>
      <c r="L35" s="108">
        <v>8.9874683686288588</v>
      </c>
    </row>
    <row r="36" spans="1:12">
      <c r="A36" s="105" t="s">
        <v>105</v>
      </c>
      <c r="G36" s="143" t="s">
        <v>124</v>
      </c>
      <c r="H36" s="108">
        <f t="shared" si="1"/>
        <v>1.7089218563624418</v>
      </c>
      <c r="I36" s="108">
        <v>1.8465437445121322</v>
      </c>
      <c r="J36" s="108">
        <v>2.4226572947465526</v>
      </c>
      <c r="K36" s="108">
        <f>0.89+0.12+0.07+0.27</f>
        <v>1.35</v>
      </c>
      <c r="L36" s="108">
        <v>0.59037766959798998</v>
      </c>
    </row>
    <row r="37" spans="1:12">
      <c r="A37" s="105" t="s">
        <v>106</v>
      </c>
      <c r="G37" s="143" t="s">
        <v>125</v>
      </c>
      <c r="H37" s="108">
        <f t="shared" si="1"/>
        <v>8.0590021906823264</v>
      </c>
      <c r="I37" s="108">
        <v>8.0867688093638108</v>
      </c>
      <c r="J37" s="108">
        <v>8.2492194337346554</v>
      </c>
      <c r="K37" s="108">
        <v>7</v>
      </c>
      <c r="L37" s="108">
        <v>5.560827463208903</v>
      </c>
    </row>
    <row r="38" spans="1:12">
      <c r="A38" s="105" t="s">
        <v>107</v>
      </c>
      <c r="G38" s="143" t="s">
        <v>126</v>
      </c>
      <c r="H38" s="108">
        <f t="shared" si="1"/>
        <v>4.1767313018506371</v>
      </c>
      <c r="I38" s="108">
        <v>2.549427024568538</v>
      </c>
      <c r="J38" s="108">
        <v>2.3031962331764313</v>
      </c>
      <c r="K38" s="108">
        <v>2.5</v>
      </c>
      <c r="L38" s="108">
        <v>3.2080043072505391</v>
      </c>
    </row>
    <row r="39" spans="1:12">
      <c r="A39" s="103"/>
      <c r="G39" s="143" t="s">
        <v>127</v>
      </c>
      <c r="H39" s="108">
        <f t="shared" si="1"/>
        <v>3.8270435069191491</v>
      </c>
      <c r="I39" s="108">
        <v>1.5</v>
      </c>
      <c r="J39" s="108">
        <v>1.3033032582728197</v>
      </c>
      <c r="K39" s="108">
        <v>1.98</v>
      </c>
      <c r="L39" s="108">
        <v>1.440678952799713</v>
      </c>
    </row>
    <row r="40" spans="1:12">
      <c r="A40" s="103"/>
      <c r="G40" s="143" t="s">
        <v>128</v>
      </c>
      <c r="H40" s="108">
        <f t="shared" si="1"/>
        <v>12.172870175862345</v>
      </c>
      <c r="I40" s="108">
        <v>13.125764268232427</v>
      </c>
      <c r="J40" s="108">
        <v>11.011767751969154</v>
      </c>
      <c r="K40" s="108">
        <v>10</v>
      </c>
      <c r="L40" s="108">
        <v>6.9114305904522624</v>
      </c>
    </row>
    <row r="41" spans="1:12">
      <c r="A41" s="106" t="e">
        <f>'[1]PCD Summary'!#REF!</f>
        <v>#REF!</v>
      </c>
      <c r="G41" s="143" t="s">
        <v>129</v>
      </c>
      <c r="H41" s="108">
        <f t="shared" si="1"/>
        <v>12.065753029629439</v>
      </c>
      <c r="I41" s="108">
        <v>10.904036407627</v>
      </c>
      <c r="J41" s="108">
        <v>8.6490406178300248</v>
      </c>
      <c r="K41" s="108">
        <v>9.5</v>
      </c>
      <c r="L41" s="108">
        <v>6.7436211189877966</v>
      </c>
    </row>
    <row r="42" spans="1:12">
      <c r="A42" s="106"/>
      <c r="G42" s="188"/>
      <c r="H42" s="108"/>
    </row>
    <row r="43" spans="1:12">
      <c r="A43" s="106"/>
      <c r="G43" s="188" t="s">
        <v>134</v>
      </c>
      <c r="H43" s="108">
        <f>C22+C24</f>
        <v>13.032805892879981</v>
      </c>
      <c r="I43" s="108">
        <f>F22+F24</f>
        <v>7.78041650350292</v>
      </c>
      <c r="J43" s="108">
        <v>12.81</v>
      </c>
      <c r="K43" s="108">
        <v>11.73</v>
      </c>
      <c r="L43" s="108">
        <v>10.37</v>
      </c>
    </row>
    <row r="44" spans="1:12">
      <c r="A44" s="106" t="e">
        <f>'[1]PCD Summary'!#REF!</f>
        <v>#REF!</v>
      </c>
    </row>
    <row r="45" spans="1:12">
      <c r="A45" s="106" t="e">
        <f>'[1]PCD Summary'!#REF!</f>
        <v>#REF!</v>
      </c>
      <c r="H45" s="108">
        <f>SUM(H30:H44)</f>
        <v>144.36832871619771</v>
      </c>
      <c r="I45" s="108">
        <f>SUM(I30:I44)</f>
        <v>129.4982770439899</v>
      </c>
      <c r="J45" s="108">
        <f>SUM(J30:J44)</f>
        <v>126.26987955152924</v>
      </c>
      <c r="K45" s="108">
        <f>SUM(K30:K44)</f>
        <v>120.63</v>
      </c>
      <c r="L45" s="108">
        <f>SUM(L30:L44)</f>
        <v>117.20220488603732</v>
      </c>
    </row>
    <row r="46" spans="1:12">
      <c r="A46" s="106" t="e">
        <f>'[1]PCD Summary'!#REF!</f>
        <v>#REF!</v>
      </c>
    </row>
    <row r="47" spans="1:12">
      <c r="A47" s="106" t="e">
        <f>'[1]PCD Summary'!#REF!</f>
        <v>#REF!</v>
      </c>
    </row>
    <row r="48" spans="1:12">
      <c r="A48" s="106" t="e">
        <f>'[1]PCD Summary'!#REF!</f>
        <v>#REF!</v>
      </c>
    </row>
    <row r="49" spans="1:1">
      <c r="A49" s="106" t="e">
        <f>'[1]PCD Summary'!#REF!</f>
        <v>#REF!</v>
      </c>
    </row>
    <row r="50" spans="1:1">
      <c r="A50" s="106" t="e">
        <f>'[1]PCD Summary'!#REF!</f>
        <v>#REF!</v>
      </c>
    </row>
    <row r="51" spans="1:1">
      <c r="A51" s="106" t="e">
        <f>'[1]PCD Summary'!#REF!</f>
        <v>#REF!</v>
      </c>
    </row>
    <row r="52" spans="1:1">
      <c r="A52" s="106" t="str">
        <f>'[1]PCD Summary'!B1</f>
        <v>PROJECT COST DATA</v>
      </c>
    </row>
    <row r="53" spans="1:1">
      <c r="A53" s="106">
        <f>'[1]PCD Summary'!B2</f>
        <v>0</v>
      </c>
    </row>
    <row r="54" spans="1:1">
      <c r="A54" s="103"/>
    </row>
    <row r="55" spans="1:1">
      <c r="A55" s="107">
        <f>'[1]PCD Summary'!B5</f>
        <v>0</v>
      </c>
    </row>
    <row r="56" spans="1:1">
      <c r="A56" s="107">
        <f>'[1]PCD Summary'!B6</f>
        <v>0</v>
      </c>
    </row>
    <row r="57" spans="1:1">
      <c r="A57" s="107">
        <f>'[1]PCD Summary'!B7</f>
        <v>0</v>
      </c>
    </row>
    <row r="58" spans="1:1">
      <c r="A58" s="107">
        <f>'[1]PCD Summary'!B8</f>
        <v>0</v>
      </c>
    </row>
    <row r="59" spans="1:1">
      <c r="A59" s="107">
        <f>'[1]PCD Summary'!B9</f>
        <v>0</v>
      </c>
    </row>
    <row r="60" spans="1:1">
      <c r="A60" s="107" t="str">
        <f>'[1]PCD Summary'!B10</f>
        <v>Project Information</v>
      </c>
    </row>
    <row r="61" spans="1:1">
      <c r="A61" s="107">
        <f>'[1]PCD Summary'!B11</f>
        <v>0</v>
      </c>
    </row>
    <row r="62" spans="1:1">
      <c r="A62" s="107">
        <f>'[1]PCD Summary'!B12</f>
        <v>0</v>
      </c>
    </row>
    <row r="63" spans="1:1">
      <c r="A63" s="107">
        <f>'[1]PCD Summary'!B13</f>
        <v>0</v>
      </c>
    </row>
    <row r="64" spans="1:1">
      <c r="A64" s="107">
        <f>'[1]PCD Summary'!B15</f>
        <v>0</v>
      </c>
    </row>
    <row r="65" spans="1:1">
      <c r="A65" s="103"/>
    </row>
    <row r="66" spans="1:1">
      <c r="A66" s="107">
        <f>'[1]PCD Summary'!B18</f>
        <v>0</v>
      </c>
    </row>
    <row r="67" spans="1:1">
      <c r="A67" s="107">
        <f>'[1]PCD Summary'!B19</f>
        <v>0</v>
      </c>
    </row>
    <row r="68" spans="1:1">
      <c r="A68" s="107">
        <f>'[1]PCD Summary'!B20</f>
        <v>0</v>
      </c>
    </row>
    <row r="69" spans="1:1">
      <c r="A69" s="107">
        <f>'[1]PCD Summary'!B21</f>
        <v>0</v>
      </c>
    </row>
    <row r="70" spans="1:1">
      <c r="A70" s="107">
        <f>'[1]PCD Summary'!B22</f>
        <v>0</v>
      </c>
    </row>
    <row r="71" spans="1:1">
      <c r="A71" s="107">
        <f>'[1]PCD Summary'!B23</f>
        <v>0</v>
      </c>
    </row>
    <row r="72" spans="1:1">
      <c r="A72" s="107">
        <f>'[1]PCD Summary'!B24</f>
        <v>0</v>
      </c>
    </row>
    <row r="73" spans="1:1">
      <c r="A73" s="107">
        <f>'[1]PCD Summary'!B25</f>
        <v>0</v>
      </c>
    </row>
    <row r="74" spans="1:1">
      <c r="A74" s="107">
        <f>'[1]PCD Summary'!B26</f>
        <v>0</v>
      </c>
    </row>
    <row r="75" spans="1:1">
      <c r="A75" s="107" t="str">
        <f>'[1]PCD Summary'!B27</f>
        <v>Project Type &amp; Program</v>
      </c>
    </row>
    <row r="76" spans="1:1">
      <c r="A76" s="107">
        <f>'[1]PCD Summary'!B28</f>
        <v>0</v>
      </c>
    </row>
    <row r="77" spans="1:1">
      <c r="A77" s="107">
        <f>'[1]PCD Summary'!B29</f>
        <v>0</v>
      </c>
    </row>
  </sheetData>
  <conditionalFormatting sqref="A25">
    <cfRule type="expression" dxfId="10" priority="6">
      <formula>(NOT(ISBLANK(A24)))</formula>
    </cfRule>
  </conditionalFormatting>
  <conditionalFormatting sqref="A34">
    <cfRule type="expression" dxfId="9" priority="5">
      <formula>SUMPRODUCT((A27:A33&lt;&gt;"")+0)</formula>
    </cfRule>
  </conditionalFormatting>
  <conditionalFormatting sqref="A54">
    <cfRule type="expression" dxfId="8" priority="4">
      <formula>SUMPRODUCT((A41:A53&lt;&gt;"")+0)</formula>
    </cfRule>
  </conditionalFormatting>
  <conditionalFormatting sqref="A26">
    <cfRule type="expression" dxfId="7" priority="3">
      <formula>SUMPRODUCT((A27:A33&lt;&gt;"")+0)</formula>
    </cfRule>
  </conditionalFormatting>
  <conditionalFormatting sqref="A27:A33 A36:A38">
    <cfRule type="expression" dxfId="6" priority="2">
      <formula>SUMPRODUCT((A27:A27&lt;&gt;"")+0)</formula>
    </cfRule>
  </conditionalFormatting>
  <conditionalFormatting sqref="A77">
    <cfRule type="expression" dxfId="5" priority="1">
      <formula>ISTEXT(B$30)</formula>
    </cfRule>
  </conditionalFormatting>
  <conditionalFormatting sqref="A54">
    <cfRule type="expression" dxfId="4" priority="7">
      <formula>SUMPRODUCT((A41:A53&lt;&gt;"")+0)</formula>
    </cfRule>
  </conditionalFormatting>
  <conditionalFormatting sqref="A40">
    <cfRule type="expression" dxfId="3" priority="8">
      <formula>SUMPRODUCT((A41:A53&lt;&gt;"")+0)</formula>
    </cfRule>
  </conditionalFormatting>
  <conditionalFormatting sqref="A65">
    <cfRule type="expression" dxfId="2" priority="9">
      <formula>SUMPRODUCT((A54:A60&lt;&gt;"")+0)</formula>
    </cfRule>
  </conditionalFormatting>
  <conditionalFormatting sqref="A39">
    <cfRule type="expression" dxfId="1" priority="10">
      <formula>SUMPRODUCT((A36:A38&lt;&gt;"")+0)</formula>
    </cfRule>
  </conditionalFormatting>
  <conditionalFormatting sqref="A35">
    <cfRule type="expression" dxfId="0" priority="11">
      <formula>SUMPRODUCT((A36:A38&lt;&gt;"")+0)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31"/>
  <sheetViews>
    <sheetView workbookViewId="0">
      <selection activeCell="B5" sqref="B5"/>
    </sheetView>
  </sheetViews>
  <sheetFormatPr defaultRowHeight="15"/>
  <cols>
    <col min="1" max="1" width="40.28515625" customWidth="1"/>
    <col min="2" max="7" width="14.85546875" customWidth="1"/>
    <col min="8" max="8" width="15.85546875" customWidth="1"/>
    <col min="9" max="9" width="16.7109375" customWidth="1"/>
    <col min="13" max="13" width="12.42578125" bestFit="1" customWidth="1"/>
    <col min="16" max="16" width="8.85546875" customWidth="1"/>
  </cols>
  <sheetData>
    <row r="1" spans="1:16" ht="15.75" thickBot="1"/>
    <row r="2" spans="1:16" ht="63.6" customHeight="1">
      <c r="A2" s="109" t="s">
        <v>6</v>
      </c>
      <c r="B2" s="110" t="s">
        <v>146</v>
      </c>
      <c r="C2" s="110" t="s">
        <v>111</v>
      </c>
      <c r="D2" s="110" t="s">
        <v>135</v>
      </c>
      <c r="E2" s="110" t="s">
        <v>136</v>
      </c>
      <c r="F2" s="111" t="s">
        <v>78</v>
      </c>
      <c r="G2" s="112" t="s">
        <v>115</v>
      </c>
      <c r="H2" s="230" t="s">
        <v>138</v>
      </c>
      <c r="I2" s="231"/>
    </row>
    <row r="3" spans="1:16" ht="15.75">
      <c r="A3" s="113" t="s">
        <v>8</v>
      </c>
      <c r="B3" s="114" t="s">
        <v>147</v>
      </c>
      <c r="C3" s="114" t="s">
        <v>137</v>
      </c>
      <c r="D3" s="114" t="s">
        <v>9</v>
      </c>
      <c r="E3" s="114" t="s">
        <v>137</v>
      </c>
      <c r="F3" s="115" t="s">
        <v>9</v>
      </c>
      <c r="G3" s="116"/>
      <c r="H3" s="232" t="s">
        <v>9</v>
      </c>
      <c r="I3" s="233"/>
    </row>
    <row r="4" spans="1:16">
      <c r="A4" s="117"/>
      <c r="B4" s="118"/>
      <c r="C4" s="118"/>
      <c r="D4" s="118"/>
      <c r="E4" s="118"/>
      <c r="F4" s="119"/>
      <c r="G4" s="120"/>
      <c r="H4" s="121"/>
      <c r="I4" s="122"/>
    </row>
    <row r="5" spans="1:16">
      <c r="A5" s="123" t="s">
        <v>116</v>
      </c>
      <c r="B5" s="124">
        <v>776000</v>
      </c>
      <c r="C5" s="124">
        <v>1713000</v>
      </c>
      <c r="D5" s="124">
        <v>1340000</v>
      </c>
      <c r="E5" s="124">
        <v>660079</v>
      </c>
      <c r="F5" s="125">
        <v>995000</v>
      </c>
      <c r="G5" s="126">
        <f>AVERAGE(B5:F5)</f>
        <v>1096815.8</v>
      </c>
      <c r="H5" s="234">
        <v>855568</v>
      </c>
      <c r="I5" s="235"/>
    </row>
    <row r="6" spans="1:16" ht="15.75" thickBot="1">
      <c r="A6" s="117"/>
      <c r="B6" s="118"/>
      <c r="C6" s="118"/>
      <c r="D6" s="118"/>
      <c r="E6" s="118"/>
      <c r="F6" s="119"/>
      <c r="G6" s="120"/>
      <c r="H6" s="127"/>
      <c r="I6" s="128"/>
    </row>
    <row r="7" spans="1:16">
      <c r="A7" s="129" t="s">
        <v>37</v>
      </c>
      <c r="B7" s="130" t="s">
        <v>117</v>
      </c>
      <c r="C7" s="130" t="s">
        <v>117</v>
      </c>
      <c r="D7" s="130" t="s">
        <v>117</v>
      </c>
      <c r="E7" s="130" t="s">
        <v>117</v>
      </c>
      <c r="F7" s="131" t="s">
        <v>117</v>
      </c>
      <c r="G7" s="132" t="s">
        <v>117</v>
      </c>
      <c r="H7" s="133" t="s">
        <v>140</v>
      </c>
      <c r="I7" s="134" t="s">
        <v>140</v>
      </c>
    </row>
    <row r="8" spans="1:16" ht="15.75" thickBot="1">
      <c r="A8" s="135"/>
      <c r="B8" s="136" t="s">
        <v>39</v>
      </c>
      <c r="C8" s="136" t="s">
        <v>39</v>
      </c>
      <c r="D8" s="136" t="s">
        <v>39</v>
      </c>
      <c r="E8" s="136" t="s">
        <v>39</v>
      </c>
      <c r="F8" s="137" t="s">
        <v>39</v>
      </c>
      <c r="G8" s="138" t="s">
        <v>39</v>
      </c>
      <c r="H8" s="139" t="s">
        <v>39</v>
      </c>
      <c r="I8" s="140" t="s">
        <v>38</v>
      </c>
    </row>
    <row r="9" spans="1:16">
      <c r="A9" s="117"/>
      <c r="B9" s="118"/>
      <c r="C9" s="118"/>
      <c r="D9" s="118"/>
      <c r="E9" s="118"/>
      <c r="F9" s="119"/>
      <c r="G9" s="120"/>
      <c r="H9" s="141"/>
      <c r="I9" s="142"/>
      <c r="M9" s="190"/>
    </row>
    <row r="10" spans="1:16">
      <c r="A10" s="143" t="s">
        <v>118</v>
      </c>
      <c r="B10" s="144">
        <v>2.263086250050049</v>
      </c>
      <c r="C10" s="144">
        <v>1.9108187915723909</v>
      </c>
      <c r="D10" s="144">
        <v>5.8752563604323864</v>
      </c>
      <c r="E10" s="144">
        <v>3.49</v>
      </c>
      <c r="F10" s="145">
        <v>4.3099999999999996</v>
      </c>
      <c r="G10" s="146">
        <f t="shared" ref="G10:G21" si="0">ROUND(AVERAGE(B10:F10),0)</f>
        <v>4</v>
      </c>
      <c r="H10" s="147">
        <v>3.6045900670114799</v>
      </c>
      <c r="I10" s="148">
        <f>H10*$H$5</f>
        <v>3083971.9144528778</v>
      </c>
      <c r="M10" s="190">
        <v>3.5</v>
      </c>
      <c r="N10" s="189">
        <f>M10/$M$23</f>
        <v>2.767235926628716E-2</v>
      </c>
      <c r="O10" s="191">
        <f>N10*$M$26</f>
        <v>0.10459006701148001</v>
      </c>
      <c r="P10" s="190">
        <f>M10+O10</f>
        <v>3.6045900670114799</v>
      </c>
    </row>
    <row r="11" spans="1:16">
      <c r="A11" s="149" t="s">
        <v>119</v>
      </c>
      <c r="B11" s="150">
        <v>3.1647601679778958</v>
      </c>
      <c r="C11" s="150">
        <v>4.1753706823186931</v>
      </c>
      <c r="D11" s="150">
        <v>4.3652022908437207</v>
      </c>
      <c r="E11" s="150">
        <v>3.5</v>
      </c>
      <c r="F11" s="151">
        <v>9.5377978059942574</v>
      </c>
      <c r="G11" s="146">
        <f t="shared" si="0"/>
        <v>5</v>
      </c>
      <c r="H11" s="152">
        <v>4.5211858269086855</v>
      </c>
      <c r="I11" s="148">
        <f t="shared" ref="I11:I21" si="1">H11*$H$5</f>
        <v>3868181.9155566101</v>
      </c>
      <c r="M11" s="190">
        <f>2.89+1.5</f>
        <v>4.3900000000000006</v>
      </c>
      <c r="N11" s="189">
        <f t="shared" ref="N11:N21" si="2">M11/$M$23</f>
        <v>3.4709044908285899E-2</v>
      </c>
      <c r="O11" s="191">
        <f t="shared" ref="O11:O21" si="3">N11*$M$26</f>
        <v>0.13118582690868494</v>
      </c>
      <c r="P11" s="190">
        <f t="shared" ref="P11:P21" si="4">M11+O11</f>
        <v>4.5211858269086855</v>
      </c>
    </row>
    <row r="12" spans="1:16">
      <c r="A12" s="143" t="s">
        <v>120</v>
      </c>
      <c r="B12" s="144">
        <v>37.634231041851663</v>
      </c>
      <c r="C12" s="144">
        <v>40.015462769493951</v>
      </c>
      <c r="D12" s="144">
        <v>31.1</v>
      </c>
      <c r="E12" s="144">
        <v>34.78</v>
      </c>
      <c r="F12" s="145">
        <v>34.527113693467342</v>
      </c>
      <c r="G12" s="146">
        <f t="shared" si="0"/>
        <v>36</v>
      </c>
      <c r="H12" s="147">
        <v>33.934640773722357</v>
      </c>
      <c r="I12" s="148">
        <f t="shared" si="1"/>
        <v>29033392.737492088</v>
      </c>
      <c r="M12" s="190">
        <f>31.38+1.57</f>
        <v>32.949999999999996</v>
      </c>
      <c r="N12" s="189">
        <f t="shared" si="2"/>
        <v>0.2605154965211891</v>
      </c>
      <c r="O12" s="191">
        <f t="shared" si="3"/>
        <v>0.9846407737223617</v>
      </c>
      <c r="P12" s="190">
        <f t="shared" si="4"/>
        <v>33.934640773722357</v>
      </c>
    </row>
    <row r="13" spans="1:16">
      <c r="A13" s="143" t="s">
        <v>121</v>
      </c>
      <c r="B13" s="144">
        <v>2.209095276501567</v>
      </c>
      <c r="C13" s="144">
        <v>2.8147891714910993</v>
      </c>
      <c r="D13" s="144">
        <v>0.97101748704969604</v>
      </c>
      <c r="E13" s="144">
        <v>1.8</v>
      </c>
      <c r="F13" s="145">
        <v>1.75</v>
      </c>
      <c r="G13" s="146">
        <f t="shared" si="0"/>
        <v>2</v>
      </c>
      <c r="H13" s="147">
        <v>1.5448243144334914</v>
      </c>
      <c r="I13" s="148">
        <f t="shared" si="1"/>
        <v>1321702.2490512335</v>
      </c>
      <c r="M13" s="190">
        <v>1.5</v>
      </c>
      <c r="N13" s="189">
        <f t="shared" si="2"/>
        <v>1.1859582542694497E-2</v>
      </c>
      <c r="O13" s="191">
        <f t="shared" si="3"/>
        <v>4.4824314433491434E-2</v>
      </c>
      <c r="P13" s="190">
        <f t="shared" si="4"/>
        <v>1.5448243144334914</v>
      </c>
    </row>
    <row r="14" spans="1:16">
      <c r="A14" s="143" t="s">
        <v>122</v>
      </c>
      <c r="B14" s="144">
        <v>27.326948676902727</v>
      </c>
      <c r="C14" s="144">
        <v>19.158831615537661</v>
      </c>
      <c r="D14" s="144">
        <v>25.350416268893301</v>
      </c>
      <c r="E14" s="144">
        <v>21</v>
      </c>
      <c r="F14" s="145">
        <v>23.657437634601582</v>
      </c>
      <c r="G14" s="146">
        <f t="shared" si="0"/>
        <v>23</v>
      </c>
      <c r="H14" s="147">
        <v>33.182826274031392</v>
      </c>
      <c r="I14" s="148">
        <f t="shared" si="1"/>
        <v>28390164.309620488</v>
      </c>
      <c r="M14" s="190">
        <v>32.22</v>
      </c>
      <c r="N14" s="189">
        <f t="shared" si="2"/>
        <v>0.25474383301707776</v>
      </c>
      <c r="O14" s="191">
        <f t="shared" si="3"/>
        <v>0.96282627403139587</v>
      </c>
      <c r="P14" s="190">
        <f t="shared" si="4"/>
        <v>33.182826274031392</v>
      </c>
    </row>
    <row r="15" spans="1:16">
      <c r="A15" s="143" t="s">
        <v>123</v>
      </c>
      <c r="B15" s="144">
        <v>16.727079348727468</v>
      </c>
      <c r="C15" s="144">
        <v>15.630047255769277</v>
      </c>
      <c r="D15" s="144">
        <v>14.113440772760603</v>
      </c>
      <c r="E15" s="144">
        <v>12</v>
      </c>
      <c r="F15" s="145">
        <v>11.2</v>
      </c>
      <c r="G15" s="146">
        <f t="shared" si="0"/>
        <v>14</v>
      </c>
      <c r="H15" s="147">
        <v>13.429672706808484</v>
      </c>
      <c r="I15" s="148">
        <f t="shared" si="1"/>
        <v>11489998.218418721</v>
      </c>
      <c r="M15" s="190">
        <v>13.04</v>
      </c>
      <c r="N15" s="189">
        <f t="shared" si="2"/>
        <v>0.10309930423782415</v>
      </c>
      <c r="O15" s="191">
        <f t="shared" si="3"/>
        <v>0.38967270680848548</v>
      </c>
      <c r="P15" s="190">
        <f t="shared" si="4"/>
        <v>13.429672706808484</v>
      </c>
    </row>
    <row r="16" spans="1:16">
      <c r="A16" s="143" t="s">
        <v>124</v>
      </c>
      <c r="B16" s="144">
        <v>1.7089218563624418</v>
      </c>
      <c r="C16" s="144">
        <v>1.8465437445121322</v>
      </c>
      <c r="D16" s="144">
        <v>2.4226572947465526</v>
      </c>
      <c r="E16" s="144">
        <v>1.35</v>
      </c>
      <c r="F16" s="145">
        <v>1.25</v>
      </c>
      <c r="G16" s="146">
        <f t="shared" si="0"/>
        <v>2</v>
      </c>
      <c r="H16" s="147">
        <v>1.5139278281448216</v>
      </c>
      <c r="I16" s="148">
        <f t="shared" si="1"/>
        <v>1295268.2040702088</v>
      </c>
      <c r="M16" s="190">
        <v>1.47</v>
      </c>
      <c r="N16" s="189">
        <f t="shared" si="2"/>
        <v>1.1622390891840606E-2</v>
      </c>
      <c r="O16" s="191">
        <f t="shared" si="3"/>
        <v>4.3927828144821601E-2</v>
      </c>
      <c r="P16" s="190">
        <f t="shared" si="4"/>
        <v>1.5139278281448216</v>
      </c>
    </row>
    <row r="17" spans="1:16">
      <c r="A17" s="143" t="s">
        <v>125</v>
      </c>
      <c r="B17" s="144">
        <v>8.0590021906823264</v>
      </c>
      <c r="C17" s="144">
        <v>8.0867688093638108</v>
      </c>
      <c r="D17" s="144">
        <v>8.2492194337346554</v>
      </c>
      <c r="E17" s="144">
        <v>7</v>
      </c>
      <c r="F17" s="145">
        <v>6.52</v>
      </c>
      <c r="G17" s="146">
        <f t="shared" si="0"/>
        <v>8</v>
      </c>
      <c r="H17" s="147">
        <v>7.9918911200025953</v>
      </c>
      <c r="I17" s="148">
        <f t="shared" si="1"/>
        <v>6837606.3017583806</v>
      </c>
      <c r="M17" s="190">
        <v>7.76</v>
      </c>
      <c r="N17" s="189">
        <f t="shared" si="2"/>
        <v>6.1353573687539527E-2</v>
      </c>
      <c r="O17" s="191">
        <f t="shared" si="3"/>
        <v>0.23189112000259565</v>
      </c>
      <c r="P17" s="190">
        <f t="shared" si="4"/>
        <v>7.9918911200025953</v>
      </c>
    </row>
    <row r="18" spans="1:16">
      <c r="A18" s="143" t="s">
        <v>126</v>
      </c>
      <c r="B18" s="144">
        <v>4.1767313018506371</v>
      </c>
      <c r="C18" s="144">
        <v>2.549427024568538</v>
      </c>
      <c r="D18" s="144">
        <v>2.3031962331764313</v>
      </c>
      <c r="E18" s="144">
        <v>2.5</v>
      </c>
      <c r="F18" s="145">
        <v>3.2080043072505391</v>
      </c>
      <c r="G18" s="146">
        <f t="shared" si="0"/>
        <v>3</v>
      </c>
      <c r="H18" s="147">
        <v>4.7786565459809331</v>
      </c>
      <c r="I18" s="148">
        <f t="shared" si="1"/>
        <v>4088465.6237318148</v>
      </c>
      <c r="M18" s="190">
        <v>4.6399999999999997</v>
      </c>
      <c r="N18" s="189">
        <f t="shared" si="2"/>
        <v>3.6685641998734975E-2</v>
      </c>
      <c r="O18" s="191">
        <f t="shared" si="3"/>
        <v>0.13865654598093349</v>
      </c>
      <c r="P18" s="190">
        <f t="shared" si="4"/>
        <v>4.7786565459809331</v>
      </c>
    </row>
    <row r="19" spans="1:16">
      <c r="A19" s="143" t="s">
        <v>127</v>
      </c>
      <c r="B19" s="144">
        <v>3.8270435069191491</v>
      </c>
      <c r="C19" s="144">
        <v>1.5</v>
      </c>
      <c r="D19" s="144">
        <v>1.3033032582728197</v>
      </c>
      <c r="E19" s="144">
        <v>1.98</v>
      </c>
      <c r="F19" s="145">
        <v>1.440678952799713</v>
      </c>
      <c r="G19" s="146">
        <f t="shared" si="0"/>
        <v>2</v>
      </c>
      <c r="H19" s="147">
        <v>2.5026153893822563</v>
      </c>
      <c r="I19" s="148">
        <f t="shared" si="1"/>
        <v>2141157.6434629983</v>
      </c>
      <c r="M19" s="190">
        <v>2.4300000000000002</v>
      </c>
      <c r="N19" s="189">
        <f t="shared" si="2"/>
        <v>1.9212523719165087E-2</v>
      </c>
      <c r="O19" s="191">
        <f t="shared" si="3"/>
        <v>7.2615389382256132E-2</v>
      </c>
      <c r="P19" s="190">
        <f t="shared" si="4"/>
        <v>2.5026153893822563</v>
      </c>
    </row>
    <row r="20" spans="1:16">
      <c r="A20" s="143" t="s">
        <v>128</v>
      </c>
      <c r="B20" s="144">
        <v>12.172870175862345</v>
      </c>
      <c r="C20" s="144">
        <v>13.125764268232427</v>
      </c>
      <c r="D20" s="144">
        <v>11.011767751969154</v>
      </c>
      <c r="E20" s="144">
        <v>10</v>
      </c>
      <c r="F20" s="145">
        <v>9.75</v>
      </c>
      <c r="G20" s="146">
        <f t="shared" si="0"/>
        <v>11</v>
      </c>
      <c r="H20" s="147">
        <v>9.9898639000032432</v>
      </c>
      <c r="I20" s="148">
        <f t="shared" si="1"/>
        <v>8547007.8771979753</v>
      </c>
      <c r="M20" s="190">
        <v>9.6999999999999993</v>
      </c>
      <c r="N20" s="189">
        <f t="shared" si="2"/>
        <v>7.6691967109424414E-2</v>
      </c>
      <c r="O20" s="191">
        <f t="shared" si="3"/>
        <v>0.28986390000324458</v>
      </c>
      <c r="P20" s="190">
        <f t="shared" si="4"/>
        <v>9.9898639000032432</v>
      </c>
    </row>
    <row r="21" spans="1:16">
      <c r="A21" s="143" t="s">
        <v>129</v>
      </c>
      <c r="B21" s="144">
        <v>12.065753029629439</v>
      </c>
      <c r="C21" s="144">
        <v>10.904036407627</v>
      </c>
      <c r="D21" s="144">
        <v>8.6490406178300248</v>
      </c>
      <c r="E21" s="144">
        <v>10.5</v>
      </c>
      <c r="F21" s="145">
        <v>10.199999999999999</v>
      </c>
      <c r="G21" s="146">
        <f t="shared" si="0"/>
        <v>10</v>
      </c>
      <c r="H21" s="147">
        <f>13.2648914466022-0.49</f>
        <v>12.774891446602199</v>
      </c>
      <c r="I21" s="148">
        <f t="shared" si="1"/>
        <v>10929788.325186551</v>
      </c>
      <c r="M21" s="190">
        <f>12.2+0.68</f>
        <v>12.879999999999999</v>
      </c>
      <c r="N21" s="189">
        <f t="shared" si="2"/>
        <v>0.10183428209993674</v>
      </c>
      <c r="O21" s="191">
        <f t="shared" si="3"/>
        <v>0.38489144660224639</v>
      </c>
      <c r="P21" s="190">
        <f t="shared" si="4"/>
        <v>13.264891446602245</v>
      </c>
    </row>
    <row r="22" spans="1:16" ht="15.75" thickBot="1">
      <c r="A22" s="153"/>
      <c r="B22" s="154"/>
      <c r="C22" s="154"/>
      <c r="D22" s="154"/>
      <c r="E22" s="154"/>
      <c r="F22" s="155"/>
      <c r="G22" s="156"/>
      <c r="H22" s="157"/>
      <c r="I22" s="158"/>
      <c r="M22" s="190"/>
    </row>
    <row r="23" spans="1:16" ht="16.5" thickTop="1">
      <c r="A23" s="159" t="s">
        <v>130</v>
      </c>
      <c r="B23" s="160">
        <f>SUM(B10:B22)</f>
        <v>131.33552282331772</v>
      </c>
      <c r="C23" s="160">
        <f>SUM(C10:C22)</f>
        <v>121.717860540487</v>
      </c>
      <c r="D23" s="160">
        <f>SUM(D10:D22)</f>
        <v>115.71451776970935</v>
      </c>
      <c r="E23" s="160">
        <f>SUM(E10:E22)</f>
        <v>109.89999999999999</v>
      </c>
      <c r="F23" s="161">
        <f>SUM(F10:F22)</f>
        <v>117.35103239411343</v>
      </c>
      <c r="G23" s="162">
        <f>ROUND(AVERAGE(B23:F23),0)</f>
        <v>119</v>
      </c>
      <c r="H23" s="163">
        <f>SUM(H10:H22)</f>
        <v>129.76958619303196</v>
      </c>
      <c r="I23" s="164">
        <f>SUM(I10:I22)</f>
        <v>111026705.31999996</v>
      </c>
      <c r="M23" s="190">
        <f>SUM(M10:M22)</f>
        <v>126.48</v>
      </c>
    </row>
    <row r="24" spans="1:16" hidden="1">
      <c r="A24" s="117"/>
      <c r="B24" s="165"/>
      <c r="C24" s="165"/>
      <c r="D24" s="165"/>
      <c r="E24" s="165"/>
      <c r="F24" s="166"/>
      <c r="G24" s="167"/>
      <c r="H24" s="168"/>
      <c r="I24" s="169"/>
      <c r="M24" s="190"/>
    </row>
    <row r="25" spans="1:16" hidden="1">
      <c r="A25" s="117" t="s">
        <v>55</v>
      </c>
      <c r="B25" s="165"/>
      <c r="C25" s="165"/>
      <c r="D25" s="165"/>
      <c r="E25" s="165"/>
      <c r="F25" s="166"/>
      <c r="G25" s="167"/>
      <c r="H25" s="168"/>
      <c r="I25" s="169"/>
      <c r="M25" s="192">
        <v>3233693</v>
      </c>
    </row>
    <row r="26" spans="1:16" hidden="1">
      <c r="A26" s="117" t="s">
        <v>131</v>
      </c>
      <c r="B26" s="165"/>
      <c r="C26" s="165"/>
      <c r="D26" s="165"/>
      <c r="E26" s="165"/>
      <c r="F26" s="166"/>
      <c r="G26" s="167"/>
      <c r="H26" s="168"/>
      <c r="I26" s="169"/>
      <c r="M26" s="190">
        <f>M25/855568</f>
        <v>3.7795861930319976</v>
      </c>
    </row>
    <row r="27" spans="1:16" hidden="1">
      <c r="A27" s="117" t="s">
        <v>57</v>
      </c>
      <c r="B27" s="165"/>
      <c r="C27" s="165"/>
      <c r="D27" s="165"/>
      <c r="E27" s="165"/>
      <c r="F27" s="166"/>
      <c r="G27" s="167"/>
      <c r="H27" s="168"/>
      <c r="I27" s="169"/>
      <c r="M27" s="190"/>
    </row>
    <row r="28" spans="1:16" ht="15.75" hidden="1" thickBot="1">
      <c r="A28" s="153" t="s">
        <v>132</v>
      </c>
      <c r="B28" s="170">
        <v>13.032805892879981</v>
      </c>
      <c r="C28" s="170">
        <v>7.78041650350292</v>
      </c>
      <c r="D28" s="170">
        <v>12.81</v>
      </c>
      <c r="E28" s="170">
        <v>11.73</v>
      </c>
      <c r="F28" s="171">
        <v>12</v>
      </c>
      <c r="G28" s="172">
        <f>ROUND(AVERAGE(B28:F28),0)</f>
        <v>11</v>
      </c>
      <c r="H28" s="173">
        <v>12.5</v>
      </c>
      <c r="I28" s="174">
        <f>H28*H5+378</f>
        <v>10694978</v>
      </c>
      <c r="M28" s="192">
        <v>10698236</v>
      </c>
    </row>
    <row r="29" spans="1:16" ht="15.75" hidden="1" thickTop="1">
      <c r="A29" s="175"/>
      <c r="B29" s="176"/>
      <c r="C29" s="176"/>
      <c r="D29" s="176"/>
      <c r="E29" s="176"/>
      <c r="F29" s="177"/>
      <c r="G29" s="178"/>
      <c r="H29" s="179"/>
      <c r="I29" s="180"/>
      <c r="M29" s="190">
        <f>M28/855568</f>
        <v>12.504249808314476</v>
      </c>
    </row>
    <row r="30" spans="1:16" ht="15.75" thickBot="1">
      <c r="A30" s="117"/>
      <c r="B30" s="165"/>
      <c r="C30" s="165"/>
      <c r="D30" s="165"/>
      <c r="E30" s="165"/>
      <c r="F30" s="166"/>
      <c r="G30" s="167"/>
      <c r="H30" s="168"/>
      <c r="I30" s="169"/>
      <c r="M30" s="190"/>
    </row>
    <row r="31" spans="1:16" ht="16.5" thickBot="1">
      <c r="A31" s="181" t="s">
        <v>133</v>
      </c>
      <c r="B31" s="182">
        <f>ROUND(B23+B28,0)</f>
        <v>144</v>
      </c>
      <c r="C31" s="182">
        <f>ROUND(C23+C28,0)</f>
        <v>129</v>
      </c>
      <c r="D31" s="182">
        <f>ROUND(D23+D28,0)</f>
        <v>129</v>
      </c>
      <c r="E31" s="182">
        <f>ROUND(E23+E28,0)</f>
        <v>122</v>
      </c>
      <c r="F31" s="183">
        <f>ROUND(F23+F28,0)</f>
        <v>129</v>
      </c>
      <c r="G31" s="184">
        <f>ROUND(AVERAGE(B31:F31),0)</f>
        <v>131</v>
      </c>
      <c r="H31" s="185">
        <f>H23+H28</f>
        <v>142.26958619303196</v>
      </c>
      <c r="I31" s="186">
        <f>I23+I28</f>
        <v>121721683.31999996</v>
      </c>
      <c r="M31" s="190"/>
    </row>
  </sheetData>
  <mergeCells count="3">
    <mergeCell ref="H2:I2"/>
    <mergeCell ref="H3:I3"/>
    <mergeCell ref="H5:I5"/>
  </mergeCells>
  <pageMargins left="0.7" right="0.7" top="0.75" bottom="0.75" header="0.3" footer="0.3"/>
  <pageSetup scale="76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36"/>
  <sheetViews>
    <sheetView workbookViewId="0">
      <selection activeCell="B10" sqref="B10"/>
    </sheetView>
  </sheetViews>
  <sheetFormatPr defaultRowHeight="15"/>
  <cols>
    <col min="1" max="1" width="40.28515625" customWidth="1"/>
    <col min="2" max="8" width="14.85546875" customWidth="1"/>
    <col min="9" max="9" width="13.85546875" customWidth="1"/>
    <col min="10" max="10" width="16.7109375" customWidth="1"/>
    <col min="14" max="14" width="12.42578125" bestFit="1" customWidth="1"/>
    <col min="17" max="17" width="8.85546875" customWidth="1"/>
  </cols>
  <sheetData>
    <row r="1" spans="1:21" ht="15.75" thickBot="1"/>
    <row r="2" spans="1:21" ht="63.6" customHeight="1">
      <c r="A2" s="109" t="s">
        <v>6</v>
      </c>
      <c r="B2" s="110" t="s">
        <v>108</v>
      </c>
      <c r="C2" s="110" t="s">
        <v>111</v>
      </c>
      <c r="D2" s="110" t="s">
        <v>135</v>
      </c>
      <c r="E2" s="110" t="s">
        <v>136</v>
      </c>
      <c r="F2" s="111" t="s">
        <v>78</v>
      </c>
      <c r="G2" s="195" t="s">
        <v>138</v>
      </c>
      <c r="H2" s="112" t="s">
        <v>143</v>
      </c>
      <c r="I2" s="230" t="s">
        <v>142</v>
      </c>
      <c r="J2" s="231"/>
    </row>
    <row r="3" spans="1:21" ht="15.75">
      <c r="A3" s="113" t="s">
        <v>8</v>
      </c>
      <c r="B3" s="114" t="s">
        <v>139</v>
      </c>
      <c r="C3" s="114" t="s">
        <v>137</v>
      </c>
      <c r="D3" s="114" t="s">
        <v>9</v>
      </c>
      <c r="E3" s="114" t="s">
        <v>137</v>
      </c>
      <c r="F3" s="115" t="s">
        <v>9</v>
      </c>
      <c r="G3" s="196" t="s">
        <v>9</v>
      </c>
      <c r="H3" s="116"/>
      <c r="I3" s="232" t="s">
        <v>9</v>
      </c>
      <c r="J3" s="233"/>
    </row>
    <row r="4" spans="1:21">
      <c r="A4" s="117"/>
      <c r="B4" s="118"/>
      <c r="C4" s="118"/>
      <c r="D4" s="118"/>
      <c r="E4" s="118"/>
      <c r="F4" s="119"/>
      <c r="G4" s="197"/>
      <c r="H4" s="120"/>
      <c r="I4" s="121"/>
      <c r="J4" s="122"/>
    </row>
    <row r="5" spans="1:21">
      <c r="A5" s="123" t="s">
        <v>116</v>
      </c>
      <c r="B5" s="124">
        <v>776000</v>
      </c>
      <c r="C5" s="124">
        <v>1713000</v>
      </c>
      <c r="D5" s="124">
        <v>1340000</v>
      </c>
      <c r="E5" s="124">
        <v>660079</v>
      </c>
      <c r="F5" s="125">
        <v>995000</v>
      </c>
      <c r="G5" s="198">
        <v>855568</v>
      </c>
      <c r="H5" s="126">
        <f>AVERAGE(B5:G5)</f>
        <v>1056607.8333333333</v>
      </c>
      <c r="I5" s="234">
        <v>1812695</v>
      </c>
      <c r="J5" s="235"/>
    </row>
    <row r="6" spans="1:21" ht="15.75" thickBot="1">
      <c r="A6" s="117"/>
      <c r="B6" s="118"/>
      <c r="C6" s="118"/>
      <c r="D6" s="118"/>
      <c r="E6" s="118"/>
      <c r="F6" s="119"/>
      <c r="G6" s="197"/>
      <c r="H6" s="120"/>
      <c r="I6" s="127"/>
      <c r="J6" s="128"/>
    </row>
    <row r="7" spans="1:21">
      <c r="A7" s="129" t="s">
        <v>37</v>
      </c>
      <c r="B7" s="130" t="s">
        <v>117</v>
      </c>
      <c r="C7" s="130" t="s">
        <v>117</v>
      </c>
      <c r="D7" s="130" t="s">
        <v>117</v>
      </c>
      <c r="E7" s="130" t="s">
        <v>117</v>
      </c>
      <c r="F7" s="131" t="s">
        <v>117</v>
      </c>
      <c r="G7" s="199"/>
      <c r="H7" s="132" t="s">
        <v>117</v>
      </c>
      <c r="I7" s="133" t="s">
        <v>140</v>
      </c>
      <c r="J7" s="134" t="s">
        <v>140</v>
      </c>
    </row>
    <row r="8" spans="1:21" ht="15.75" thickBot="1">
      <c r="A8" s="135"/>
      <c r="B8" s="136" t="s">
        <v>39</v>
      </c>
      <c r="C8" s="136" t="s">
        <v>39</v>
      </c>
      <c r="D8" s="136" t="s">
        <v>39</v>
      </c>
      <c r="E8" s="136" t="s">
        <v>39</v>
      </c>
      <c r="F8" s="137" t="s">
        <v>39</v>
      </c>
      <c r="G8" s="200"/>
      <c r="H8" s="138" t="s">
        <v>39</v>
      </c>
      <c r="I8" s="139" t="s">
        <v>39</v>
      </c>
      <c r="J8" s="140" t="s">
        <v>38</v>
      </c>
      <c r="S8" t="s">
        <v>144</v>
      </c>
      <c r="T8" t="s">
        <v>145</v>
      </c>
    </row>
    <row r="9" spans="1:21">
      <c r="A9" s="117"/>
      <c r="B9" s="118"/>
      <c r="C9" s="118"/>
      <c r="D9" s="118"/>
      <c r="E9" s="118"/>
      <c r="F9" s="119"/>
      <c r="G9" s="197"/>
      <c r="H9" s="120"/>
      <c r="I9" s="141"/>
      <c r="J9" s="142"/>
      <c r="N9" s="190"/>
    </row>
    <row r="10" spans="1:21">
      <c r="A10" s="143" t="s">
        <v>118</v>
      </c>
      <c r="B10" s="144">
        <v>2.263086250050049</v>
      </c>
      <c r="C10" s="144">
        <v>1.9108187915723909</v>
      </c>
      <c r="D10" s="144">
        <v>5.8752563604323864</v>
      </c>
      <c r="E10" s="144">
        <v>3.49</v>
      </c>
      <c r="F10" s="145">
        <v>4.3099999999999996</v>
      </c>
      <c r="G10" s="201">
        <v>3.6045900670114799</v>
      </c>
      <c r="H10" s="146">
        <f>ROUND(AVERAGE(B10:G10),0)</f>
        <v>4</v>
      </c>
      <c r="I10" s="147">
        <f>6.95*1.03</f>
        <v>7.1585000000000001</v>
      </c>
      <c r="J10" s="148">
        <f>I10*$I$5</f>
        <v>12976177.157500001</v>
      </c>
      <c r="N10" s="190">
        <v>3.5</v>
      </c>
      <c r="O10" s="189">
        <f>N10/$N$23</f>
        <v>2.767235926628716E-2</v>
      </c>
      <c r="P10" s="191">
        <f>O10*$N$26</f>
        <v>0.10459006701148001</v>
      </c>
      <c r="Q10" s="190">
        <f>N10+P10</f>
        <v>3.6045900670114799</v>
      </c>
      <c r="S10" s="209">
        <f>H10/$H$23</f>
        <v>3.3613445378151259E-2</v>
      </c>
      <c r="T10" s="209">
        <f>J10/$J$23</f>
        <v>6.1474630789975088E-2</v>
      </c>
      <c r="U10" s="209"/>
    </row>
    <row r="11" spans="1:21">
      <c r="A11" s="149" t="s">
        <v>119</v>
      </c>
      <c r="B11" s="150">
        <v>3.1647601679778958</v>
      </c>
      <c r="C11" s="150">
        <v>4.1753706823186931</v>
      </c>
      <c r="D11" s="150">
        <v>4.3652022908437207</v>
      </c>
      <c r="E11" s="150">
        <v>3.5</v>
      </c>
      <c r="F11" s="151">
        <v>9.5377978059942574</v>
      </c>
      <c r="G11" s="202">
        <v>4.5211858269086855</v>
      </c>
      <c r="H11" s="146">
        <f t="shared" ref="H11:H21" si="0">ROUND(AVERAGE(B11:G11),0)</f>
        <v>5</v>
      </c>
      <c r="I11" s="152">
        <f>5.82*1.03</f>
        <v>5.9946000000000002</v>
      </c>
      <c r="J11" s="148">
        <f>I11*$I$5-28443</f>
        <v>10837938.447000001</v>
      </c>
      <c r="N11" s="190">
        <f>2.89+1.5</f>
        <v>4.3900000000000006</v>
      </c>
      <c r="O11" s="189">
        <f t="shared" ref="O11:O21" si="1">N11/$N$23</f>
        <v>3.4709044908285899E-2</v>
      </c>
      <c r="P11" s="191">
        <f t="shared" ref="P11:P21" si="2">O11*$N$26</f>
        <v>0.13118582690868494</v>
      </c>
      <c r="Q11" s="190">
        <f t="shared" ref="Q11:Q21" si="3">N11+P11</f>
        <v>4.5211858269086855</v>
      </c>
      <c r="S11" s="209">
        <f t="shared" ref="S11:S21" si="4">H11/$H$23</f>
        <v>4.2016806722689079E-2</v>
      </c>
      <c r="T11" s="209">
        <f t="shared" ref="T11:T21" si="5">J11/$J$23</f>
        <v>5.1344726298585983E-2</v>
      </c>
      <c r="U11" s="209"/>
    </row>
    <row r="12" spans="1:21">
      <c r="A12" s="143" t="s">
        <v>120</v>
      </c>
      <c r="B12" s="144">
        <v>37.634231041851663</v>
      </c>
      <c r="C12" s="144">
        <v>40.015462769493951</v>
      </c>
      <c r="D12" s="144">
        <v>31.1</v>
      </c>
      <c r="E12" s="144">
        <v>34.78</v>
      </c>
      <c r="F12" s="145">
        <v>34.527113693467342</v>
      </c>
      <c r="G12" s="201">
        <v>33.934640773722357</v>
      </c>
      <c r="H12" s="146">
        <f t="shared" si="0"/>
        <v>35</v>
      </c>
      <c r="I12" s="147">
        <f>32.2*1.03</f>
        <v>33.166000000000004</v>
      </c>
      <c r="J12" s="148">
        <f>I12*$I$5</f>
        <v>60119842.370000005</v>
      </c>
      <c r="N12" s="190">
        <f>31.38+1.57</f>
        <v>32.949999999999996</v>
      </c>
      <c r="O12" s="189">
        <f t="shared" si="1"/>
        <v>0.2605154965211891</v>
      </c>
      <c r="P12" s="191">
        <f t="shared" si="2"/>
        <v>0.9846407737223617</v>
      </c>
      <c r="Q12" s="190">
        <f t="shared" si="3"/>
        <v>33.934640773722357</v>
      </c>
      <c r="S12" s="209">
        <f t="shared" si="4"/>
        <v>0.29411764705882354</v>
      </c>
      <c r="T12" s="209">
        <f t="shared" si="5"/>
        <v>0.2848177138758558</v>
      </c>
      <c r="U12" s="209"/>
    </row>
    <row r="13" spans="1:21">
      <c r="A13" s="143" t="s">
        <v>121</v>
      </c>
      <c r="B13" s="144">
        <v>2.209095276501567</v>
      </c>
      <c r="C13" s="144">
        <v>2.8147891714910993</v>
      </c>
      <c r="D13" s="144">
        <v>0.97101748704969604</v>
      </c>
      <c r="E13" s="144">
        <v>1.8</v>
      </c>
      <c r="F13" s="145">
        <v>1.75</v>
      </c>
      <c r="G13" s="201">
        <v>1.5448243144334914</v>
      </c>
      <c r="H13" s="146">
        <f t="shared" si="0"/>
        <v>2</v>
      </c>
      <c r="I13" s="147">
        <f>2.3*1.03</f>
        <v>2.3689999999999998</v>
      </c>
      <c r="J13" s="148">
        <f t="shared" ref="J13:J21" si="6">I13*$I$5</f>
        <v>4294274.4549999991</v>
      </c>
      <c r="N13" s="190">
        <v>1.5</v>
      </c>
      <c r="O13" s="189">
        <f t="shared" si="1"/>
        <v>1.1859582542694497E-2</v>
      </c>
      <c r="P13" s="191">
        <f t="shared" si="2"/>
        <v>4.4824314433491434E-2</v>
      </c>
      <c r="Q13" s="190">
        <f t="shared" si="3"/>
        <v>1.5448243144334914</v>
      </c>
      <c r="S13" s="209">
        <f t="shared" si="4"/>
        <v>1.680672268907563E-2</v>
      </c>
      <c r="T13" s="209">
        <f t="shared" si="5"/>
        <v>2.0344122419703979E-2</v>
      </c>
      <c r="U13" s="209"/>
    </row>
    <row r="14" spans="1:21">
      <c r="A14" s="143" t="s">
        <v>122</v>
      </c>
      <c r="B14" s="144">
        <v>27.326948676902727</v>
      </c>
      <c r="C14" s="144">
        <v>19.158831615537661</v>
      </c>
      <c r="D14" s="144">
        <v>25.350416268893301</v>
      </c>
      <c r="E14" s="144">
        <v>21</v>
      </c>
      <c r="F14" s="145">
        <v>23.657437634601582</v>
      </c>
      <c r="G14" s="201">
        <v>33.182826274031392</v>
      </c>
      <c r="H14" s="146">
        <f t="shared" si="0"/>
        <v>25</v>
      </c>
      <c r="I14" s="147">
        <f>25.07*1.03</f>
        <v>25.822100000000002</v>
      </c>
      <c r="J14" s="148">
        <f t="shared" si="6"/>
        <v>46807591.559500001</v>
      </c>
      <c r="N14" s="190">
        <v>32.22</v>
      </c>
      <c r="O14" s="189">
        <f t="shared" si="1"/>
        <v>0.25474383301707776</v>
      </c>
      <c r="P14" s="191">
        <f t="shared" si="2"/>
        <v>0.96282627403139587</v>
      </c>
      <c r="Q14" s="190">
        <f t="shared" si="3"/>
        <v>33.182826274031392</v>
      </c>
      <c r="S14" s="209">
        <f t="shared" si="4"/>
        <v>0.21008403361344538</v>
      </c>
      <c r="T14" s="209">
        <f t="shared" si="5"/>
        <v>0.22175093437477345</v>
      </c>
      <c r="U14" s="209"/>
    </row>
    <row r="15" spans="1:21">
      <c r="A15" s="143" t="s">
        <v>123</v>
      </c>
      <c r="B15" s="144">
        <v>16.727079348727468</v>
      </c>
      <c r="C15" s="144">
        <v>15.630047255769277</v>
      </c>
      <c r="D15" s="144">
        <v>14.113440772760603</v>
      </c>
      <c r="E15" s="144">
        <v>12</v>
      </c>
      <c r="F15" s="145">
        <v>11.2</v>
      </c>
      <c r="G15" s="201">
        <v>13.429672706808484</v>
      </c>
      <c r="H15" s="146">
        <f t="shared" si="0"/>
        <v>14</v>
      </c>
      <c r="I15" s="147">
        <f>(8.56+2)*1.03</f>
        <v>10.876800000000001</v>
      </c>
      <c r="J15" s="148">
        <f t="shared" si="6"/>
        <v>19716320.976000004</v>
      </c>
      <c r="N15" s="190">
        <v>13.04</v>
      </c>
      <c r="O15" s="189">
        <f t="shared" si="1"/>
        <v>0.10309930423782415</v>
      </c>
      <c r="P15" s="191">
        <f t="shared" si="2"/>
        <v>0.38967270680848548</v>
      </c>
      <c r="Q15" s="190">
        <f t="shared" si="3"/>
        <v>13.429672706808484</v>
      </c>
      <c r="S15" s="209">
        <f t="shared" si="4"/>
        <v>0.11764705882352941</v>
      </c>
      <c r="T15" s="209">
        <f t="shared" si="5"/>
        <v>9.3406057718293092E-2</v>
      </c>
      <c r="U15" s="209"/>
    </row>
    <row r="16" spans="1:21">
      <c r="A16" s="143" t="s">
        <v>124</v>
      </c>
      <c r="B16" s="144">
        <v>1.7089218563624418</v>
      </c>
      <c r="C16" s="144">
        <v>1.8465437445121322</v>
      </c>
      <c r="D16" s="144">
        <v>2.4226572947465526</v>
      </c>
      <c r="E16" s="144">
        <v>1.35</v>
      </c>
      <c r="F16" s="145">
        <v>1.25</v>
      </c>
      <c r="G16" s="201">
        <v>1.5139278281448216</v>
      </c>
      <c r="H16" s="146">
        <f t="shared" si="0"/>
        <v>2</v>
      </c>
      <c r="I16" s="147">
        <f>1.1*1.03</f>
        <v>1.1330000000000002</v>
      </c>
      <c r="J16" s="148">
        <f t="shared" si="6"/>
        <v>2053783.4350000005</v>
      </c>
      <c r="N16" s="190">
        <v>1.47</v>
      </c>
      <c r="O16" s="189">
        <f t="shared" si="1"/>
        <v>1.1622390891840606E-2</v>
      </c>
      <c r="P16" s="191">
        <f t="shared" si="2"/>
        <v>4.3927828144821601E-2</v>
      </c>
      <c r="Q16" s="190">
        <f t="shared" si="3"/>
        <v>1.5139278281448216</v>
      </c>
      <c r="S16" s="209">
        <f t="shared" si="4"/>
        <v>1.680672268907563E-2</v>
      </c>
      <c r="T16" s="209">
        <f t="shared" si="5"/>
        <v>9.7297976789888652E-3</v>
      </c>
      <c r="U16" s="209"/>
    </row>
    <row r="17" spans="1:21">
      <c r="A17" s="143" t="s">
        <v>125</v>
      </c>
      <c r="B17" s="144">
        <v>8.0590021906823264</v>
      </c>
      <c r="C17" s="144">
        <v>8.0867688093638108</v>
      </c>
      <c r="D17" s="144">
        <v>8.2492194337346554</v>
      </c>
      <c r="E17" s="144">
        <v>7</v>
      </c>
      <c r="F17" s="145">
        <v>6.52</v>
      </c>
      <c r="G17" s="201">
        <v>7.9918911200025953</v>
      </c>
      <c r="H17" s="146">
        <f t="shared" si="0"/>
        <v>8</v>
      </c>
      <c r="I17" s="147">
        <f>6.6*1.03</f>
        <v>6.798</v>
      </c>
      <c r="J17" s="148">
        <f t="shared" si="6"/>
        <v>12322700.609999999</v>
      </c>
      <c r="N17" s="190">
        <v>7.76</v>
      </c>
      <c r="O17" s="189">
        <f t="shared" si="1"/>
        <v>6.1353573687539527E-2</v>
      </c>
      <c r="P17" s="191">
        <f t="shared" si="2"/>
        <v>0.23189112000259565</v>
      </c>
      <c r="Q17" s="190">
        <f t="shared" si="3"/>
        <v>7.9918911200025953</v>
      </c>
      <c r="S17" s="209">
        <f t="shared" si="4"/>
        <v>6.7226890756302518E-2</v>
      </c>
      <c r="T17" s="209">
        <f t="shared" si="5"/>
        <v>5.8378786073933167E-2</v>
      </c>
      <c r="U17" s="209"/>
    </row>
    <row r="18" spans="1:21">
      <c r="A18" s="143" t="s">
        <v>126</v>
      </c>
      <c r="B18" s="144">
        <v>4.1767313018506371</v>
      </c>
      <c r="C18" s="144">
        <v>2.549427024568538</v>
      </c>
      <c r="D18" s="144">
        <v>2.3031962331764313</v>
      </c>
      <c r="E18" s="144">
        <v>2.5</v>
      </c>
      <c r="F18" s="145">
        <v>3.2080043072505391</v>
      </c>
      <c r="G18" s="201">
        <v>4.7786565459809331</v>
      </c>
      <c r="H18" s="146">
        <f t="shared" si="0"/>
        <v>3</v>
      </c>
      <c r="I18" s="147">
        <f>3.35*1.03</f>
        <v>3.4505000000000003</v>
      </c>
      <c r="J18" s="148">
        <f t="shared" si="6"/>
        <v>6254704.0975000011</v>
      </c>
      <c r="N18" s="190">
        <v>4.6399999999999997</v>
      </c>
      <c r="O18" s="189">
        <f t="shared" si="1"/>
        <v>3.6685641998734975E-2</v>
      </c>
      <c r="P18" s="191">
        <f t="shared" si="2"/>
        <v>0.13865654598093349</v>
      </c>
      <c r="Q18" s="190">
        <f t="shared" si="3"/>
        <v>4.7786565459809331</v>
      </c>
      <c r="S18" s="209">
        <f t="shared" si="4"/>
        <v>2.5210084033613446E-2</v>
      </c>
      <c r="T18" s="209">
        <f t="shared" si="5"/>
        <v>2.963165656782972E-2</v>
      </c>
      <c r="U18" s="209"/>
    </row>
    <row r="19" spans="1:21">
      <c r="A19" s="143" t="s">
        <v>127</v>
      </c>
      <c r="B19" s="144">
        <v>3.8270435069191491</v>
      </c>
      <c r="C19" s="144">
        <v>1.5</v>
      </c>
      <c r="D19" s="144">
        <v>1.3033032582728197</v>
      </c>
      <c r="E19" s="144">
        <v>1.98</v>
      </c>
      <c r="F19" s="145">
        <v>1.440678952799713</v>
      </c>
      <c r="G19" s="201">
        <v>2.5026153893822563</v>
      </c>
      <c r="H19" s="146">
        <f t="shared" si="0"/>
        <v>2</v>
      </c>
      <c r="I19" s="147">
        <f>2.32*1.03</f>
        <v>2.3895999999999997</v>
      </c>
      <c r="J19" s="148">
        <f t="shared" si="6"/>
        <v>4331615.9719999991</v>
      </c>
      <c r="N19" s="190">
        <v>2.4300000000000002</v>
      </c>
      <c r="O19" s="189">
        <f t="shared" si="1"/>
        <v>1.9212523719165087E-2</v>
      </c>
      <c r="P19" s="191">
        <f t="shared" si="2"/>
        <v>7.2615389382256132E-2</v>
      </c>
      <c r="Q19" s="190">
        <f t="shared" si="3"/>
        <v>2.5026153893822563</v>
      </c>
      <c r="S19" s="209">
        <f t="shared" si="4"/>
        <v>1.680672268907563E-2</v>
      </c>
      <c r="T19" s="209">
        <f t="shared" si="5"/>
        <v>2.0521027832049232E-2</v>
      </c>
      <c r="U19" s="209"/>
    </row>
    <row r="20" spans="1:21">
      <c r="A20" s="143" t="s">
        <v>128</v>
      </c>
      <c r="B20" s="144">
        <v>12.172870175862345</v>
      </c>
      <c r="C20" s="144">
        <v>13.125764268232427</v>
      </c>
      <c r="D20" s="144">
        <v>11.011767751969154</v>
      </c>
      <c r="E20" s="144">
        <v>10</v>
      </c>
      <c r="F20" s="145">
        <v>9.75</v>
      </c>
      <c r="G20" s="201">
        <v>9.9898639000032432</v>
      </c>
      <c r="H20" s="146">
        <f t="shared" si="0"/>
        <v>11</v>
      </c>
      <c r="I20" s="147">
        <f>8.07*1.03</f>
        <v>8.3121000000000009</v>
      </c>
      <c r="J20" s="148">
        <f t="shared" si="6"/>
        <v>15067302.109500002</v>
      </c>
      <c r="N20" s="190">
        <v>9.6999999999999993</v>
      </c>
      <c r="O20" s="189">
        <f t="shared" si="1"/>
        <v>7.6691967109424414E-2</v>
      </c>
      <c r="P20" s="191">
        <f t="shared" si="2"/>
        <v>0.28986390000324458</v>
      </c>
      <c r="Q20" s="190">
        <f t="shared" si="3"/>
        <v>9.9898639000032432</v>
      </c>
      <c r="S20" s="209">
        <f t="shared" si="4"/>
        <v>9.2436974789915971E-2</v>
      </c>
      <c r="T20" s="209">
        <f t="shared" si="5"/>
        <v>7.1381333881309211E-2</v>
      </c>
      <c r="U20" s="209"/>
    </row>
    <row r="21" spans="1:21">
      <c r="A21" s="143" t="s">
        <v>129</v>
      </c>
      <c r="B21" s="144">
        <v>12.065753029629439</v>
      </c>
      <c r="C21" s="144">
        <v>10.904036407627</v>
      </c>
      <c r="D21" s="144">
        <v>8.6490406178300248</v>
      </c>
      <c r="E21" s="144">
        <v>10.5</v>
      </c>
      <c r="F21" s="145">
        <v>10.199999999999999</v>
      </c>
      <c r="G21" s="201">
        <v>12.774891446602199</v>
      </c>
      <c r="H21" s="146">
        <f t="shared" si="0"/>
        <v>11</v>
      </c>
      <c r="I21" s="147">
        <f>8.73*1.03</f>
        <v>8.9919000000000011</v>
      </c>
      <c r="J21" s="148">
        <f t="shared" si="6"/>
        <v>16299572.170500003</v>
      </c>
      <c r="N21" s="190">
        <f>12.2+0.68</f>
        <v>12.879999999999999</v>
      </c>
      <c r="O21" s="189">
        <f t="shared" si="1"/>
        <v>0.10183428209993674</v>
      </c>
      <c r="P21" s="191">
        <f t="shared" si="2"/>
        <v>0.38489144660224639</v>
      </c>
      <c r="Q21" s="190">
        <f t="shared" si="3"/>
        <v>13.264891446602245</v>
      </c>
      <c r="S21" s="209">
        <f t="shared" si="4"/>
        <v>9.2436974789915971E-2</v>
      </c>
      <c r="T21" s="209">
        <f t="shared" si="5"/>
        <v>7.7219212488702532E-2</v>
      </c>
      <c r="U21" s="209"/>
    </row>
    <row r="22" spans="1:21" ht="15.75" thickBot="1">
      <c r="A22" s="153"/>
      <c r="B22" s="154"/>
      <c r="C22" s="154"/>
      <c r="D22" s="154"/>
      <c r="E22" s="154"/>
      <c r="F22" s="155"/>
      <c r="G22" s="203"/>
      <c r="H22" s="156"/>
      <c r="I22" s="157"/>
      <c r="J22" s="158"/>
      <c r="N22" s="190"/>
      <c r="S22" s="209"/>
      <c r="T22" s="209"/>
      <c r="U22" s="209"/>
    </row>
    <row r="23" spans="1:21" ht="16.5" thickTop="1">
      <c r="A23" s="159" t="s">
        <v>130</v>
      </c>
      <c r="B23" s="160">
        <f>SUM(B10:B22)</f>
        <v>131.33552282331772</v>
      </c>
      <c r="C23" s="160">
        <f>SUM(C10:C22)</f>
        <v>121.717860540487</v>
      </c>
      <c r="D23" s="160">
        <f>SUM(D10:D22)</f>
        <v>115.71451776970935</v>
      </c>
      <c r="E23" s="160">
        <f>SUM(E10:E22)</f>
        <v>109.89999999999999</v>
      </c>
      <c r="F23" s="161">
        <f>SUM(F10:F22)</f>
        <v>117.35103239411343</v>
      </c>
      <c r="G23" s="204">
        <v>129.76958619303196</v>
      </c>
      <c r="H23" s="162">
        <f>ROUND(AVERAGE(B23:F23),0)</f>
        <v>119</v>
      </c>
      <c r="I23" s="163">
        <f>SUM(I10:I22)</f>
        <v>116.46210000000002</v>
      </c>
      <c r="J23" s="164">
        <f>SUM(J10:J22)</f>
        <v>211081823.35949999</v>
      </c>
      <c r="N23" s="190">
        <f>SUM(N10:N22)</f>
        <v>126.48</v>
      </c>
      <c r="S23" s="209"/>
      <c r="T23" s="209"/>
      <c r="U23" s="209"/>
    </row>
    <row r="24" spans="1:21" hidden="1">
      <c r="A24" s="117"/>
      <c r="B24" s="165"/>
      <c r="C24" s="165"/>
      <c r="D24" s="165"/>
      <c r="E24" s="165"/>
      <c r="F24" s="166"/>
      <c r="G24" s="205"/>
      <c r="H24" s="167"/>
      <c r="I24" s="168"/>
      <c r="J24" s="169"/>
      <c r="N24" s="190"/>
      <c r="S24" s="209"/>
      <c r="T24" s="209"/>
      <c r="U24" s="209"/>
    </row>
    <row r="25" spans="1:21" hidden="1">
      <c r="A25" s="117" t="s">
        <v>55</v>
      </c>
      <c r="B25" s="165"/>
      <c r="C25" s="165"/>
      <c r="D25" s="165"/>
      <c r="E25" s="165"/>
      <c r="F25" s="166"/>
      <c r="G25" s="205"/>
      <c r="H25" s="167"/>
      <c r="I25" s="168"/>
      <c r="J25" s="169"/>
      <c r="N25" s="192">
        <v>3233693</v>
      </c>
      <c r="S25" s="209"/>
      <c r="T25" s="209"/>
      <c r="U25" s="209"/>
    </row>
    <row r="26" spans="1:21" hidden="1">
      <c r="A26" s="117" t="s">
        <v>131</v>
      </c>
      <c r="B26" s="165"/>
      <c r="C26" s="165"/>
      <c r="D26" s="165"/>
      <c r="E26" s="165"/>
      <c r="F26" s="166"/>
      <c r="G26" s="205"/>
      <c r="H26" s="167"/>
      <c r="I26" s="168"/>
      <c r="J26" s="169"/>
      <c r="N26" s="190">
        <f>N25/855568</f>
        <v>3.7795861930319976</v>
      </c>
      <c r="S26" s="209"/>
      <c r="T26" s="209"/>
      <c r="U26" s="209"/>
    </row>
    <row r="27" spans="1:21" hidden="1">
      <c r="A27" s="117" t="s">
        <v>57</v>
      </c>
      <c r="B27" s="165"/>
      <c r="C27" s="165"/>
      <c r="D27" s="165"/>
      <c r="E27" s="165"/>
      <c r="F27" s="166"/>
      <c r="G27" s="205"/>
      <c r="H27" s="167"/>
      <c r="I27" s="168"/>
      <c r="J27" s="169"/>
      <c r="N27" s="190"/>
      <c r="S27" s="209"/>
      <c r="T27" s="209"/>
      <c r="U27" s="209"/>
    </row>
    <row r="28" spans="1:21" ht="15.75" hidden="1" thickBot="1">
      <c r="A28" s="153" t="s">
        <v>132</v>
      </c>
      <c r="B28" s="170">
        <v>13.032805892879981</v>
      </c>
      <c r="C28" s="170">
        <v>7.78041650350292</v>
      </c>
      <c r="D28" s="170">
        <v>12.81</v>
      </c>
      <c r="E28" s="170">
        <v>11.73</v>
      </c>
      <c r="F28" s="171">
        <v>12</v>
      </c>
      <c r="G28" s="206">
        <v>12.5</v>
      </c>
      <c r="H28" s="172">
        <f>ROUND(AVERAGE(B28:G28),0)</f>
        <v>12</v>
      </c>
      <c r="I28" s="173">
        <v>10.210000000000001</v>
      </c>
      <c r="J28" s="174">
        <f>I28*I5+378+16205</f>
        <v>18524198.950000003</v>
      </c>
      <c r="N28" s="192">
        <v>10698236</v>
      </c>
      <c r="S28" s="209"/>
      <c r="T28" s="209"/>
      <c r="U28" s="209"/>
    </row>
    <row r="29" spans="1:21">
      <c r="A29" s="175"/>
      <c r="B29" s="176"/>
      <c r="C29" s="176"/>
      <c r="D29" s="176"/>
      <c r="E29" s="176"/>
      <c r="F29" s="177"/>
      <c r="G29" s="207"/>
      <c r="H29" s="178"/>
      <c r="I29" s="179"/>
      <c r="J29" s="180"/>
      <c r="N29" s="190">
        <f>N28/855568</f>
        <v>12.504249808314476</v>
      </c>
      <c r="S29" s="209"/>
      <c r="T29" s="209"/>
      <c r="U29" s="209"/>
    </row>
    <row r="30" spans="1:21" ht="15.75" thickBot="1">
      <c r="A30" s="117"/>
      <c r="B30" s="165"/>
      <c r="C30" s="165"/>
      <c r="D30" s="165"/>
      <c r="E30" s="165"/>
      <c r="F30" s="166"/>
      <c r="G30" s="205"/>
      <c r="H30" s="167"/>
      <c r="I30" s="168"/>
      <c r="J30" s="169"/>
      <c r="N30" s="190"/>
      <c r="S30" s="209"/>
      <c r="T30" s="209"/>
      <c r="U30" s="209"/>
    </row>
    <row r="31" spans="1:21" ht="16.5" thickBot="1">
      <c r="A31" s="181" t="s">
        <v>133</v>
      </c>
      <c r="B31" s="182">
        <f>ROUND(B23+B28,0)</f>
        <v>144</v>
      </c>
      <c r="C31" s="182">
        <f>ROUND(C23+C28,0)</f>
        <v>129</v>
      </c>
      <c r="D31" s="182">
        <f>ROUND(D23+D28,0)</f>
        <v>129</v>
      </c>
      <c r="E31" s="182">
        <f>ROUND(E23+E28,0)</f>
        <v>122</v>
      </c>
      <c r="F31" s="183">
        <f>ROUND(F23+F28,0)</f>
        <v>129</v>
      </c>
      <c r="G31" s="208">
        <f>SUM(G23:G30)</f>
        <v>142.26958619303196</v>
      </c>
      <c r="H31" s="184">
        <f>ROUND(AVERAGE(B31:G31),0)</f>
        <v>133</v>
      </c>
      <c r="I31" s="185">
        <f>I23+I28</f>
        <v>126.67210000000003</v>
      </c>
      <c r="J31" s="186">
        <f>J23+J28</f>
        <v>229606022.30949998</v>
      </c>
      <c r="N31" s="190"/>
    </row>
    <row r="35" spans="10:10">
      <c r="J35" s="194">
        <f>+J31-229606022</f>
        <v>0.30949997901916504</v>
      </c>
    </row>
    <row r="36" spans="10:10">
      <c r="J36" s="194"/>
    </row>
  </sheetData>
  <mergeCells count="3">
    <mergeCell ref="I2:J2"/>
    <mergeCell ref="I3:J3"/>
    <mergeCell ref="I5:J5"/>
  </mergeCells>
  <pageMargins left="0.7" right="0.7" top="0.75" bottom="0.75" header="0.3" footer="0.3"/>
  <pageSetup scale="70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27"/>
  <sheetViews>
    <sheetView tabSelected="1" view="pageBreakPreview" zoomScale="85" zoomScaleNormal="85" zoomScaleSheetLayoutView="85" workbookViewId="0">
      <selection activeCell="B19" sqref="B19"/>
    </sheetView>
  </sheetViews>
  <sheetFormatPr defaultRowHeight="15"/>
  <cols>
    <col min="1" max="1" width="31.7109375" customWidth="1"/>
    <col min="2" max="2" width="18.28515625" customWidth="1"/>
    <col min="3" max="3" width="14.85546875" customWidth="1"/>
    <col min="4" max="4" width="14.85546875" hidden="1" customWidth="1"/>
    <col min="5" max="5" width="18.5703125" customWidth="1"/>
    <col min="6" max="6" width="19.7109375" customWidth="1"/>
    <col min="7" max="7" width="14.85546875" customWidth="1"/>
    <col min="8" max="8" width="19.5703125" customWidth="1"/>
    <col min="9" max="9" width="14.7109375" customWidth="1"/>
    <col min="10" max="10" width="15.28515625" bestFit="1" customWidth="1"/>
    <col min="12" max="12" width="12.42578125" bestFit="1" customWidth="1"/>
    <col min="15" max="15" width="8.85546875" customWidth="1"/>
  </cols>
  <sheetData>
    <row r="1" spans="1:15">
      <c r="B1" s="214">
        <v>170000</v>
      </c>
      <c r="C1" s="214">
        <v>169000</v>
      </c>
      <c r="D1" s="214">
        <v>1163241</v>
      </c>
      <c r="E1" s="214">
        <v>252000</v>
      </c>
      <c r="F1" s="214">
        <v>84000</v>
      </c>
      <c r="G1" s="214"/>
      <c r="H1" s="214">
        <v>145000</v>
      </c>
    </row>
    <row r="2" spans="1:15">
      <c r="A2" s="210"/>
      <c r="B2" s="211" t="s">
        <v>159</v>
      </c>
      <c r="C2" s="211" t="s">
        <v>155</v>
      </c>
      <c r="D2" s="211"/>
      <c r="E2" s="211" t="s">
        <v>158</v>
      </c>
      <c r="F2" s="211" t="s">
        <v>157</v>
      </c>
      <c r="G2" s="212" t="s">
        <v>141</v>
      </c>
      <c r="H2" s="223" t="s">
        <v>156</v>
      </c>
      <c r="I2" s="103"/>
      <c r="J2" s="222" t="s">
        <v>163</v>
      </c>
      <c r="L2" s="190"/>
    </row>
    <row r="3" spans="1:15">
      <c r="A3" s="213" t="s">
        <v>170</v>
      </c>
      <c r="B3" s="216">
        <v>4</v>
      </c>
      <c r="C3" s="216">
        <v>7</v>
      </c>
      <c r="D3" s="193">
        <v>0</v>
      </c>
      <c r="E3" s="216">
        <v>8</v>
      </c>
      <c r="F3" s="216">
        <v>9</v>
      </c>
      <c r="G3" s="217">
        <f t="shared" ref="G3" si="0">AVERAGE(B3:F3)</f>
        <v>5.6</v>
      </c>
      <c r="H3" s="216">
        <v>0</v>
      </c>
      <c r="I3" s="215">
        <f t="shared" ref="I3" si="1">H3*H$1</f>
        <v>0</v>
      </c>
      <c r="J3" s="218">
        <f t="shared" ref="J3" si="2">I3/8</f>
        <v>0</v>
      </c>
      <c r="L3" s="190"/>
      <c r="M3" s="189"/>
      <c r="N3" s="191"/>
      <c r="O3" s="190"/>
    </row>
    <row r="4" spans="1:15">
      <c r="A4" s="213" t="s">
        <v>168</v>
      </c>
      <c r="B4" s="216">
        <v>5</v>
      </c>
      <c r="C4" s="216">
        <v>6</v>
      </c>
      <c r="D4" s="193">
        <v>0</v>
      </c>
      <c r="E4" s="216">
        <v>4</v>
      </c>
      <c r="F4" s="216">
        <v>7</v>
      </c>
      <c r="G4" s="217">
        <f t="shared" ref="G4:G5" si="3">AVERAGE(B4:F4)</f>
        <v>4.4000000000000004</v>
      </c>
      <c r="H4" s="216">
        <v>5</v>
      </c>
      <c r="I4" s="215">
        <f t="shared" ref="I4" si="4">H4*H$1</f>
        <v>725000</v>
      </c>
      <c r="J4" s="218">
        <f t="shared" ref="J4" si="5">I4/8</f>
        <v>90625</v>
      </c>
      <c r="L4" s="190"/>
      <c r="M4" s="189"/>
      <c r="N4" s="191"/>
      <c r="O4" s="190"/>
    </row>
    <row r="5" spans="1:15">
      <c r="A5" s="213" t="s">
        <v>164</v>
      </c>
      <c r="B5" s="216">
        <v>4</v>
      </c>
      <c r="C5" s="216">
        <v>8</v>
      </c>
      <c r="D5" s="193">
        <v>0</v>
      </c>
      <c r="E5" s="216">
        <v>9</v>
      </c>
      <c r="F5" s="216">
        <v>1</v>
      </c>
      <c r="G5" s="217">
        <f t="shared" si="3"/>
        <v>4.4000000000000004</v>
      </c>
      <c r="H5" s="216">
        <v>4</v>
      </c>
      <c r="I5" s="215">
        <f t="shared" ref="I5" si="6">H5*H$1</f>
        <v>580000</v>
      </c>
      <c r="J5" s="218">
        <f t="shared" ref="J5" si="7">I5/8</f>
        <v>72500</v>
      </c>
      <c r="L5" s="190"/>
      <c r="M5" s="189"/>
      <c r="N5" s="191"/>
      <c r="O5" s="190"/>
    </row>
    <row r="6" spans="1:15">
      <c r="A6" s="213" t="s">
        <v>148</v>
      </c>
      <c r="B6" s="216">
        <f>F6*L$14</f>
        <v>15.171428571428573</v>
      </c>
      <c r="C6" s="216">
        <f>1394175/C1</f>
        <v>8.2495562130177511</v>
      </c>
      <c r="D6" s="193">
        <v>0</v>
      </c>
      <c r="E6" s="216">
        <f>515471/E1</f>
        <v>2.0455198412698414</v>
      </c>
      <c r="F6" s="216">
        <f>1416000/F1</f>
        <v>16.857142857142858</v>
      </c>
      <c r="G6" s="217">
        <f t="shared" ref="G6:G20" si="8">AVERAGE(B6:F6)</f>
        <v>8.4647294965718043</v>
      </c>
      <c r="H6" s="216">
        <v>2</v>
      </c>
      <c r="I6" s="215">
        <f t="shared" ref="I6:I20" si="9">H6*H$1</f>
        <v>290000</v>
      </c>
      <c r="J6" s="218">
        <f t="shared" ref="J6:J20" si="10">I6/8</f>
        <v>36250</v>
      </c>
      <c r="L6" s="190"/>
      <c r="M6" s="189"/>
      <c r="N6" s="191"/>
      <c r="O6" s="190"/>
    </row>
    <row r="7" spans="1:15">
      <c r="A7" s="213" t="s">
        <v>149</v>
      </c>
      <c r="B7" s="216">
        <f>F7*L$14</f>
        <v>0.8035714285714286</v>
      </c>
      <c r="C7" s="216">
        <f>355000/C1</f>
        <v>2.1005917159763312</v>
      </c>
      <c r="D7" s="193">
        <v>0</v>
      </c>
      <c r="E7" s="216">
        <f>800915/E1</f>
        <v>3.178234126984127</v>
      </c>
      <c r="F7" s="216">
        <f>75000/F1</f>
        <v>0.8928571428571429</v>
      </c>
      <c r="G7" s="217">
        <f t="shared" si="8"/>
        <v>1.3950508828778061</v>
      </c>
      <c r="H7" s="216">
        <v>2</v>
      </c>
      <c r="I7" s="215">
        <f t="shared" si="9"/>
        <v>290000</v>
      </c>
      <c r="J7" s="218">
        <f t="shared" si="10"/>
        <v>36250</v>
      </c>
      <c r="L7" s="190"/>
      <c r="M7" s="189"/>
      <c r="N7" s="191"/>
      <c r="O7" s="190"/>
    </row>
    <row r="8" spans="1:15">
      <c r="A8" s="213" t="s">
        <v>150</v>
      </c>
      <c r="B8" s="216">
        <v>2.5</v>
      </c>
      <c r="C8" s="216">
        <v>1.76</v>
      </c>
      <c r="D8" s="193">
        <v>0</v>
      </c>
      <c r="E8" s="216">
        <f>406000/E1</f>
        <v>1.6111111111111112</v>
      </c>
      <c r="F8" s="216">
        <f>75000/F1</f>
        <v>0.8928571428571429</v>
      </c>
      <c r="G8" s="217">
        <f t="shared" si="8"/>
        <v>1.3527936507936507</v>
      </c>
      <c r="H8" s="216">
        <v>1.5</v>
      </c>
      <c r="I8" s="215">
        <f t="shared" si="9"/>
        <v>217500</v>
      </c>
      <c r="J8" s="218">
        <f t="shared" si="10"/>
        <v>27187.5</v>
      </c>
      <c r="L8" s="190"/>
      <c r="M8" s="189"/>
      <c r="N8" s="191"/>
      <c r="O8" s="190"/>
    </row>
    <row r="9" spans="1:15">
      <c r="A9" s="213" t="s">
        <v>153</v>
      </c>
      <c r="B9" s="216">
        <f>F9*L$14</f>
        <v>7.6463035714285716</v>
      </c>
      <c r="C9" s="216">
        <v>19.7</v>
      </c>
      <c r="D9" s="193">
        <v>0</v>
      </c>
      <c r="E9" s="216">
        <f>3000000/E1</f>
        <v>11.904761904761905</v>
      </c>
      <c r="F9" s="216">
        <f>(511905+201750)/F1</f>
        <v>8.4958928571428576</v>
      </c>
      <c r="G9" s="217">
        <f t="shared" si="8"/>
        <v>9.5493916666666667</v>
      </c>
      <c r="H9" s="216">
        <v>18</v>
      </c>
      <c r="I9" s="215">
        <f t="shared" si="9"/>
        <v>2610000</v>
      </c>
      <c r="J9" s="218">
        <f t="shared" si="10"/>
        <v>326250</v>
      </c>
      <c r="K9" s="218">
        <f>J9/20000</f>
        <v>16.3125</v>
      </c>
      <c r="L9" s="190"/>
      <c r="M9" s="189"/>
      <c r="N9" s="191"/>
      <c r="O9" s="190"/>
    </row>
    <row r="10" spans="1:15">
      <c r="A10" s="213" t="s">
        <v>173</v>
      </c>
      <c r="B10" s="216">
        <v>4</v>
      </c>
      <c r="C10" s="216">
        <v>1</v>
      </c>
      <c r="D10" s="193">
        <v>0</v>
      </c>
      <c r="E10" s="216">
        <v>2</v>
      </c>
      <c r="F10" s="216">
        <v>3</v>
      </c>
      <c r="G10" s="217">
        <f>AVERAGE(B10:F10)</f>
        <v>2</v>
      </c>
      <c r="H10" s="216">
        <v>4</v>
      </c>
      <c r="I10" s="215">
        <f>H10*H$1</f>
        <v>580000</v>
      </c>
      <c r="J10" s="218">
        <f>I10/8</f>
        <v>72500</v>
      </c>
      <c r="L10" s="190"/>
      <c r="M10" s="189"/>
      <c r="N10" s="191"/>
      <c r="O10" s="190"/>
    </row>
    <row r="11" spans="1:15">
      <c r="A11" s="213" t="s">
        <v>154</v>
      </c>
      <c r="B11" s="216">
        <f>F11*L$14</f>
        <v>2.1107142857142858</v>
      </c>
      <c r="C11" s="216">
        <f>794000/C1</f>
        <v>4.6982248520710055</v>
      </c>
      <c r="D11" s="193">
        <v>0</v>
      </c>
      <c r="E11" s="216">
        <f>720000/E1</f>
        <v>2.8571428571428572</v>
      </c>
      <c r="F11" s="216">
        <f>197000/F1</f>
        <v>2.3452380952380953</v>
      </c>
      <c r="G11" s="217">
        <f>AVERAGE(B11:F11)</f>
        <v>2.4022640180332488</v>
      </c>
      <c r="H11" s="216">
        <v>5</v>
      </c>
      <c r="I11" s="215">
        <f>H11*H$1</f>
        <v>725000</v>
      </c>
      <c r="J11" s="218">
        <f>I11/8</f>
        <v>90625</v>
      </c>
      <c r="L11" s="190"/>
      <c r="M11" s="189"/>
      <c r="N11" s="191"/>
      <c r="O11" s="190"/>
    </row>
    <row r="12" spans="1:15">
      <c r="A12" s="213" t="s">
        <v>151</v>
      </c>
      <c r="B12" s="216">
        <f>F12*L$14</f>
        <v>4.7678571428571432</v>
      </c>
      <c r="C12" s="216">
        <v>7</v>
      </c>
      <c r="D12" s="193">
        <v>0</v>
      </c>
      <c r="E12" s="216">
        <f>965498/E1</f>
        <v>3.8313412698412699</v>
      </c>
      <c r="F12" s="216">
        <f>445000/F1</f>
        <v>5.2976190476190474</v>
      </c>
      <c r="G12" s="217">
        <f>AVERAGE(B12:F12)</f>
        <v>4.1793634920634917</v>
      </c>
      <c r="H12" s="216">
        <v>5</v>
      </c>
      <c r="I12" s="215">
        <f>H12*H$1</f>
        <v>725000</v>
      </c>
      <c r="J12" s="218">
        <f>I12/8</f>
        <v>90625</v>
      </c>
      <c r="L12" s="190"/>
      <c r="M12" s="189"/>
      <c r="N12" s="191"/>
      <c r="O12" s="190"/>
    </row>
    <row r="13" spans="1:15">
      <c r="A13" s="213" t="s">
        <v>169</v>
      </c>
      <c r="B13" s="216">
        <v>1</v>
      </c>
      <c r="C13" s="216">
        <v>1</v>
      </c>
      <c r="D13" s="193">
        <v>0</v>
      </c>
      <c r="E13" s="216">
        <v>1</v>
      </c>
      <c r="F13" s="216">
        <v>1</v>
      </c>
      <c r="G13" s="217">
        <f t="shared" ref="G13" si="11">AVERAGE(B13:F13)</f>
        <v>0.8</v>
      </c>
      <c r="H13" s="216">
        <v>2</v>
      </c>
      <c r="I13" s="215">
        <f t="shared" ref="I13" si="12">H13*H$1</f>
        <v>290000</v>
      </c>
      <c r="J13" s="218">
        <f t="shared" ref="J13" si="13">I13/8</f>
        <v>36250</v>
      </c>
      <c r="L13" s="190"/>
      <c r="M13" s="189"/>
      <c r="N13" s="191"/>
      <c r="O13" s="190"/>
    </row>
    <row r="14" spans="1:15">
      <c r="A14" s="213" t="s">
        <v>160</v>
      </c>
      <c r="B14" s="216">
        <f>F14*L$14</f>
        <v>8.6678571428571427</v>
      </c>
      <c r="C14" s="216">
        <f>1193809/C1</f>
        <v>7.0639585798816569</v>
      </c>
      <c r="D14" s="193">
        <v>0</v>
      </c>
      <c r="E14" s="216">
        <f>1528915/E1</f>
        <v>6.0671230158730163</v>
      </c>
      <c r="F14" s="216">
        <f>809000/F1</f>
        <v>9.6309523809523814</v>
      </c>
      <c r="G14" s="217">
        <f>AVERAGE(B14:F14)</f>
        <v>6.2859782239128394</v>
      </c>
      <c r="H14" s="216">
        <f>(1590*950)/H1</f>
        <v>10.417241379310346</v>
      </c>
      <c r="I14" s="215">
        <f>H14*H$1</f>
        <v>1510500</v>
      </c>
      <c r="L14" s="190">
        <v>0.9</v>
      </c>
      <c r="M14" s="189"/>
      <c r="N14" s="191"/>
      <c r="O14" s="190"/>
    </row>
    <row r="15" spans="1:15">
      <c r="A15" s="213" t="s">
        <v>171</v>
      </c>
      <c r="B15" s="216">
        <f>F15*L$14</f>
        <v>5.0571428571428569</v>
      </c>
      <c r="C15" s="216">
        <v>6.25</v>
      </c>
      <c r="D15" s="193">
        <v>0</v>
      </c>
      <c r="E15" s="216">
        <v>8.25</v>
      </c>
      <c r="F15" s="216">
        <f>472000/F1</f>
        <v>5.6190476190476186</v>
      </c>
      <c r="G15" s="217">
        <f t="shared" si="8"/>
        <v>5.0352380952380953</v>
      </c>
      <c r="H15" s="216">
        <v>10</v>
      </c>
      <c r="I15" s="215">
        <f t="shared" si="9"/>
        <v>1450000</v>
      </c>
      <c r="J15" s="218">
        <f t="shared" si="10"/>
        <v>181250</v>
      </c>
      <c r="L15" s="190"/>
      <c r="M15" s="189"/>
      <c r="N15" s="191"/>
      <c r="O15" s="190"/>
    </row>
    <row r="16" spans="1:15">
      <c r="A16" s="213" t="s">
        <v>172</v>
      </c>
      <c r="B16" s="216">
        <v>4</v>
      </c>
      <c r="C16" s="216">
        <v>5</v>
      </c>
      <c r="D16" s="193">
        <v>0</v>
      </c>
      <c r="E16" s="216">
        <v>1</v>
      </c>
      <c r="F16" s="216">
        <v>8</v>
      </c>
      <c r="G16" s="217">
        <f t="shared" ref="G16" si="14">AVERAGE(B16:F16)</f>
        <v>3.6</v>
      </c>
      <c r="H16" s="216">
        <v>2</v>
      </c>
      <c r="I16" s="215">
        <f t="shared" ref="I16" si="15">H16*H$1</f>
        <v>290000</v>
      </c>
      <c r="J16" s="218">
        <f t="shared" ref="J16" si="16">I16/8</f>
        <v>36250</v>
      </c>
      <c r="L16" s="190"/>
      <c r="M16" s="189"/>
      <c r="N16" s="191"/>
      <c r="O16" s="190"/>
    </row>
    <row r="17" spans="1:15">
      <c r="A17" s="213" t="s">
        <v>127</v>
      </c>
      <c r="B17" s="216">
        <f>F17*L$14</f>
        <v>1.5535714285714286</v>
      </c>
      <c r="C17" s="216">
        <f>465504/C1</f>
        <v>2.7544615384615385</v>
      </c>
      <c r="D17" s="193">
        <v>0</v>
      </c>
      <c r="E17" s="216">
        <f>474950/E1</f>
        <v>1.8847222222222222</v>
      </c>
      <c r="F17" s="216">
        <f>145000/F1</f>
        <v>1.7261904761904763</v>
      </c>
      <c r="G17" s="217">
        <f t="shared" si="8"/>
        <v>1.5837891330891332</v>
      </c>
      <c r="H17" s="216">
        <v>3.5</v>
      </c>
      <c r="I17" s="215">
        <f t="shared" si="9"/>
        <v>507500</v>
      </c>
      <c r="J17" s="218">
        <f t="shared" si="10"/>
        <v>63437.5</v>
      </c>
      <c r="L17" s="190" t="s">
        <v>162</v>
      </c>
      <c r="M17" s="189"/>
      <c r="N17" s="191"/>
      <c r="O17" s="190"/>
    </row>
    <row r="18" spans="1:15">
      <c r="A18" s="213" t="s">
        <v>126</v>
      </c>
      <c r="B18" s="216">
        <f>F18*L$14</f>
        <v>7.2589821428571426</v>
      </c>
      <c r="C18" s="216">
        <f>1139544/C1</f>
        <v>6.7428639053254438</v>
      </c>
      <c r="D18" s="193">
        <v>0</v>
      </c>
      <c r="E18" s="216">
        <f>352000/E1</f>
        <v>1.3968253968253967</v>
      </c>
      <c r="F18" s="216">
        <f>677505/F1</f>
        <v>8.0655357142857138</v>
      </c>
      <c r="G18" s="217">
        <f>AVERAGE(B18:F18)</f>
        <v>4.6928414318587395</v>
      </c>
      <c r="H18" s="216">
        <f>(58*9500)/H1</f>
        <v>3.8</v>
      </c>
      <c r="I18" s="215">
        <f>H18*H$1</f>
        <v>551000</v>
      </c>
      <c r="J18" s="218">
        <f>I18/8</f>
        <v>68875</v>
      </c>
      <c r="L18" s="190"/>
      <c r="M18" s="189"/>
      <c r="N18" s="191"/>
      <c r="O18" s="190"/>
    </row>
    <row r="19" spans="1:15">
      <c r="A19" s="213" t="s">
        <v>128</v>
      </c>
      <c r="B19" s="216">
        <f>F19*L$14</f>
        <v>21.428571428571431</v>
      </c>
      <c r="C19" s="216">
        <f>3371028/C1</f>
        <v>19.946911242603552</v>
      </c>
      <c r="D19" s="193">
        <v>0</v>
      </c>
      <c r="E19" s="216">
        <f>3419604/E1</f>
        <v>13.569857142857144</v>
      </c>
      <c r="F19" s="216">
        <f>2000000/F1</f>
        <v>23.80952380952381</v>
      </c>
      <c r="G19" s="217">
        <f t="shared" si="8"/>
        <v>15.750972724711186</v>
      </c>
      <c r="H19" s="216">
        <v>26</v>
      </c>
      <c r="I19" s="215">
        <f t="shared" si="9"/>
        <v>3770000</v>
      </c>
      <c r="J19" s="218">
        <f t="shared" si="10"/>
        <v>471250</v>
      </c>
      <c r="L19" s="190" t="s">
        <v>161</v>
      </c>
      <c r="M19" s="189"/>
      <c r="N19" s="191"/>
      <c r="O19" s="190"/>
    </row>
    <row r="20" spans="1:15">
      <c r="A20" s="213" t="s">
        <v>129</v>
      </c>
      <c r="B20" s="216">
        <f>F20*L$14</f>
        <v>24.642857142857142</v>
      </c>
      <c r="C20" s="216">
        <f>8000000/C1</f>
        <v>47.337278106508876</v>
      </c>
      <c r="D20" s="193">
        <v>0</v>
      </c>
      <c r="E20" s="216">
        <f>7200000/E1</f>
        <v>28.571428571428573</v>
      </c>
      <c r="F20" s="216">
        <f>2300000/F1</f>
        <v>27.38095238095238</v>
      </c>
      <c r="G20" s="217">
        <f t="shared" si="8"/>
        <v>25.586503240349394</v>
      </c>
      <c r="H20" s="216">
        <f>29+3.5</f>
        <v>32.5</v>
      </c>
      <c r="I20" s="215">
        <f t="shared" si="9"/>
        <v>4712500</v>
      </c>
      <c r="J20" s="218">
        <f t="shared" si="10"/>
        <v>589062.5</v>
      </c>
      <c r="L20" s="190"/>
      <c r="M20" s="189"/>
      <c r="N20" s="191"/>
      <c r="O20" s="190"/>
    </row>
    <row r="21" spans="1:15">
      <c r="A21" s="213" t="s">
        <v>152</v>
      </c>
      <c r="B21" s="216">
        <v>2.5</v>
      </c>
      <c r="C21" s="216">
        <v>2.4</v>
      </c>
      <c r="D21" s="193"/>
      <c r="E21" s="216">
        <v>3</v>
      </c>
      <c r="F21" s="216">
        <v>3.5</v>
      </c>
      <c r="G21" s="217">
        <v>4</v>
      </c>
      <c r="H21" s="216">
        <v>4</v>
      </c>
      <c r="I21" s="215">
        <f>H21*H$1</f>
        <v>580000</v>
      </c>
      <c r="J21" s="218">
        <f>I21/8</f>
        <v>72500</v>
      </c>
      <c r="L21" s="190"/>
      <c r="M21" s="189"/>
      <c r="N21" s="191"/>
      <c r="O21" s="190"/>
    </row>
    <row r="22" spans="1:15">
      <c r="A22" s="213" t="s">
        <v>165</v>
      </c>
      <c r="B22" s="216">
        <v>2.5</v>
      </c>
      <c r="C22" s="216">
        <v>2.4</v>
      </c>
      <c r="D22" s="193"/>
      <c r="E22" s="216">
        <v>3</v>
      </c>
      <c r="F22" s="216">
        <v>3.5</v>
      </c>
      <c r="G22" s="217">
        <v>4</v>
      </c>
      <c r="H22" s="216">
        <v>4</v>
      </c>
      <c r="I22" s="215">
        <f>H22*H$1</f>
        <v>580000</v>
      </c>
      <c r="J22" s="218">
        <f>I22/8</f>
        <v>72500</v>
      </c>
      <c r="L22" s="190"/>
      <c r="M22" s="189"/>
      <c r="N22" s="191"/>
      <c r="O22" s="190"/>
    </row>
    <row r="23" spans="1:15">
      <c r="A23" s="213" t="s">
        <v>166</v>
      </c>
      <c r="B23" s="216">
        <v>2.5</v>
      </c>
      <c r="C23" s="216">
        <v>2.4</v>
      </c>
      <c r="D23" s="193"/>
      <c r="E23" s="216">
        <v>3</v>
      </c>
      <c r="F23" s="216">
        <v>3.5</v>
      </c>
      <c r="G23" s="217">
        <v>4</v>
      </c>
      <c r="H23" s="216">
        <v>4</v>
      </c>
      <c r="I23" s="215">
        <f>H23*H$1</f>
        <v>580000</v>
      </c>
      <c r="J23" s="218">
        <f>I23/8</f>
        <v>72500</v>
      </c>
      <c r="L23" s="190"/>
      <c r="M23" s="189"/>
      <c r="N23" s="191"/>
      <c r="O23" s="190"/>
    </row>
    <row r="24" spans="1:15">
      <c r="A24" s="213" t="s">
        <v>167</v>
      </c>
      <c r="B24" s="216">
        <v>2.5</v>
      </c>
      <c r="C24" s="216">
        <v>2.4</v>
      </c>
      <c r="D24" s="193"/>
      <c r="E24" s="216">
        <v>3</v>
      </c>
      <c r="F24" s="216">
        <v>3.5</v>
      </c>
      <c r="G24" s="217">
        <v>4</v>
      </c>
      <c r="H24" s="216">
        <v>4</v>
      </c>
      <c r="I24" s="215">
        <f>H24*H$1</f>
        <v>580000</v>
      </c>
      <c r="J24" s="218">
        <f>I24/8</f>
        <v>72500</v>
      </c>
      <c r="L24" s="190"/>
      <c r="M24" s="189"/>
      <c r="N24" s="191"/>
      <c r="O24" s="190"/>
    </row>
    <row r="25" spans="1:15">
      <c r="A25" s="188"/>
      <c r="B25" s="219"/>
      <c r="C25" s="219"/>
      <c r="D25" s="220"/>
      <c r="E25" s="219"/>
      <c r="F25" s="219"/>
      <c r="G25" s="221"/>
      <c r="H25" s="218">
        <f>SUM(H6:H20)</f>
        <v>127.71724137931035</v>
      </c>
      <c r="I25" s="215">
        <f>H1*H25</f>
        <v>18519000</v>
      </c>
      <c r="J25" s="218"/>
      <c r="L25" s="190"/>
      <c r="M25" s="189"/>
      <c r="N25" s="191"/>
      <c r="O25" s="190"/>
    </row>
    <row r="26" spans="1:15">
      <c r="A26" s="188"/>
      <c r="B26" s="219"/>
      <c r="C26" s="219"/>
      <c r="D26" s="220"/>
      <c r="E26" s="219"/>
      <c r="F26" s="219"/>
      <c r="G26" s="221"/>
      <c r="H26" s="219"/>
      <c r="I26" s="215"/>
      <c r="J26" s="218"/>
      <c r="L26" s="190"/>
      <c r="M26" s="189"/>
      <c r="N26" s="191"/>
      <c r="O26" s="190"/>
    </row>
    <row r="27" spans="1:15">
      <c r="A27" s="188"/>
      <c r="B27" s="219"/>
      <c r="C27" s="219"/>
      <c r="D27" s="220"/>
      <c r="E27" s="219"/>
      <c r="F27" s="219"/>
      <c r="G27" s="221"/>
      <c r="H27" s="219"/>
      <c r="I27" s="215"/>
      <c r="J27" s="218"/>
      <c r="L27" s="190"/>
      <c r="M27" s="189"/>
      <c r="N27" s="191"/>
      <c r="O27" s="190"/>
    </row>
  </sheetData>
  <pageMargins left="0.25" right="0.25" top="0.75" bottom="0.75" header="0.3" footer="0.3"/>
  <pageSetup scale="48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05 03 11 Model</vt:lpstr>
      <vt:lpstr>Updated 2018</vt:lpstr>
      <vt:lpstr>Comp 2018</vt:lpstr>
      <vt:lpstr>Comp Fusion</vt:lpstr>
      <vt:lpstr>Graph</vt:lpstr>
      <vt:lpstr>'05 03 11 Model'!Print_Area</vt:lpstr>
      <vt:lpstr>'Comp 2018'!Print_Area</vt:lpstr>
      <vt:lpstr>'Comp Fusion'!Print_Area</vt:lpstr>
      <vt:lpstr>Graph!Print_Area</vt:lpstr>
    </vt:vector>
  </TitlesOfParts>
  <Company>Turner Construction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Leftwich, Richard N - (ATL)</dc:creator>
  <cp:lastModifiedBy>Cascioli, Jonathan - (TEXAS)</cp:lastModifiedBy>
  <cp:lastPrinted>2020-02-25T15:17:59Z</cp:lastPrinted>
  <dcterms:created xsi:type="dcterms:W3CDTF">2015-09-02T12:26:18Z</dcterms:created>
  <dcterms:modified xsi:type="dcterms:W3CDTF">2020-02-26T22:26:56Z</dcterms:modified>
</cp:coreProperties>
</file>