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745" windowWidth="20580" windowHeight="7455" tabRatio="625" firstSheet="3" activeTab="3"/>
  </bookViews>
  <sheets>
    <sheet name="Révision PROFIL v2" sheetId="2" state="hidden" r:id="rId1"/>
    <sheet name="modèle" sheetId="31" state="hidden" r:id="rId2"/>
    <sheet name="Feuil1" sheetId="19" state="hidden" r:id="rId3"/>
    <sheet name="changement nature RDA" sheetId="3" r:id="rId4"/>
    <sheet name="changement nature RDE" sheetId="32" r:id="rId5"/>
    <sheet name="chang multiple - supprimer" sheetId="30" r:id="rId6"/>
    <sheet name="chang multiple - ajouter" sheetId="29" r:id="rId7"/>
    <sheet name="modification nature" sheetId="12" r:id="rId8"/>
    <sheet name="ajout exo" sheetId="13" r:id="rId9"/>
    <sheet name="supprimer nature" sheetId="15" r:id="rId10"/>
    <sheet name="barèmes" sheetId="6" r:id="rId11"/>
    <sheet name="parametres" sheetId="8" r:id="rId12"/>
    <sheet name="idx" sheetId="20" r:id="rId13"/>
    <sheet name="tx" sheetId="21" r:id="rId14"/>
    <sheet name="fg" sheetId="24" r:id="rId15"/>
    <sheet name="paliers" sheetId="26" r:id="rId16"/>
    <sheet name="tx_niv4" sheetId="27" r:id="rId17"/>
    <sheet name="plaf_niv4" sheetId="28" r:id="rId18"/>
  </sheets>
  <definedNames>
    <definedName name="_xlnm._FilterDatabase" localSheetId="6" hidden="1">'chang multiple - ajouter'!$A$4:$AA$20</definedName>
    <definedName name="_xlnm._FilterDatabase" localSheetId="5" hidden="1">'chang multiple - supprimer'!$A$4:$AC$41</definedName>
    <definedName name="_xlnm._FilterDatabase" localSheetId="3" hidden="1">'changement nature RDA'!$V$1:$V$131</definedName>
    <definedName name="_xlnm._FilterDatabase" localSheetId="4" hidden="1">'changement nature RDE'!$A$51:$AC$69</definedName>
    <definedName name="_xlnm._FilterDatabase" localSheetId="1" hidden="1">modèle!$T$1:$T$123</definedName>
    <definedName name="_xlnm._FilterDatabase" localSheetId="0" hidden="1">'Révision PROFIL v2'!$A$2:$L$93</definedName>
  </definedNames>
  <calcPr calcId="145621"/>
</workbook>
</file>

<file path=xl/calcChain.xml><?xml version="1.0" encoding="utf-8"?>
<calcChain xmlns="http://schemas.openxmlformats.org/spreadsheetml/2006/main">
  <c r="N83" i="3" l="1"/>
  <c r="N81" i="3"/>
  <c r="N78" i="3"/>
  <c r="N70" i="3"/>
  <c r="N69" i="3"/>
  <c r="N30" i="3" l="1"/>
  <c r="N16" i="3"/>
  <c r="Q80" i="3"/>
  <c r="N62" i="3"/>
  <c r="N61" i="3"/>
  <c r="N48" i="3" l="1"/>
  <c r="N92" i="3"/>
  <c r="N84" i="3"/>
  <c r="Q81" i="3"/>
  <c r="Q59" i="3"/>
  <c r="Q58" i="3"/>
  <c r="S14" i="13" l="1"/>
  <c r="S13" i="13"/>
  <c r="N112" i="3"/>
  <c r="N105" i="3"/>
  <c r="N104" i="3"/>
  <c r="Q103" i="3"/>
  <c r="Q102" i="3"/>
  <c r="N101" i="3"/>
  <c r="N121" i="3" l="1"/>
  <c r="N120" i="3"/>
  <c r="N131" i="3" l="1"/>
  <c r="M125" i="3"/>
  <c r="N125" i="3"/>
  <c r="N124" i="3"/>
  <c r="Q123" i="3"/>
  <c r="Q122" i="3"/>
  <c r="M10" i="3" l="1"/>
  <c r="H10" i="3"/>
  <c r="Z10" i="3"/>
  <c r="M11" i="3"/>
  <c r="H11" i="3"/>
  <c r="Z11" i="3"/>
  <c r="K11" i="3" l="1"/>
  <c r="K10" i="3"/>
  <c r="A13" i="26"/>
  <c r="A12" i="26"/>
  <c r="A11" i="26"/>
  <c r="A10" i="26"/>
  <c r="A9" i="26"/>
  <c r="A8" i="26"/>
  <c r="A7" i="26"/>
  <c r="A6" i="26"/>
  <c r="A5" i="26"/>
  <c r="A4" i="26"/>
  <c r="A3" i="26"/>
  <c r="A2" i="26"/>
  <c r="C7" i="21"/>
  <c r="C6" i="21"/>
  <c r="C5" i="21"/>
  <c r="C4" i="21"/>
  <c r="C3" i="21"/>
  <c r="C2" i="21"/>
  <c r="A30" i="20"/>
  <c r="A29" i="20"/>
  <c r="A28" i="20"/>
  <c r="B27" i="20"/>
  <c r="A27" i="20"/>
  <c r="B26" i="20"/>
  <c r="A26" i="20"/>
  <c r="B25" i="20"/>
  <c r="A25" i="20"/>
  <c r="B24" i="20"/>
  <c r="A24" i="20"/>
  <c r="B23" i="20"/>
  <c r="A23" i="20"/>
  <c r="B22" i="20"/>
  <c r="A22" i="20"/>
  <c r="B21" i="20"/>
  <c r="A21" i="20"/>
  <c r="B20" i="20"/>
  <c r="A20" i="20"/>
  <c r="B19" i="20"/>
  <c r="A19" i="20"/>
  <c r="B18" i="20"/>
  <c r="A18" i="20"/>
  <c r="B17" i="20"/>
  <c r="A17" i="20"/>
  <c r="B16" i="20"/>
  <c r="A16" i="20"/>
  <c r="B15" i="20"/>
  <c r="A15" i="20"/>
  <c r="B14" i="20"/>
  <c r="A14" i="20"/>
  <c r="B13" i="20"/>
  <c r="A13" i="20"/>
  <c r="B12" i="20"/>
  <c r="A12" i="20"/>
  <c r="B11" i="20"/>
  <c r="A11" i="20"/>
  <c r="B10" i="20"/>
  <c r="A10" i="20"/>
  <c r="B9" i="20"/>
  <c r="A9" i="20"/>
  <c r="B8" i="20"/>
  <c r="A8" i="20"/>
  <c r="B7" i="20"/>
  <c r="A7" i="20"/>
  <c r="B6" i="20"/>
  <c r="A6" i="20"/>
  <c r="B5" i="20"/>
  <c r="A5" i="20"/>
  <c r="B4" i="20"/>
  <c r="A4" i="20"/>
  <c r="B3" i="20"/>
  <c r="A3" i="20"/>
  <c r="B2" i="20"/>
  <c r="A2" i="20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E66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R47" i="15"/>
  <c r="J47" i="15"/>
  <c r="L47" i="15"/>
  <c r="R46" i="15"/>
  <c r="L46" i="15"/>
  <c r="R45" i="15"/>
  <c r="J45" i="15"/>
  <c r="L45" i="15"/>
  <c r="R44" i="15"/>
  <c r="L44" i="15"/>
  <c r="R43" i="15"/>
  <c r="J43" i="15"/>
  <c r="L43" i="15"/>
  <c r="R42" i="15"/>
  <c r="J42" i="15"/>
  <c r="L42" i="15"/>
  <c r="R41" i="15"/>
  <c r="J41" i="15"/>
  <c r="L41" i="15"/>
  <c r="R40" i="15"/>
  <c r="J40" i="15"/>
  <c r="L40" i="15"/>
  <c r="R39" i="15"/>
  <c r="J39" i="15"/>
  <c r="L39" i="15"/>
  <c r="R38" i="15"/>
  <c r="L38" i="15"/>
  <c r="R36" i="15"/>
  <c r="J36" i="15"/>
  <c r="L36" i="15"/>
  <c r="R35" i="15"/>
  <c r="F35" i="15"/>
  <c r="L35" i="15"/>
  <c r="R34" i="15"/>
  <c r="J34" i="15"/>
  <c r="L34" i="15"/>
  <c r="R33" i="15"/>
  <c r="J33" i="15"/>
  <c r="L33" i="15"/>
  <c r="R32" i="15"/>
  <c r="J32" i="15"/>
  <c r="L32" i="15"/>
  <c r="R31" i="15"/>
  <c r="J31" i="15"/>
  <c r="L31" i="15"/>
  <c r="R30" i="15"/>
  <c r="J30" i="15"/>
  <c r="R29" i="15"/>
  <c r="F29" i="15"/>
  <c r="L29" i="15"/>
  <c r="R28" i="15"/>
  <c r="J28" i="15"/>
  <c r="L28" i="15"/>
  <c r="R27" i="15"/>
  <c r="F27" i="15"/>
  <c r="L27" i="15"/>
  <c r="R26" i="15"/>
  <c r="J26" i="15"/>
  <c r="L26" i="15"/>
  <c r="R25" i="15"/>
  <c r="J25" i="15"/>
  <c r="L25" i="15"/>
  <c r="R23" i="15"/>
  <c r="J23" i="15"/>
  <c r="L23" i="15"/>
  <c r="R22" i="15"/>
  <c r="J22" i="15"/>
  <c r="L22" i="15"/>
  <c r="R21" i="15"/>
  <c r="F21" i="15"/>
  <c r="L21" i="15"/>
  <c r="R20" i="15"/>
  <c r="J20" i="15"/>
  <c r="L20" i="15"/>
  <c r="R19" i="15"/>
  <c r="F19" i="15"/>
  <c r="L19" i="15"/>
  <c r="R18" i="15"/>
  <c r="J18" i="15"/>
  <c r="L18" i="15"/>
  <c r="R17" i="15"/>
  <c r="J17" i="15"/>
  <c r="L17" i="15"/>
  <c r="R16" i="15"/>
  <c r="J16" i="15"/>
  <c r="L16" i="15"/>
  <c r="R14" i="15"/>
  <c r="J14" i="15"/>
  <c r="L14" i="15"/>
  <c r="R13" i="15"/>
  <c r="J13" i="15"/>
  <c r="L13" i="15"/>
  <c r="R12" i="15"/>
  <c r="F12" i="15"/>
  <c r="L12" i="15"/>
  <c r="R11" i="15"/>
  <c r="J11" i="15"/>
  <c r="L11" i="15"/>
  <c r="R10" i="15"/>
  <c r="F10" i="15"/>
  <c r="L10" i="15"/>
  <c r="R9" i="15"/>
  <c r="J9" i="15"/>
  <c r="L9" i="15"/>
  <c r="R8" i="15"/>
  <c r="J8" i="15"/>
  <c r="L8" i="15"/>
  <c r="R7" i="15"/>
  <c r="J7" i="15"/>
  <c r="L7" i="15"/>
  <c r="R6" i="15"/>
  <c r="F6" i="15"/>
  <c r="L6" i="15"/>
  <c r="R5" i="15"/>
  <c r="J5" i="15"/>
  <c r="L5" i="15"/>
  <c r="AB23" i="13"/>
  <c r="L23" i="13"/>
  <c r="O23" i="13"/>
  <c r="AB22" i="13"/>
  <c r="L22" i="13"/>
  <c r="O22" i="13"/>
  <c r="AB21" i="13"/>
  <c r="M21" i="13"/>
  <c r="O21" i="13"/>
  <c r="AB19" i="13"/>
  <c r="L19" i="13"/>
  <c r="O19" i="13"/>
  <c r="AB18" i="13"/>
  <c r="H18" i="13"/>
  <c r="O18" i="13"/>
  <c r="AB17" i="13"/>
  <c r="O17" i="13"/>
  <c r="AB15" i="13"/>
  <c r="L15" i="13"/>
  <c r="O15" i="13"/>
  <c r="AB14" i="13"/>
  <c r="L14" i="13"/>
  <c r="R14" i="13"/>
  <c r="O14" i="13"/>
  <c r="AB13" i="13"/>
  <c r="L13" i="13"/>
  <c r="R13" i="13"/>
  <c r="O13" i="13"/>
  <c r="AB12" i="13"/>
  <c r="AB11" i="13"/>
  <c r="H11" i="13"/>
  <c r="AB10" i="13"/>
  <c r="M10" i="13"/>
  <c r="AB9" i="13"/>
  <c r="L9" i="13"/>
  <c r="O9" i="13"/>
  <c r="AB8" i="13"/>
  <c r="H8" i="13"/>
  <c r="O8" i="13"/>
  <c r="AB7" i="13"/>
  <c r="M7" i="13"/>
  <c r="O7" i="13"/>
  <c r="AB6" i="13"/>
  <c r="AB5" i="13"/>
  <c r="H5" i="13"/>
  <c r="R5" i="13"/>
  <c r="AB4" i="13"/>
  <c r="M4" i="13"/>
  <c r="R4" i="13"/>
  <c r="V46" i="12"/>
  <c r="K46" i="12"/>
  <c r="O46" i="12"/>
  <c r="M46" i="12"/>
  <c r="V45" i="12"/>
  <c r="K45" i="12"/>
  <c r="O45" i="12"/>
  <c r="M45" i="12"/>
  <c r="V44" i="12"/>
  <c r="H44" i="12"/>
  <c r="O44" i="12"/>
  <c r="M44" i="12"/>
  <c r="V43" i="12"/>
  <c r="O43" i="12"/>
  <c r="M43" i="12"/>
  <c r="V42" i="12"/>
  <c r="K42" i="12"/>
  <c r="O42" i="12"/>
  <c r="M42" i="12"/>
  <c r="V41" i="12"/>
  <c r="K41" i="12"/>
  <c r="O41" i="12"/>
  <c r="M41" i="12"/>
  <c r="V40" i="12"/>
  <c r="H40" i="12"/>
  <c r="O40" i="12"/>
  <c r="M40" i="12"/>
  <c r="V39" i="12"/>
  <c r="O39" i="12"/>
  <c r="M39" i="12"/>
  <c r="V37" i="12"/>
  <c r="K37" i="12"/>
  <c r="O37" i="12"/>
  <c r="M37" i="12"/>
  <c r="V36" i="12"/>
  <c r="K36" i="12"/>
  <c r="O36" i="12"/>
  <c r="M36" i="12"/>
  <c r="V35" i="12"/>
  <c r="H35" i="12"/>
  <c r="O35" i="12"/>
  <c r="M35" i="12"/>
  <c r="V34" i="12"/>
  <c r="O34" i="12"/>
  <c r="M34" i="12"/>
  <c r="V33" i="12"/>
  <c r="K33" i="12"/>
  <c r="O33" i="12"/>
  <c r="M33" i="12"/>
  <c r="V32" i="12"/>
  <c r="H32" i="12"/>
  <c r="O32" i="12"/>
  <c r="M32" i="12"/>
  <c r="V31" i="12"/>
  <c r="H31" i="12"/>
  <c r="O31" i="12"/>
  <c r="M31" i="12"/>
  <c r="V30" i="12"/>
  <c r="O30" i="12"/>
  <c r="M30" i="12"/>
  <c r="V29" i="12"/>
  <c r="K29" i="12"/>
  <c r="O29" i="12"/>
  <c r="M29" i="12"/>
  <c r="V28" i="12"/>
  <c r="H28" i="12"/>
  <c r="O28" i="12"/>
  <c r="M28" i="12"/>
  <c r="V27" i="12"/>
  <c r="H27" i="12"/>
  <c r="O27" i="12"/>
  <c r="M27" i="12"/>
  <c r="V25" i="12"/>
  <c r="O25" i="12"/>
  <c r="M25" i="12"/>
  <c r="V24" i="12"/>
  <c r="K24" i="12"/>
  <c r="O24" i="12"/>
  <c r="M24" i="12"/>
  <c r="V23" i="12"/>
  <c r="H23" i="12"/>
  <c r="O23" i="12"/>
  <c r="M23" i="12"/>
  <c r="V22" i="12"/>
  <c r="H22" i="12"/>
  <c r="O22" i="12"/>
  <c r="M22" i="12"/>
  <c r="V21" i="12"/>
  <c r="O21" i="12"/>
  <c r="M21" i="12"/>
  <c r="V20" i="12"/>
  <c r="K20" i="12"/>
  <c r="O20" i="12"/>
  <c r="M20" i="12"/>
  <c r="V19" i="12"/>
  <c r="H19" i="12"/>
  <c r="O19" i="12"/>
  <c r="M19" i="12"/>
  <c r="V18" i="12"/>
  <c r="H18" i="12"/>
  <c r="O18" i="12"/>
  <c r="M18" i="12"/>
  <c r="V17" i="12"/>
  <c r="O17" i="12"/>
  <c r="M17" i="12"/>
  <c r="V16" i="12"/>
  <c r="K16" i="12"/>
  <c r="O16" i="12"/>
  <c r="M16" i="12"/>
  <c r="V14" i="12"/>
  <c r="K14" i="12"/>
  <c r="O14" i="12"/>
  <c r="M14" i="12"/>
  <c r="V13" i="12"/>
  <c r="H13" i="12"/>
  <c r="O13" i="12"/>
  <c r="M13" i="12"/>
  <c r="V12" i="12"/>
  <c r="O12" i="12"/>
  <c r="M12" i="12"/>
  <c r="V11" i="12"/>
  <c r="K11" i="12"/>
  <c r="O11" i="12"/>
  <c r="M11" i="12"/>
  <c r="V10" i="12"/>
  <c r="K10" i="12"/>
  <c r="O10" i="12"/>
  <c r="M10" i="12"/>
  <c r="V9" i="12"/>
  <c r="H9" i="12"/>
  <c r="O9" i="12"/>
  <c r="M9" i="12"/>
  <c r="V8" i="12"/>
  <c r="O8" i="12"/>
  <c r="M8" i="12"/>
  <c r="V7" i="12"/>
  <c r="K7" i="12"/>
  <c r="O7" i="12"/>
  <c r="M7" i="12"/>
  <c r="V6" i="12"/>
  <c r="K6" i="12"/>
  <c r="O6" i="12"/>
  <c r="M6" i="12"/>
  <c r="V5" i="12"/>
  <c r="H5" i="12"/>
  <c r="O5" i="12"/>
  <c r="M5" i="12"/>
  <c r="V4" i="12"/>
  <c r="O4" i="12"/>
  <c r="M4" i="12"/>
  <c r="AB20" i="29"/>
  <c r="W20" i="29"/>
  <c r="J20" i="29"/>
  <c r="F20" i="29"/>
  <c r="AB19" i="29"/>
  <c r="J19" i="29"/>
  <c r="F19" i="29"/>
  <c r="AB18" i="29"/>
  <c r="W18" i="29"/>
  <c r="J18" i="29"/>
  <c r="F18" i="29"/>
  <c r="AB17" i="29"/>
  <c r="W17" i="29"/>
  <c r="T17" i="29"/>
  <c r="R17" i="29"/>
  <c r="P17" i="29"/>
  <c r="J17" i="29"/>
  <c r="F17" i="29"/>
  <c r="AB16" i="29"/>
  <c r="J16" i="29"/>
  <c r="F16" i="29"/>
  <c r="AB15" i="29"/>
  <c r="J15" i="29"/>
  <c r="F15" i="29"/>
  <c r="AB14" i="29"/>
  <c r="W14" i="29"/>
  <c r="J14" i="29"/>
  <c r="F14" i="29"/>
  <c r="AB13" i="29"/>
  <c r="W13" i="29"/>
  <c r="R13" i="29"/>
  <c r="P13" i="29"/>
  <c r="J13" i="29"/>
  <c r="F13" i="29"/>
  <c r="AB12" i="29"/>
  <c r="J12" i="29"/>
  <c r="F12" i="29"/>
  <c r="AB11" i="29"/>
  <c r="J11" i="29"/>
  <c r="F11" i="29"/>
  <c r="AB10" i="29"/>
  <c r="W10" i="29"/>
  <c r="R10" i="29"/>
  <c r="P10" i="29"/>
  <c r="J10" i="29"/>
  <c r="F10" i="29"/>
  <c r="AB9" i="29"/>
  <c r="W9" i="29"/>
  <c r="J9" i="29"/>
  <c r="F9" i="29"/>
  <c r="AB8" i="29"/>
  <c r="W8" i="29"/>
  <c r="R8" i="29"/>
  <c r="P8" i="29"/>
  <c r="J8" i="29"/>
  <c r="F8" i="29"/>
  <c r="AB7" i="29"/>
  <c r="J7" i="29"/>
  <c r="F7" i="29"/>
  <c r="AB6" i="29"/>
  <c r="J6" i="29"/>
  <c r="F6" i="29"/>
  <c r="AB5" i="29"/>
  <c r="J5" i="29"/>
  <c r="F5" i="29"/>
  <c r="AQ66" i="30"/>
  <c r="Z66" i="30"/>
  <c r="J66" i="30"/>
  <c r="AQ65" i="30"/>
  <c r="Z65" i="30"/>
  <c r="J65" i="30"/>
  <c r="AQ64" i="30"/>
  <c r="Z64" i="30"/>
  <c r="J64" i="30"/>
  <c r="AQ63" i="30"/>
  <c r="Z63" i="30"/>
  <c r="J63" i="30"/>
  <c r="AQ62" i="30"/>
  <c r="F62" i="30"/>
  <c r="AI62" i="30"/>
  <c r="AF62" i="30"/>
  <c r="AQ61" i="30"/>
  <c r="F61" i="30"/>
  <c r="AI61" i="30"/>
  <c r="AF61" i="30"/>
  <c r="AQ60" i="30"/>
  <c r="F60" i="30"/>
  <c r="AI60" i="30"/>
  <c r="AF60" i="30"/>
  <c r="AQ59" i="30"/>
  <c r="F59" i="30"/>
  <c r="AI59" i="30"/>
  <c r="AF59" i="30"/>
  <c r="AQ58" i="30"/>
  <c r="F58" i="30"/>
  <c r="AI58" i="30"/>
  <c r="AF58" i="30"/>
  <c r="AQ57" i="30"/>
  <c r="J57" i="30"/>
  <c r="AI57" i="30"/>
  <c r="AF57" i="30"/>
  <c r="AQ56" i="30"/>
  <c r="F56" i="30"/>
  <c r="AI56" i="30"/>
  <c r="AF56" i="30"/>
  <c r="AQ55" i="30"/>
  <c r="AD55" i="30"/>
  <c r="AI55" i="30"/>
  <c r="AF55" i="30"/>
  <c r="AQ54" i="30"/>
  <c r="N54" i="30"/>
  <c r="AI54" i="30"/>
  <c r="AF54" i="30"/>
  <c r="AQ53" i="30"/>
  <c r="AD53" i="30"/>
  <c r="AI53" i="30"/>
  <c r="AF53" i="30"/>
  <c r="AQ52" i="30"/>
  <c r="N52" i="30"/>
  <c r="AI52" i="30"/>
  <c r="AF52" i="30"/>
  <c r="AQ51" i="30"/>
  <c r="Z51" i="30"/>
  <c r="AI51" i="30"/>
  <c r="AF51" i="30"/>
  <c r="AQ50" i="30"/>
  <c r="AI50" i="30"/>
  <c r="AF50" i="30"/>
  <c r="AQ49" i="30"/>
  <c r="Z49" i="30"/>
  <c r="AI49" i="30"/>
  <c r="AF49" i="30"/>
  <c r="AQ48" i="30"/>
  <c r="J48" i="30"/>
  <c r="AI48" i="30"/>
  <c r="AF48" i="30"/>
  <c r="AQ47" i="30"/>
  <c r="J47" i="30"/>
  <c r="AI47" i="30"/>
  <c r="AF47" i="30"/>
  <c r="AQ45" i="30"/>
  <c r="F45" i="30"/>
  <c r="AI45" i="30"/>
  <c r="AF45" i="30"/>
  <c r="AQ44" i="30"/>
  <c r="AI44" i="30"/>
  <c r="AF44" i="30"/>
  <c r="AQ43" i="30"/>
  <c r="F43" i="30"/>
  <c r="AI43" i="30"/>
  <c r="AF43" i="30"/>
  <c r="AQ42" i="30"/>
  <c r="J42" i="30"/>
  <c r="AI42" i="30"/>
  <c r="AF42" i="30"/>
  <c r="AQ41" i="30"/>
  <c r="F41" i="30"/>
  <c r="AI41" i="30"/>
  <c r="AF41" i="30"/>
  <c r="AQ40" i="30"/>
  <c r="J40" i="30"/>
  <c r="AI40" i="30"/>
  <c r="AF40" i="30"/>
  <c r="AQ39" i="30"/>
  <c r="J39" i="30"/>
  <c r="AI39" i="30"/>
  <c r="AF39" i="30"/>
  <c r="AQ38" i="30"/>
  <c r="F38" i="30"/>
  <c r="AI38" i="30"/>
  <c r="AF38" i="30"/>
  <c r="AQ37" i="30"/>
  <c r="F37" i="30"/>
  <c r="AI37" i="30"/>
  <c r="AF37" i="30"/>
  <c r="AQ36" i="30"/>
  <c r="N36" i="30"/>
  <c r="AI36" i="30"/>
  <c r="AF36" i="30"/>
  <c r="AQ35" i="30"/>
  <c r="N35" i="30"/>
  <c r="AI35" i="30"/>
  <c r="AF35" i="30"/>
  <c r="AQ34" i="30"/>
  <c r="N34" i="30"/>
  <c r="AI34" i="30"/>
  <c r="AF34" i="30"/>
  <c r="AQ33" i="30"/>
  <c r="N33" i="30"/>
  <c r="AI33" i="30"/>
  <c r="AF33" i="30"/>
  <c r="AQ32" i="30"/>
  <c r="J32" i="30"/>
  <c r="AI32" i="30"/>
  <c r="AF32" i="30"/>
  <c r="AQ31" i="30"/>
  <c r="F31" i="30"/>
  <c r="AI31" i="30"/>
  <c r="AF31" i="30"/>
  <c r="AQ30" i="30"/>
  <c r="Z30" i="30"/>
  <c r="AI30" i="30"/>
  <c r="AF30" i="30"/>
  <c r="AQ29" i="30"/>
  <c r="F29" i="30"/>
  <c r="AI29" i="30"/>
  <c r="AF29" i="30"/>
  <c r="AQ28" i="30"/>
  <c r="J28" i="30"/>
  <c r="AI28" i="30"/>
  <c r="AF28" i="30"/>
  <c r="AQ27" i="30"/>
  <c r="F27" i="30"/>
  <c r="AI27" i="30"/>
  <c r="AF27" i="30"/>
  <c r="AQ26" i="30"/>
  <c r="J26" i="30"/>
  <c r="AI26" i="30"/>
  <c r="AF26" i="30"/>
  <c r="AQ24" i="30"/>
  <c r="J24" i="30"/>
  <c r="AI24" i="30"/>
  <c r="AF24" i="30"/>
  <c r="AQ23" i="30"/>
  <c r="F23" i="30"/>
  <c r="AI23" i="30"/>
  <c r="AF23" i="30"/>
  <c r="AQ22" i="30"/>
  <c r="F22" i="30"/>
  <c r="AI22" i="30"/>
  <c r="AF22" i="30"/>
  <c r="AQ21" i="30"/>
  <c r="Z21" i="30"/>
  <c r="AI21" i="30"/>
  <c r="AF21" i="30"/>
  <c r="AQ20" i="30"/>
  <c r="F20" i="30"/>
  <c r="AI20" i="30"/>
  <c r="AF20" i="30"/>
  <c r="AQ19" i="30"/>
  <c r="J19" i="30"/>
  <c r="AI19" i="30"/>
  <c r="AF19" i="30"/>
  <c r="AQ18" i="30"/>
  <c r="F18" i="30"/>
  <c r="AI18" i="30"/>
  <c r="AF18" i="30"/>
  <c r="AQ17" i="30"/>
  <c r="F17" i="30"/>
  <c r="AI17" i="30"/>
  <c r="AF17" i="30"/>
  <c r="AQ16" i="30"/>
  <c r="J16" i="30"/>
  <c r="AI16" i="30"/>
  <c r="AF16" i="30"/>
  <c r="AQ15" i="30"/>
  <c r="J15" i="30"/>
  <c r="AI15" i="30"/>
  <c r="AF15" i="30"/>
  <c r="AQ14" i="30"/>
  <c r="F14" i="30"/>
  <c r="AI14" i="30"/>
  <c r="AF14" i="30"/>
  <c r="AQ13" i="30"/>
  <c r="AI13" i="30"/>
  <c r="AF13" i="30"/>
  <c r="AQ12" i="30"/>
  <c r="F12" i="30"/>
  <c r="AI12" i="30"/>
  <c r="AF12" i="30"/>
  <c r="AQ11" i="30"/>
  <c r="Z11" i="30"/>
  <c r="AQ10" i="30"/>
  <c r="J10" i="30"/>
  <c r="AI10" i="30"/>
  <c r="AF10" i="30"/>
  <c r="AQ9" i="30"/>
  <c r="F9" i="30"/>
  <c r="AI9" i="30"/>
  <c r="AF9" i="30"/>
  <c r="AQ8" i="30"/>
  <c r="F8" i="30"/>
  <c r="AI8" i="30"/>
  <c r="AF8" i="30"/>
  <c r="AQ7" i="30"/>
  <c r="F7" i="30"/>
  <c r="AI7" i="30"/>
  <c r="AF7" i="30"/>
  <c r="AQ6" i="30"/>
  <c r="F6" i="30"/>
  <c r="AI6" i="30"/>
  <c r="AF6" i="30"/>
  <c r="AQ5" i="30"/>
  <c r="N5" i="30"/>
  <c r="AI5" i="30"/>
  <c r="AF5" i="30"/>
  <c r="AC73" i="32"/>
  <c r="Z73" i="32"/>
  <c r="E73" i="32" s="1"/>
  <c r="AC72" i="32"/>
  <c r="Z72" i="32"/>
  <c r="E72" i="32" s="1"/>
  <c r="AC71" i="32"/>
  <c r="Z71" i="32"/>
  <c r="E71" i="32" s="1"/>
  <c r="AC70" i="32"/>
  <c r="Z70" i="32"/>
  <c r="E70" i="32" s="1"/>
  <c r="AC69" i="32"/>
  <c r="Z69" i="32"/>
  <c r="E69" i="32" s="1"/>
  <c r="AC68" i="32"/>
  <c r="Z68" i="32"/>
  <c r="E68" i="32" s="1"/>
  <c r="AC67" i="32"/>
  <c r="Z67" i="32"/>
  <c r="E67" i="32" s="1"/>
  <c r="AC66" i="32"/>
  <c r="Z66" i="32"/>
  <c r="E66" i="32" s="1"/>
  <c r="AC65" i="32"/>
  <c r="Z65" i="32"/>
  <c r="E65" i="32" s="1"/>
  <c r="AC64" i="32"/>
  <c r="Z64" i="32"/>
  <c r="E64" i="32" s="1"/>
  <c r="AC63" i="32"/>
  <c r="Z63" i="32"/>
  <c r="E63" i="32" s="1"/>
  <c r="AC62" i="32"/>
  <c r="Z62" i="32"/>
  <c r="E62" i="32" s="1"/>
  <c r="AC61" i="32"/>
  <c r="Z61" i="32"/>
  <c r="E61" i="32" s="1"/>
  <c r="AC60" i="32"/>
  <c r="Z60" i="32"/>
  <c r="E60" i="32" s="1"/>
  <c r="AC59" i="32"/>
  <c r="Z59" i="32"/>
  <c r="E59" i="32" s="1"/>
  <c r="AC58" i="32"/>
  <c r="Z58" i="32"/>
  <c r="E58" i="32" s="1"/>
  <c r="AC57" i="32"/>
  <c r="Z57" i="32"/>
  <c r="E57" i="32" s="1"/>
  <c r="AC56" i="32"/>
  <c r="Z56" i="32"/>
  <c r="E56" i="32" s="1"/>
  <c r="AC54" i="32"/>
  <c r="Z54" i="32"/>
  <c r="E54" i="32" s="1"/>
  <c r="AC53" i="32"/>
  <c r="Z53" i="32"/>
  <c r="E53" i="32" s="1"/>
  <c r="AC52" i="32"/>
  <c r="Z52" i="32"/>
  <c r="E52" i="32" s="1"/>
  <c r="AC51" i="32"/>
  <c r="Z51" i="32"/>
  <c r="E51" i="32" s="1"/>
  <c r="AC50" i="32"/>
  <c r="Z50" i="32"/>
  <c r="E50" i="32" s="1"/>
  <c r="AC48" i="32"/>
  <c r="Z48" i="32"/>
  <c r="E48" i="32" s="1"/>
  <c r="AC47" i="32"/>
  <c r="Z47" i="32"/>
  <c r="E47" i="32" s="1"/>
  <c r="AC46" i="32"/>
  <c r="Z46" i="32"/>
  <c r="E46" i="32" s="1"/>
  <c r="AC45" i="32"/>
  <c r="Z45" i="32"/>
  <c r="E45" i="32" s="1"/>
  <c r="AC44" i="32"/>
  <c r="Z44" i="32"/>
  <c r="E44" i="32" s="1"/>
  <c r="AC43" i="32"/>
  <c r="Z43" i="32"/>
  <c r="E43" i="32" s="1"/>
  <c r="AC41" i="32"/>
  <c r="Z41" i="32"/>
  <c r="E41" i="32" s="1"/>
  <c r="AC40" i="32"/>
  <c r="Z40" i="32"/>
  <c r="E40" i="32" s="1"/>
  <c r="AC39" i="32"/>
  <c r="Z39" i="32"/>
  <c r="E39" i="32" s="1"/>
  <c r="AC38" i="32"/>
  <c r="Z38" i="32"/>
  <c r="E38" i="32" s="1"/>
  <c r="AC37" i="32"/>
  <c r="Z37" i="32"/>
  <c r="E37" i="32" s="1"/>
  <c r="AC36" i="32"/>
  <c r="Z36" i="32"/>
  <c r="E36" i="32" s="1"/>
  <c r="AC34" i="32"/>
  <c r="Z34" i="32"/>
  <c r="E34" i="32" s="1"/>
  <c r="AC33" i="32"/>
  <c r="Z33" i="32"/>
  <c r="E33" i="32" s="1"/>
  <c r="AC32" i="32"/>
  <c r="Z32" i="32"/>
  <c r="E32" i="32" s="1"/>
  <c r="AC31" i="32"/>
  <c r="Z31" i="32"/>
  <c r="E31" i="32" s="1"/>
  <c r="AC30" i="32"/>
  <c r="Z30" i="32"/>
  <c r="E30" i="32" s="1"/>
  <c r="AC29" i="32"/>
  <c r="Z29" i="32"/>
  <c r="E29" i="32" s="1"/>
  <c r="AC9" i="32"/>
  <c r="Z9" i="32"/>
  <c r="E9" i="32" s="1"/>
  <c r="AC27" i="32"/>
  <c r="Z27" i="32"/>
  <c r="E27" i="32" s="1"/>
  <c r="AC26" i="32"/>
  <c r="Z26" i="32"/>
  <c r="E26" i="32" s="1"/>
  <c r="AC25" i="32"/>
  <c r="Z25" i="32"/>
  <c r="E25" i="32" s="1"/>
  <c r="AC24" i="32"/>
  <c r="Z24" i="32"/>
  <c r="E24" i="32" s="1"/>
  <c r="AC23" i="32"/>
  <c r="Z23" i="32"/>
  <c r="E23" i="32" s="1"/>
  <c r="AC21" i="32"/>
  <c r="Z21" i="32"/>
  <c r="E21" i="32" s="1"/>
  <c r="AC20" i="32"/>
  <c r="Z20" i="32"/>
  <c r="E20" i="32" s="1"/>
  <c r="AC19" i="32"/>
  <c r="Z19" i="32"/>
  <c r="E19" i="32" s="1"/>
  <c r="AC18" i="32"/>
  <c r="Z18" i="32"/>
  <c r="E18" i="32" s="1"/>
  <c r="AC17" i="32"/>
  <c r="Z17" i="32"/>
  <c r="E17" i="32" s="1"/>
  <c r="AC15" i="32"/>
  <c r="Z15" i="32"/>
  <c r="E15" i="32" s="1"/>
  <c r="AC14" i="32"/>
  <c r="Z14" i="32"/>
  <c r="E14" i="32" s="1"/>
  <c r="AC13" i="32"/>
  <c r="Z13" i="32"/>
  <c r="E13" i="32" s="1"/>
  <c r="AC12" i="32"/>
  <c r="Z12" i="32"/>
  <c r="E12" i="32" s="1"/>
  <c r="AC11" i="32"/>
  <c r="Z11" i="32"/>
  <c r="E11" i="32" s="1"/>
  <c r="AC8" i="32"/>
  <c r="Z8" i="32"/>
  <c r="E8" i="32" s="1"/>
  <c r="AC7" i="32"/>
  <c r="Z7" i="32"/>
  <c r="E7" i="32" s="1"/>
  <c r="AC6" i="32"/>
  <c r="Z6" i="32"/>
  <c r="E6" i="32" s="1"/>
  <c r="AC5" i="32"/>
  <c r="Z5" i="32"/>
  <c r="E5" i="32" s="1"/>
  <c r="AC4" i="32"/>
  <c r="Z4" i="32"/>
  <c r="E4" i="32" s="1"/>
  <c r="Z131" i="3"/>
  <c r="K131" i="3"/>
  <c r="M131" i="3"/>
  <c r="Z130" i="3"/>
  <c r="H130" i="3"/>
  <c r="M130" i="3"/>
  <c r="Z129" i="3"/>
  <c r="K129" i="3"/>
  <c r="M129" i="3"/>
  <c r="Z128" i="3"/>
  <c r="K128" i="3"/>
  <c r="M128" i="3"/>
  <c r="Z127" i="3"/>
  <c r="H127" i="3"/>
  <c r="P127" i="3"/>
  <c r="M127" i="3"/>
  <c r="Z126" i="3"/>
  <c r="H126" i="3"/>
  <c r="P126" i="3"/>
  <c r="M126" i="3"/>
  <c r="Z125" i="3"/>
  <c r="K125" i="3"/>
  <c r="Z124" i="3"/>
  <c r="H124" i="3"/>
  <c r="M124" i="3"/>
  <c r="Z123" i="3"/>
  <c r="H123" i="3"/>
  <c r="P123" i="3"/>
  <c r="M123" i="3"/>
  <c r="Z122" i="3"/>
  <c r="H122" i="3"/>
  <c r="P122" i="3"/>
  <c r="M122" i="3"/>
  <c r="Z121" i="3"/>
  <c r="H121" i="3"/>
  <c r="M121" i="3"/>
  <c r="Z120" i="3"/>
  <c r="H120" i="3"/>
  <c r="M120" i="3"/>
  <c r="Z118" i="3"/>
  <c r="K118" i="3"/>
  <c r="M118" i="3"/>
  <c r="Z117" i="3"/>
  <c r="H117" i="3"/>
  <c r="M117" i="3"/>
  <c r="Z116" i="3"/>
  <c r="H116" i="3"/>
  <c r="M116" i="3"/>
  <c r="Z115" i="3"/>
  <c r="K115" i="3"/>
  <c r="M115" i="3"/>
  <c r="Z114" i="3"/>
  <c r="H114" i="3"/>
  <c r="P114" i="3"/>
  <c r="M114" i="3"/>
  <c r="Z113" i="3"/>
  <c r="H113" i="3"/>
  <c r="P113" i="3"/>
  <c r="M113" i="3"/>
  <c r="Z112" i="3"/>
  <c r="K112" i="3"/>
  <c r="M112" i="3"/>
  <c r="Z111" i="3"/>
  <c r="H111" i="3"/>
  <c r="M111" i="3"/>
  <c r="Z110" i="3"/>
  <c r="K110" i="3"/>
  <c r="M110" i="3"/>
  <c r="Z109" i="3"/>
  <c r="K109" i="3"/>
  <c r="M109" i="3"/>
  <c r="Z108" i="3"/>
  <c r="H108" i="3"/>
  <c r="P108" i="3"/>
  <c r="M108" i="3"/>
  <c r="Z107" i="3"/>
  <c r="H107" i="3"/>
  <c r="P107" i="3"/>
  <c r="M107" i="3"/>
  <c r="Z105" i="3"/>
  <c r="K105" i="3"/>
  <c r="M105" i="3"/>
  <c r="Z104" i="3"/>
  <c r="H104" i="3"/>
  <c r="M104" i="3"/>
  <c r="Z103" i="3"/>
  <c r="H103" i="3"/>
  <c r="P103" i="3"/>
  <c r="M103" i="3"/>
  <c r="Z102" i="3"/>
  <c r="K102" i="3"/>
  <c r="P102" i="3"/>
  <c r="M102" i="3"/>
  <c r="Z101" i="3"/>
  <c r="K101" i="3"/>
  <c r="M101" i="3"/>
  <c r="Z100" i="3"/>
  <c r="H100" i="3"/>
  <c r="M100" i="3"/>
  <c r="Z99" i="3"/>
  <c r="K99" i="3"/>
  <c r="M99" i="3"/>
  <c r="Z98" i="3"/>
  <c r="H98" i="3"/>
  <c r="M98" i="3"/>
  <c r="Z97" i="3"/>
  <c r="K97" i="3"/>
  <c r="M97" i="3"/>
  <c r="Z96" i="3"/>
  <c r="K96" i="3"/>
  <c r="M96" i="3"/>
  <c r="Z95" i="3"/>
  <c r="H95" i="3"/>
  <c r="P95" i="3"/>
  <c r="M95" i="3"/>
  <c r="Z94" i="3"/>
  <c r="H94" i="3"/>
  <c r="P94" i="3"/>
  <c r="M94" i="3"/>
  <c r="Z92" i="3"/>
  <c r="K92" i="3"/>
  <c r="M92" i="3"/>
  <c r="Z91" i="3"/>
  <c r="H91" i="3"/>
  <c r="M91" i="3"/>
  <c r="Z90" i="3"/>
  <c r="K90" i="3"/>
  <c r="M90" i="3"/>
  <c r="Z89" i="3"/>
  <c r="K89" i="3"/>
  <c r="M89" i="3"/>
  <c r="Z88" i="3"/>
  <c r="K88" i="3"/>
  <c r="M88" i="3"/>
  <c r="Z87" i="3"/>
  <c r="H87" i="3"/>
  <c r="M87" i="3"/>
  <c r="Z86" i="3"/>
  <c r="K86" i="3"/>
  <c r="P86" i="3"/>
  <c r="M86" i="3"/>
  <c r="Z85" i="3"/>
  <c r="H85" i="3"/>
  <c r="P85" i="3"/>
  <c r="M85" i="3"/>
  <c r="Z84" i="3"/>
  <c r="H84" i="3"/>
  <c r="M84" i="3"/>
  <c r="Z83" i="3"/>
  <c r="K83" i="3"/>
  <c r="M83" i="3"/>
  <c r="Z81" i="3"/>
  <c r="H81" i="3"/>
  <c r="P81" i="3"/>
  <c r="M81" i="3"/>
  <c r="Z80" i="3"/>
  <c r="H80" i="3"/>
  <c r="P80" i="3"/>
  <c r="M80" i="3"/>
  <c r="Z79" i="3"/>
  <c r="K79" i="3"/>
  <c r="M79" i="3"/>
  <c r="Z78" i="3"/>
  <c r="H78" i="3"/>
  <c r="M78" i="3"/>
  <c r="Z77" i="3"/>
  <c r="H77" i="3"/>
  <c r="M77" i="3"/>
  <c r="Z76" i="3"/>
  <c r="K76" i="3"/>
  <c r="M76" i="3"/>
  <c r="Z75" i="3"/>
  <c r="K75" i="3"/>
  <c r="M75" i="3"/>
  <c r="Z74" i="3"/>
  <c r="K74" i="3"/>
  <c r="M74" i="3"/>
  <c r="Z73" i="3"/>
  <c r="H73" i="3"/>
  <c r="P73" i="3"/>
  <c r="M73" i="3"/>
  <c r="Z72" i="3"/>
  <c r="H72" i="3"/>
  <c r="P72" i="3"/>
  <c r="M72" i="3"/>
  <c r="Z70" i="3"/>
  <c r="K70" i="3"/>
  <c r="M70" i="3"/>
  <c r="Z69" i="3"/>
  <c r="K69" i="3"/>
  <c r="M69" i="3"/>
  <c r="Z68" i="3"/>
  <c r="K68" i="3"/>
  <c r="M68" i="3"/>
  <c r="Z67" i="3"/>
  <c r="H67" i="3"/>
  <c r="M67" i="3"/>
  <c r="Z66" i="3"/>
  <c r="H66" i="3"/>
  <c r="M66" i="3"/>
  <c r="Z65" i="3"/>
  <c r="H65" i="3"/>
  <c r="M65" i="3"/>
  <c r="Z64" i="3"/>
  <c r="H64" i="3"/>
  <c r="P64" i="3"/>
  <c r="M64" i="3"/>
  <c r="Z63" i="3"/>
  <c r="H63" i="3"/>
  <c r="P63" i="3"/>
  <c r="M63" i="3"/>
  <c r="Z62" i="3"/>
  <c r="K62" i="3"/>
  <c r="M62" i="3"/>
  <c r="Z61" i="3"/>
  <c r="K61" i="3"/>
  <c r="M61" i="3"/>
  <c r="Z59" i="3"/>
  <c r="K59" i="3"/>
  <c r="P59" i="3"/>
  <c r="M59" i="3"/>
  <c r="Z58" i="3"/>
  <c r="H58" i="3"/>
  <c r="P58" i="3"/>
  <c r="M58" i="3"/>
  <c r="Z57" i="3"/>
  <c r="H57" i="3"/>
  <c r="M57" i="3"/>
  <c r="Z56" i="3"/>
  <c r="K56" i="3"/>
  <c r="M56" i="3"/>
  <c r="Z55" i="3"/>
  <c r="K55" i="3"/>
  <c r="M55" i="3"/>
  <c r="Z54" i="3"/>
  <c r="K54" i="3"/>
  <c r="M54" i="3"/>
  <c r="Z53" i="3"/>
  <c r="K53" i="3"/>
  <c r="M53" i="3"/>
  <c r="Z52" i="3"/>
  <c r="H52" i="3"/>
  <c r="M52" i="3"/>
  <c r="Z51" i="3"/>
  <c r="H51" i="3"/>
  <c r="P51" i="3"/>
  <c r="M51" i="3"/>
  <c r="Z50" i="3"/>
  <c r="H50" i="3"/>
  <c r="P50" i="3"/>
  <c r="M50" i="3"/>
  <c r="Z48" i="3"/>
  <c r="K48" i="3"/>
  <c r="M48" i="3"/>
  <c r="Z47" i="3"/>
  <c r="H47" i="3"/>
  <c r="M47" i="3"/>
  <c r="Z46" i="3"/>
  <c r="K46" i="3"/>
  <c r="M46" i="3"/>
  <c r="Z45" i="3"/>
  <c r="H45" i="3"/>
  <c r="M45" i="3"/>
  <c r="Z44" i="3"/>
  <c r="K44" i="3"/>
  <c r="M44" i="3"/>
  <c r="Z43" i="3"/>
  <c r="H43" i="3"/>
  <c r="M43" i="3"/>
  <c r="Z42" i="3"/>
  <c r="H42" i="3"/>
  <c r="M42" i="3"/>
  <c r="Z41" i="3"/>
  <c r="K41" i="3"/>
  <c r="M41" i="3"/>
  <c r="Z40" i="3"/>
  <c r="K40" i="3"/>
  <c r="M40" i="3"/>
  <c r="Z39" i="3"/>
  <c r="H39" i="3"/>
  <c r="M39" i="3"/>
  <c r="Z37" i="3"/>
  <c r="K37" i="3"/>
  <c r="M37" i="3"/>
  <c r="Z36" i="3"/>
  <c r="P36" i="3"/>
  <c r="M36" i="3"/>
  <c r="Z35" i="3"/>
  <c r="K35" i="3"/>
  <c r="P35" i="3"/>
  <c r="M35" i="3"/>
  <c r="Z34" i="3"/>
  <c r="H34" i="3"/>
  <c r="P34" i="3"/>
  <c r="M34" i="3"/>
  <c r="Z33" i="3"/>
  <c r="K33" i="3"/>
  <c r="M33" i="3"/>
  <c r="Z32" i="3"/>
  <c r="K32" i="3"/>
  <c r="M32" i="3"/>
  <c r="Z31" i="3"/>
  <c r="K31" i="3"/>
  <c r="M31" i="3"/>
  <c r="Z30" i="3"/>
  <c r="K30" i="3"/>
  <c r="M30" i="3"/>
  <c r="Z29" i="3"/>
  <c r="H29" i="3"/>
  <c r="M29" i="3"/>
  <c r="Z28" i="3"/>
  <c r="H28" i="3"/>
  <c r="P28" i="3"/>
  <c r="M28" i="3"/>
  <c r="Z26" i="3"/>
  <c r="H26" i="3"/>
  <c r="P26" i="3"/>
  <c r="M26" i="3"/>
  <c r="Z25" i="3"/>
  <c r="H25" i="3"/>
  <c r="P25" i="3"/>
  <c r="M25" i="3"/>
  <c r="Z24" i="3"/>
  <c r="H24" i="3"/>
  <c r="M24" i="3"/>
  <c r="Z23" i="3"/>
  <c r="K23" i="3"/>
  <c r="M23" i="3"/>
  <c r="Z22" i="3"/>
  <c r="K22" i="3"/>
  <c r="M22" i="3"/>
  <c r="Z21" i="3"/>
  <c r="H21" i="3"/>
  <c r="P21" i="3"/>
  <c r="M21" i="3"/>
  <c r="Z20" i="3"/>
  <c r="K20" i="3"/>
  <c r="P20" i="3"/>
  <c r="M20" i="3"/>
  <c r="Z19" i="3"/>
  <c r="P19" i="3"/>
  <c r="M19" i="3"/>
  <c r="Z18" i="3"/>
  <c r="H18" i="3"/>
  <c r="M18" i="3"/>
  <c r="Z17" i="3"/>
  <c r="H17" i="3"/>
  <c r="M17" i="3"/>
  <c r="Z16" i="3"/>
  <c r="H16" i="3"/>
  <c r="M16" i="3"/>
  <c r="Z14" i="3"/>
  <c r="K14" i="3"/>
  <c r="M14" i="3"/>
  <c r="Z13" i="3"/>
  <c r="K13" i="3"/>
  <c r="M13" i="3"/>
  <c r="Z12" i="3"/>
  <c r="K12" i="3"/>
  <c r="M12" i="3"/>
  <c r="Z9" i="3"/>
  <c r="H9" i="3"/>
  <c r="M9" i="3"/>
  <c r="Z8" i="3"/>
  <c r="H8" i="3"/>
  <c r="M8" i="3"/>
  <c r="Z7" i="3"/>
  <c r="K7" i="3"/>
  <c r="M7" i="3"/>
  <c r="Z6" i="3"/>
  <c r="K6" i="3"/>
  <c r="M6" i="3"/>
  <c r="Z5" i="3"/>
  <c r="H5" i="3"/>
  <c r="P5" i="3"/>
  <c r="M5" i="3"/>
  <c r="Z4" i="3"/>
  <c r="H4" i="3"/>
  <c r="P4" i="3"/>
  <c r="M4" i="3"/>
  <c r="K7" i="19"/>
  <c r="U3" i="19"/>
  <c r="T3" i="19"/>
  <c r="S3" i="19"/>
  <c r="Q3" i="19"/>
  <c r="P3" i="19"/>
  <c r="I3" i="19"/>
  <c r="H3" i="19"/>
  <c r="F3" i="19"/>
  <c r="E3" i="19"/>
  <c r="U2" i="19"/>
  <c r="T2" i="19"/>
  <c r="S2" i="19"/>
  <c r="Q2" i="19"/>
  <c r="P2" i="19"/>
  <c r="N2" i="19"/>
  <c r="AH123" i="31"/>
  <c r="AG123" i="31"/>
  <c r="AF123" i="31"/>
  <c r="AE123" i="31"/>
  <c r="AD123" i="31"/>
  <c r="AC123" i="31"/>
  <c r="AB123" i="31"/>
  <c r="Z123" i="31"/>
  <c r="Y123" i="31"/>
  <c r="W123" i="31"/>
  <c r="V123" i="31"/>
  <c r="R123" i="31"/>
  <c r="X123" i="31" s="1"/>
  <c r="O123" i="31"/>
  <c r="M123" i="31"/>
  <c r="AH122" i="31"/>
  <c r="AG122" i="31"/>
  <c r="AF122" i="31"/>
  <c r="AE122" i="31"/>
  <c r="AD122" i="31"/>
  <c r="AC122" i="31"/>
  <c r="AB122" i="31"/>
  <c r="Z122" i="31"/>
  <c r="Y122" i="31"/>
  <c r="W122" i="31"/>
  <c r="V122" i="31"/>
  <c r="R122" i="31"/>
  <c r="AA122" i="31" s="1"/>
  <c r="O122" i="31"/>
  <c r="M122" i="31"/>
  <c r="AH121" i="31"/>
  <c r="AG121" i="31"/>
  <c r="AF121" i="31"/>
  <c r="AE121" i="31"/>
  <c r="AD121" i="31"/>
  <c r="AC121" i="31"/>
  <c r="AB121" i="31"/>
  <c r="Z121" i="31"/>
  <c r="Y121" i="31"/>
  <c r="W121" i="31"/>
  <c r="V121" i="31"/>
  <c r="R121" i="31"/>
  <c r="AA121" i="31" s="1"/>
  <c r="O121" i="31"/>
  <c r="M121" i="31"/>
  <c r="AH120" i="31"/>
  <c r="AG120" i="31"/>
  <c r="AF120" i="31"/>
  <c r="AE120" i="31"/>
  <c r="AD120" i="31"/>
  <c r="AC120" i="31"/>
  <c r="AB120" i="31"/>
  <c r="Z120" i="31"/>
  <c r="Y120" i="31"/>
  <c r="W120" i="31"/>
  <c r="V120" i="31"/>
  <c r="R120" i="31"/>
  <c r="AA120" i="31" s="1"/>
  <c r="O120" i="31"/>
  <c r="M120" i="31"/>
  <c r="AH119" i="31"/>
  <c r="AG119" i="31"/>
  <c r="AF119" i="31"/>
  <c r="AE119" i="31"/>
  <c r="AD119" i="31"/>
  <c r="AC119" i="31"/>
  <c r="AB119" i="31"/>
  <c r="Z119" i="31"/>
  <c r="Y119" i="31"/>
  <c r="W119" i="31"/>
  <c r="V119" i="31"/>
  <c r="R119" i="31"/>
  <c r="X119" i="31" s="1"/>
  <c r="O119" i="31"/>
  <c r="M119" i="31"/>
  <c r="AH118" i="31"/>
  <c r="AG118" i="31"/>
  <c r="AF118" i="31"/>
  <c r="AE118" i="31"/>
  <c r="AD118" i="31"/>
  <c r="AC118" i="31"/>
  <c r="AB118" i="31"/>
  <c r="Z118" i="31"/>
  <c r="Y118" i="31"/>
  <c r="W118" i="31"/>
  <c r="V118" i="31"/>
  <c r="R118" i="31"/>
  <c r="AA118" i="31" s="1"/>
  <c r="O118" i="31"/>
  <c r="M118" i="31"/>
  <c r="AH117" i="31"/>
  <c r="AG117" i="31"/>
  <c r="AF117" i="31"/>
  <c r="AE117" i="31"/>
  <c r="AC117" i="31"/>
  <c r="AB117" i="31"/>
  <c r="Z117" i="31"/>
  <c r="Y117" i="31"/>
  <c r="W117" i="31"/>
  <c r="V117" i="31"/>
  <c r="R117" i="31"/>
  <c r="K117" i="31" s="1"/>
  <c r="O117" i="31"/>
  <c r="M117" i="31"/>
  <c r="AH116" i="31"/>
  <c r="AG116" i="31"/>
  <c r="AF116" i="31"/>
  <c r="AE116" i="31"/>
  <c r="AC116" i="31"/>
  <c r="AB116" i="31"/>
  <c r="Z116" i="31"/>
  <c r="Y116" i="31"/>
  <c r="W116" i="31"/>
  <c r="V116" i="31"/>
  <c r="R116" i="31"/>
  <c r="X116" i="31" s="1"/>
  <c r="O116" i="31"/>
  <c r="M116" i="31"/>
  <c r="AH115" i="31"/>
  <c r="AG115" i="31"/>
  <c r="AF115" i="31"/>
  <c r="AE115" i="31"/>
  <c r="AC115" i="31"/>
  <c r="AB115" i="31"/>
  <c r="Z115" i="31"/>
  <c r="Y115" i="31"/>
  <c r="W115" i="31"/>
  <c r="V115" i="31"/>
  <c r="R115" i="31"/>
  <c r="H115" i="31" s="1"/>
  <c r="O115" i="31"/>
  <c r="M115" i="31"/>
  <c r="AH114" i="31"/>
  <c r="AG114" i="31"/>
  <c r="AF114" i="31"/>
  <c r="AE114" i="31"/>
  <c r="AC114" i="31"/>
  <c r="AB114" i="31"/>
  <c r="Z114" i="31"/>
  <c r="Y114" i="31"/>
  <c r="W114" i="31"/>
  <c r="V114" i="31"/>
  <c r="R114" i="31"/>
  <c r="H114" i="31" s="1"/>
  <c r="O114" i="31"/>
  <c r="M114" i="31"/>
  <c r="AH113" i="31"/>
  <c r="AG113" i="31"/>
  <c r="AF113" i="31"/>
  <c r="AE113" i="31"/>
  <c r="AD113" i="31"/>
  <c r="AC113" i="31"/>
  <c r="AB113" i="31"/>
  <c r="Z113" i="31"/>
  <c r="Y113" i="31"/>
  <c r="W113" i="31"/>
  <c r="V113" i="31"/>
  <c r="R113" i="31"/>
  <c r="X113" i="31" s="1"/>
  <c r="O113" i="31"/>
  <c r="M113" i="31"/>
  <c r="AH112" i="31"/>
  <c r="AG112" i="31"/>
  <c r="AF112" i="31"/>
  <c r="AE112" i="31"/>
  <c r="AD112" i="31"/>
  <c r="AC112" i="31"/>
  <c r="AB112" i="31"/>
  <c r="Z112" i="31"/>
  <c r="Y112" i="31"/>
  <c r="W112" i="31"/>
  <c r="V112" i="31"/>
  <c r="R112" i="31"/>
  <c r="K112" i="31" s="1"/>
  <c r="O112" i="31"/>
  <c r="M112" i="31"/>
  <c r="AH111" i="31"/>
  <c r="AG111" i="31"/>
  <c r="AF111" i="31"/>
  <c r="AE111" i="31"/>
  <c r="AD111" i="31"/>
  <c r="AC111" i="31"/>
  <c r="AB111" i="31"/>
  <c r="Z111" i="31"/>
  <c r="Y111" i="31"/>
  <c r="W111" i="31"/>
  <c r="V111" i="31"/>
  <c r="R111" i="31"/>
  <c r="K111" i="31" s="1"/>
  <c r="O111" i="31"/>
  <c r="M111" i="31"/>
  <c r="AH110" i="31"/>
  <c r="AG110" i="31"/>
  <c r="AF110" i="31"/>
  <c r="AE110" i="31"/>
  <c r="AD110" i="31"/>
  <c r="AC110" i="31"/>
  <c r="AB110" i="31"/>
  <c r="Z110" i="31"/>
  <c r="Y110" i="31"/>
  <c r="W110" i="31"/>
  <c r="V110" i="31"/>
  <c r="R110" i="31"/>
  <c r="H110" i="31" s="1"/>
  <c r="O110" i="31"/>
  <c r="M110" i="31"/>
  <c r="AH109" i="31"/>
  <c r="AG109" i="31"/>
  <c r="AF109" i="31"/>
  <c r="AE109" i="31"/>
  <c r="AD109" i="31"/>
  <c r="AC109" i="31"/>
  <c r="AB109" i="31"/>
  <c r="Z109" i="31"/>
  <c r="Y109" i="31"/>
  <c r="W109" i="31"/>
  <c r="V109" i="31"/>
  <c r="R109" i="31"/>
  <c r="X109" i="31" s="1"/>
  <c r="O109" i="31"/>
  <c r="M109" i="31"/>
  <c r="AH108" i="31"/>
  <c r="AG108" i="31"/>
  <c r="AF108" i="31"/>
  <c r="AE108" i="31"/>
  <c r="AD108" i="31"/>
  <c r="AC108" i="31"/>
  <c r="AB108" i="31"/>
  <c r="Z108" i="31"/>
  <c r="Y108" i="31"/>
  <c r="W108" i="31"/>
  <c r="V108" i="31"/>
  <c r="R108" i="31"/>
  <c r="K108" i="31" s="1"/>
  <c r="O108" i="31"/>
  <c r="M108" i="31"/>
  <c r="AH107" i="31"/>
  <c r="AG107" i="31"/>
  <c r="AF107" i="31"/>
  <c r="AE107" i="31"/>
  <c r="AD107" i="31"/>
  <c r="AC107" i="31"/>
  <c r="AB107" i="31"/>
  <c r="Z107" i="31"/>
  <c r="Y107" i="31"/>
  <c r="W107" i="31"/>
  <c r="V107" i="31"/>
  <c r="R107" i="31"/>
  <c r="H107" i="31" s="1"/>
  <c r="O107" i="31"/>
  <c r="M107" i="31"/>
  <c r="AH106" i="31"/>
  <c r="AG106" i="31"/>
  <c r="AF106" i="31"/>
  <c r="AE106" i="31"/>
  <c r="AD106" i="31"/>
  <c r="AC106" i="31"/>
  <c r="AB106" i="31"/>
  <c r="Z106" i="31"/>
  <c r="Y106" i="31"/>
  <c r="W106" i="31"/>
  <c r="V106" i="31"/>
  <c r="R106" i="31"/>
  <c r="H106" i="31" s="1"/>
  <c r="O106" i="31"/>
  <c r="M106" i="31"/>
  <c r="AH105" i="31"/>
  <c r="AG105" i="31"/>
  <c r="AF105" i="31"/>
  <c r="AE105" i="31"/>
  <c r="AD105" i="31"/>
  <c r="AC105" i="31"/>
  <c r="AB105" i="31"/>
  <c r="Z105" i="31"/>
  <c r="Y105" i="31"/>
  <c r="W105" i="31"/>
  <c r="V105" i="31"/>
  <c r="R105" i="31"/>
  <c r="X105" i="31" s="1"/>
  <c r="O105" i="31"/>
  <c r="M105" i="31"/>
  <c r="AH104" i="31"/>
  <c r="AG104" i="31"/>
  <c r="AF104" i="31"/>
  <c r="AE104" i="31"/>
  <c r="AD104" i="31"/>
  <c r="AC104" i="31"/>
  <c r="AB104" i="31"/>
  <c r="Z104" i="31"/>
  <c r="Y104" i="31"/>
  <c r="W104" i="31"/>
  <c r="V104" i="31"/>
  <c r="R104" i="31"/>
  <c r="K104" i="31" s="1"/>
  <c r="O104" i="31"/>
  <c r="M104" i="31"/>
  <c r="AH103" i="31"/>
  <c r="AG103" i="31"/>
  <c r="AF103" i="31"/>
  <c r="AE103" i="31"/>
  <c r="AD103" i="31"/>
  <c r="AC103" i="31"/>
  <c r="AB103" i="31"/>
  <c r="Z103" i="31"/>
  <c r="Y103" i="31"/>
  <c r="W103" i="31"/>
  <c r="V103" i="31"/>
  <c r="R103" i="31"/>
  <c r="H103" i="31" s="1"/>
  <c r="O103" i="31"/>
  <c r="M103" i="31"/>
  <c r="AH102" i="31"/>
  <c r="AG102" i="31"/>
  <c r="AF102" i="31"/>
  <c r="AE102" i="31"/>
  <c r="AD102" i="31"/>
  <c r="AC102" i="31"/>
  <c r="AB102" i="31"/>
  <c r="Z102" i="31"/>
  <c r="Y102" i="31"/>
  <c r="W102" i="31"/>
  <c r="V102" i="31"/>
  <c r="R102" i="31"/>
  <c r="H102" i="31" s="1"/>
  <c r="O102" i="31"/>
  <c r="M102" i="31"/>
  <c r="AH101" i="31"/>
  <c r="AG101" i="31"/>
  <c r="AF101" i="31"/>
  <c r="AE101" i="31"/>
  <c r="AD101" i="31"/>
  <c r="AC101" i="31"/>
  <c r="AB101" i="31"/>
  <c r="Z101" i="31"/>
  <c r="Y101" i="31"/>
  <c r="W101" i="31"/>
  <c r="V101" i="31"/>
  <c r="R101" i="31"/>
  <c r="X101" i="31" s="1"/>
  <c r="O101" i="31"/>
  <c r="M101" i="31"/>
  <c r="AH100" i="31"/>
  <c r="AG100" i="31"/>
  <c r="AF100" i="31"/>
  <c r="AE100" i="31"/>
  <c r="AD100" i="31"/>
  <c r="AC100" i="31"/>
  <c r="AB100" i="31"/>
  <c r="Z100" i="31"/>
  <c r="Y100" i="31"/>
  <c r="W100" i="31"/>
  <c r="V100" i="31"/>
  <c r="R100" i="31"/>
  <c r="K100" i="31" s="1"/>
  <c r="O100" i="31"/>
  <c r="M100" i="31"/>
  <c r="AH99" i="31"/>
  <c r="AG99" i="31"/>
  <c r="AF99" i="31"/>
  <c r="AE99" i="31"/>
  <c r="AC99" i="31"/>
  <c r="AB99" i="31"/>
  <c r="Z99" i="31"/>
  <c r="Y99" i="31"/>
  <c r="W99" i="31"/>
  <c r="V99" i="31"/>
  <c r="R99" i="31"/>
  <c r="AA99" i="31" s="1"/>
  <c r="O99" i="31"/>
  <c r="M99" i="31"/>
  <c r="AH98" i="31"/>
  <c r="AG98" i="31"/>
  <c r="AF98" i="31"/>
  <c r="AE98" i="31"/>
  <c r="AC98" i="31"/>
  <c r="AB98" i="31"/>
  <c r="Z98" i="31"/>
  <c r="Y98" i="31"/>
  <c r="W98" i="31"/>
  <c r="V98" i="31"/>
  <c r="R98" i="31"/>
  <c r="AA98" i="31" s="1"/>
  <c r="O98" i="31"/>
  <c r="M98" i="31"/>
  <c r="AH97" i="31"/>
  <c r="AG97" i="31"/>
  <c r="AF97" i="31"/>
  <c r="AE97" i="31"/>
  <c r="AC97" i="31"/>
  <c r="AB97" i="31"/>
  <c r="Z97" i="31"/>
  <c r="Y97" i="31"/>
  <c r="W97" i="31"/>
  <c r="V97" i="31"/>
  <c r="R97" i="31"/>
  <c r="AA97" i="31" s="1"/>
  <c r="O97" i="31"/>
  <c r="M97" i="31"/>
  <c r="AH96" i="31"/>
  <c r="AG96" i="31"/>
  <c r="AF96" i="31"/>
  <c r="AE96" i="31"/>
  <c r="AC96" i="31"/>
  <c r="AB96" i="31"/>
  <c r="Z96" i="31"/>
  <c r="Y96" i="31"/>
  <c r="W96" i="31"/>
  <c r="V96" i="31"/>
  <c r="R96" i="31"/>
  <c r="X96" i="31" s="1"/>
  <c r="O96" i="31"/>
  <c r="M96" i="31"/>
  <c r="AH95" i="31"/>
  <c r="AG95" i="31"/>
  <c r="AF95" i="31"/>
  <c r="AE95" i="31"/>
  <c r="AD95" i="31"/>
  <c r="AC95" i="31"/>
  <c r="AB95" i="31"/>
  <c r="Z95" i="31"/>
  <c r="Y95" i="31"/>
  <c r="W95" i="31"/>
  <c r="V95" i="31"/>
  <c r="R95" i="31"/>
  <c r="X95" i="31" s="1"/>
  <c r="O95" i="31"/>
  <c r="M95" i="31"/>
  <c r="AH94" i="31"/>
  <c r="AG94" i="31"/>
  <c r="AF94" i="31"/>
  <c r="AE94" i="31"/>
  <c r="AD94" i="31"/>
  <c r="AC94" i="31"/>
  <c r="AB94" i="31"/>
  <c r="Z94" i="31"/>
  <c r="Y94" i="31"/>
  <c r="W94" i="31"/>
  <c r="V94" i="31"/>
  <c r="R94" i="31"/>
  <c r="K94" i="31" s="1"/>
  <c r="O94" i="31"/>
  <c r="M94" i="31"/>
  <c r="AH93" i="31"/>
  <c r="AG93" i="31"/>
  <c r="AF93" i="31"/>
  <c r="AE93" i="31"/>
  <c r="AD93" i="31"/>
  <c r="AC93" i="31"/>
  <c r="AB93" i="31"/>
  <c r="Z93" i="31"/>
  <c r="Y93" i="31"/>
  <c r="W93" i="31"/>
  <c r="V93" i="31"/>
  <c r="R93" i="31"/>
  <c r="AA93" i="31" s="1"/>
  <c r="O93" i="31"/>
  <c r="M93" i="31"/>
  <c r="AH92" i="31"/>
  <c r="AG92" i="31"/>
  <c r="AF92" i="31"/>
  <c r="AE92" i="31"/>
  <c r="AD92" i="31"/>
  <c r="AC92" i="31"/>
  <c r="AB92" i="31"/>
  <c r="Z92" i="31"/>
  <c r="Y92" i="31"/>
  <c r="W92" i="31"/>
  <c r="V92" i="31"/>
  <c r="R92" i="31"/>
  <c r="X92" i="31" s="1"/>
  <c r="O92" i="31"/>
  <c r="M92" i="31"/>
  <c r="AH91" i="31"/>
  <c r="AG91" i="31"/>
  <c r="AF91" i="31"/>
  <c r="AE91" i="31"/>
  <c r="AD91" i="31"/>
  <c r="AC91" i="31"/>
  <c r="AB91" i="31"/>
  <c r="Z91" i="31"/>
  <c r="Y91" i="31"/>
  <c r="W91" i="31"/>
  <c r="V91" i="31"/>
  <c r="R91" i="31"/>
  <c r="X91" i="31" s="1"/>
  <c r="O91" i="31"/>
  <c r="M91" i="31"/>
  <c r="AH90" i="31"/>
  <c r="AG90" i="31"/>
  <c r="AF90" i="31"/>
  <c r="AE90" i="31"/>
  <c r="AD90" i="31"/>
  <c r="AC90" i="31"/>
  <c r="AB90" i="31"/>
  <c r="Z90" i="31"/>
  <c r="Y90" i="31"/>
  <c r="W90" i="31"/>
  <c r="V90" i="31"/>
  <c r="R90" i="31"/>
  <c r="K90" i="31" s="1"/>
  <c r="O90" i="31"/>
  <c r="M90" i="31"/>
  <c r="AH89" i="31"/>
  <c r="AG89" i="31"/>
  <c r="AF89" i="31"/>
  <c r="AE89" i="31"/>
  <c r="AD89" i="31"/>
  <c r="AC89" i="31"/>
  <c r="AB89" i="31"/>
  <c r="Z89" i="31"/>
  <c r="Y89" i="31"/>
  <c r="W89" i="31"/>
  <c r="V89" i="31"/>
  <c r="R89" i="31"/>
  <c r="AA89" i="31" s="1"/>
  <c r="O89" i="31"/>
  <c r="M89" i="31"/>
  <c r="AH88" i="31"/>
  <c r="AG88" i="31"/>
  <c r="AF88" i="31"/>
  <c r="AE88" i="31"/>
  <c r="AD88" i="31"/>
  <c r="AC88" i="31"/>
  <c r="AB88" i="31"/>
  <c r="Z88" i="31"/>
  <c r="Y88" i="31"/>
  <c r="W88" i="31"/>
  <c r="V88" i="31"/>
  <c r="R88" i="31"/>
  <c r="X88" i="31" s="1"/>
  <c r="O88" i="31"/>
  <c r="M88" i="31"/>
  <c r="AH86" i="31"/>
  <c r="AG86" i="31"/>
  <c r="AF86" i="31"/>
  <c r="AE86" i="31"/>
  <c r="AD86" i="31"/>
  <c r="AC86" i="31"/>
  <c r="AB86" i="31"/>
  <c r="Z86" i="31"/>
  <c r="Y86" i="31"/>
  <c r="W86" i="31"/>
  <c r="V86" i="31"/>
  <c r="R86" i="31"/>
  <c r="X86" i="31" s="1"/>
  <c r="O86" i="31"/>
  <c r="M86" i="31"/>
  <c r="AH85" i="31"/>
  <c r="AG85" i="31"/>
  <c r="AF85" i="31"/>
  <c r="AE85" i="31"/>
  <c r="AD85" i="31"/>
  <c r="AC85" i="31"/>
  <c r="AB85" i="31"/>
  <c r="Z85" i="31"/>
  <c r="Y85" i="31"/>
  <c r="W85" i="31"/>
  <c r="V85" i="31"/>
  <c r="R85" i="31"/>
  <c r="K85" i="31" s="1"/>
  <c r="O85" i="31"/>
  <c r="M85" i="31"/>
  <c r="AH84" i="31"/>
  <c r="AG84" i="31"/>
  <c r="AF84" i="31"/>
  <c r="AE84" i="31"/>
  <c r="AD84" i="31"/>
  <c r="AC84" i="31"/>
  <c r="AB84" i="31"/>
  <c r="Z84" i="31"/>
  <c r="Y84" i="31"/>
  <c r="W84" i="31"/>
  <c r="V84" i="31"/>
  <c r="R84" i="31"/>
  <c r="AA84" i="31" s="1"/>
  <c r="O84" i="31"/>
  <c r="M84" i="31"/>
  <c r="AH83" i="31"/>
  <c r="AG83" i="31"/>
  <c r="AF83" i="31"/>
  <c r="AE83" i="31"/>
  <c r="AD83" i="31"/>
  <c r="AC83" i="31"/>
  <c r="AB83" i="31"/>
  <c r="Z83" i="31"/>
  <c r="Y83" i="31"/>
  <c r="W83" i="31"/>
  <c r="V83" i="31"/>
  <c r="R83" i="31"/>
  <c r="X83" i="31" s="1"/>
  <c r="O83" i="31"/>
  <c r="M83" i="31"/>
  <c r="AH82" i="31"/>
  <c r="AG82" i="31"/>
  <c r="AF82" i="31"/>
  <c r="AE82" i="31"/>
  <c r="AD82" i="31"/>
  <c r="AC82" i="31"/>
  <c r="AB82" i="31"/>
  <c r="Z82" i="31"/>
  <c r="Y82" i="31"/>
  <c r="W82" i="31"/>
  <c r="V82" i="31"/>
  <c r="R82" i="31"/>
  <c r="X82" i="31" s="1"/>
  <c r="O82" i="31"/>
  <c r="M82" i="31"/>
  <c r="AH81" i="31"/>
  <c r="AG81" i="31"/>
  <c r="AF81" i="31"/>
  <c r="AE81" i="31"/>
  <c r="AD81" i="31"/>
  <c r="AC81" i="31"/>
  <c r="AB81" i="31"/>
  <c r="Z81" i="31"/>
  <c r="Y81" i="31"/>
  <c r="W81" i="31"/>
  <c r="V81" i="31"/>
  <c r="R81" i="31"/>
  <c r="K81" i="31" s="1"/>
  <c r="O81" i="31"/>
  <c r="M81" i="31"/>
  <c r="AH80" i="31"/>
  <c r="AG80" i="31"/>
  <c r="AF80" i="31"/>
  <c r="AE80" i="31"/>
  <c r="AD80" i="31"/>
  <c r="AC80" i="31"/>
  <c r="AB80" i="31"/>
  <c r="Z80" i="31"/>
  <c r="Y80" i="31"/>
  <c r="W80" i="31"/>
  <c r="V80" i="31"/>
  <c r="R80" i="31"/>
  <c r="AA80" i="31" s="1"/>
  <c r="O80" i="31"/>
  <c r="M80" i="31"/>
  <c r="AH79" i="31"/>
  <c r="AG79" i="31"/>
  <c r="AF79" i="31"/>
  <c r="AE79" i="31"/>
  <c r="AD79" i="31"/>
  <c r="AC79" i="31"/>
  <c r="AB79" i="31"/>
  <c r="Z79" i="31"/>
  <c r="Y79" i="31"/>
  <c r="W79" i="31"/>
  <c r="V79" i="31"/>
  <c r="R79" i="31"/>
  <c r="X79" i="31" s="1"/>
  <c r="O79" i="31"/>
  <c r="M79" i="31"/>
  <c r="AH78" i="31"/>
  <c r="AG78" i="31"/>
  <c r="AF78" i="31"/>
  <c r="AE78" i="31"/>
  <c r="AC78" i="31"/>
  <c r="AB78" i="31"/>
  <c r="Z78" i="31"/>
  <c r="Y78" i="31"/>
  <c r="W78" i="31"/>
  <c r="V78" i="31"/>
  <c r="R78" i="31"/>
  <c r="H78" i="31" s="1"/>
  <c r="O78" i="31"/>
  <c r="M78" i="31"/>
  <c r="AH77" i="31"/>
  <c r="AG77" i="31"/>
  <c r="AF77" i="31"/>
  <c r="AE77" i="31"/>
  <c r="AC77" i="31"/>
  <c r="AB77" i="31"/>
  <c r="Z77" i="31"/>
  <c r="Y77" i="31"/>
  <c r="W77" i="31"/>
  <c r="V77" i="31"/>
  <c r="R77" i="31"/>
  <c r="X77" i="31" s="1"/>
  <c r="O77" i="31"/>
  <c r="M77" i="31"/>
  <c r="AH76" i="31"/>
  <c r="AG76" i="31"/>
  <c r="AF76" i="31"/>
  <c r="AE76" i="31"/>
  <c r="AC76" i="31"/>
  <c r="AB76" i="31"/>
  <c r="Z76" i="31"/>
  <c r="Y76" i="31"/>
  <c r="W76" i="31"/>
  <c r="V76" i="31"/>
  <c r="R76" i="31"/>
  <c r="H76" i="31" s="1"/>
  <c r="O76" i="31"/>
  <c r="M76" i="31"/>
  <c r="AH75" i="31"/>
  <c r="AG75" i="31"/>
  <c r="AF75" i="31"/>
  <c r="AE75" i="31"/>
  <c r="AC75" i="31"/>
  <c r="AB75" i="31"/>
  <c r="Z75" i="31"/>
  <c r="Y75" i="31"/>
  <c r="W75" i="31"/>
  <c r="V75" i="31"/>
  <c r="R75" i="31"/>
  <c r="K75" i="31" s="1"/>
  <c r="O75" i="31"/>
  <c r="M75" i="31"/>
  <c r="AH74" i="31"/>
  <c r="AG74" i="31"/>
  <c r="AF74" i="31"/>
  <c r="AE74" i="31"/>
  <c r="AD74" i="31"/>
  <c r="AC74" i="31"/>
  <c r="AB74" i="31"/>
  <c r="Z74" i="31"/>
  <c r="Y74" i="31"/>
  <c r="W74" i="31"/>
  <c r="V74" i="31"/>
  <c r="R74" i="31"/>
  <c r="AA74" i="31" s="1"/>
  <c r="O74" i="31"/>
  <c r="M74" i="31"/>
  <c r="AH73" i="31"/>
  <c r="AG73" i="31"/>
  <c r="AF73" i="31"/>
  <c r="AE73" i="31"/>
  <c r="AD73" i="31"/>
  <c r="AC73" i="31"/>
  <c r="AB73" i="31"/>
  <c r="Z73" i="31"/>
  <c r="Y73" i="31"/>
  <c r="W73" i="31"/>
  <c r="V73" i="31"/>
  <c r="R73" i="31"/>
  <c r="X73" i="31" s="1"/>
  <c r="O73" i="31"/>
  <c r="M73" i="31"/>
  <c r="AH72" i="31"/>
  <c r="AG72" i="31"/>
  <c r="AF72" i="31"/>
  <c r="AE72" i="31"/>
  <c r="AD72" i="31"/>
  <c r="AC72" i="31"/>
  <c r="AB72" i="31"/>
  <c r="Z72" i="31"/>
  <c r="Y72" i="31"/>
  <c r="W72" i="31"/>
  <c r="V72" i="31"/>
  <c r="R72" i="31"/>
  <c r="X72" i="31" s="1"/>
  <c r="O72" i="31"/>
  <c r="M72" i="31"/>
  <c r="AH71" i="31"/>
  <c r="AG71" i="31"/>
  <c r="AF71" i="31"/>
  <c r="AE71" i="31"/>
  <c r="AD71" i="31"/>
  <c r="AC71" i="31"/>
  <c r="AB71" i="31"/>
  <c r="Z71" i="31"/>
  <c r="Y71" i="31"/>
  <c r="W71" i="31"/>
  <c r="V71" i="31"/>
  <c r="R71" i="31"/>
  <c r="K71" i="31" s="1"/>
  <c r="O71" i="31"/>
  <c r="M71" i="31"/>
  <c r="AH70" i="31"/>
  <c r="AG70" i="31"/>
  <c r="AF70" i="31"/>
  <c r="AE70" i="31"/>
  <c r="AD70" i="31"/>
  <c r="AC70" i="31"/>
  <c r="AB70" i="31"/>
  <c r="Z70" i="31"/>
  <c r="Y70" i="31"/>
  <c r="W70" i="31"/>
  <c r="V70" i="31"/>
  <c r="R70" i="31"/>
  <c r="AA70" i="31" s="1"/>
  <c r="O70" i="31"/>
  <c r="M70" i="31"/>
  <c r="AH69" i="31"/>
  <c r="AG69" i="31"/>
  <c r="AF69" i="31"/>
  <c r="AE69" i="31"/>
  <c r="AD69" i="31"/>
  <c r="AC69" i="31"/>
  <c r="AB69" i="31"/>
  <c r="Z69" i="31"/>
  <c r="Y69" i="31"/>
  <c r="W69" i="31"/>
  <c r="V69" i="31"/>
  <c r="R69" i="31"/>
  <c r="X69" i="31" s="1"/>
  <c r="O69" i="31"/>
  <c r="M69" i="31"/>
  <c r="AH68" i="31"/>
  <c r="AG68" i="31"/>
  <c r="AF68" i="31"/>
  <c r="AE68" i="31"/>
  <c r="AD68" i="31"/>
  <c r="AC68" i="31"/>
  <c r="AB68" i="31"/>
  <c r="Z68" i="31"/>
  <c r="Y68" i="31"/>
  <c r="W68" i="31"/>
  <c r="V68" i="31"/>
  <c r="R68" i="31"/>
  <c r="X68" i="31" s="1"/>
  <c r="O68" i="31"/>
  <c r="M68" i="31"/>
  <c r="AH67" i="31"/>
  <c r="AG67" i="31"/>
  <c r="AF67" i="31"/>
  <c r="AE67" i="31"/>
  <c r="AD67" i="31"/>
  <c r="AC67" i="31"/>
  <c r="AB67" i="31"/>
  <c r="Z67" i="31"/>
  <c r="Y67" i="31"/>
  <c r="W67" i="31"/>
  <c r="V67" i="31"/>
  <c r="R67" i="31"/>
  <c r="K67" i="31" s="1"/>
  <c r="O67" i="31"/>
  <c r="M67" i="31"/>
  <c r="AH66" i="31"/>
  <c r="AG66" i="31"/>
  <c r="AF66" i="31"/>
  <c r="AE66" i="31"/>
  <c r="AD66" i="31"/>
  <c r="AC66" i="31"/>
  <c r="AB66" i="31"/>
  <c r="Z66" i="31"/>
  <c r="Y66" i="31"/>
  <c r="W66" i="31"/>
  <c r="V66" i="31"/>
  <c r="R66" i="31"/>
  <c r="AA66" i="31" s="1"/>
  <c r="O66" i="31"/>
  <c r="M66" i="31"/>
  <c r="AH65" i="31"/>
  <c r="AG65" i="31"/>
  <c r="AF65" i="31"/>
  <c r="AE65" i="31"/>
  <c r="AD65" i="31"/>
  <c r="AC65" i="31"/>
  <c r="AB65" i="31"/>
  <c r="Z65" i="31"/>
  <c r="Y65" i="31"/>
  <c r="W65" i="31"/>
  <c r="V65" i="31"/>
  <c r="R65" i="31"/>
  <c r="X65" i="31" s="1"/>
  <c r="O65" i="31"/>
  <c r="M65" i="31"/>
  <c r="AH64" i="31"/>
  <c r="AG64" i="31"/>
  <c r="AF64" i="31"/>
  <c r="AE64" i="31"/>
  <c r="AD64" i="31"/>
  <c r="AC64" i="31"/>
  <c r="AB64" i="31"/>
  <c r="Z64" i="31"/>
  <c r="Y64" i="31"/>
  <c r="W64" i="31"/>
  <c r="V64" i="31"/>
  <c r="R64" i="31"/>
  <c r="X64" i="31" s="1"/>
  <c r="O64" i="31"/>
  <c r="M64" i="31"/>
  <c r="AH63" i="31"/>
  <c r="AG63" i="31"/>
  <c r="AF63" i="31"/>
  <c r="AE63" i="31"/>
  <c r="AD63" i="31"/>
  <c r="AC63" i="31"/>
  <c r="AB63" i="31"/>
  <c r="Z63" i="31"/>
  <c r="Y63" i="31"/>
  <c r="W63" i="31"/>
  <c r="V63" i="31"/>
  <c r="R63" i="31"/>
  <c r="K63" i="31" s="1"/>
  <c r="O63" i="31"/>
  <c r="M63" i="31"/>
  <c r="AH62" i="31"/>
  <c r="AG62" i="31"/>
  <c r="AF62" i="31"/>
  <c r="AE62" i="31"/>
  <c r="AD62" i="31"/>
  <c r="AC62" i="31"/>
  <c r="AB62" i="31"/>
  <c r="Z62" i="31"/>
  <c r="Y62" i="31"/>
  <c r="W62" i="31"/>
  <c r="V62" i="31"/>
  <c r="R62" i="31"/>
  <c r="AA62" i="31" s="1"/>
  <c r="O62" i="31"/>
  <c r="M62" i="31"/>
  <c r="AH61" i="31"/>
  <c r="AG61" i="31"/>
  <c r="AF61" i="31"/>
  <c r="AE61" i="31"/>
  <c r="AD61" i="31"/>
  <c r="AC61" i="31"/>
  <c r="AB61" i="31"/>
  <c r="Z61" i="31"/>
  <c r="Y61" i="31"/>
  <c r="W61" i="31"/>
  <c r="V61" i="31"/>
  <c r="R61" i="31"/>
  <c r="X61" i="31" s="1"/>
  <c r="O61" i="31"/>
  <c r="M61" i="31"/>
  <c r="AH60" i="31"/>
  <c r="AG60" i="31"/>
  <c r="AF60" i="31"/>
  <c r="AE60" i="31"/>
  <c r="AD60" i="31"/>
  <c r="AC60" i="31"/>
  <c r="AB60" i="31"/>
  <c r="Z60" i="31"/>
  <c r="Y60" i="31"/>
  <c r="W60" i="31"/>
  <c r="V60" i="31"/>
  <c r="R60" i="31"/>
  <c r="X60" i="31" s="1"/>
  <c r="O60" i="31"/>
  <c r="M60" i="31"/>
  <c r="AH59" i="31"/>
  <c r="AG59" i="31"/>
  <c r="AF59" i="31"/>
  <c r="AE59" i="31"/>
  <c r="AD59" i="31"/>
  <c r="AC59" i="31"/>
  <c r="AB59" i="31"/>
  <c r="Z59" i="31"/>
  <c r="Y59" i="31"/>
  <c r="W59" i="31"/>
  <c r="V59" i="31"/>
  <c r="R59" i="31"/>
  <c r="K59" i="31" s="1"/>
  <c r="O59" i="31"/>
  <c r="M59" i="31"/>
  <c r="AH58" i="31"/>
  <c r="AG58" i="31"/>
  <c r="AF58" i="31"/>
  <c r="AE58" i="31"/>
  <c r="AC58" i="31"/>
  <c r="AB58" i="31"/>
  <c r="Z58" i="31"/>
  <c r="Y58" i="31"/>
  <c r="W58" i="31"/>
  <c r="V58" i="31"/>
  <c r="R58" i="31"/>
  <c r="AA58" i="31" s="1"/>
  <c r="O58" i="31"/>
  <c r="M58" i="31"/>
  <c r="AH57" i="31"/>
  <c r="AG57" i="31"/>
  <c r="AF57" i="31"/>
  <c r="AE57" i="31"/>
  <c r="AC57" i="31"/>
  <c r="AB57" i="31"/>
  <c r="Z57" i="31"/>
  <c r="Y57" i="31"/>
  <c r="W57" i="31"/>
  <c r="V57" i="31"/>
  <c r="R57" i="31"/>
  <c r="AA57" i="31" s="1"/>
  <c r="O57" i="31"/>
  <c r="M57" i="31"/>
  <c r="AH56" i="31"/>
  <c r="AG56" i="31"/>
  <c r="AF56" i="31"/>
  <c r="AE56" i="31"/>
  <c r="AC56" i="31"/>
  <c r="AB56" i="31"/>
  <c r="Z56" i="31"/>
  <c r="Y56" i="31"/>
  <c r="W56" i="31"/>
  <c r="V56" i="31"/>
  <c r="R56" i="31"/>
  <c r="AA56" i="31" s="1"/>
  <c r="O56" i="31"/>
  <c r="M56" i="31"/>
  <c r="AH55" i="31"/>
  <c r="AG55" i="31"/>
  <c r="AF55" i="31"/>
  <c r="AE55" i="31"/>
  <c r="AC55" i="31"/>
  <c r="AB55" i="31"/>
  <c r="Z55" i="31"/>
  <c r="Y55" i="31"/>
  <c r="W55" i="31"/>
  <c r="V55" i="31"/>
  <c r="R55" i="31"/>
  <c r="X55" i="31" s="1"/>
  <c r="O55" i="31"/>
  <c r="M55" i="31"/>
  <c r="AH54" i="31"/>
  <c r="AG54" i="31"/>
  <c r="AF54" i="31"/>
  <c r="AE54" i="31"/>
  <c r="AD54" i="31"/>
  <c r="AC54" i="31"/>
  <c r="AB54" i="31"/>
  <c r="Z54" i="31"/>
  <c r="Y54" i="31"/>
  <c r="W54" i="31"/>
  <c r="V54" i="31"/>
  <c r="R54" i="31"/>
  <c r="X54" i="31" s="1"/>
  <c r="O54" i="31"/>
  <c r="M54" i="31"/>
  <c r="AH53" i="31"/>
  <c r="AG53" i="31"/>
  <c r="AF53" i="31"/>
  <c r="AE53" i="31"/>
  <c r="AD53" i="31"/>
  <c r="AC53" i="31"/>
  <c r="AB53" i="31"/>
  <c r="Z53" i="31"/>
  <c r="Y53" i="31"/>
  <c r="W53" i="31"/>
  <c r="V53" i="31"/>
  <c r="R53" i="31"/>
  <c r="K53" i="31" s="1"/>
  <c r="O53" i="31"/>
  <c r="M53" i="31"/>
  <c r="AH52" i="31"/>
  <c r="AG52" i="31"/>
  <c r="AF52" i="31"/>
  <c r="AE52" i="31"/>
  <c r="AD52" i="31"/>
  <c r="AC52" i="31"/>
  <c r="AB52" i="31"/>
  <c r="Z52" i="31"/>
  <c r="Y52" i="31"/>
  <c r="W52" i="31"/>
  <c r="V52" i="31"/>
  <c r="R52" i="31"/>
  <c r="AA52" i="31" s="1"/>
  <c r="O52" i="31"/>
  <c r="M52" i="31"/>
  <c r="AH51" i="31"/>
  <c r="AG51" i="31"/>
  <c r="AF51" i="31"/>
  <c r="AE51" i="31"/>
  <c r="AD51" i="31"/>
  <c r="AC51" i="31"/>
  <c r="AB51" i="31"/>
  <c r="Z51" i="31"/>
  <c r="Y51" i="31"/>
  <c r="W51" i="31"/>
  <c r="V51" i="31"/>
  <c r="R51" i="31"/>
  <c r="X51" i="31" s="1"/>
  <c r="O51" i="31"/>
  <c r="M51" i="31"/>
  <c r="AH50" i="31"/>
  <c r="AG50" i="31"/>
  <c r="AF50" i="31"/>
  <c r="AE50" i="31"/>
  <c r="AD50" i="31"/>
  <c r="AC50" i="31"/>
  <c r="AB50" i="31"/>
  <c r="Z50" i="31"/>
  <c r="Y50" i="31"/>
  <c r="W50" i="31"/>
  <c r="V50" i="31"/>
  <c r="R50" i="31"/>
  <c r="X50" i="31" s="1"/>
  <c r="O50" i="31"/>
  <c r="M50" i="31"/>
  <c r="AH49" i="31"/>
  <c r="AG49" i="31"/>
  <c r="AF49" i="31"/>
  <c r="AE49" i="31"/>
  <c r="AD49" i="31"/>
  <c r="AC49" i="31"/>
  <c r="AB49" i="31"/>
  <c r="Z49" i="31"/>
  <c r="Y49" i="31"/>
  <c r="W49" i="31"/>
  <c r="V49" i="31"/>
  <c r="R49" i="31"/>
  <c r="K49" i="31" s="1"/>
  <c r="O49" i="31"/>
  <c r="M49" i="31"/>
  <c r="AH48" i="31"/>
  <c r="AG48" i="31"/>
  <c r="AF48" i="31"/>
  <c r="AE48" i="31"/>
  <c r="AD48" i="31"/>
  <c r="AC48" i="31"/>
  <c r="AB48" i="31"/>
  <c r="Z48" i="31"/>
  <c r="Y48" i="31"/>
  <c r="W48" i="31"/>
  <c r="V48" i="31"/>
  <c r="R48" i="31"/>
  <c r="AA48" i="31" s="1"/>
  <c r="O48" i="31"/>
  <c r="M48" i="31"/>
  <c r="AH47" i="31"/>
  <c r="AG47" i="31"/>
  <c r="AF47" i="31"/>
  <c r="AE47" i="31"/>
  <c r="AD47" i="31"/>
  <c r="AC47" i="31"/>
  <c r="AB47" i="31"/>
  <c r="Z47" i="31"/>
  <c r="Y47" i="31"/>
  <c r="W47" i="31"/>
  <c r="V47" i="31"/>
  <c r="R47" i="31"/>
  <c r="X47" i="31" s="1"/>
  <c r="O47" i="31"/>
  <c r="M47" i="31"/>
  <c r="AH45" i="31"/>
  <c r="AG45" i="31"/>
  <c r="AF45" i="31"/>
  <c r="AE45" i="31"/>
  <c r="AD45" i="31"/>
  <c r="AB45" i="31"/>
  <c r="Z45" i="31"/>
  <c r="Y45" i="31"/>
  <c r="W45" i="31"/>
  <c r="V45" i="31"/>
  <c r="R45" i="31"/>
  <c r="H45" i="31" s="1"/>
  <c r="O45" i="31"/>
  <c r="M45" i="31"/>
  <c r="AH44" i="31"/>
  <c r="AG44" i="31"/>
  <c r="AF44" i="31"/>
  <c r="AE44" i="31"/>
  <c r="AD44" i="31"/>
  <c r="AB44" i="31"/>
  <c r="Z44" i="31"/>
  <c r="Y44" i="31"/>
  <c r="W44" i="31"/>
  <c r="V44" i="31"/>
  <c r="R44" i="31"/>
  <c r="X44" i="31" s="1"/>
  <c r="O44" i="31"/>
  <c r="M44" i="31"/>
  <c r="AH43" i="31"/>
  <c r="AG43" i="31"/>
  <c r="AF43" i="31"/>
  <c r="AE43" i="31"/>
  <c r="AD43" i="31"/>
  <c r="AB43" i="31"/>
  <c r="Z43" i="31"/>
  <c r="Y43" i="31"/>
  <c r="W43" i="31"/>
  <c r="V43" i="31"/>
  <c r="R43" i="31"/>
  <c r="X43" i="31" s="1"/>
  <c r="M43" i="31"/>
  <c r="AH42" i="31"/>
  <c r="AG42" i="31"/>
  <c r="AF42" i="31"/>
  <c r="AE42" i="31"/>
  <c r="AD42" i="31"/>
  <c r="AB42" i="31"/>
  <c r="Z42" i="31"/>
  <c r="Y42" i="31"/>
  <c r="W42" i="31"/>
  <c r="V42" i="31"/>
  <c r="R42" i="31"/>
  <c r="H42" i="31" s="1"/>
  <c r="O42" i="31"/>
  <c r="M42" i="31"/>
  <c r="AH41" i="31"/>
  <c r="AG41" i="31"/>
  <c r="AF41" i="31"/>
  <c r="AE41" i="31"/>
  <c r="AD41" i="31"/>
  <c r="AB41" i="31"/>
  <c r="Z41" i="31"/>
  <c r="Y41" i="31"/>
  <c r="W41" i="31"/>
  <c r="V41" i="31"/>
  <c r="R41" i="31"/>
  <c r="K41" i="31" s="1"/>
  <c r="O41" i="31"/>
  <c r="M41" i="31"/>
  <c r="AH40" i="31"/>
  <c r="AG40" i="31"/>
  <c r="AF40" i="31"/>
  <c r="AE40" i="31"/>
  <c r="AD40" i="31"/>
  <c r="AB40" i="31"/>
  <c r="Z40" i="31"/>
  <c r="Y40" i="31"/>
  <c r="W40" i="31"/>
  <c r="V40" i="31"/>
  <c r="R40" i="31"/>
  <c r="X40" i="31" s="1"/>
  <c r="O40" i="31"/>
  <c r="M40" i="31"/>
  <c r="AH39" i="31"/>
  <c r="AG39" i="31"/>
  <c r="AF39" i="31"/>
  <c r="AE39" i="31"/>
  <c r="AD39" i="31"/>
  <c r="AB39" i="31"/>
  <c r="Z39" i="31"/>
  <c r="Y39" i="31"/>
  <c r="W39" i="31"/>
  <c r="V39" i="31"/>
  <c r="R39" i="31"/>
  <c r="AA39" i="31" s="1"/>
  <c r="O39" i="31"/>
  <c r="M39" i="31"/>
  <c r="AH38" i="31"/>
  <c r="AG38" i="31"/>
  <c r="AF38" i="31"/>
  <c r="AE38" i="31"/>
  <c r="AD38" i="31"/>
  <c r="AB38" i="31"/>
  <c r="Z38" i="31"/>
  <c r="Y38" i="31"/>
  <c r="W38" i="31"/>
  <c r="V38" i="31"/>
  <c r="R38" i="31"/>
  <c r="X38" i="31" s="1"/>
  <c r="O38" i="31"/>
  <c r="M38" i="31"/>
  <c r="AH37" i="31"/>
  <c r="AG37" i="31"/>
  <c r="AF37" i="31"/>
  <c r="AE37" i="31"/>
  <c r="AD37" i="31"/>
  <c r="AB37" i="31"/>
  <c r="Z37" i="31"/>
  <c r="Y37" i="31"/>
  <c r="W37" i="31"/>
  <c r="V37" i="31"/>
  <c r="R37" i="31"/>
  <c r="X37" i="31" s="1"/>
  <c r="O37" i="31"/>
  <c r="M37" i="31"/>
  <c r="AH36" i="31"/>
  <c r="AG36" i="31"/>
  <c r="AF36" i="31"/>
  <c r="AE36" i="31"/>
  <c r="AD36" i="31"/>
  <c r="AB36" i="31"/>
  <c r="Z36" i="31"/>
  <c r="Y36" i="31"/>
  <c r="W36" i="31"/>
  <c r="V36" i="31"/>
  <c r="R36" i="31"/>
  <c r="H36" i="31" s="1"/>
  <c r="O36" i="31"/>
  <c r="M36" i="31"/>
  <c r="AH35" i="31"/>
  <c r="AG35" i="31"/>
  <c r="AF35" i="31"/>
  <c r="AE35" i="31"/>
  <c r="AD35" i="31"/>
  <c r="AB35" i="31"/>
  <c r="Z35" i="31"/>
  <c r="Y35" i="31"/>
  <c r="W35" i="31"/>
  <c r="V35" i="31"/>
  <c r="R35" i="31"/>
  <c r="X35" i="31" s="1"/>
  <c r="O35" i="31"/>
  <c r="M35" i="31"/>
  <c r="AH34" i="31"/>
  <c r="AG34" i="31"/>
  <c r="AF34" i="31"/>
  <c r="AE34" i="31"/>
  <c r="AD34" i="31"/>
  <c r="AB34" i="31"/>
  <c r="Z34" i="31"/>
  <c r="Y34" i="31"/>
  <c r="W34" i="31"/>
  <c r="V34" i="31"/>
  <c r="R34" i="31"/>
  <c r="H34" i="31" s="1"/>
  <c r="O34" i="31"/>
  <c r="M34" i="31"/>
  <c r="AH33" i="31"/>
  <c r="AG33" i="31"/>
  <c r="AF33" i="31"/>
  <c r="AE33" i="31"/>
  <c r="AD33" i="31"/>
  <c r="AB33" i="31"/>
  <c r="Z33" i="31"/>
  <c r="Y33" i="31"/>
  <c r="W33" i="31"/>
  <c r="V33" i="31"/>
  <c r="R33" i="31"/>
  <c r="K33" i="31" s="1"/>
  <c r="O33" i="31"/>
  <c r="M33" i="31"/>
  <c r="AH32" i="31"/>
  <c r="AG32" i="31"/>
  <c r="AF32" i="31"/>
  <c r="AE32" i="31"/>
  <c r="AD32" i="31"/>
  <c r="AB32" i="31"/>
  <c r="Z32" i="31"/>
  <c r="Y32" i="31"/>
  <c r="W32" i="31"/>
  <c r="V32" i="31"/>
  <c r="R32" i="31"/>
  <c r="H32" i="31" s="1"/>
  <c r="O32" i="31"/>
  <c r="M32" i="31"/>
  <c r="AH31" i="31"/>
  <c r="AG31" i="31"/>
  <c r="AF31" i="31"/>
  <c r="AE31" i="31"/>
  <c r="AD31" i="31"/>
  <c r="AC31" i="31"/>
  <c r="AB31" i="31"/>
  <c r="Z31" i="31"/>
  <c r="Y31" i="31"/>
  <c r="W31" i="31"/>
  <c r="V31" i="31"/>
  <c r="R31" i="31"/>
  <c r="H31" i="31" s="1"/>
  <c r="O31" i="31"/>
  <c r="M31" i="31"/>
  <c r="AH30" i="31"/>
  <c r="AG30" i="31"/>
  <c r="AF30" i="31"/>
  <c r="AE30" i="31"/>
  <c r="AD30" i="31"/>
  <c r="AC30" i="31"/>
  <c r="AB30" i="31"/>
  <c r="Z30" i="31"/>
  <c r="Y30" i="31"/>
  <c r="W30" i="31"/>
  <c r="V30" i="31"/>
  <c r="R30" i="31"/>
  <c r="H30" i="31" s="1"/>
  <c r="O30" i="31"/>
  <c r="M30" i="31"/>
  <c r="AH29" i="31"/>
  <c r="AG29" i="31"/>
  <c r="AF29" i="31"/>
  <c r="AE29" i="31"/>
  <c r="AD29" i="31"/>
  <c r="AC29" i="31"/>
  <c r="AB29" i="31"/>
  <c r="Z29" i="31"/>
  <c r="Y29" i="31"/>
  <c r="W29" i="31"/>
  <c r="V29" i="31"/>
  <c r="R29" i="31"/>
  <c r="X29" i="31" s="1"/>
  <c r="M29" i="31"/>
  <c r="AH28" i="31"/>
  <c r="AG28" i="31"/>
  <c r="AF28" i="31"/>
  <c r="AE28" i="31"/>
  <c r="AD28" i="31"/>
  <c r="AC28" i="31"/>
  <c r="AB28" i="31"/>
  <c r="Z28" i="31"/>
  <c r="Y28" i="31"/>
  <c r="W28" i="31"/>
  <c r="V28" i="31"/>
  <c r="R28" i="31"/>
  <c r="K28" i="31" s="1"/>
  <c r="O28" i="31"/>
  <c r="M28" i="31"/>
  <c r="AH27" i="31"/>
  <c r="AG27" i="31"/>
  <c r="AF27" i="31"/>
  <c r="AE27" i="31"/>
  <c r="AD27" i="31"/>
  <c r="AC27" i="31"/>
  <c r="AB27" i="31"/>
  <c r="Z27" i="31"/>
  <c r="Y27" i="31"/>
  <c r="W27" i="31"/>
  <c r="V27" i="31"/>
  <c r="R27" i="31"/>
  <c r="AA27" i="31" s="1"/>
  <c r="O27" i="31"/>
  <c r="M27" i="31"/>
  <c r="AH26" i="31"/>
  <c r="AG26" i="31"/>
  <c r="AF26" i="31"/>
  <c r="AE26" i="31"/>
  <c r="AD26" i="31"/>
  <c r="AC26" i="31"/>
  <c r="AB26" i="31"/>
  <c r="Z26" i="31"/>
  <c r="Y26" i="31"/>
  <c r="W26" i="31"/>
  <c r="V26" i="31"/>
  <c r="R26" i="31"/>
  <c r="X26" i="31" s="1"/>
  <c r="O26" i="31"/>
  <c r="M26" i="31"/>
  <c r="AH25" i="31"/>
  <c r="AG25" i="31"/>
  <c r="AF25" i="31"/>
  <c r="AE25" i="31"/>
  <c r="AD25" i="31"/>
  <c r="AC25" i="31"/>
  <c r="AB25" i="31"/>
  <c r="Z25" i="31"/>
  <c r="Y25" i="31"/>
  <c r="W25" i="31"/>
  <c r="V25" i="31"/>
  <c r="R25" i="31"/>
  <c r="X25" i="31" s="1"/>
  <c r="O25" i="31"/>
  <c r="M25" i="31"/>
  <c r="AH24" i="31"/>
  <c r="AG24" i="31"/>
  <c r="AF24" i="31"/>
  <c r="AE24" i="31"/>
  <c r="AD24" i="31"/>
  <c r="AC24" i="31"/>
  <c r="AB24" i="31"/>
  <c r="Z24" i="31"/>
  <c r="Y24" i="31"/>
  <c r="W24" i="31"/>
  <c r="V24" i="31"/>
  <c r="R24" i="31"/>
  <c r="K24" i="31" s="1"/>
  <c r="O24" i="31"/>
  <c r="M24" i="31"/>
  <c r="AH23" i="31"/>
  <c r="AG23" i="31"/>
  <c r="AF23" i="31"/>
  <c r="AE23" i="31"/>
  <c r="AD23" i="31"/>
  <c r="AC23" i="31"/>
  <c r="AB23" i="31"/>
  <c r="Z23" i="31"/>
  <c r="Y23" i="31"/>
  <c r="W23" i="31"/>
  <c r="V23" i="31"/>
  <c r="R23" i="31"/>
  <c r="AA23" i="31" s="1"/>
  <c r="O23" i="31"/>
  <c r="M23" i="31"/>
  <c r="AH22" i="31"/>
  <c r="AG22" i="31"/>
  <c r="AF22" i="31"/>
  <c r="AE22" i="31"/>
  <c r="AD22" i="31"/>
  <c r="AC22" i="31"/>
  <c r="AB22" i="31"/>
  <c r="Z22" i="31"/>
  <c r="Y22" i="31"/>
  <c r="W22" i="31"/>
  <c r="V22" i="31"/>
  <c r="R22" i="31"/>
  <c r="X22" i="31" s="1"/>
  <c r="O22" i="31"/>
  <c r="M22" i="31"/>
  <c r="AH21" i="31"/>
  <c r="AG21" i="31"/>
  <c r="AF21" i="31"/>
  <c r="AE21" i="31"/>
  <c r="AD21" i="31"/>
  <c r="AC21" i="31"/>
  <c r="AB21" i="31"/>
  <c r="Z21" i="31"/>
  <c r="Y21" i="31"/>
  <c r="W21" i="31"/>
  <c r="V21" i="31"/>
  <c r="R21" i="31"/>
  <c r="X21" i="31" s="1"/>
  <c r="O21" i="31"/>
  <c r="M21" i="31"/>
  <c r="AH20" i="31"/>
  <c r="AG20" i="31"/>
  <c r="AF20" i="31"/>
  <c r="AE20" i="31"/>
  <c r="AD20" i="31"/>
  <c r="AC20" i="31"/>
  <c r="AB20" i="31"/>
  <c r="Z20" i="31"/>
  <c r="Y20" i="31"/>
  <c r="W20" i="31"/>
  <c r="V20" i="31"/>
  <c r="R20" i="31"/>
  <c r="K20" i="31" s="1"/>
  <c r="O20" i="31"/>
  <c r="M20" i="31"/>
  <c r="AH19" i="31"/>
  <c r="AG19" i="31"/>
  <c r="AF19" i="31"/>
  <c r="AE19" i="31"/>
  <c r="AD19" i="31"/>
  <c r="AC19" i="31"/>
  <c r="AB19" i="31"/>
  <c r="Z19" i="31"/>
  <c r="Y19" i="31"/>
  <c r="W19" i="31"/>
  <c r="V19" i="31"/>
  <c r="R19" i="31"/>
  <c r="AA19" i="31" s="1"/>
  <c r="O19" i="31"/>
  <c r="M19" i="31"/>
  <c r="AH18" i="31"/>
  <c r="AG18" i="31"/>
  <c r="AF18" i="31"/>
  <c r="AE18" i="31"/>
  <c r="AD18" i="31"/>
  <c r="AC18" i="31"/>
  <c r="AB18" i="31"/>
  <c r="Z18" i="31"/>
  <c r="Y18" i="31"/>
  <c r="W18" i="31"/>
  <c r="V18" i="31"/>
  <c r="R18" i="31"/>
  <c r="X18" i="31" s="1"/>
  <c r="O18" i="31"/>
  <c r="M18" i="31"/>
  <c r="AH17" i="31"/>
  <c r="AG17" i="31"/>
  <c r="AF17" i="31"/>
  <c r="AE17" i="31"/>
  <c r="AD17" i="31"/>
  <c r="AC17" i="31"/>
  <c r="AB17" i="31"/>
  <c r="Z17" i="31"/>
  <c r="Y17" i="31"/>
  <c r="W17" i="31"/>
  <c r="V17" i="31"/>
  <c r="R17" i="31"/>
  <c r="X17" i="31" s="1"/>
  <c r="O17" i="31"/>
  <c r="M17" i="31"/>
  <c r="AH16" i="31"/>
  <c r="AG16" i="31"/>
  <c r="AF16" i="31"/>
  <c r="AE16" i="31"/>
  <c r="AD16" i="31"/>
  <c r="AC16" i="31"/>
  <c r="AB16" i="31"/>
  <c r="Z16" i="31"/>
  <c r="Y16" i="31"/>
  <c r="W16" i="31"/>
  <c r="V16" i="31"/>
  <c r="R16" i="31"/>
  <c r="K16" i="31" s="1"/>
  <c r="O16" i="31"/>
  <c r="M16" i="31"/>
  <c r="AH15" i="31"/>
  <c r="AG15" i="31"/>
  <c r="AF15" i="31"/>
  <c r="AE15" i="31"/>
  <c r="AD15" i="31"/>
  <c r="AC15" i="31"/>
  <c r="AB15" i="31"/>
  <c r="Z15" i="31"/>
  <c r="Y15" i="31"/>
  <c r="W15" i="31"/>
  <c r="V15" i="31"/>
  <c r="R15" i="31"/>
  <c r="K15" i="31" s="1"/>
  <c r="M15" i="31"/>
  <c r="AH14" i="31"/>
  <c r="AG14" i="31"/>
  <c r="AF14" i="31"/>
  <c r="AE14" i="31"/>
  <c r="AD14" i="31"/>
  <c r="AC14" i="31"/>
  <c r="AB14" i="31"/>
  <c r="Z14" i="31"/>
  <c r="Y14" i="31"/>
  <c r="W14" i="31"/>
  <c r="V14" i="31"/>
  <c r="R14" i="31"/>
  <c r="X14" i="31" s="1"/>
  <c r="O14" i="31"/>
  <c r="M14" i="31"/>
  <c r="AH13" i="31"/>
  <c r="AG13" i="31"/>
  <c r="AF13" i="31"/>
  <c r="AE13" i="31"/>
  <c r="AD13" i="31"/>
  <c r="AC13" i="31"/>
  <c r="AB13" i="31"/>
  <c r="Z13" i="31"/>
  <c r="Y13" i="31"/>
  <c r="W13" i="31"/>
  <c r="V13" i="31"/>
  <c r="R13" i="31"/>
  <c r="H13" i="31" s="1"/>
  <c r="O13" i="31"/>
  <c r="M13" i="31"/>
  <c r="AH12" i="31"/>
  <c r="AG12" i="31"/>
  <c r="AF12" i="31"/>
  <c r="AE12" i="31"/>
  <c r="AD12" i="31"/>
  <c r="AC12" i="31"/>
  <c r="AB12" i="31"/>
  <c r="Z12" i="31"/>
  <c r="Y12" i="31"/>
  <c r="W12" i="31"/>
  <c r="V12" i="31"/>
  <c r="R12" i="31"/>
  <c r="H12" i="31" s="1"/>
  <c r="O12" i="31"/>
  <c r="M12" i="31"/>
  <c r="AH11" i="31"/>
  <c r="AG11" i="31"/>
  <c r="AF11" i="31"/>
  <c r="AE11" i="31"/>
  <c r="AD11" i="31"/>
  <c r="AC11" i="31"/>
  <c r="AB11" i="31"/>
  <c r="Z11" i="31"/>
  <c r="Y11" i="31"/>
  <c r="W11" i="31"/>
  <c r="V11" i="31"/>
  <c r="R11" i="31"/>
  <c r="X11" i="31" s="1"/>
  <c r="O11" i="31"/>
  <c r="M11" i="31"/>
  <c r="AH10" i="31"/>
  <c r="AG10" i="31"/>
  <c r="AF10" i="31"/>
  <c r="AE10" i="31"/>
  <c r="AD10" i="31"/>
  <c r="AC10" i="31"/>
  <c r="AB10" i="31"/>
  <c r="Z10" i="31"/>
  <c r="Y10" i="31"/>
  <c r="W10" i="31"/>
  <c r="V10" i="31"/>
  <c r="R10" i="31"/>
  <c r="K10" i="31" s="1"/>
  <c r="O10" i="31"/>
  <c r="M10" i="31"/>
  <c r="AH9" i="31"/>
  <c r="AG9" i="31"/>
  <c r="AF9" i="31"/>
  <c r="AE9" i="31"/>
  <c r="AD9" i="31"/>
  <c r="AC9" i="31"/>
  <c r="AB9" i="31"/>
  <c r="Z9" i="31"/>
  <c r="Y9" i="31"/>
  <c r="W9" i="31"/>
  <c r="V9" i="31"/>
  <c r="R9" i="31"/>
  <c r="H9" i="31" s="1"/>
  <c r="O9" i="31"/>
  <c r="M9" i="31"/>
  <c r="AH8" i="31"/>
  <c r="AG8" i="31"/>
  <c r="AF8" i="31"/>
  <c r="AE8" i="31"/>
  <c r="AD8" i="31"/>
  <c r="AC8" i="31"/>
  <c r="AB8" i="31"/>
  <c r="Z8" i="31"/>
  <c r="Y8" i="31"/>
  <c r="W8" i="31"/>
  <c r="V8" i="31"/>
  <c r="R8" i="31"/>
  <c r="H8" i="31" s="1"/>
  <c r="O8" i="31"/>
  <c r="M8" i="31"/>
  <c r="AH7" i="31"/>
  <c r="AG7" i="31"/>
  <c r="AF7" i="31"/>
  <c r="AE7" i="31"/>
  <c r="AD7" i="31"/>
  <c r="AC7" i="31"/>
  <c r="AB7" i="31"/>
  <c r="Z7" i="31"/>
  <c r="Y7" i="31"/>
  <c r="W7" i="31"/>
  <c r="V7" i="31"/>
  <c r="R7" i="31"/>
  <c r="AA7" i="31" s="1"/>
  <c r="O7" i="31"/>
  <c r="M7" i="31"/>
  <c r="AH6" i="31"/>
  <c r="AG6" i="31"/>
  <c r="AF6" i="31"/>
  <c r="AE6" i="31"/>
  <c r="AD6" i="31"/>
  <c r="AC6" i="31"/>
  <c r="AB6" i="31"/>
  <c r="Z6" i="31"/>
  <c r="Y6" i="31"/>
  <c r="W6" i="31"/>
  <c r="V6" i="31"/>
  <c r="R6" i="31"/>
  <c r="AA6" i="31" s="1"/>
  <c r="O6" i="31"/>
  <c r="M6" i="31"/>
  <c r="AH5" i="31"/>
  <c r="AG5" i="31"/>
  <c r="AF5" i="31"/>
  <c r="AE5" i="31"/>
  <c r="AD5" i="31"/>
  <c r="AC5" i="31"/>
  <c r="AB5" i="31"/>
  <c r="Z5" i="31"/>
  <c r="Y5" i="31"/>
  <c r="W5" i="31"/>
  <c r="V5" i="31"/>
  <c r="R5" i="31"/>
  <c r="H5" i="31" s="1"/>
  <c r="O5" i="31"/>
  <c r="M5" i="31"/>
  <c r="AH4" i="31"/>
  <c r="AG4" i="31"/>
  <c r="AF4" i="31"/>
  <c r="AE4" i="31"/>
  <c r="AD4" i="31"/>
  <c r="AC4" i="31"/>
  <c r="AB4" i="31"/>
  <c r="Z4" i="31"/>
  <c r="Y4" i="31"/>
  <c r="W4" i="31"/>
  <c r="V4" i="31"/>
  <c r="R4" i="31"/>
  <c r="H4" i="31" s="1"/>
  <c r="O4" i="31"/>
  <c r="M4" i="31"/>
  <c r="D96" i="2"/>
  <c r="D95" i="2"/>
  <c r="F44" i="15" l="1"/>
  <c r="J44" i="15"/>
  <c r="F46" i="15"/>
  <c r="J46" i="15"/>
  <c r="F38" i="15"/>
  <c r="J38" i="15"/>
  <c r="T9" i="32"/>
  <c r="T25" i="32"/>
  <c r="T41" i="32"/>
  <c r="T53" i="32"/>
  <c r="T57" i="32"/>
  <c r="T51" i="32"/>
  <c r="T54" i="32"/>
  <c r="T63" i="32"/>
  <c r="T4" i="32"/>
  <c r="T8" i="32"/>
  <c r="T26" i="32"/>
  <c r="T24" i="32"/>
  <c r="T6" i="32"/>
  <c r="T11" i="32"/>
  <c r="T19" i="32"/>
  <c r="T70" i="32"/>
  <c r="T73" i="32"/>
  <c r="T37" i="32"/>
  <c r="T72" i="32"/>
  <c r="T17" i="32"/>
  <c r="T34" i="32"/>
  <c r="T46" i="32"/>
  <c r="T61" i="32"/>
  <c r="T68" i="32"/>
  <c r="T14" i="32"/>
  <c r="T18" i="32"/>
  <c r="T32" i="32"/>
  <c r="T44" i="32"/>
  <c r="T47" i="32"/>
  <c r="T7" i="32"/>
  <c r="T15" i="32"/>
  <c r="T38" i="32"/>
  <c r="T45" i="32"/>
  <c r="T52" i="32"/>
  <c r="T62" i="32"/>
  <c r="T65" i="32"/>
  <c r="T71" i="32"/>
  <c r="T5" i="32"/>
  <c r="T29" i="32"/>
  <c r="T36" i="32"/>
  <c r="T43" i="32"/>
  <c r="T60" i="32"/>
  <c r="T69" i="32"/>
  <c r="T20" i="32"/>
  <c r="T27" i="32"/>
  <c r="T33" i="32"/>
  <c r="T12" i="32"/>
  <c r="T21" i="32"/>
  <c r="T30" i="32"/>
  <c r="T39" i="32"/>
  <c r="T48" i="32"/>
  <c r="T58" i="32"/>
  <c r="T66" i="32"/>
  <c r="T56" i="32"/>
  <c r="T64" i="32"/>
  <c r="T13" i="32"/>
  <c r="T23" i="32"/>
  <c r="T31" i="32"/>
  <c r="T40" i="32"/>
  <c r="T50" i="32"/>
  <c r="T59" i="32"/>
  <c r="T67" i="32"/>
  <c r="AA21" i="31"/>
  <c r="H22" i="13"/>
  <c r="K13" i="31"/>
  <c r="AA13" i="31"/>
  <c r="H41" i="12"/>
  <c r="K26" i="3"/>
  <c r="J36" i="30"/>
  <c r="F36" i="30"/>
  <c r="K66" i="3"/>
  <c r="H102" i="3"/>
  <c r="J53" i="30"/>
  <c r="K9" i="3"/>
  <c r="X58" i="31"/>
  <c r="H92" i="3"/>
  <c r="X57" i="31"/>
  <c r="X120" i="31"/>
  <c r="M15" i="13"/>
  <c r="H37" i="31"/>
  <c r="K40" i="31"/>
  <c r="AA45" i="31"/>
  <c r="H9" i="13"/>
  <c r="H57" i="31"/>
  <c r="J34" i="30"/>
  <c r="Z62" i="30"/>
  <c r="H38" i="31"/>
  <c r="K56" i="31"/>
  <c r="K65" i="31"/>
  <c r="AA65" i="31"/>
  <c r="H66" i="31"/>
  <c r="K123" i="31"/>
  <c r="AA123" i="31"/>
  <c r="H6" i="3"/>
  <c r="H70" i="3"/>
  <c r="Z23" i="30"/>
  <c r="J35" i="30"/>
  <c r="H10" i="12"/>
  <c r="M23" i="13"/>
  <c r="J6" i="15"/>
  <c r="K64" i="3"/>
  <c r="H68" i="3"/>
  <c r="H36" i="12"/>
  <c r="F14" i="15"/>
  <c r="H14" i="31"/>
  <c r="K14" i="31"/>
  <c r="K58" i="31"/>
  <c r="AA116" i="31"/>
  <c r="H55" i="3"/>
  <c r="H39" i="31"/>
  <c r="X111" i="31"/>
  <c r="K18" i="3"/>
  <c r="K51" i="3"/>
  <c r="H53" i="3"/>
  <c r="H15" i="13"/>
  <c r="J27" i="15"/>
  <c r="F35" i="30"/>
  <c r="F40" i="30"/>
  <c r="H23" i="13"/>
  <c r="K32" i="31"/>
  <c r="K17" i="3"/>
  <c r="H59" i="3"/>
  <c r="H99" i="3"/>
  <c r="K113" i="3"/>
  <c r="Z9" i="30"/>
  <c r="J17" i="30"/>
  <c r="Z47" i="30"/>
  <c r="Z56" i="30"/>
  <c r="K28" i="12"/>
  <c r="J21" i="15"/>
  <c r="K31" i="31"/>
  <c r="H40" i="31"/>
  <c r="K47" i="31"/>
  <c r="AA47" i="31"/>
  <c r="H48" i="31"/>
  <c r="H58" i="31"/>
  <c r="K78" i="31"/>
  <c r="AA82" i="31"/>
  <c r="K88" i="31"/>
  <c r="AA88" i="31"/>
  <c r="H89" i="31"/>
  <c r="AA114" i="31"/>
  <c r="H14" i="3"/>
  <c r="K111" i="3"/>
  <c r="H115" i="3"/>
  <c r="K121" i="3"/>
  <c r="F11" i="30"/>
  <c r="Z17" i="30"/>
  <c r="AD51" i="30"/>
  <c r="H42" i="12"/>
  <c r="F40" i="15"/>
  <c r="K6" i="31"/>
  <c r="AA10" i="31"/>
  <c r="H11" i="31"/>
  <c r="K37" i="31"/>
  <c r="K38" i="31"/>
  <c r="AA106" i="31"/>
  <c r="H111" i="31"/>
  <c r="K34" i="3"/>
  <c r="Z35" i="30"/>
  <c r="K36" i="31"/>
  <c r="AA60" i="31"/>
  <c r="H61" i="31"/>
  <c r="AA72" i="31"/>
  <c r="AA111" i="31"/>
  <c r="K119" i="31"/>
  <c r="AA119" i="31"/>
  <c r="K120" i="31"/>
  <c r="K5" i="3"/>
  <c r="H32" i="3"/>
  <c r="K50" i="3"/>
  <c r="H61" i="3"/>
  <c r="H76" i="3"/>
  <c r="K84" i="3"/>
  <c r="H86" i="3"/>
  <c r="Z34" i="30"/>
  <c r="Z40" i="30"/>
  <c r="K19" i="12"/>
  <c r="AA37" i="31"/>
  <c r="AA54" i="31"/>
  <c r="K55" i="31"/>
  <c r="AA55" i="31"/>
  <c r="X100" i="31"/>
  <c r="K106" i="31"/>
  <c r="AD57" i="30"/>
  <c r="K35" i="12"/>
  <c r="M14" i="13"/>
  <c r="AA35" i="31"/>
  <c r="K61" i="31"/>
  <c r="AA61" i="31"/>
  <c r="H62" i="31"/>
  <c r="X78" i="31"/>
  <c r="H23" i="3"/>
  <c r="K28" i="3"/>
  <c r="H30" i="3"/>
  <c r="K47" i="3"/>
  <c r="K67" i="3"/>
  <c r="H74" i="3"/>
  <c r="H101" i="3"/>
  <c r="J9" i="30"/>
  <c r="J29" i="30"/>
  <c r="F47" i="30"/>
  <c r="AA32" i="31"/>
  <c r="AA36" i="31"/>
  <c r="H7" i="3"/>
  <c r="K24" i="3"/>
  <c r="K87" i="3"/>
  <c r="K120" i="3"/>
  <c r="H11" i="12"/>
  <c r="K44" i="12"/>
  <c r="J19" i="15"/>
  <c r="K11" i="31"/>
  <c r="AA11" i="31"/>
  <c r="AA14" i="31"/>
  <c r="AA38" i="31"/>
  <c r="AA40" i="31"/>
  <c r="X62" i="31"/>
  <c r="AA86" i="31"/>
  <c r="H88" i="31"/>
  <c r="K115" i="31"/>
  <c r="AA115" i="31"/>
  <c r="H119" i="31"/>
  <c r="H122" i="31"/>
  <c r="H123" i="31"/>
  <c r="K45" i="3"/>
  <c r="K95" i="3"/>
  <c r="H97" i="3"/>
  <c r="K126" i="3"/>
  <c r="K130" i="3"/>
  <c r="J20" i="30"/>
  <c r="F34" i="30"/>
  <c r="Z36" i="30"/>
  <c r="AD56" i="30"/>
  <c r="K18" i="12"/>
  <c r="H33" i="12"/>
  <c r="H46" i="12"/>
  <c r="M22" i="13"/>
  <c r="F17" i="15"/>
  <c r="F31" i="15"/>
  <c r="F42" i="15"/>
  <c r="X84" i="31"/>
  <c r="X5" i="31"/>
  <c r="AA25" i="31"/>
  <c r="H26" i="31"/>
  <c r="K73" i="31"/>
  <c r="AA73" i="31"/>
  <c r="H74" i="31"/>
  <c r="K83" i="31"/>
  <c r="AA83" i="31"/>
  <c r="H84" i="31"/>
  <c r="AA103" i="31"/>
  <c r="H104" i="31"/>
  <c r="AA104" i="31"/>
  <c r="H105" i="31"/>
  <c r="K21" i="3"/>
  <c r="K25" i="3"/>
  <c r="H37" i="3"/>
  <c r="H40" i="3"/>
  <c r="H44" i="3"/>
  <c r="K63" i="3"/>
  <c r="K123" i="3"/>
  <c r="H125" i="3"/>
  <c r="Z19" i="30"/>
  <c r="J27" i="30"/>
  <c r="F32" i="30"/>
  <c r="Z33" i="30"/>
  <c r="Z38" i="30"/>
  <c r="Z41" i="30"/>
  <c r="F51" i="30"/>
  <c r="F52" i="30"/>
  <c r="N58" i="30"/>
  <c r="H24" i="12"/>
  <c r="K32" i="12"/>
  <c r="F33" i="30"/>
  <c r="X27" i="31"/>
  <c r="J41" i="30"/>
  <c r="AA26" i="31"/>
  <c r="X56" i="31"/>
  <c r="K110" i="31"/>
  <c r="AA110" i="31"/>
  <c r="H12" i="3"/>
  <c r="H46" i="3"/>
  <c r="H83" i="3"/>
  <c r="H129" i="3"/>
  <c r="Z27" i="30"/>
  <c r="Z32" i="30"/>
  <c r="J43" i="30"/>
  <c r="J51" i="30"/>
  <c r="Z58" i="30"/>
  <c r="H7" i="12"/>
  <c r="K27" i="12"/>
  <c r="H14" i="13"/>
  <c r="J10" i="15"/>
  <c r="X74" i="31"/>
  <c r="H73" i="31"/>
  <c r="H83" i="31"/>
  <c r="J33" i="30"/>
  <c r="J38" i="30"/>
  <c r="K5" i="31"/>
  <c r="X6" i="31"/>
  <c r="K26" i="31"/>
  <c r="H27" i="31"/>
  <c r="X32" i="31"/>
  <c r="X36" i="31"/>
  <c r="AA44" i="31"/>
  <c r="AA5" i="31"/>
  <c r="H6" i="31"/>
  <c r="AA31" i="31"/>
  <c r="X39" i="31"/>
  <c r="H55" i="31"/>
  <c r="H56" i="31"/>
  <c r="AA95" i="31"/>
  <c r="K78" i="3"/>
  <c r="J23" i="30"/>
  <c r="N51" i="30"/>
  <c r="Z57" i="30"/>
  <c r="J62" i="30"/>
  <c r="F8" i="15"/>
  <c r="F5" i="30"/>
  <c r="X9" i="31"/>
  <c r="X23" i="31"/>
  <c r="X80" i="31"/>
  <c r="X97" i="31"/>
  <c r="X98" i="31"/>
  <c r="X99" i="31"/>
  <c r="J5" i="30"/>
  <c r="F15" i="30"/>
  <c r="F26" i="30"/>
  <c r="J61" i="30"/>
  <c r="N62" i="30"/>
  <c r="H16" i="12"/>
  <c r="M9" i="13"/>
  <c r="H13" i="13"/>
  <c r="H21" i="13"/>
  <c r="J12" i="15"/>
  <c r="J29" i="15"/>
  <c r="X7" i="31"/>
  <c r="X52" i="31"/>
  <c r="X70" i="31"/>
  <c r="H79" i="31"/>
  <c r="H96" i="31"/>
  <c r="H97" i="31"/>
  <c r="H99" i="31"/>
  <c r="H20" i="3"/>
  <c r="J60" i="30"/>
  <c r="L21" i="13"/>
  <c r="H7" i="31"/>
  <c r="K9" i="31"/>
  <c r="X10" i="31"/>
  <c r="X19" i="31"/>
  <c r="K22" i="31"/>
  <c r="AA22" i="31"/>
  <c r="H23" i="31"/>
  <c r="X45" i="31"/>
  <c r="AA50" i="31"/>
  <c r="H51" i="31"/>
  <c r="AA68" i="31"/>
  <c r="H69" i="31"/>
  <c r="AA77" i="31"/>
  <c r="AA78" i="31"/>
  <c r="K79" i="31"/>
  <c r="AA79" i="31"/>
  <c r="H80" i="31"/>
  <c r="X93" i="31"/>
  <c r="K96" i="31"/>
  <c r="AA96" i="31"/>
  <c r="K97" i="31"/>
  <c r="H98" i="31"/>
  <c r="K99" i="31"/>
  <c r="X103" i="31"/>
  <c r="X114" i="31"/>
  <c r="K4" i="3"/>
  <c r="K29" i="3"/>
  <c r="H41" i="3"/>
  <c r="K52" i="3"/>
  <c r="K73" i="3"/>
  <c r="H105" i="3"/>
  <c r="H112" i="3"/>
  <c r="K122" i="3"/>
  <c r="H131" i="3"/>
  <c r="Z5" i="30"/>
  <c r="J12" i="30"/>
  <c r="Z15" i="30"/>
  <c r="J18" i="30"/>
  <c r="F24" i="30"/>
  <c r="Z26" i="30"/>
  <c r="Z39" i="30"/>
  <c r="F49" i="30"/>
  <c r="F54" i="30"/>
  <c r="J59" i="30"/>
  <c r="N60" i="30"/>
  <c r="Z61" i="30"/>
  <c r="K9" i="12"/>
  <c r="H14" i="12"/>
  <c r="K23" i="12"/>
  <c r="H37" i="12"/>
  <c r="H7" i="13"/>
  <c r="M8" i="13"/>
  <c r="M13" i="13"/>
  <c r="F9" i="15"/>
  <c r="F20" i="15"/>
  <c r="F26" i="15"/>
  <c r="X30" i="31"/>
  <c r="K7" i="31"/>
  <c r="AA9" i="31"/>
  <c r="H10" i="31"/>
  <c r="X13" i="31"/>
  <c r="AA17" i="31"/>
  <c r="H18" i="31"/>
  <c r="K30" i="31"/>
  <c r="X31" i="31"/>
  <c r="X48" i="31"/>
  <c r="K51" i="31"/>
  <c r="AA51" i="31"/>
  <c r="H52" i="31"/>
  <c r="X66" i="31"/>
  <c r="K69" i="31"/>
  <c r="AA69" i="31"/>
  <c r="H70" i="31"/>
  <c r="AA91" i="31"/>
  <c r="H92" i="31"/>
  <c r="X106" i="31"/>
  <c r="AA108" i="31"/>
  <c r="H109" i="31"/>
  <c r="X110" i="31"/>
  <c r="X115" i="31"/>
  <c r="H31" i="3"/>
  <c r="H54" i="3"/>
  <c r="K58" i="3"/>
  <c r="H62" i="3"/>
  <c r="K65" i="3"/>
  <c r="H79" i="3"/>
  <c r="K94" i="3"/>
  <c r="K108" i="3"/>
  <c r="H118" i="3"/>
  <c r="Z18" i="30"/>
  <c r="Z24" i="30"/>
  <c r="J49" i="30"/>
  <c r="Z54" i="30"/>
  <c r="F57" i="30"/>
  <c r="J58" i="30"/>
  <c r="N59" i="30"/>
  <c r="Z60" i="30"/>
  <c r="H6" i="12"/>
  <c r="H29" i="12"/>
  <c r="H45" i="12"/>
  <c r="L7" i="13"/>
  <c r="F11" i="15"/>
  <c r="F23" i="15"/>
  <c r="F28" i="15"/>
  <c r="F34" i="15"/>
  <c r="F36" i="15"/>
  <c r="F43" i="15"/>
  <c r="H22" i="31"/>
  <c r="N61" i="30"/>
  <c r="L8" i="13"/>
  <c r="X15" i="31"/>
  <c r="K18" i="31"/>
  <c r="AA18" i="31"/>
  <c r="H19" i="31"/>
  <c r="AA30" i="31"/>
  <c r="K45" i="31"/>
  <c r="H47" i="31"/>
  <c r="AA64" i="31"/>
  <c r="H65" i="31"/>
  <c r="X89" i="31"/>
  <c r="K92" i="31"/>
  <c r="AA92" i="31"/>
  <c r="H93" i="31"/>
  <c r="K103" i="31"/>
  <c r="K109" i="31"/>
  <c r="AA109" i="31"/>
  <c r="K114" i="31"/>
  <c r="K43" i="3"/>
  <c r="H56" i="3"/>
  <c r="H75" i="3"/>
  <c r="K81" i="3"/>
  <c r="H89" i="3"/>
  <c r="K100" i="3"/>
  <c r="K116" i="3"/>
  <c r="K124" i="3"/>
  <c r="F42" i="30"/>
  <c r="J56" i="30"/>
  <c r="N57" i="30"/>
  <c r="Z59" i="30"/>
  <c r="H20" i="12"/>
  <c r="F32" i="15"/>
  <c r="F45" i="15"/>
  <c r="Z50" i="30"/>
  <c r="F50" i="30"/>
  <c r="K25" i="12"/>
  <c r="H25" i="12"/>
  <c r="K43" i="12"/>
  <c r="H43" i="12"/>
  <c r="K4" i="31"/>
  <c r="K8" i="31"/>
  <c r="K12" i="31"/>
  <c r="AA16" i="31"/>
  <c r="H17" i="31"/>
  <c r="AA20" i="31"/>
  <c r="H21" i="31"/>
  <c r="AA24" i="31"/>
  <c r="H25" i="31"/>
  <c r="AA28" i="31"/>
  <c r="H29" i="31"/>
  <c r="AA33" i="31"/>
  <c r="K34" i="31"/>
  <c r="H35" i="31"/>
  <c r="AA41" i="31"/>
  <c r="K42" i="31"/>
  <c r="H43" i="31"/>
  <c r="H44" i="31"/>
  <c r="AA49" i="31"/>
  <c r="H50" i="31"/>
  <c r="AA53" i="31"/>
  <c r="H54" i="31"/>
  <c r="AA59" i="31"/>
  <c r="H60" i="31"/>
  <c r="AA63" i="31"/>
  <c r="H64" i="31"/>
  <c r="AA67" i="31"/>
  <c r="H68" i="31"/>
  <c r="AA71" i="31"/>
  <c r="H72" i="31"/>
  <c r="AA75" i="31"/>
  <c r="K76" i="31"/>
  <c r="H77" i="31"/>
  <c r="AA81" i="31"/>
  <c r="H82" i="31"/>
  <c r="AA85" i="31"/>
  <c r="H86" i="31"/>
  <c r="AA90" i="31"/>
  <c r="H91" i="31"/>
  <c r="AA94" i="31"/>
  <c r="H95" i="31"/>
  <c r="K102" i="31"/>
  <c r="K107" i="31"/>
  <c r="AA112" i="31"/>
  <c r="H113" i="31"/>
  <c r="H118" i="31"/>
  <c r="K8" i="3"/>
  <c r="H13" i="3"/>
  <c r="K19" i="3"/>
  <c r="H19" i="3"/>
  <c r="H35" i="3"/>
  <c r="K57" i="3"/>
  <c r="K77" i="3"/>
  <c r="K85" i="3"/>
  <c r="H88" i="3"/>
  <c r="H90" i="3"/>
  <c r="H96" i="3"/>
  <c r="K114" i="3"/>
  <c r="Z6" i="30"/>
  <c r="J13" i="30"/>
  <c r="F13" i="30"/>
  <c r="F28" i="30"/>
  <c r="AD37" i="30"/>
  <c r="Z37" i="30"/>
  <c r="J37" i="30"/>
  <c r="F48" i="30"/>
  <c r="K5" i="12"/>
  <c r="K13" i="12"/>
  <c r="K22" i="12"/>
  <c r="K31" i="12"/>
  <c r="K40" i="12"/>
  <c r="M6" i="13"/>
  <c r="H6" i="13"/>
  <c r="M12" i="13"/>
  <c r="H12" i="13"/>
  <c r="L17" i="13"/>
  <c r="H17" i="13"/>
  <c r="F16" i="15"/>
  <c r="F18" i="15"/>
  <c r="F33" i="15"/>
  <c r="AA4" i="31"/>
  <c r="AA8" i="31"/>
  <c r="AA12" i="31"/>
  <c r="K17" i="31"/>
  <c r="K21" i="31"/>
  <c r="K25" i="31"/>
  <c r="K29" i="31"/>
  <c r="AA29" i="31"/>
  <c r="AA34" i="31"/>
  <c r="K35" i="31"/>
  <c r="AA42" i="31"/>
  <c r="K43" i="31"/>
  <c r="AA43" i="31"/>
  <c r="K44" i="31"/>
  <c r="K50" i="31"/>
  <c r="K54" i="31"/>
  <c r="K60" i="31"/>
  <c r="K64" i="31"/>
  <c r="K68" i="31"/>
  <c r="K72" i="31"/>
  <c r="AA76" i="31"/>
  <c r="K77" i="31"/>
  <c r="K82" i="31"/>
  <c r="K86" i="31"/>
  <c r="K91" i="31"/>
  <c r="K95" i="31"/>
  <c r="AA102" i="31"/>
  <c r="X104" i="31"/>
  <c r="AA107" i="31"/>
  <c r="H108" i="31"/>
  <c r="K113" i="31"/>
  <c r="AA113" i="31"/>
  <c r="H120" i="31"/>
  <c r="K16" i="3"/>
  <c r="H48" i="3"/>
  <c r="K98" i="3"/>
  <c r="K103" i="3"/>
  <c r="H109" i="3"/>
  <c r="K127" i="3"/>
  <c r="F19" i="30"/>
  <c r="Z28" i="30"/>
  <c r="F39" i="30"/>
  <c r="Z48" i="30"/>
  <c r="AD52" i="30"/>
  <c r="Z52" i="30"/>
  <c r="J52" i="30"/>
  <c r="M19" i="13"/>
  <c r="H19" i="13"/>
  <c r="J35" i="15"/>
  <c r="M5" i="13"/>
  <c r="L5" i="13"/>
  <c r="H15" i="31"/>
  <c r="X16" i="31"/>
  <c r="K19" i="31"/>
  <c r="X20" i="31"/>
  <c r="K23" i="31"/>
  <c r="X24" i="31"/>
  <c r="K27" i="31"/>
  <c r="X28" i="31"/>
  <c r="X33" i="31"/>
  <c r="K39" i="31"/>
  <c r="X41" i="31"/>
  <c r="K48" i="31"/>
  <c r="X49" i="31"/>
  <c r="K52" i="31"/>
  <c r="X53" i="31"/>
  <c r="K57" i="31"/>
  <c r="X59" i="31"/>
  <c r="K62" i="31"/>
  <c r="X63" i="31"/>
  <c r="K66" i="31"/>
  <c r="X67" i="31"/>
  <c r="K70" i="31"/>
  <c r="X71" i="31"/>
  <c r="K74" i="31"/>
  <c r="X75" i="31"/>
  <c r="K80" i="31"/>
  <c r="X81" i="31"/>
  <c r="K84" i="31"/>
  <c r="X85" i="31"/>
  <c r="K89" i="31"/>
  <c r="X90" i="31"/>
  <c r="K93" i="31"/>
  <c r="X94" i="31"/>
  <c r="K98" i="31"/>
  <c r="H100" i="31"/>
  <c r="K105" i="31"/>
  <c r="AA105" i="31"/>
  <c r="X112" i="31"/>
  <c r="K116" i="31"/>
  <c r="H116" i="31"/>
  <c r="H117" i="31"/>
  <c r="X117" i="31"/>
  <c r="AA117" i="31"/>
  <c r="X122" i="31"/>
  <c r="K122" i="31"/>
  <c r="K42" i="3"/>
  <c r="K80" i="3"/>
  <c r="K91" i="3"/>
  <c r="H110" i="3"/>
  <c r="Z7" i="30"/>
  <c r="Z8" i="30"/>
  <c r="J8" i="30"/>
  <c r="J11" i="30"/>
  <c r="Z13" i="30"/>
  <c r="Z14" i="30"/>
  <c r="J14" i="30"/>
  <c r="N37" i="30"/>
  <c r="Z42" i="30"/>
  <c r="J50" i="30"/>
  <c r="M17" i="13"/>
  <c r="M18" i="13"/>
  <c r="L18" i="13"/>
  <c r="K8" i="12"/>
  <c r="H8" i="12"/>
  <c r="K17" i="12"/>
  <c r="H17" i="12"/>
  <c r="K34" i="12"/>
  <c r="H34" i="12"/>
  <c r="Z31" i="30"/>
  <c r="J31" i="30"/>
  <c r="Z22" i="30"/>
  <c r="J22" i="30"/>
  <c r="M11" i="13"/>
  <c r="L11" i="13"/>
  <c r="X4" i="31"/>
  <c r="X8" i="31"/>
  <c r="X12" i="31"/>
  <c r="AA15" i="31"/>
  <c r="H16" i="31"/>
  <c r="H20" i="31"/>
  <c r="H24" i="31"/>
  <c r="H28" i="31"/>
  <c r="H33" i="31"/>
  <c r="X34" i="31"/>
  <c r="H41" i="31"/>
  <c r="X42" i="31"/>
  <c r="H49" i="31"/>
  <c r="H53" i="31"/>
  <c r="H59" i="31"/>
  <c r="H63" i="31"/>
  <c r="H67" i="31"/>
  <c r="H71" i="31"/>
  <c r="H75" i="31"/>
  <c r="X76" i="31"/>
  <c r="H81" i="31"/>
  <c r="H85" i="31"/>
  <c r="H90" i="31"/>
  <c r="H94" i="31"/>
  <c r="AA100" i="31"/>
  <c r="H101" i="31"/>
  <c r="X102" i="31"/>
  <c r="X107" i="31"/>
  <c r="H22" i="3"/>
  <c r="H33" i="3"/>
  <c r="K39" i="3"/>
  <c r="H69" i="3"/>
  <c r="K104" i="3"/>
  <c r="K117" i="3"/>
  <c r="H128" i="3"/>
  <c r="F10" i="30"/>
  <c r="F16" i="30"/>
  <c r="J30" i="30"/>
  <c r="F30" i="30"/>
  <c r="N50" i="30"/>
  <c r="K4" i="12"/>
  <c r="H4" i="12"/>
  <c r="K12" i="12"/>
  <c r="H12" i="12"/>
  <c r="K21" i="12"/>
  <c r="H21" i="12"/>
  <c r="K30" i="12"/>
  <c r="H30" i="12"/>
  <c r="K39" i="12"/>
  <c r="H39" i="12"/>
  <c r="L6" i="13"/>
  <c r="L12" i="13"/>
  <c r="F7" i="15"/>
  <c r="F25" i="15"/>
  <c r="F41" i="15"/>
  <c r="J44" i="30"/>
  <c r="F44" i="30"/>
  <c r="X118" i="31"/>
  <c r="K118" i="31"/>
  <c r="J55" i="30"/>
  <c r="F55" i="30"/>
  <c r="Z55" i="30"/>
  <c r="K121" i="31"/>
  <c r="H121" i="31"/>
  <c r="K101" i="31"/>
  <c r="AA101" i="31"/>
  <c r="X108" i="31"/>
  <c r="H112" i="31"/>
  <c r="X121" i="31"/>
  <c r="K36" i="3"/>
  <c r="H36" i="3"/>
  <c r="K72" i="3"/>
  <c r="K107" i="3"/>
  <c r="Z10" i="30"/>
  <c r="Z16" i="30"/>
  <c r="J21" i="30"/>
  <c r="F21" i="30"/>
  <c r="Z44" i="30"/>
  <c r="Z45" i="30"/>
  <c r="J45" i="30"/>
  <c r="AD50" i="30"/>
  <c r="Z53" i="30"/>
  <c r="N53" i="30"/>
  <c r="F53" i="30"/>
  <c r="N55" i="30"/>
  <c r="L4" i="13"/>
  <c r="H4" i="13"/>
  <c r="L10" i="13"/>
  <c r="H10" i="13"/>
  <c r="Z12" i="30"/>
  <c r="Z20" i="30"/>
  <c r="Z29" i="30"/>
  <c r="Z43" i="30"/>
  <c r="AD54" i="30"/>
  <c r="N56" i="30"/>
  <c r="J54" i="30"/>
  <c r="F5" i="15"/>
  <c r="F13" i="15"/>
  <c r="F22" i="15"/>
  <c r="F30" i="15"/>
  <c r="F39" i="15"/>
  <c r="F47" i="15"/>
</calcChain>
</file>

<file path=xl/comments1.xml><?xml version="1.0" encoding="utf-8"?>
<comments xmlns="http://schemas.openxmlformats.org/spreadsheetml/2006/main">
  <authors>
    <author>WAUTHIER Eric</author>
  </authors>
  <commentList>
    <comment ref="C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de début d'activité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1 = nature principal
4 = nature complémentaire
5 = maxi statut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EXO = exonération art 37
RED = réduction art 37 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déterminée en fonction des colonnes
 'jour', 'mois' , 'année' et 'pivot date'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type d'évènement, début d'activité, reprise d'activité, changment de profil, cessation d'activité,…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déterminée à partir de la formule de la colonne 'datedebut1' 
($AM-$AN;$AL;$AK).
$AM-$AN concerne l'année
$AL concerne le mois
$AK concerne le jour.
Ajouter les valeurs pour déterminer la date voulue dans cette colonne.
EX datedebut1 = 2014-01-01.
$AM-$AN+1;$AL+5;$AK+29 donnera
30 (1+29) / 6 (1+5) / 2015 (2014+1)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trimestre que l'on souhaite vérifié dans le test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Montant déterminer en fonction de la colonne 'baremepivot1'</t>
        </r>
      </text>
    </comment>
    <comment ref="AK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jour de la date de la colonne 'datedebut1'</t>
        </r>
      </text>
    </comment>
    <comment ref="AL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mois de la date de la colonne 'datedebut1' </t>
        </r>
      </text>
    </comment>
    <comment ref="AM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Avec la coloone 'pivot date' détermine l'année de la date de la colonne 'datedebut1'</t>
        </r>
      </text>
    </comment>
    <comment ref="AN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Avec la colonne 'annee' détermine l'année de la date de la colonne 'datedebut1'
annee = 2015
pivot date = 2
=&gt; date de la colonne 'datedebut1' = 2013 </t>
        </r>
      </text>
    </comment>
    <comment ref="AO4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montant de la colonne cotisation 1
1er position = nature (1 = principal / 4 = complémentaire / 5 = maxi statut
2ème à 5ème position = année trimestre
6ème position = le plancher
Si 'r' en 6ème position = réduction art37
7ème position = plancher pour la réduction
si 'd' en 6ème position =: minimale définitive 
999999 = exonération
99999r = annulation 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de début d'activité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1 = nature principal
4 = nature complémentaire
5 = maxi statut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EXO = exonération art 37
RED = réduction art 37 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déterminée en fonction des colonnes
 'jour', 'mois' , 'année' et 'pivot date'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type d'évènement, début d'activité, reprise d'activité, changment de profil, cessation d'activité,…</t>
        </r>
      </text>
    </comment>
    <comment ref="J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déterminée à partir de la formule de la colonne 'datedebut1' 
($AM-$AN;$AL;$AK).
$AM-$AN concerne l'année
$AL concerne le mois
$AK concerne le jour.
Ajouter les valeurs pour déterminer la date voulue dans cette colonne.
EX datedebut1 = 2014-01-01.
$AM-$AN+1;$AL+5;$AK+29 donnera
30 (1+29) / 6 (1+5) / 2015 (2014+1)</t>
        </r>
      </text>
    </comment>
    <comment ref="AE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trimestre que l'on souhaite vérifié dans le test</t>
        </r>
      </text>
    </comment>
    <comment ref="AF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Montant déterminer en fonction de la colonne 'baremepivot1'</t>
        </r>
      </text>
    </comment>
    <comment ref="AK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jour de la date de la colonne 'datedebut1'</t>
        </r>
      </text>
    </comment>
    <comment ref="AL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mois de la date de la colonne 'datedebut1' </t>
        </r>
      </text>
    </comment>
    <comment ref="AM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Avec la coloone 'pivot date' détermine l'année de la date de la colonne 'datedebut1'</t>
        </r>
      </text>
    </comment>
    <comment ref="AN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Avec la colonne 'annee' détermine l'année de la date de la colonne 'datedebut1'
annee = 2015
pivot date = 2
=&gt; date de la colonne 'datedebut1' = 2013 </t>
        </r>
      </text>
    </comment>
    <comment ref="AO25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montant de la colonne cotisation 1
1er position = nature (1 = principal / 4 = complémentaire / 5 = maxi statut
2ème à 5ème position = année trimestre
6ème position = le plancher
Si 'r' en 6ème position = réduction art37
7ème position = plancher pour la réduction
si 'd' en 6ème position =: minimale définitive 
999999 = exonération
99999r = annulation 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de début d'activité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1 = nature principal
4 = nature complémentaire
5 = maxi statut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EXO = exonération art 37
RED = réduction art 37 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déterminée en fonction des colonnes
 'jour', 'mois' , 'année' et 'pivot date'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type d'évènement, début d'activité, reprise d'activité, changment de profil, cessation d'activité,…</t>
        </r>
      </text>
    </comment>
    <comment ref="J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Date déterminée à partir de la formule de la colonne 'datedebut1' 
($AM-$AN;$AL;$AK).
$AM-$AN concerne l'année
$AL concerne le mois
$AK concerne le jour.
Ajouter les valeurs pour déterminer la date voulue dans cette colonne.
EX datedebut1 = 2014-01-01.
$AM-$AN+1;$AL+5;$AK+29 donnera
30 (1+29) / 6 (1+5) / 2015 (2014+1)</t>
        </r>
      </text>
    </comment>
    <comment ref="AE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trimestre que l'on souhaite vérifié dans le test</t>
        </r>
      </text>
    </comment>
    <comment ref="AF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Montant déterminer en fonction de la colonne 'baremepivot1'</t>
        </r>
      </text>
    </comment>
    <comment ref="AK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jour de la date de la colonne 'datedebut1'</t>
        </r>
      </text>
    </comment>
    <comment ref="AL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mois de la date de la colonne 'datedebut1' </t>
        </r>
      </text>
    </comment>
    <comment ref="AM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Avec la coloone 'pivot date' détermine l'année de la date de la colonne 'datedebut1'</t>
        </r>
      </text>
    </comment>
    <comment ref="AN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Avec la colonne 'annee' détermine l'année de la date de la colonne 'datedebut1'
annee = 2015
pivot date = 2
=&gt; date de la colonne 'datedebut1' = 2013 </t>
        </r>
      </text>
    </comment>
    <comment ref="AO46" authorId="0">
      <text>
        <r>
          <rPr>
            <b/>
            <sz val="9"/>
            <color indexed="81"/>
            <rFont val="Tahoma"/>
            <family val="2"/>
          </rPr>
          <t>WAUTHIER Eric:</t>
        </r>
        <r>
          <rPr>
            <sz val="9"/>
            <color indexed="81"/>
            <rFont val="Tahoma"/>
            <family val="2"/>
          </rPr>
          <t xml:space="preserve">
Détermine le montant de la colonne cotisation 1
1er position = nature (1 = principal / 4 = complémentaire / 5 = maxi statut
2ème à 5ème position = année trimestre
6ème position = le plancher
Si 'r' en 6ème position = réduction art37
7ème position = plancher pour la réduction
si 'd' en 6ème position =: minimale définitive 
999999 = exonération
99999r = annulation </t>
        </r>
      </text>
    </comment>
  </commentList>
</comments>
</file>

<file path=xl/sharedStrings.xml><?xml version="1.0" encoding="utf-8"?>
<sst xmlns="http://schemas.openxmlformats.org/spreadsheetml/2006/main" count="4543" uniqueCount="488">
  <si>
    <t>CASTST-2981</t>
  </si>
  <si>
    <t>CASTST-2978</t>
  </si>
  <si>
    <t>CASTST-2977</t>
  </si>
  <si>
    <t>CASTST-2976</t>
  </si>
  <si>
    <t>CASTST-2975</t>
  </si>
  <si>
    <t>CASTST-2974</t>
  </si>
  <si>
    <t>CASTST-2972</t>
  </si>
  <si>
    <t>CASTST-2971</t>
  </si>
  <si>
    <t>CASTST-2401</t>
  </si>
  <si>
    <t>CASTST-2399</t>
  </si>
  <si>
    <t>CASTST-2396</t>
  </si>
  <si>
    <t>CASTST-2395</t>
  </si>
  <si>
    <t>CASTST-2393</t>
  </si>
  <si>
    <t>CASTST-2382</t>
  </si>
  <si>
    <t>CASTST-2381</t>
  </si>
  <si>
    <t>CASTST-2380</t>
  </si>
  <si>
    <t>CASTST-2378</t>
  </si>
  <si>
    <t>CASTST-2377</t>
  </si>
  <si>
    <t>CASTST-2375</t>
  </si>
  <si>
    <t>CASTST-2374</t>
  </si>
  <si>
    <t>CASTST-2373</t>
  </si>
  <si>
    <t>CASTST-2370</t>
  </si>
  <si>
    <t>CASTST-2369</t>
  </si>
  <si>
    <t>CASTST-2367</t>
  </si>
  <si>
    <t>CASTST-2366</t>
  </si>
  <si>
    <t>CASTST-2364</t>
  </si>
  <si>
    <t>CASTST-2361</t>
  </si>
  <si>
    <t>CASTST-2354</t>
  </si>
  <si>
    <t>CASTST-2353</t>
  </si>
  <si>
    <t>CASTST-2352</t>
  </si>
  <si>
    <t>CASTST-2351</t>
  </si>
  <si>
    <t>CASTST-2350</t>
  </si>
  <si>
    <t>CASTST-2349</t>
  </si>
  <si>
    <t>CASTST-2348</t>
  </si>
  <si>
    <t>CASTST-2347</t>
  </si>
  <si>
    <t>CASTST-2346</t>
  </si>
  <si>
    <t>CASTST-2345</t>
  </si>
  <si>
    <t>CASTST-2344</t>
  </si>
  <si>
    <t>CASTST-2329</t>
  </si>
  <si>
    <t>CASTST-2328</t>
  </si>
  <si>
    <t>CASTST-2327</t>
  </si>
  <si>
    <t>CASTST-2326</t>
  </si>
  <si>
    <t>CASTST-2325</t>
  </si>
  <si>
    <t>CASTST-2324</t>
  </si>
  <si>
    <t>CASTST-2323</t>
  </si>
  <si>
    <t>CASTST-2322</t>
  </si>
  <si>
    <t>CASTST-2321</t>
  </si>
  <si>
    <t>CASTST-2320</t>
  </si>
  <si>
    <t>CASTST-2319</t>
  </si>
  <si>
    <t>CASTST-2318</t>
  </si>
  <si>
    <t>CASTST-2317</t>
  </si>
  <si>
    <t>CASTST-2316</t>
  </si>
  <si>
    <t>CASTST-2315</t>
  </si>
  <si>
    <t>CASTST-2314</t>
  </si>
  <si>
    <t>CASTST-2313</t>
  </si>
  <si>
    <t>CASTST-2312</t>
  </si>
  <si>
    <t>CASTST-2311</t>
  </si>
  <si>
    <t>CASTST-2310</t>
  </si>
  <si>
    <t>CASTST-2309</t>
  </si>
  <si>
    <t>CASTST-2308</t>
  </si>
  <si>
    <t>CASTST-2303</t>
  </si>
  <si>
    <t>CASTST-2302</t>
  </si>
  <si>
    <t>CASTST-2301</t>
  </si>
  <si>
    <t>CASTST-836</t>
  </si>
  <si>
    <t>CASTST-835</t>
  </si>
  <si>
    <t>CASTST-834</t>
  </si>
  <si>
    <t>CASTST-833</t>
  </si>
  <si>
    <t>CASTST-830</t>
  </si>
  <si>
    <t>CASTST-820</t>
  </si>
  <si>
    <t>CASTST-819</t>
  </si>
  <si>
    <t>CASTST-818</t>
  </si>
  <si>
    <t>CASTST-815</t>
  </si>
  <si>
    <t>CASTST-814</t>
  </si>
  <si>
    <t>CASTST-812</t>
  </si>
  <si>
    <t>CASTST-810</t>
  </si>
  <si>
    <t>CASTST-809</t>
  </si>
  <si>
    <t>CASTST-803</t>
  </si>
  <si>
    <t>CASTST-802</t>
  </si>
  <si>
    <t>CASTST-795</t>
  </si>
  <si>
    <t>CASTST-794</t>
  </si>
  <si>
    <t>CASTST-793</t>
  </si>
  <si>
    <t>CASTST-778</t>
  </si>
  <si>
    <t>CASTST-777</t>
  </si>
  <si>
    <t>CASTST-775</t>
  </si>
  <si>
    <t>CASTST-774</t>
  </si>
  <si>
    <t>CASTST-773</t>
  </si>
  <si>
    <t>CASTST-743</t>
  </si>
  <si>
    <t>INSERT</t>
  </si>
  <si>
    <t>UPDATE</t>
  </si>
  <si>
    <t>DELETE</t>
  </si>
  <si>
    <t>EXO</t>
  </si>
  <si>
    <t>RDA</t>
  </si>
  <si>
    <t>Regime</t>
  </si>
  <si>
    <t>RED</t>
  </si>
  <si>
    <t>YES</t>
  </si>
  <si>
    <t>RDE</t>
  </si>
  <si>
    <t>CASTST-3123</t>
  </si>
  <si>
    <t>CASTST-3124</t>
  </si>
  <si>
    <t>CASTST-3125</t>
  </si>
  <si>
    <t>CASTST-3126</t>
  </si>
  <si>
    <t>complémentaire</t>
  </si>
  <si>
    <t>principal</t>
  </si>
  <si>
    <t>maxi-statut</t>
  </si>
  <si>
    <t>CASTST-3127</t>
  </si>
  <si>
    <t>CASTST-3128</t>
  </si>
  <si>
    <t>CASTST-3129</t>
  </si>
  <si>
    <t>CASTST-3130</t>
  </si>
  <si>
    <t>CASTST-3131</t>
  </si>
  <si>
    <t>CASTST-3132</t>
  </si>
  <si>
    <t>CASTST-3133</t>
  </si>
  <si>
    <t>CASTST-3134</t>
  </si>
  <si>
    <t>CASTST-3135</t>
  </si>
  <si>
    <t>CASTST-3136</t>
  </si>
  <si>
    <t>CASTST-3137</t>
  </si>
  <si>
    <t>CASTST-3138</t>
  </si>
  <si>
    <t>CASTST-3139</t>
  </si>
  <si>
    <t>CASTST-3140</t>
  </si>
  <si>
    <t>CASTST-3144</t>
  </si>
  <si>
    <t>CASTST-3145</t>
  </si>
  <si>
    <t>CASTST-3149</t>
  </si>
  <si>
    <t>CASTST-3150</t>
  </si>
  <si>
    <t>CASTST-3151</t>
  </si>
  <si>
    <t>CASTST-3152</t>
  </si>
  <si>
    <t>CASTST-3153</t>
  </si>
  <si>
    <t>CASTST-3154</t>
  </si>
  <si>
    <t>CASTST-3155</t>
  </si>
  <si>
    <t>CASTST-3156</t>
  </si>
  <si>
    <t>CASTST-3157</t>
  </si>
  <si>
    <t>CASTST-3159</t>
  </si>
  <si>
    <t>CASTST-3160</t>
  </si>
  <si>
    <t>CASTST-3161</t>
  </si>
  <si>
    <t>CASTST-3162</t>
  </si>
  <si>
    <t>CASTST-3163</t>
  </si>
  <si>
    <t>CASTST-3164</t>
  </si>
  <si>
    <t>CASTST-3165</t>
  </si>
  <si>
    <t>CASTST-3166</t>
  </si>
  <si>
    <t>CASTST-3167</t>
  </si>
  <si>
    <t>CASTST-3168</t>
  </si>
  <si>
    <t>CASTST-3169</t>
  </si>
  <si>
    <t>CASTST-3170</t>
  </si>
  <si>
    <t>CASTST-3171</t>
  </si>
  <si>
    <t>CASTST-3172</t>
  </si>
  <si>
    <t>CASTST-3173</t>
  </si>
  <si>
    <t>CASTST-3174</t>
  </si>
  <si>
    <t>CASTST-3175</t>
  </si>
  <si>
    <t>CASTST-3176</t>
  </si>
  <si>
    <t>CASTST-3177</t>
  </si>
  <si>
    <t>CASTST-3178</t>
  </si>
  <si>
    <t>CASTST-3179</t>
  </si>
  <si>
    <t>CASTST-3180</t>
  </si>
  <si>
    <t>CASTST-3181</t>
  </si>
  <si>
    <t>CASTST-3182</t>
  </si>
  <si>
    <t>CASTST-3183</t>
  </si>
  <si>
    <t>CASTST-3184</t>
  </si>
  <si>
    <t>CASTST-3186</t>
  </si>
  <si>
    <t>CASTST-3187</t>
  </si>
  <si>
    <t>CASTST-3188</t>
  </si>
  <si>
    <t>CASTST-3189</t>
  </si>
  <si>
    <t>CASTST-3193</t>
  </si>
  <si>
    <t>CASTST-3194</t>
  </si>
  <si>
    <t>CASTST-3196</t>
  </si>
  <si>
    <t>CASTST-3197</t>
  </si>
  <si>
    <t>CASTST-3198</t>
  </si>
  <si>
    <t>CASTST-3199</t>
  </si>
  <si>
    <t>CASTST-3200</t>
  </si>
  <si>
    <t>CASTST-3201</t>
  </si>
  <si>
    <t>CASTST-3202</t>
  </si>
  <si>
    <t>CASTST-3203</t>
  </si>
  <si>
    <t>CASTST-3204</t>
  </si>
  <si>
    <t>CASTST-3205</t>
  </si>
  <si>
    <t>CASTST-3219</t>
  </si>
  <si>
    <t>CASTST-3220</t>
  </si>
  <si>
    <t>CASTST-3221</t>
  </si>
  <si>
    <t>CASTST-3222</t>
  </si>
  <si>
    <t>CASTST-3223</t>
  </si>
  <si>
    <t>CASTST-3224</t>
  </si>
  <si>
    <t>CASTST-3225</t>
  </si>
  <si>
    <t>CASTST-3226</t>
  </si>
  <si>
    <t>CASTST-3228</t>
  </si>
  <si>
    <t>CASTST-3227</t>
  </si>
  <si>
    <t>CASTST-3229</t>
  </si>
  <si>
    <t>CASTST-3231</t>
  </si>
  <si>
    <t>variable</t>
  </si>
  <si>
    <t>Titre</t>
  </si>
  <si>
    <t>Profil - Ajout d'un transfert sortie provisoire</t>
  </si>
  <si>
    <t>Profil - Ajout d'une cessation d'activité</t>
  </si>
  <si>
    <t>Profil - Ajout d'une exo-réduction pour la nature 'complémentaire'</t>
  </si>
  <si>
    <t>Profil - Ajout d'une exo-réduction pour la nature 'conjoint aidant maxi statut'</t>
  </si>
  <si>
    <t>Profil - Ajout d'une exo-réduction pour la nature 'principal'</t>
  </si>
  <si>
    <t>Profil - Ajout d'une nature complémentaire au départ d'une nature complémentaire RDA exonération</t>
  </si>
  <si>
    <t>Profil - Ajout d'une nature complémentaire au départ d'une nature complémentaire RDA minimum</t>
  </si>
  <si>
    <t>Profil - Ajout d'une nature complémentaire au départ d'une nature conjoint aidant maxi statut RDA exonération</t>
  </si>
  <si>
    <t>Profil - Ajout d'une nature complémentaire au départ d'une nature conjoint aidant maxi statut RDA minimum</t>
  </si>
  <si>
    <t>Profil - Ajout d'une nature complémentaire au départ d'une nature conjoint aidant maxi statut RDE</t>
  </si>
  <si>
    <t>Profil - Ajout d'une nature complémentaire au départ d'une nature conjoint aidant maxi statut RDE art 37</t>
  </si>
  <si>
    <t>Profil - Ajout d'une nature complémentaire au départ d'une nature principal RDA exonération</t>
  </si>
  <si>
    <t>Profil - Ajout d'une nature complémentaire au départ d'une nature principal RDA minimum</t>
  </si>
  <si>
    <t>Profil - Ajout d'une nature complémentaire au départ d'une nature principal RDA présumé</t>
  </si>
  <si>
    <t>Profil - Ajout d'une nature complémentaire au départ d'une nature principal RDA réduction</t>
  </si>
  <si>
    <t>Profil - Ajout d'une nature complémentaire au départ d'une nature principal RDE</t>
  </si>
  <si>
    <t>Profil - Ajout d'une nature complémentaire au départ d'une nature principal RDE art 37</t>
  </si>
  <si>
    <t>Profil - Ajout d'une nature conjoint aidant maxi statut au départ d'une nature complémentaire exonération</t>
  </si>
  <si>
    <t>Profil - Ajout d'une nature conjoint aidant maxi statut au départ d'une nature complémentaire RDA minimum</t>
  </si>
  <si>
    <t>Profil - Ajout d'une nature conjoint aidant maxi statut au départ d'une nature complémentaire RDA présumé</t>
  </si>
  <si>
    <t>Profil - Ajout d'une nature conjoint aidant maxi statut au départ d'une nature complémentaire RDE</t>
  </si>
  <si>
    <t>Profil - Ajout d'une nature conjoint aidant maxi statut au départ d'une nature conjoint aidant maxi statut exonération</t>
  </si>
  <si>
    <t>Profil - Ajout d'une nature conjoint aidant maxi statut au départ d'une nature principal exonération</t>
  </si>
  <si>
    <t>Profil - Ajout d'une nature conjoint aidant maxi statut au départ d'une nature principal RDA présumé</t>
  </si>
  <si>
    <t>Profil - Ajout d'une nature conjoint aidant maxi statut au départ d'une nature principal RDE</t>
  </si>
  <si>
    <t>Profil - Ajout d'une nature conjoint aidant maxi statut au départ d'une nature principal réduction</t>
  </si>
  <si>
    <t>Profil - Ajout d'une nature principal au départ d'une nature complémentaire RDA exonération</t>
  </si>
  <si>
    <t>Profil - Ajout d'une nature principal au départ d'une nature complémentaire RDA minimum</t>
  </si>
  <si>
    <t>Profil - Ajout d'une nature principal au départ d'une nature complémentaire RDA présumé</t>
  </si>
  <si>
    <t>Profil - Ajout d'une nature principal au départ d'une nature complémentaire RDE</t>
  </si>
  <si>
    <t>Profil - Ajout d'une nature principal au départ d'une nature conjoint aidant maxi statut RDA exonération</t>
  </si>
  <si>
    <t>Profil - Ajout d'une nature principal au départ d'une nature conjoint aidant maxi statut RDA minimum</t>
  </si>
  <si>
    <t>Profil - Ajout d'une nature principal au départ d'une nature conjoint aidant maxi statut RDE</t>
  </si>
  <si>
    <t>Profil - Ajout d'une nature principal au départ d'une nature conjoint aidant maxi statut RDE art 37</t>
  </si>
  <si>
    <t>Profil - Ajout d'une nature principal au départ d'une nature principal RDA exonération</t>
  </si>
  <si>
    <t>Profil - Ajout d'une nature principal au départ d'une nature principal RDA minimum</t>
  </si>
  <si>
    <t>Profil - Ajout d'une nature principal au départ d'une nature principal RDA réduction</t>
  </si>
  <si>
    <t>Profil - Ajouter un début d'activité</t>
  </si>
  <si>
    <t>Profil - Ajouter un transfert entrant définitif</t>
  </si>
  <si>
    <t>Profil - Ajouter un transfert entrant provisoire</t>
  </si>
  <si>
    <t>Profil - Ajouter une activité conjoint aidant</t>
  </si>
  <si>
    <t>Profil - Ajouter une reprise d'activité</t>
  </si>
  <si>
    <t>Profil - Modification changement profil du champ 'exo-réduction' pour la nature 'complémentaire'</t>
  </si>
  <si>
    <t>Profil - Modification changement profil du champ 'exo-réduction' pour la nature 'conjoint aidant maxi statut'</t>
  </si>
  <si>
    <t>Profil - Modification changement profil du champ 'exo-réduction' pour la nature 'principal'</t>
  </si>
  <si>
    <t>Profil - Modification de la date activité conjoint aidant de la nature cjt aidant maxi statut par une date &lt; à celle présente</t>
  </si>
  <si>
    <t>Profil - Modification de la date activité conjoint aidant de la nature cjt aidant maxi statut par une date &gt; à celle présente</t>
  </si>
  <si>
    <t>Profil - Modification de la date de début d'activité de la nature complémentaire par une date &lt; à celle présente</t>
  </si>
  <si>
    <t>Profil - Modification de la date de début d'activité de la nature principal par une date &lt; à celle présente</t>
  </si>
  <si>
    <t>Profil - Modification de la date de début d'activité par une date &gt; à celle présente</t>
  </si>
  <si>
    <t>Profil - Modification de la date de reprise d'activité de la nature complémentaire par une date &lt; à celle présente</t>
  </si>
  <si>
    <t>Profil - Modification de la date de reprise d'activité de la nature principal par une date &lt; à celle présente</t>
  </si>
  <si>
    <t>Profil - Modification de la date de reprise d'activité par une date &gt; à celle présente</t>
  </si>
  <si>
    <t>Profil - Modification de la date d'un changement profil complémentaire</t>
  </si>
  <si>
    <t>Profil - Modification de la date d'un changement profil 'conjoint aidant maxi statut'</t>
  </si>
  <si>
    <t>Profil - Modification de la date d'un changement profil principal</t>
  </si>
  <si>
    <t>Profil - Modification de la date d'un évènement 'complémentaire' par une date &gt; à celle présente</t>
  </si>
  <si>
    <t>Profil - Modification de la nature 'complémentaire'</t>
  </si>
  <si>
    <t>Profil - Modification de la nature 'conjoint aidant maxi statut'</t>
  </si>
  <si>
    <t>Profil - Modification de la nature 'principal'</t>
  </si>
  <si>
    <t>Profil - Modification début d'activité du champ 'exo-réduction' pour la nature 'complémentaire'</t>
  </si>
  <si>
    <t>Profil - Modification début d'activité du champ 'exo-réduction' pour la nature 'conjoint aidant maxi statut'</t>
  </si>
  <si>
    <t>Profil - Modification début d'activité du champ 'exo-réduction' pour la nature 'principal'</t>
  </si>
  <si>
    <t>Profil - Modification du champ 'exo-réduction' pour la nature 'conjoint aidant maxi statut'</t>
  </si>
  <si>
    <t>Profil - Modification du type évènement activité conjoint aidant</t>
  </si>
  <si>
    <t>Profil - Modification du type évènement cessation d'activité</t>
  </si>
  <si>
    <t>Profil - Modification du type évènement début d'activité</t>
  </si>
  <si>
    <t>Profil - Modification du type évènement reprise d'activité</t>
  </si>
  <si>
    <t>Profil - Modification du type évènement transfert entrant définitif</t>
  </si>
  <si>
    <t>Profil - Modification du type évènement transfert entrant provisoire</t>
  </si>
  <si>
    <t>Profil - Modification du type évènement transfert sortant définitif</t>
  </si>
  <si>
    <t>Profil - Modification du type évènement transfert sortant provisoire</t>
  </si>
  <si>
    <t>Profil - Refuser demande exo-réduction art 37</t>
  </si>
  <si>
    <t>Profil - Suppression changement profil de la nature complémentaire</t>
  </si>
  <si>
    <t>Profil - Suppression changement profil de la nature complémentaire exonéré</t>
  </si>
  <si>
    <t>Profil - Suppression changement profil de la nature conjoint aidant maxi statut</t>
  </si>
  <si>
    <t>Profil - Suppression changement profil de la nature conjoint aidant maxi statut exonération</t>
  </si>
  <si>
    <t>Profil - Suppression changement profil de la nature principal</t>
  </si>
  <si>
    <t>Profil - Suppression changement profil de la nature principal exonération</t>
  </si>
  <si>
    <t>Profil - Suppression changement profil de la nature principal réduction</t>
  </si>
  <si>
    <t>Profil - Suppression de la clôture de dossier cessation d'activité</t>
  </si>
  <si>
    <t>Profil - Suppression de la clôture de dossier transfert défintif</t>
  </si>
  <si>
    <t>Profil - Suppression de la clôture de dossier transfert provisoire</t>
  </si>
  <si>
    <t>Profil - Suppression d'une affiliation</t>
  </si>
  <si>
    <t>Profil - Vérification de la duplication de l'évènement dans le tableau 'détail évènement'</t>
  </si>
  <si>
    <t>TC révisé</t>
  </si>
  <si>
    <t>TC origine</t>
  </si>
  <si>
    <t>SOURCE</t>
  </si>
  <si>
    <t>Article 37</t>
  </si>
  <si>
    <t>Nature</t>
  </si>
  <si>
    <t>RESULTAT</t>
  </si>
  <si>
    <t>Changement de date</t>
  </si>
  <si>
    <t>MANIPULATION</t>
  </si>
  <si>
    <t>Requête</t>
  </si>
  <si>
    <t>LIEN JIRA</t>
  </si>
  <si>
    <t>CASTST-3141</t>
  </si>
  <si>
    <t>CASTST-3142</t>
  </si>
  <si>
    <t>CASTST-3143</t>
  </si>
  <si>
    <t>CASTST-3146</t>
  </si>
  <si>
    <t>CASTST-3147</t>
  </si>
  <si>
    <t>CASTST-3148</t>
  </si>
  <si>
    <t>Reduction</t>
  </si>
  <si>
    <t>Revenu</t>
  </si>
  <si>
    <t xml:space="preserve">jour </t>
  </si>
  <si>
    <t xml:space="preserve">mois </t>
  </si>
  <si>
    <t>annee</t>
  </si>
  <si>
    <t>code</t>
  </si>
  <si>
    <t>Principal</t>
  </si>
  <si>
    <t>Annee1</t>
  </si>
  <si>
    <t>Complémentaire</t>
  </si>
  <si>
    <t>Maxi-statut</t>
  </si>
  <si>
    <t>pivotdate</t>
  </si>
  <si>
    <t>Datedebut1</t>
  </si>
  <si>
    <t>Datedebut2</t>
  </si>
  <si>
    <t>Nature2</t>
  </si>
  <si>
    <t>Reduction2</t>
  </si>
  <si>
    <t>Année</t>
  </si>
  <si>
    <t>Plancher</t>
  </si>
  <si>
    <t>Montant</t>
  </si>
  <si>
    <t>d</t>
  </si>
  <si>
    <t>120153</t>
  </si>
  <si>
    <t>controle1</t>
  </si>
  <si>
    <t>cotisation1</t>
  </si>
  <si>
    <t>controle2</t>
  </si>
  <si>
    <t>cotisation2</t>
  </si>
  <si>
    <t>baremepivot1</t>
  </si>
  <si>
    <t>baremepivot2</t>
  </si>
  <si>
    <t>Ajout d'une nature conjoint aidant maxi statut au départ d'une nature principal</t>
  </si>
  <si>
    <t>120142</t>
  </si>
  <si>
    <t>420151</t>
  </si>
  <si>
    <t>420141</t>
  </si>
  <si>
    <t>420152</t>
  </si>
  <si>
    <t>420153</t>
  </si>
  <si>
    <t>999999</t>
  </si>
  <si>
    <t>520151</t>
  </si>
  <si>
    <t>520153</t>
  </si>
  <si>
    <t>520141</t>
  </si>
  <si>
    <t>520152</t>
  </si>
  <si>
    <t>120141</t>
  </si>
  <si>
    <t>520142</t>
  </si>
  <si>
    <t>r1</t>
  </si>
  <si>
    <t>r2</t>
  </si>
  <si>
    <t>r3</t>
  </si>
  <si>
    <t>12014r2</t>
  </si>
  <si>
    <t>12014r1</t>
  </si>
  <si>
    <t>12015r3</t>
  </si>
  <si>
    <t>420142</t>
  </si>
  <si>
    <t>120152</t>
  </si>
  <si>
    <t>120151</t>
  </si>
  <si>
    <t>12015r2</t>
  </si>
  <si>
    <t>12015r1</t>
  </si>
  <si>
    <t>520131</t>
  </si>
  <si>
    <t>12013r1</t>
  </si>
  <si>
    <t>420131</t>
  </si>
  <si>
    <t>120131</t>
  </si>
  <si>
    <t>Datefin</t>
  </si>
  <si>
    <t>Raison_Exo_Reduction</t>
  </si>
  <si>
    <t>MPU</t>
  </si>
  <si>
    <t>code1</t>
  </si>
  <si>
    <t>code2</t>
  </si>
  <si>
    <t>Evènement 1</t>
  </si>
  <si>
    <t>Evènement 2</t>
  </si>
  <si>
    <t>DAC</t>
  </si>
  <si>
    <t>type1</t>
  </si>
  <si>
    <t>type2</t>
  </si>
  <si>
    <t>CES</t>
  </si>
  <si>
    <t>CPR</t>
  </si>
  <si>
    <t>Changement multiple - ajouter</t>
  </si>
  <si>
    <t>type3</t>
  </si>
  <si>
    <t>code3</t>
  </si>
  <si>
    <t>Reduction3</t>
  </si>
  <si>
    <t xml:space="preserve">Profil - Ajout d'une nature conjoint aidant maxi statut au départ d'une nature conjoint aidant maxi statut </t>
  </si>
  <si>
    <t>Automation</t>
  </si>
  <si>
    <t>baremepivot3</t>
  </si>
  <si>
    <t>controle3</t>
  </si>
  <si>
    <t>cotisation3</t>
  </si>
  <si>
    <t>dr</t>
  </si>
  <si>
    <t>Transfert Sortant provisoire</t>
  </si>
  <si>
    <t>Début d’activité</t>
  </si>
  <si>
    <t>Cessation d’activité</t>
  </si>
  <si>
    <t>Transfert entrant provisoire</t>
  </si>
  <si>
    <t>Année_numérateur</t>
  </si>
  <si>
    <t>Année_dénominateur</t>
  </si>
  <si>
    <t>Index_numérateur</t>
  </si>
  <si>
    <t>Index_dénominateur</t>
  </si>
  <si>
    <t>Revenu_indexé</t>
  </si>
  <si>
    <t>Taux</t>
  </si>
  <si>
    <t>Cotisation</t>
  </si>
  <si>
    <t>Frais de gestion</t>
  </si>
  <si>
    <t>Taux_FraisDeGestion</t>
  </si>
  <si>
    <t>Créance</t>
  </si>
  <si>
    <t>Cotisation_arrondie</t>
  </si>
  <si>
    <t>Frais de gestion arrondi</t>
  </si>
  <si>
    <t>Palier</t>
  </si>
  <si>
    <t>Année_palier</t>
  </si>
  <si>
    <t>Palier revenus</t>
  </si>
  <si>
    <t>Différence</t>
  </si>
  <si>
    <t>Total</t>
  </si>
  <si>
    <t>Total_Arrondi</t>
  </si>
  <si>
    <t>Datedebut3</t>
  </si>
  <si>
    <t>Annuel</t>
  </si>
  <si>
    <t>Trimestriel</t>
  </si>
  <si>
    <t>Ratio</t>
  </si>
  <si>
    <t>ID</t>
  </si>
  <si>
    <t>Périodicité</t>
  </si>
  <si>
    <t>Niveau</t>
  </si>
  <si>
    <t>Plancher général non pensionné</t>
  </si>
  <si>
    <t>Plafond intermédiaire</t>
  </si>
  <si>
    <t>Plafond absolu</t>
  </si>
  <si>
    <t>Plancher complémentaire / exonéré</t>
  </si>
  <si>
    <t>Plafond réduction</t>
  </si>
  <si>
    <t>Plancher maxi statut</t>
  </si>
  <si>
    <t>Description</t>
  </si>
  <si>
    <t>dmax</t>
  </si>
  <si>
    <t>Plafond</t>
  </si>
  <si>
    <t>id</t>
  </si>
  <si>
    <t>r</t>
  </si>
  <si>
    <t>99999r</t>
  </si>
  <si>
    <t>evenement2</t>
  </si>
  <si>
    <t>evenement3</t>
  </si>
  <si>
    <t>evenement1</t>
  </si>
  <si>
    <t>type</t>
  </si>
  <si>
    <t>Reduction1</t>
  </si>
  <si>
    <t>Ajout exo-réduction</t>
  </si>
  <si>
    <t>Modification nature</t>
  </si>
  <si>
    <t>Changement nature RDA</t>
  </si>
  <si>
    <t>Changement nature RDE</t>
  </si>
  <si>
    <t>Supprimer nature</t>
  </si>
  <si>
    <t>evenement4</t>
  </si>
  <si>
    <t>evenement_supprimer1</t>
  </si>
  <si>
    <t>evenement_supprimer2</t>
  </si>
  <si>
    <t>type4</t>
  </si>
  <si>
    <t>code4</t>
  </si>
  <si>
    <t>Reduction4</t>
  </si>
  <si>
    <t>Datedebut4</t>
  </si>
  <si>
    <t>type5</t>
  </si>
  <si>
    <t>code5</t>
  </si>
  <si>
    <t>Reduction5</t>
  </si>
  <si>
    <t>Datedebut5</t>
  </si>
  <si>
    <t>codenature</t>
  </si>
  <si>
    <t>Changement de profil</t>
  </si>
  <si>
    <t xml:space="preserve"> </t>
  </si>
  <si>
    <t>Décès</t>
  </si>
  <si>
    <t>Changement multiple - supprimer</t>
  </si>
  <si>
    <t>an1</t>
  </si>
  <si>
    <t>tr1</t>
  </si>
  <si>
    <t>diff1</t>
  </si>
  <si>
    <t>an2</t>
  </si>
  <si>
    <t>tr2</t>
  </si>
  <si>
    <t>diff2</t>
  </si>
  <si>
    <t>nat2</t>
  </si>
  <si>
    <t>tests1</t>
  </si>
  <si>
    <t>tests2</t>
  </si>
  <si>
    <t>Revenu1</t>
  </si>
  <si>
    <t>Annee2</t>
  </si>
  <si>
    <t>Revenu2</t>
  </si>
  <si>
    <t>Annee3</t>
  </si>
  <si>
    <t>Revenu3</t>
  </si>
  <si>
    <t>Annee4</t>
  </si>
  <si>
    <t>Revenu4</t>
  </si>
  <si>
    <t>CotiOrdinaire2</t>
  </si>
  <si>
    <t>CotiRegul2</t>
  </si>
  <si>
    <t>TypeRevenu1</t>
  </si>
  <si>
    <t>TypeRevenu2</t>
  </si>
  <si>
    <t>TypeRevenu3</t>
  </si>
  <si>
    <t>TypeRevenu4</t>
  </si>
  <si>
    <t>source_EW</t>
  </si>
  <si>
    <t>TS7</t>
  </si>
  <si>
    <t>TS9</t>
  </si>
  <si>
    <t>TS10</t>
  </si>
  <si>
    <t>TS6</t>
  </si>
  <si>
    <t>TS12</t>
  </si>
  <si>
    <t>TS4</t>
  </si>
  <si>
    <t>libelle</t>
  </si>
  <si>
    <t>Princip-Compl-MaxiStat-Cess</t>
  </si>
  <si>
    <t>12016r1</t>
  </si>
  <si>
    <t>12016r2</t>
  </si>
  <si>
    <t>12016r3</t>
  </si>
  <si>
    <t>Fiscal</t>
  </si>
  <si>
    <t>Présumé</t>
  </si>
  <si>
    <t>Profil1</t>
  </si>
  <si>
    <t>Profil2</t>
  </si>
  <si>
    <t>Profil3</t>
  </si>
  <si>
    <t>Maxi statut</t>
  </si>
  <si>
    <t>Conjoint aidant maxi</t>
  </si>
  <si>
    <t>Compl</t>
  </si>
  <si>
    <t>Princ</t>
  </si>
  <si>
    <t>ConjMaxiS</t>
  </si>
  <si>
    <t>Principal1</t>
  </si>
  <si>
    <t>Principal2</t>
  </si>
  <si>
    <t>Complémentaire1</t>
  </si>
  <si>
    <t>Complémentaire2</t>
  </si>
  <si>
    <t>Principal3</t>
  </si>
  <si>
    <t>Complémentaire3</t>
  </si>
  <si>
    <t>Maxi-statut1</t>
  </si>
  <si>
    <t>Maxi-statut2</t>
  </si>
  <si>
    <t>Maxi-statut3</t>
  </si>
  <si>
    <t>Principal4</t>
  </si>
  <si>
    <t>Complémentaire4</t>
  </si>
  <si>
    <t>520163</t>
  </si>
  <si>
    <t>cotisation1b</t>
  </si>
  <si>
    <t>cotisation2b</t>
  </si>
  <si>
    <t>baremepivot1b</t>
  </si>
  <si>
    <t>baremepivot2b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</si>
</sst>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mm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6">
    <xf numFmtId="0" fontId="0" fillId="0" borderId="0" xfId="0"/>
    <xf numFmtId="0" fontId="20" fillId="0" borderId="0" xfId="0" applyFont="1" applyFill="1"/>
    <xf numFmtId="0" fontId="19" fillId="37" borderId="10" xfId="0" applyFont="1" applyFill="1" applyBorder="1" applyAlignment="1">
      <alignment vertical="top"/>
    </xf>
    <xf numFmtId="0" fontId="19" fillId="37" borderId="10" xfId="0" applyFont="1" applyFill="1" applyBorder="1" applyAlignment="1">
      <alignment horizontal="center" vertical="top" wrapText="1"/>
    </xf>
    <xf numFmtId="0" fontId="20" fillId="0" borderId="10" xfId="0" applyFont="1" applyFill="1" applyBorder="1"/>
    <xf numFmtId="0" fontId="21" fillId="0" borderId="10" xfId="42" applyFont="1" applyFill="1" applyBorder="1" applyAlignment="1">
      <alignment vertical="top" wrapText="1"/>
    </xf>
    <xf numFmtId="0" fontId="20" fillId="0" borderId="10" xfId="0" applyFont="1" applyFill="1" applyBorder="1" applyAlignment="1">
      <alignment vertical="top" wrapText="1"/>
    </xf>
    <xf numFmtId="0" fontId="20" fillId="0" borderId="10" xfId="0" applyFont="1" applyFill="1" applyBorder="1" applyAlignment="1">
      <alignment horizontal="center"/>
    </xf>
    <xf numFmtId="0" fontId="20" fillId="0" borderId="10" xfId="0" quotePrefix="1" applyFont="1" applyFill="1" applyBorder="1" applyAlignment="1">
      <alignment horizontal="center"/>
    </xf>
    <xf numFmtId="0" fontId="20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10" fontId="19" fillId="0" borderId="0" xfId="0" applyNumberFormat="1" applyFont="1" applyFill="1"/>
    <xf numFmtId="0" fontId="20" fillId="0" borderId="0" xfId="0" applyFont="1" applyFill="1" applyBorder="1"/>
    <xf numFmtId="0" fontId="20" fillId="0" borderId="0" xfId="0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NumberFormat="1" applyFill="1"/>
    <xf numFmtId="1" fontId="0" fillId="33" borderId="0" xfId="0" applyNumberFormat="1" applyFill="1"/>
    <xf numFmtId="49" fontId="0" fillId="33" borderId="0" xfId="0" applyNumberFormat="1" applyFill="1"/>
    <xf numFmtId="0" fontId="20" fillId="33" borderId="10" xfId="0" applyFont="1" applyFill="1" applyBorder="1"/>
    <xf numFmtId="0" fontId="21" fillId="33" borderId="10" xfId="42" applyFont="1" applyFill="1" applyBorder="1" applyAlignment="1">
      <alignment vertical="top" wrapText="1"/>
    </xf>
    <xf numFmtId="0" fontId="20" fillId="33" borderId="10" xfId="0" applyFont="1" applyFill="1" applyBorder="1" applyAlignment="1">
      <alignment vertical="top" wrapText="1"/>
    </xf>
    <xf numFmtId="0" fontId="20" fillId="33" borderId="10" xfId="0" applyFont="1" applyFill="1" applyBorder="1" applyAlignment="1">
      <alignment horizontal="center"/>
    </xf>
    <xf numFmtId="0" fontId="20" fillId="33" borderId="0" xfId="0" applyFont="1" applyFill="1"/>
    <xf numFmtId="0" fontId="22" fillId="33" borderId="10" xfId="0" applyFont="1" applyFill="1" applyBorder="1" applyAlignment="1">
      <alignment vertical="top" wrapText="1"/>
    </xf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0" fontId="16" fillId="0" borderId="0" xfId="0" applyNumberFormat="1" applyFont="1"/>
    <xf numFmtId="165" fontId="0" fillId="0" borderId="0" xfId="0" applyNumberFormat="1"/>
    <xf numFmtId="165" fontId="0" fillId="0" borderId="0" xfId="0" applyNumberFormat="1" applyFill="1"/>
    <xf numFmtId="0" fontId="0" fillId="0" borderId="0" xfId="0" applyAlignment="1">
      <alignment vertical="center" wrapText="1"/>
    </xf>
    <xf numFmtId="0" fontId="22" fillId="0" borderId="10" xfId="0" applyFont="1" applyFill="1" applyBorder="1" applyAlignment="1">
      <alignment vertical="top" wrapText="1"/>
    </xf>
    <xf numFmtId="0" fontId="0" fillId="33" borderId="0" xfId="0" applyFill="1"/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right" vertical="center" wrapText="1"/>
    </xf>
    <xf numFmtId="49" fontId="0" fillId="0" borderId="0" xfId="0" applyNumberFormat="1"/>
    <xf numFmtId="0" fontId="25" fillId="0" borderId="0" xfId="0" applyFont="1" applyAlignment="1">
      <alignment horizontal="center"/>
    </xf>
    <xf numFmtId="2" fontId="0" fillId="0" borderId="0" xfId="0" applyNumberFormat="1" applyAlignment="1">
      <alignment horizontal="right" vertical="center" wrapText="1"/>
    </xf>
    <xf numFmtId="2" fontId="25" fillId="0" borderId="0" xfId="0" applyNumberFormat="1" applyFont="1" applyAlignment="1">
      <alignment horizontal="center"/>
    </xf>
    <xf numFmtId="0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2" fontId="0" fillId="0" borderId="0" xfId="0" applyNumberFormat="1" applyFill="1" applyBorder="1"/>
    <xf numFmtId="0" fontId="16" fillId="0" borderId="0" xfId="0" applyNumberFormat="1" applyFont="1" applyFill="1" applyBorder="1"/>
    <xf numFmtId="49" fontId="0" fillId="0" borderId="0" xfId="0" applyNumberFormat="1" applyFill="1" applyBorder="1"/>
    <xf numFmtId="0" fontId="0" fillId="0" borderId="0" xfId="0"/>
    <xf numFmtId="0" fontId="0" fillId="0" borderId="0" xfId="0" applyNumberFormat="1"/>
    <xf numFmtId="0" fontId="0" fillId="0" borderId="0" xfId="0" applyNumberFormat="1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2" fontId="0" fillId="33" borderId="0" xfId="0" applyNumberFormat="1" applyFill="1"/>
    <xf numFmtId="0" fontId="0" fillId="38" borderId="0" xfId="0" applyFill="1"/>
    <xf numFmtId="49" fontId="0" fillId="0" borderId="0" xfId="0" applyNumberFormat="1" applyFill="1"/>
    <xf numFmtId="0" fontId="16" fillId="0" borderId="0" xfId="0" applyNumberFormat="1" applyFont="1" applyFill="1"/>
    <xf numFmtId="1" fontId="0" fillId="0" borderId="0" xfId="0" applyNumberFormat="1" applyFill="1"/>
    <xf numFmtId="1" fontId="0" fillId="33" borderId="0" xfId="0" applyNumberFormat="1" applyFill="1" applyBorder="1"/>
    <xf numFmtId="2" fontId="0" fillId="33" borderId="0" xfId="0" applyNumberFormat="1" applyFill="1" applyBorder="1"/>
    <xf numFmtId="1" fontId="0" fillId="0" borderId="0" xfId="0" applyNumberFormat="1" applyFill="1" applyBorder="1"/>
    <xf numFmtId="0" fontId="0" fillId="33" borderId="0" xfId="0" applyFill="1" applyAlignment="1">
      <alignment horizontal="left"/>
    </xf>
    <xf numFmtId="0" fontId="26" fillId="0" borderId="0" xfId="0" applyNumberFormat="1" applyFont="1" applyFill="1"/>
    <xf numFmtId="164" fontId="26" fillId="0" borderId="0" xfId="0" applyNumberFormat="1" applyFont="1" applyFill="1"/>
    <xf numFmtId="165" fontId="26" fillId="0" borderId="0" xfId="0" applyNumberFormat="1" applyFont="1" applyFill="1"/>
    <xf numFmtId="2" fontId="26" fillId="0" borderId="0" xfId="0" applyNumberFormat="1" applyFont="1" applyFill="1"/>
    <xf numFmtId="1" fontId="26" fillId="0" borderId="0" xfId="0" applyNumberFormat="1" applyFont="1" applyFill="1"/>
    <xf numFmtId="49" fontId="26" fillId="0" borderId="0" xfId="0" applyNumberFormat="1" applyFont="1" applyFill="1"/>
    <xf numFmtId="0" fontId="19" fillId="33" borderId="0" xfId="0" applyFont="1" applyFill="1" applyBorder="1" applyAlignment="1">
      <alignment horizontal="center"/>
    </xf>
    <xf numFmtId="0" fontId="19" fillId="36" borderId="0" xfId="0" applyFont="1" applyFill="1" applyBorder="1" applyAlignment="1">
      <alignment horizontal="center"/>
    </xf>
    <xf numFmtId="0" fontId="19" fillId="34" borderId="0" xfId="0" applyFont="1" applyFill="1" applyBorder="1" applyAlignment="1">
      <alignment horizontal="center"/>
    </xf>
    <xf numFmtId="0" fontId="19" fillId="35" borderId="0" xfId="0" applyFont="1" applyFill="1" applyAlignment="1">
      <alignment horizontal="center"/>
    </xf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6</xdr:col>
      <xdr:colOff>304800</xdr:colOff>
      <xdr:row>2</xdr:row>
      <xdr:rowOff>114300</xdr:rowOff>
    </xdr:to>
    <xdr:sp macro="" textlink="">
      <xdr:nvSpPr>
        <xdr:cNvPr id="15361" name="AutoShape 1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304800</xdr:colOff>
      <xdr:row>3</xdr:row>
      <xdr:rowOff>114300</xdr:rowOff>
    </xdr:to>
    <xdr:sp macro="" textlink="">
      <xdr:nvSpPr>
        <xdr:cNvPr id="15362" name="AutoShape 2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114300</xdr:rowOff>
    </xdr:to>
    <xdr:sp macro="" textlink="">
      <xdr:nvSpPr>
        <xdr:cNvPr id="15363" name="AutoShape 3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304800</xdr:colOff>
      <xdr:row>5</xdr:row>
      <xdr:rowOff>114300</xdr:rowOff>
    </xdr:to>
    <xdr:sp macro="" textlink="">
      <xdr:nvSpPr>
        <xdr:cNvPr id="15364" name="AutoShape 4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304800</xdr:colOff>
      <xdr:row>6</xdr:row>
      <xdr:rowOff>114300</xdr:rowOff>
    </xdr:to>
    <xdr:sp macro="" textlink="">
      <xdr:nvSpPr>
        <xdr:cNvPr id="15365" name="AutoShape 5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304800</xdr:colOff>
      <xdr:row>7</xdr:row>
      <xdr:rowOff>114300</xdr:rowOff>
    </xdr:to>
    <xdr:sp macro="" textlink="">
      <xdr:nvSpPr>
        <xdr:cNvPr id="15366" name="AutoShape 6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304800</xdr:colOff>
      <xdr:row>8</xdr:row>
      <xdr:rowOff>114300</xdr:rowOff>
    </xdr:to>
    <xdr:sp macro="" textlink="">
      <xdr:nvSpPr>
        <xdr:cNvPr id="15367" name="AutoShape 7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304800</xdr:colOff>
      <xdr:row>9</xdr:row>
      <xdr:rowOff>114300</xdr:rowOff>
    </xdr:to>
    <xdr:sp macro="" textlink="">
      <xdr:nvSpPr>
        <xdr:cNvPr id="15368" name="AutoShape 8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304800</xdr:colOff>
      <xdr:row>10</xdr:row>
      <xdr:rowOff>114300</xdr:rowOff>
    </xdr:to>
    <xdr:sp macro="" textlink="">
      <xdr:nvSpPr>
        <xdr:cNvPr id="15369" name="AutoShape 9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304800</xdr:colOff>
      <xdr:row>11</xdr:row>
      <xdr:rowOff>114300</xdr:rowOff>
    </xdr:to>
    <xdr:sp macro="" textlink="">
      <xdr:nvSpPr>
        <xdr:cNvPr id="15370" name="AutoShape 10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304800</xdr:colOff>
      <xdr:row>12</xdr:row>
      <xdr:rowOff>114300</xdr:rowOff>
    </xdr:to>
    <xdr:sp macro="" textlink="">
      <xdr:nvSpPr>
        <xdr:cNvPr id="15371" name="AutoShape 11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114300</xdr:rowOff>
    </xdr:to>
    <xdr:sp macro="" textlink="">
      <xdr:nvSpPr>
        <xdr:cNvPr id="15372" name="AutoShape 12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304800</xdr:colOff>
      <xdr:row>14</xdr:row>
      <xdr:rowOff>114300</xdr:rowOff>
    </xdr:to>
    <xdr:sp macro="" textlink="">
      <xdr:nvSpPr>
        <xdr:cNvPr id="15373" name="AutoShape 13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15</xdr:row>
      <xdr:rowOff>114300</xdr:rowOff>
    </xdr:to>
    <xdr:sp macro="" textlink="">
      <xdr:nvSpPr>
        <xdr:cNvPr id="15374" name="AutoShape 14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304800</xdr:colOff>
      <xdr:row>16</xdr:row>
      <xdr:rowOff>114300</xdr:rowOff>
    </xdr:to>
    <xdr:sp macro="" textlink="">
      <xdr:nvSpPr>
        <xdr:cNvPr id="15375" name="AutoShape 15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304800</xdr:colOff>
      <xdr:row>17</xdr:row>
      <xdr:rowOff>114300</xdr:rowOff>
    </xdr:to>
    <xdr:sp macro="" textlink="">
      <xdr:nvSpPr>
        <xdr:cNvPr id="15376" name="AutoShape 16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304800</xdr:colOff>
      <xdr:row>18</xdr:row>
      <xdr:rowOff>114300</xdr:rowOff>
    </xdr:to>
    <xdr:sp macro="" textlink="">
      <xdr:nvSpPr>
        <xdr:cNvPr id="15377" name="AutoShape 17" descr="http://portail.test.ucm.be/NASCA2/images/icons/16x16/pencil.png"/>
        <xdr:cNvSpPr>
          <a:spLocks noChangeAspect="1" noChangeArrowheads="1"/>
        </xdr:cNvSpPr>
      </xdr:nvSpPr>
      <xdr:spPr bwMode="auto">
        <a:xfrm>
          <a:off x="4572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304800</xdr:colOff>
      <xdr:row>19</xdr:row>
      <xdr:rowOff>114300</xdr:rowOff>
    </xdr:to>
    <xdr:sp macro="" textlink="">
      <xdr:nvSpPr>
        <xdr:cNvPr id="5121" name="AutoShape 1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114300</xdr:rowOff>
    </xdr:to>
    <xdr:sp macro="" textlink="">
      <xdr:nvSpPr>
        <xdr:cNvPr id="5122" name="AutoShape 2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304800</xdr:colOff>
      <xdr:row>21</xdr:row>
      <xdr:rowOff>114300</xdr:rowOff>
    </xdr:to>
    <xdr:sp macro="" textlink="">
      <xdr:nvSpPr>
        <xdr:cNvPr id="5123" name="AutoShape 3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304800</xdr:colOff>
      <xdr:row>22</xdr:row>
      <xdr:rowOff>114300</xdr:rowOff>
    </xdr:to>
    <xdr:sp macro="" textlink="">
      <xdr:nvSpPr>
        <xdr:cNvPr id="5124" name="AutoShape 4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304800</xdr:colOff>
      <xdr:row>23</xdr:row>
      <xdr:rowOff>114300</xdr:rowOff>
    </xdr:to>
    <xdr:sp macro="" textlink="">
      <xdr:nvSpPr>
        <xdr:cNvPr id="5125" name="AutoShape 5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304800</xdr:colOff>
      <xdr:row>24</xdr:row>
      <xdr:rowOff>114300</xdr:rowOff>
    </xdr:to>
    <xdr:sp macro="" textlink="">
      <xdr:nvSpPr>
        <xdr:cNvPr id="5126" name="AutoShape 6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304800</xdr:colOff>
      <xdr:row>25</xdr:row>
      <xdr:rowOff>114300</xdr:rowOff>
    </xdr:to>
    <xdr:sp macro="" textlink="">
      <xdr:nvSpPr>
        <xdr:cNvPr id="5127" name="AutoShape 7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304800</xdr:colOff>
      <xdr:row>26</xdr:row>
      <xdr:rowOff>114300</xdr:rowOff>
    </xdr:to>
    <xdr:sp macro="" textlink="">
      <xdr:nvSpPr>
        <xdr:cNvPr id="5128" name="AutoShape 8" descr="http://portail.test.ucm.be/NASCA2/images/icons/16x16/pencil.png"/>
        <xdr:cNvSpPr>
          <a:spLocks noChangeAspect="1" noChangeArrowheads="1"/>
        </xdr:cNvSpPr>
      </xdr:nvSpPr>
      <xdr:spPr bwMode="auto">
        <a:xfrm>
          <a:off x="609600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jira.ucm.be/browse/CASTST-2393" TargetMode="External"/><Relationship Id="rId18" Type="http://schemas.openxmlformats.org/officeDocument/2006/relationships/hyperlink" Target="http://jira.ucm.be/browse/CASTST-2377" TargetMode="External"/><Relationship Id="rId26" Type="http://schemas.openxmlformats.org/officeDocument/2006/relationships/hyperlink" Target="http://jira.ucm.be/browse/CASTST-2364" TargetMode="External"/><Relationship Id="rId39" Type="http://schemas.openxmlformats.org/officeDocument/2006/relationships/hyperlink" Target="http://jira.ucm.be/browse/CASTST-2329" TargetMode="External"/><Relationship Id="rId21" Type="http://schemas.openxmlformats.org/officeDocument/2006/relationships/hyperlink" Target="http://jira.ucm.be/browse/CASTST-2373" TargetMode="External"/><Relationship Id="rId34" Type="http://schemas.openxmlformats.org/officeDocument/2006/relationships/hyperlink" Target="http://jira.ucm.be/browse/CASTST-2348" TargetMode="External"/><Relationship Id="rId42" Type="http://schemas.openxmlformats.org/officeDocument/2006/relationships/hyperlink" Target="http://jira.ucm.be/browse/CASTST-2326" TargetMode="External"/><Relationship Id="rId47" Type="http://schemas.openxmlformats.org/officeDocument/2006/relationships/hyperlink" Target="http://jira.ucm.be/browse/CASTST-2321" TargetMode="External"/><Relationship Id="rId50" Type="http://schemas.openxmlformats.org/officeDocument/2006/relationships/hyperlink" Target="http://jira.ucm.be/browse/CASTST-2318" TargetMode="External"/><Relationship Id="rId55" Type="http://schemas.openxmlformats.org/officeDocument/2006/relationships/hyperlink" Target="http://jira.ucm.be/browse/CASTST-2313" TargetMode="External"/><Relationship Id="rId63" Type="http://schemas.openxmlformats.org/officeDocument/2006/relationships/hyperlink" Target="http://jira.ucm.be/browse/CASTST-2301" TargetMode="External"/><Relationship Id="rId68" Type="http://schemas.openxmlformats.org/officeDocument/2006/relationships/hyperlink" Target="http://jira.ucm.be/browse/CASTST-830" TargetMode="External"/><Relationship Id="rId76" Type="http://schemas.openxmlformats.org/officeDocument/2006/relationships/hyperlink" Target="http://jira.ucm.be/browse/CASTST-809" TargetMode="External"/><Relationship Id="rId84" Type="http://schemas.openxmlformats.org/officeDocument/2006/relationships/hyperlink" Target="http://jira.ucm.be/browse/CASTST-775" TargetMode="External"/><Relationship Id="rId89" Type="http://schemas.openxmlformats.org/officeDocument/2006/relationships/hyperlink" Target="http://jira.ucm.be/browse/CASTST-2303" TargetMode="External"/><Relationship Id="rId7" Type="http://schemas.openxmlformats.org/officeDocument/2006/relationships/hyperlink" Target="http://jira.ucm.be/browse/CASTST-2972" TargetMode="External"/><Relationship Id="rId71" Type="http://schemas.openxmlformats.org/officeDocument/2006/relationships/hyperlink" Target="http://jira.ucm.be/browse/CASTST-818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http://jira.ucm.be/browse/CASTST-2978" TargetMode="External"/><Relationship Id="rId16" Type="http://schemas.openxmlformats.org/officeDocument/2006/relationships/hyperlink" Target="http://jira.ucm.be/browse/CASTST-2380" TargetMode="External"/><Relationship Id="rId29" Type="http://schemas.openxmlformats.org/officeDocument/2006/relationships/hyperlink" Target="http://jira.ucm.be/browse/CASTST-2353" TargetMode="External"/><Relationship Id="rId11" Type="http://schemas.openxmlformats.org/officeDocument/2006/relationships/hyperlink" Target="http://jira.ucm.be/browse/CASTST-2396" TargetMode="External"/><Relationship Id="rId24" Type="http://schemas.openxmlformats.org/officeDocument/2006/relationships/hyperlink" Target="http://jira.ucm.be/browse/CASTST-2367" TargetMode="External"/><Relationship Id="rId32" Type="http://schemas.openxmlformats.org/officeDocument/2006/relationships/hyperlink" Target="http://jira.ucm.be/browse/CASTST-2350" TargetMode="External"/><Relationship Id="rId37" Type="http://schemas.openxmlformats.org/officeDocument/2006/relationships/hyperlink" Target="http://jira.ucm.be/browse/CASTST-2345" TargetMode="External"/><Relationship Id="rId40" Type="http://schemas.openxmlformats.org/officeDocument/2006/relationships/hyperlink" Target="http://jira.ucm.be/browse/CASTST-2328" TargetMode="External"/><Relationship Id="rId45" Type="http://schemas.openxmlformats.org/officeDocument/2006/relationships/hyperlink" Target="http://jira.ucm.be/browse/CASTST-2323" TargetMode="External"/><Relationship Id="rId53" Type="http://schemas.openxmlformats.org/officeDocument/2006/relationships/hyperlink" Target="http://jira.ucm.be/browse/CASTST-2315" TargetMode="External"/><Relationship Id="rId58" Type="http://schemas.openxmlformats.org/officeDocument/2006/relationships/hyperlink" Target="http://jira.ucm.be/browse/CASTST-2310" TargetMode="External"/><Relationship Id="rId66" Type="http://schemas.openxmlformats.org/officeDocument/2006/relationships/hyperlink" Target="http://jira.ucm.be/browse/CASTST-834" TargetMode="External"/><Relationship Id="rId74" Type="http://schemas.openxmlformats.org/officeDocument/2006/relationships/hyperlink" Target="http://jira.ucm.be/browse/CASTST-812" TargetMode="External"/><Relationship Id="rId79" Type="http://schemas.openxmlformats.org/officeDocument/2006/relationships/hyperlink" Target="http://jira.ucm.be/browse/CASTST-795" TargetMode="External"/><Relationship Id="rId87" Type="http://schemas.openxmlformats.org/officeDocument/2006/relationships/hyperlink" Target="http://jira.ucm.be/browse/CASTST-743" TargetMode="External"/><Relationship Id="rId5" Type="http://schemas.openxmlformats.org/officeDocument/2006/relationships/hyperlink" Target="http://jira.ucm.be/browse/CASTST-2975" TargetMode="External"/><Relationship Id="rId61" Type="http://schemas.openxmlformats.org/officeDocument/2006/relationships/hyperlink" Target="http://jira.ucm.be/browse/CASTST-2303" TargetMode="External"/><Relationship Id="rId82" Type="http://schemas.openxmlformats.org/officeDocument/2006/relationships/hyperlink" Target="http://jira.ucm.be/browse/CASTST-778" TargetMode="External"/><Relationship Id="rId90" Type="http://schemas.openxmlformats.org/officeDocument/2006/relationships/hyperlink" Target="http://jira.ucm.be/browse/CASTST-2364" TargetMode="External"/><Relationship Id="rId19" Type="http://schemas.openxmlformats.org/officeDocument/2006/relationships/hyperlink" Target="http://jira.ucm.be/browse/CASTST-2375" TargetMode="External"/><Relationship Id="rId14" Type="http://schemas.openxmlformats.org/officeDocument/2006/relationships/hyperlink" Target="http://jira.ucm.be/browse/CASTST-2382" TargetMode="External"/><Relationship Id="rId22" Type="http://schemas.openxmlformats.org/officeDocument/2006/relationships/hyperlink" Target="http://jira.ucm.be/browse/CASTST-2370" TargetMode="External"/><Relationship Id="rId27" Type="http://schemas.openxmlformats.org/officeDocument/2006/relationships/hyperlink" Target="http://jira.ucm.be/browse/CASTST-2361" TargetMode="External"/><Relationship Id="rId30" Type="http://schemas.openxmlformats.org/officeDocument/2006/relationships/hyperlink" Target="http://jira.ucm.be/browse/CASTST-2352" TargetMode="External"/><Relationship Id="rId35" Type="http://schemas.openxmlformats.org/officeDocument/2006/relationships/hyperlink" Target="http://jira.ucm.be/browse/CASTST-2347" TargetMode="External"/><Relationship Id="rId43" Type="http://schemas.openxmlformats.org/officeDocument/2006/relationships/hyperlink" Target="http://jira.ucm.be/browse/CASTST-2325" TargetMode="External"/><Relationship Id="rId48" Type="http://schemas.openxmlformats.org/officeDocument/2006/relationships/hyperlink" Target="http://jira.ucm.be/browse/CASTST-2320" TargetMode="External"/><Relationship Id="rId56" Type="http://schemas.openxmlformats.org/officeDocument/2006/relationships/hyperlink" Target="http://jira.ucm.be/browse/CASTST-2312" TargetMode="External"/><Relationship Id="rId64" Type="http://schemas.openxmlformats.org/officeDocument/2006/relationships/hyperlink" Target="http://jira.ucm.be/browse/CASTST-836" TargetMode="External"/><Relationship Id="rId69" Type="http://schemas.openxmlformats.org/officeDocument/2006/relationships/hyperlink" Target="http://jira.ucm.be/browse/CASTST-820" TargetMode="External"/><Relationship Id="rId77" Type="http://schemas.openxmlformats.org/officeDocument/2006/relationships/hyperlink" Target="http://jira.ucm.be/browse/CASTST-803" TargetMode="External"/><Relationship Id="rId8" Type="http://schemas.openxmlformats.org/officeDocument/2006/relationships/hyperlink" Target="http://jira.ucm.be/browse/CASTST-2971" TargetMode="External"/><Relationship Id="rId51" Type="http://schemas.openxmlformats.org/officeDocument/2006/relationships/hyperlink" Target="http://jira.ucm.be/browse/CASTST-2317" TargetMode="External"/><Relationship Id="rId72" Type="http://schemas.openxmlformats.org/officeDocument/2006/relationships/hyperlink" Target="http://jira.ucm.be/browse/CASTST-815" TargetMode="External"/><Relationship Id="rId80" Type="http://schemas.openxmlformats.org/officeDocument/2006/relationships/hyperlink" Target="http://jira.ucm.be/browse/CASTST-794" TargetMode="External"/><Relationship Id="rId85" Type="http://schemas.openxmlformats.org/officeDocument/2006/relationships/hyperlink" Target="http://jira.ucm.be/browse/CASTST-774" TargetMode="External"/><Relationship Id="rId3" Type="http://schemas.openxmlformats.org/officeDocument/2006/relationships/hyperlink" Target="http://jira.ucm.be/browse/CASTST-2977" TargetMode="External"/><Relationship Id="rId12" Type="http://schemas.openxmlformats.org/officeDocument/2006/relationships/hyperlink" Target="http://jira.ucm.be/browse/CASTST-2395" TargetMode="External"/><Relationship Id="rId17" Type="http://schemas.openxmlformats.org/officeDocument/2006/relationships/hyperlink" Target="http://jira.ucm.be/browse/CASTST-2378" TargetMode="External"/><Relationship Id="rId25" Type="http://schemas.openxmlformats.org/officeDocument/2006/relationships/hyperlink" Target="http://jira.ucm.be/browse/CASTST-2366" TargetMode="External"/><Relationship Id="rId33" Type="http://schemas.openxmlformats.org/officeDocument/2006/relationships/hyperlink" Target="http://jira.ucm.be/browse/CASTST-2349" TargetMode="External"/><Relationship Id="rId38" Type="http://schemas.openxmlformats.org/officeDocument/2006/relationships/hyperlink" Target="http://jira.ucm.be/browse/CASTST-2344" TargetMode="External"/><Relationship Id="rId46" Type="http://schemas.openxmlformats.org/officeDocument/2006/relationships/hyperlink" Target="http://jira.ucm.be/browse/CASTST-2322" TargetMode="External"/><Relationship Id="rId59" Type="http://schemas.openxmlformats.org/officeDocument/2006/relationships/hyperlink" Target="http://jira.ucm.be/browse/CASTST-2309" TargetMode="External"/><Relationship Id="rId67" Type="http://schemas.openxmlformats.org/officeDocument/2006/relationships/hyperlink" Target="http://jira.ucm.be/browse/CASTST-833" TargetMode="External"/><Relationship Id="rId20" Type="http://schemas.openxmlformats.org/officeDocument/2006/relationships/hyperlink" Target="http://jira.ucm.be/browse/CASTST-2374" TargetMode="External"/><Relationship Id="rId41" Type="http://schemas.openxmlformats.org/officeDocument/2006/relationships/hyperlink" Target="http://jira.ucm.be/browse/CASTST-2327" TargetMode="External"/><Relationship Id="rId54" Type="http://schemas.openxmlformats.org/officeDocument/2006/relationships/hyperlink" Target="http://jira.ucm.be/browse/CASTST-2314" TargetMode="External"/><Relationship Id="rId62" Type="http://schemas.openxmlformats.org/officeDocument/2006/relationships/hyperlink" Target="http://jira.ucm.be/browse/CASTST-2302" TargetMode="External"/><Relationship Id="rId70" Type="http://schemas.openxmlformats.org/officeDocument/2006/relationships/hyperlink" Target="http://jira.ucm.be/browse/CASTST-819" TargetMode="External"/><Relationship Id="rId75" Type="http://schemas.openxmlformats.org/officeDocument/2006/relationships/hyperlink" Target="http://jira.ucm.be/browse/CASTST-810" TargetMode="External"/><Relationship Id="rId83" Type="http://schemas.openxmlformats.org/officeDocument/2006/relationships/hyperlink" Target="http://jira.ucm.be/browse/CASTST-777" TargetMode="External"/><Relationship Id="rId88" Type="http://schemas.openxmlformats.org/officeDocument/2006/relationships/hyperlink" Target="http://jira.ucm.be/browse/CASTST-2303" TargetMode="External"/><Relationship Id="rId91" Type="http://schemas.openxmlformats.org/officeDocument/2006/relationships/hyperlink" Target="http://jira.ucm.be/browse/CASTST-2364" TargetMode="External"/><Relationship Id="rId1" Type="http://schemas.openxmlformats.org/officeDocument/2006/relationships/hyperlink" Target="http://jira.ucm.be/browse/CASTST-2981" TargetMode="External"/><Relationship Id="rId6" Type="http://schemas.openxmlformats.org/officeDocument/2006/relationships/hyperlink" Target="http://jira.ucm.be/browse/CASTST-2974" TargetMode="External"/><Relationship Id="rId15" Type="http://schemas.openxmlformats.org/officeDocument/2006/relationships/hyperlink" Target="http://jira.ucm.be/browse/CASTST-2381" TargetMode="External"/><Relationship Id="rId23" Type="http://schemas.openxmlformats.org/officeDocument/2006/relationships/hyperlink" Target="http://jira.ucm.be/browse/CASTST-2369" TargetMode="External"/><Relationship Id="rId28" Type="http://schemas.openxmlformats.org/officeDocument/2006/relationships/hyperlink" Target="http://jira.ucm.be/browse/CASTST-2354" TargetMode="External"/><Relationship Id="rId36" Type="http://schemas.openxmlformats.org/officeDocument/2006/relationships/hyperlink" Target="http://jira.ucm.be/browse/CASTST-2346" TargetMode="External"/><Relationship Id="rId49" Type="http://schemas.openxmlformats.org/officeDocument/2006/relationships/hyperlink" Target="http://jira.ucm.be/browse/CASTST-2319" TargetMode="External"/><Relationship Id="rId57" Type="http://schemas.openxmlformats.org/officeDocument/2006/relationships/hyperlink" Target="http://jira.ucm.be/browse/CASTST-2311" TargetMode="External"/><Relationship Id="rId10" Type="http://schemas.openxmlformats.org/officeDocument/2006/relationships/hyperlink" Target="http://jira.ucm.be/browse/CASTST-2399" TargetMode="External"/><Relationship Id="rId31" Type="http://schemas.openxmlformats.org/officeDocument/2006/relationships/hyperlink" Target="http://jira.ucm.be/browse/CASTST-2351" TargetMode="External"/><Relationship Id="rId44" Type="http://schemas.openxmlformats.org/officeDocument/2006/relationships/hyperlink" Target="http://jira.ucm.be/browse/CASTST-2324" TargetMode="External"/><Relationship Id="rId52" Type="http://schemas.openxmlformats.org/officeDocument/2006/relationships/hyperlink" Target="http://jira.ucm.be/browse/CASTST-2316" TargetMode="External"/><Relationship Id="rId60" Type="http://schemas.openxmlformats.org/officeDocument/2006/relationships/hyperlink" Target="http://jira.ucm.be/browse/CASTST-2308" TargetMode="External"/><Relationship Id="rId65" Type="http://schemas.openxmlformats.org/officeDocument/2006/relationships/hyperlink" Target="http://jira.ucm.be/browse/CASTST-835" TargetMode="External"/><Relationship Id="rId73" Type="http://schemas.openxmlformats.org/officeDocument/2006/relationships/hyperlink" Target="http://jira.ucm.be/browse/CASTST-814" TargetMode="External"/><Relationship Id="rId78" Type="http://schemas.openxmlformats.org/officeDocument/2006/relationships/hyperlink" Target="http://jira.ucm.be/browse/CASTST-802" TargetMode="External"/><Relationship Id="rId81" Type="http://schemas.openxmlformats.org/officeDocument/2006/relationships/hyperlink" Target="http://jira.ucm.be/browse/CASTST-793" TargetMode="External"/><Relationship Id="rId86" Type="http://schemas.openxmlformats.org/officeDocument/2006/relationships/hyperlink" Target="http://jira.ucm.be/browse/CASTST-773" TargetMode="External"/><Relationship Id="rId4" Type="http://schemas.openxmlformats.org/officeDocument/2006/relationships/hyperlink" Target="http://jira.ucm.be/browse/CASTST-2976" TargetMode="External"/><Relationship Id="rId9" Type="http://schemas.openxmlformats.org/officeDocument/2006/relationships/hyperlink" Target="http://jira.ucm.be/browse/CASTST-240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6"/>
  <sheetViews>
    <sheetView topLeftCell="A2" workbookViewId="0">
      <selection activeCell="D36" sqref="D36"/>
    </sheetView>
  </sheetViews>
  <sheetFormatPr baseColWidth="10" defaultColWidth="9.140625" defaultRowHeight="12.75" x14ac:dyDescent="0.2"/>
  <cols>
    <col min="1" max="2" width="22.140625" style="1" customWidth="1"/>
    <col min="3" max="3" width="12.140625" style="13" bestFit="1" customWidth="1"/>
    <col min="4" max="4" width="51.140625" style="14" customWidth="1"/>
    <col min="5" max="5" width="17.5703125" style="10" customWidth="1"/>
    <col min="6" max="6" width="17.140625" style="10" customWidth="1"/>
    <col min="7" max="7" width="14.85546875" style="11" customWidth="1"/>
    <col min="8" max="8" width="17.140625" style="10" customWidth="1"/>
    <col min="9" max="9" width="12" style="11" customWidth="1"/>
    <col min="10" max="10" width="22.140625" style="10" customWidth="1"/>
    <col min="11" max="11" width="17.140625" style="10" customWidth="1"/>
    <col min="12" max="12" width="16.42578125" style="11" customWidth="1"/>
    <col min="13" max="13" width="9.140625" style="1"/>
    <col min="14" max="15" width="9.140625" style="1" customWidth="1"/>
    <col min="16" max="16384" width="9.140625" style="1"/>
  </cols>
  <sheetData>
    <row r="1" spans="1:12" x14ac:dyDescent="0.2">
      <c r="A1" s="75" t="s">
        <v>278</v>
      </c>
      <c r="B1" s="75"/>
      <c r="C1" s="75"/>
      <c r="D1" s="75"/>
      <c r="E1" s="72" t="s">
        <v>271</v>
      </c>
      <c r="F1" s="72"/>
      <c r="G1" s="72"/>
      <c r="H1" s="74" t="s">
        <v>276</v>
      </c>
      <c r="I1" s="74"/>
      <c r="J1" s="73" t="s">
        <v>274</v>
      </c>
      <c r="K1" s="73"/>
      <c r="L1" s="73"/>
    </row>
    <row r="2" spans="1:12" ht="25.5" x14ac:dyDescent="0.2">
      <c r="A2" s="2" t="s">
        <v>269</v>
      </c>
      <c r="B2" s="2" t="s">
        <v>356</v>
      </c>
      <c r="C2" s="3" t="s">
        <v>270</v>
      </c>
      <c r="D2" s="3" t="s">
        <v>183</v>
      </c>
      <c r="E2" s="3" t="s">
        <v>273</v>
      </c>
      <c r="F2" s="3" t="s">
        <v>92</v>
      </c>
      <c r="G2" s="3" t="s">
        <v>272</v>
      </c>
      <c r="H2" s="3" t="s">
        <v>277</v>
      </c>
      <c r="I2" s="3" t="s">
        <v>275</v>
      </c>
      <c r="J2" s="3" t="s">
        <v>273</v>
      </c>
      <c r="K2" s="3" t="s">
        <v>92</v>
      </c>
      <c r="L2" s="3" t="s">
        <v>272</v>
      </c>
    </row>
    <row r="3" spans="1:12" hidden="1" x14ac:dyDescent="0.2">
      <c r="A3" s="4" t="s">
        <v>128</v>
      </c>
      <c r="B3" s="4">
        <v>1</v>
      </c>
      <c r="C3" s="5" t="s">
        <v>75</v>
      </c>
      <c r="D3" s="6" t="s">
        <v>184</v>
      </c>
      <c r="E3" s="7" t="s">
        <v>182</v>
      </c>
      <c r="F3" s="7"/>
      <c r="G3" s="7"/>
      <c r="H3" s="7" t="s">
        <v>87</v>
      </c>
      <c r="I3" s="7"/>
      <c r="J3" s="7" t="s">
        <v>182</v>
      </c>
      <c r="K3" s="7"/>
      <c r="L3" s="7"/>
    </row>
    <row r="4" spans="1:12" hidden="1" x14ac:dyDescent="0.2">
      <c r="A4" s="4" t="s">
        <v>146</v>
      </c>
      <c r="B4" s="4">
        <v>1</v>
      </c>
      <c r="C4" s="5" t="s">
        <v>1</v>
      </c>
      <c r="D4" s="6" t="s">
        <v>185</v>
      </c>
      <c r="E4" s="7" t="s">
        <v>182</v>
      </c>
      <c r="F4" s="7"/>
      <c r="G4" s="7"/>
      <c r="H4" s="7" t="s">
        <v>87</v>
      </c>
      <c r="I4" s="7"/>
      <c r="J4" s="7" t="s">
        <v>182</v>
      </c>
      <c r="K4" s="7"/>
      <c r="L4" s="7"/>
    </row>
    <row r="5" spans="1:12" ht="25.5" hidden="1" x14ac:dyDescent="0.2">
      <c r="A5" s="4" t="s">
        <v>116</v>
      </c>
      <c r="B5" s="4">
        <v>1</v>
      </c>
      <c r="C5" s="5" t="s">
        <v>62</v>
      </c>
      <c r="D5" s="6" t="s">
        <v>186</v>
      </c>
      <c r="E5" s="7" t="s">
        <v>100</v>
      </c>
      <c r="F5" s="7"/>
      <c r="G5" s="7"/>
      <c r="H5" s="7" t="s">
        <v>87</v>
      </c>
      <c r="I5" s="7"/>
      <c r="J5" s="7" t="s">
        <v>100</v>
      </c>
      <c r="K5" s="7"/>
      <c r="L5" s="7" t="s">
        <v>90</v>
      </c>
    </row>
    <row r="6" spans="1:12" ht="25.5" hidden="1" x14ac:dyDescent="0.2">
      <c r="A6" s="4" t="s">
        <v>115</v>
      </c>
      <c r="B6" s="4">
        <v>1</v>
      </c>
      <c r="C6" s="5" t="s">
        <v>61</v>
      </c>
      <c r="D6" s="6" t="s">
        <v>187</v>
      </c>
      <c r="E6" s="7" t="s">
        <v>102</v>
      </c>
      <c r="F6" s="7"/>
      <c r="G6" s="7"/>
      <c r="H6" s="7" t="s">
        <v>87</v>
      </c>
      <c r="I6" s="7"/>
      <c r="J6" s="7" t="s">
        <v>182</v>
      </c>
      <c r="K6" s="7"/>
      <c r="L6" s="7" t="s">
        <v>90</v>
      </c>
    </row>
    <row r="7" spans="1:12" hidden="1" x14ac:dyDescent="0.2">
      <c r="A7" s="4" t="s">
        <v>279</v>
      </c>
      <c r="B7" s="4">
        <v>1</v>
      </c>
      <c r="C7" s="5" t="s">
        <v>60</v>
      </c>
      <c r="D7" s="6" t="s">
        <v>188</v>
      </c>
      <c r="E7" s="7" t="s">
        <v>101</v>
      </c>
      <c r="F7" s="7" t="s">
        <v>91</v>
      </c>
      <c r="G7" s="7"/>
      <c r="H7" s="7" t="s">
        <v>87</v>
      </c>
      <c r="I7" s="7"/>
      <c r="J7" s="7" t="s">
        <v>182</v>
      </c>
      <c r="K7" s="7" t="s">
        <v>91</v>
      </c>
      <c r="L7" s="7" t="s">
        <v>90</v>
      </c>
    </row>
    <row r="8" spans="1:12" hidden="1" x14ac:dyDescent="0.2">
      <c r="A8" s="4" t="s">
        <v>280</v>
      </c>
      <c r="B8" s="4">
        <v>1</v>
      </c>
      <c r="C8" s="5" t="s">
        <v>60</v>
      </c>
      <c r="D8" s="6" t="s">
        <v>188</v>
      </c>
      <c r="E8" s="7" t="s">
        <v>101</v>
      </c>
      <c r="F8" s="7" t="s">
        <v>91</v>
      </c>
      <c r="G8" s="7"/>
      <c r="H8" s="7" t="s">
        <v>87</v>
      </c>
      <c r="I8" s="7"/>
      <c r="J8" s="7" t="s">
        <v>182</v>
      </c>
      <c r="K8" s="7" t="s">
        <v>91</v>
      </c>
      <c r="L8" s="7" t="s">
        <v>90</v>
      </c>
    </row>
    <row r="9" spans="1:12" hidden="1" x14ac:dyDescent="0.2">
      <c r="A9" s="4" t="s">
        <v>281</v>
      </c>
      <c r="B9" s="4">
        <v>1</v>
      </c>
      <c r="C9" s="5" t="s">
        <v>60</v>
      </c>
      <c r="D9" s="6" t="s">
        <v>188</v>
      </c>
      <c r="E9" s="7" t="s">
        <v>101</v>
      </c>
      <c r="F9" s="7" t="s">
        <v>91</v>
      </c>
      <c r="G9" s="7"/>
      <c r="H9" s="7" t="s">
        <v>87</v>
      </c>
      <c r="I9" s="7"/>
      <c r="J9" s="7" t="s">
        <v>182</v>
      </c>
      <c r="K9" s="7" t="s">
        <v>91</v>
      </c>
      <c r="L9" s="7" t="s">
        <v>90</v>
      </c>
    </row>
    <row r="10" spans="1:12" ht="25.5" hidden="1" x14ac:dyDescent="0.2">
      <c r="A10" s="4" t="s">
        <v>99</v>
      </c>
      <c r="B10" s="4">
        <v>1</v>
      </c>
      <c r="C10" s="5" t="s">
        <v>59</v>
      </c>
      <c r="D10" s="6" t="s">
        <v>189</v>
      </c>
      <c r="E10" s="7" t="s">
        <v>100</v>
      </c>
      <c r="F10" s="7" t="s">
        <v>91</v>
      </c>
      <c r="G10" s="7" t="s">
        <v>90</v>
      </c>
      <c r="H10" s="7" t="s">
        <v>87</v>
      </c>
      <c r="I10" s="7"/>
      <c r="J10" s="7" t="s">
        <v>100</v>
      </c>
      <c r="K10" s="7" t="s">
        <v>91</v>
      </c>
      <c r="L10" s="7"/>
    </row>
    <row r="11" spans="1:12" ht="25.5" hidden="1" x14ac:dyDescent="0.2">
      <c r="A11" s="4" t="s">
        <v>98</v>
      </c>
      <c r="B11" s="4">
        <v>1</v>
      </c>
      <c r="C11" s="5" t="s">
        <v>49</v>
      </c>
      <c r="D11" s="6" t="s">
        <v>190</v>
      </c>
      <c r="E11" s="7" t="s">
        <v>100</v>
      </c>
      <c r="F11" s="7" t="s">
        <v>91</v>
      </c>
      <c r="G11" s="7"/>
      <c r="H11" s="7" t="s">
        <v>87</v>
      </c>
      <c r="I11" s="7"/>
      <c r="J11" s="7" t="s">
        <v>100</v>
      </c>
      <c r="K11" s="7" t="s">
        <v>91</v>
      </c>
      <c r="L11" s="7"/>
    </row>
    <row r="12" spans="1:12" ht="25.5" hidden="1" x14ac:dyDescent="0.2">
      <c r="A12" s="4" t="s">
        <v>107</v>
      </c>
      <c r="B12" s="4">
        <v>1</v>
      </c>
      <c r="C12" s="5" t="s">
        <v>52</v>
      </c>
      <c r="D12" s="6" t="s">
        <v>191</v>
      </c>
      <c r="E12" s="7" t="s">
        <v>102</v>
      </c>
      <c r="F12" s="7" t="s">
        <v>91</v>
      </c>
      <c r="G12" s="7" t="s">
        <v>90</v>
      </c>
      <c r="H12" s="7" t="s">
        <v>87</v>
      </c>
      <c r="I12" s="7"/>
      <c r="J12" s="7" t="s">
        <v>100</v>
      </c>
      <c r="K12" s="7" t="s">
        <v>91</v>
      </c>
      <c r="L12" s="7"/>
    </row>
    <row r="13" spans="1:12" ht="25.5" hidden="1" x14ac:dyDescent="0.2">
      <c r="A13" s="4" t="s">
        <v>111</v>
      </c>
      <c r="B13" s="4">
        <v>1</v>
      </c>
      <c r="C13" s="5" t="s">
        <v>51</v>
      </c>
      <c r="D13" s="6" t="s">
        <v>192</v>
      </c>
      <c r="E13" s="7" t="s">
        <v>102</v>
      </c>
      <c r="F13" s="7" t="s">
        <v>91</v>
      </c>
      <c r="G13" s="7"/>
      <c r="H13" s="7" t="s">
        <v>87</v>
      </c>
      <c r="I13" s="7"/>
      <c r="J13" s="7" t="s">
        <v>100</v>
      </c>
      <c r="K13" s="7" t="s">
        <v>91</v>
      </c>
      <c r="L13" s="7"/>
    </row>
    <row r="14" spans="1:12" ht="25.5" x14ac:dyDescent="0.2">
      <c r="A14" s="4" t="s">
        <v>126</v>
      </c>
      <c r="B14" s="4"/>
      <c r="C14" s="5" t="s">
        <v>50</v>
      </c>
      <c r="D14" s="6" t="s">
        <v>193</v>
      </c>
      <c r="E14" s="7" t="s">
        <v>102</v>
      </c>
      <c r="F14" s="7" t="s">
        <v>95</v>
      </c>
      <c r="G14" s="7"/>
      <c r="H14" s="7" t="s">
        <v>87</v>
      </c>
      <c r="I14" s="7"/>
      <c r="J14" s="7" t="s">
        <v>100</v>
      </c>
      <c r="K14" s="7" t="s">
        <v>95</v>
      </c>
      <c r="L14" s="7"/>
    </row>
    <row r="15" spans="1:12" ht="25.5" x14ac:dyDescent="0.2">
      <c r="A15" s="4" t="s">
        <v>127</v>
      </c>
      <c r="B15" s="4"/>
      <c r="C15" s="5" t="s">
        <v>53</v>
      </c>
      <c r="D15" s="6" t="s">
        <v>194</v>
      </c>
      <c r="E15" s="7" t="s">
        <v>102</v>
      </c>
      <c r="F15" s="7" t="s">
        <v>95</v>
      </c>
      <c r="G15" s="7" t="s">
        <v>90</v>
      </c>
      <c r="H15" s="7" t="s">
        <v>87</v>
      </c>
      <c r="I15" s="7"/>
      <c r="J15" s="7" t="s">
        <v>100</v>
      </c>
      <c r="K15" s="7" t="s">
        <v>95</v>
      </c>
      <c r="L15" s="7"/>
    </row>
    <row r="16" spans="1:12" ht="25.5" hidden="1" x14ac:dyDescent="0.2">
      <c r="A16" s="4" t="s">
        <v>119</v>
      </c>
      <c r="B16" s="4">
        <v>1</v>
      </c>
      <c r="C16" s="5" t="s">
        <v>58</v>
      </c>
      <c r="D16" s="6" t="s">
        <v>195</v>
      </c>
      <c r="E16" s="7" t="s">
        <v>101</v>
      </c>
      <c r="F16" s="7" t="s">
        <v>91</v>
      </c>
      <c r="G16" s="7" t="s">
        <v>90</v>
      </c>
      <c r="H16" s="7" t="s">
        <v>87</v>
      </c>
      <c r="I16" s="7"/>
      <c r="J16" s="7" t="s">
        <v>100</v>
      </c>
      <c r="K16" s="7" t="s">
        <v>91</v>
      </c>
      <c r="L16" s="7"/>
    </row>
    <row r="17" spans="1:12" s="26" customFormat="1" ht="25.5" hidden="1" x14ac:dyDescent="0.2">
      <c r="A17" s="22" t="s">
        <v>54</v>
      </c>
      <c r="B17" s="22">
        <v>1</v>
      </c>
      <c r="C17" s="23" t="s">
        <v>54</v>
      </c>
      <c r="D17" s="24" t="s">
        <v>196</v>
      </c>
      <c r="E17" s="25" t="s">
        <v>101</v>
      </c>
      <c r="F17" s="25" t="s">
        <v>91</v>
      </c>
      <c r="G17" s="25"/>
      <c r="H17" s="25" t="s">
        <v>87</v>
      </c>
      <c r="I17" s="25"/>
      <c r="J17" s="25" t="s">
        <v>100</v>
      </c>
      <c r="K17" s="25" t="s">
        <v>91</v>
      </c>
      <c r="L17" s="25"/>
    </row>
    <row r="18" spans="1:12" ht="25.5" hidden="1" x14ac:dyDescent="0.2">
      <c r="A18" s="4" t="s">
        <v>170</v>
      </c>
      <c r="B18" s="4">
        <v>1</v>
      </c>
      <c r="C18" s="5" t="s">
        <v>57</v>
      </c>
      <c r="D18" s="6" t="s">
        <v>197</v>
      </c>
      <c r="E18" s="7" t="s">
        <v>101</v>
      </c>
      <c r="F18" s="7" t="s">
        <v>91</v>
      </c>
      <c r="G18" s="7"/>
      <c r="H18" s="7" t="s">
        <v>87</v>
      </c>
      <c r="I18" s="7"/>
      <c r="J18" s="7" t="s">
        <v>100</v>
      </c>
      <c r="K18" s="7" t="s">
        <v>91</v>
      </c>
      <c r="L18" s="7"/>
    </row>
    <row r="19" spans="1:12" ht="25.5" hidden="1" x14ac:dyDescent="0.2">
      <c r="A19" s="4" t="s">
        <v>121</v>
      </c>
      <c r="B19" s="4">
        <v>1</v>
      </c>
      <c r="C19" s="5" t="s">
        <v>56</v>
      </c>
      <c r="D19" s="6" t="s">
        <v>198</v>
      </c>
      <c r="E19" s="7" t="s">
        <v>101</v>
      </c>
      <c r="F19" s="7" t="s">
        <v>91</v>
      </c>
      <c r="G19" s="7" t="s">
        <v>93</v>
      </c>
      <c r="H19" s="7" t="s">
        <v>87</v>
      </c>
      <c r="I19" s="7"/>
      <c r="J19" s="7" t="s">
        <v>100</v>
      </c>
      <c r="K19" s="7" t="s">
        <v>91</v>
      </c>
      <c r="L19" s="7"/>
    </row>
    <row r="20" spans="1:12" ht="25.5" x14ac:dyDescent="0.2">
      <c r="A20" s="4" t="s">
        <v>124</v>
      </c>
      <c r="B20" s="4"/>
      <c r="C20" s="5" t="s">
        <v>55</v>
      </c>
      <c r="D20" s="6" t="s">
        <v>199</v>
      </c>
      <c r="E20" s="7" t="s">
        <v>101</v>
      </c>
      <c r="F20" s="7" t="s">
        <v>95</v>
      </c>
      <c r="G20" s="7"/>
      <c r="H20" s="7" t="s">
        <v>87</v>
      </c>
      <c r="I20" s="7"/>
      <c r="J20" s="7" t="s">
        <v>100</v>
      </c>
      <c r="K20" s="7" t="s">
        <v>95</v>
      </c>
      <c r="L20" s="7"/>
    </row>
    <row r="21" spans="1:12" ht="25.5" x14ac:dyDescent="0.2">
      <c r="A21" s="4" t="s">
        <v>174</v>
      </c>
      <c r="B21" s="4"/>
      <c r="C21" s="5" t="s">
        <v>86</v>
      </c>
      <c r="D21" s="6" t="s">
        <v>200</v>
      </c>
      <c r="E21" s="7" t="s">
        <v>101</v>
      </c>
      <c r="F21" s="7" t="s">
        <v>95</v>
      </c>
      <c r="G21" s="7" t="s">
        <v>90</v>
      </c>
      <c r="H21" s="7" t="s">
        <v>87</v>
      </c>
      <c r="I21" s="7"/>
      <c r="J21" s="7" t="s">
        <v>100</v>
      </c>
      <c r="K21" s="7" t="s">
        <v>95</v>
      </c>
      <c r="L21" s="7"/>
    </row>
    <row r="22" spans="1:12" ht="25.5" hidden="1" x14ac:dyDescent="0.2">
      <c r="A22" s="4" t="s">
        <v>105</v>
      </c>
      <c r="B22" s="4">
        <v>1</v>
      </c>
      <c r="C22" s="5" t="s">
        <v>39</v>
      </c>
      <c r="D22" s="6" t="s">
        <v>201</v>
      </c>
      <c r="E22" s="7" t="s">
        <v>100</v>
      </c>
      <c r="F22" s="7" t="s">
        <v>91</v>
      </c>
      <c r="G22" s="7" t="s">
        <v>90</v>
      </c>
      <c r="H22" s="7" t="s">
        <v>87</v>
      </c>
      <c r="I22" s="7"/>
      <c r="J22" s="7" t="s">
        <v>102</v>
      </c>
      <c r="K22" s="7" t="s">
        <v>91</v>
      </c>
      <c r="L22" s="7"/>
    </row>
    <row r="23" spans="1:12" ht="25.5" hidden="1" x14ac:dyDescent="0.2">
      <c r="A23" s="4" t="s">
        <v>106</v>
      </c>
      <c r="B23" s="4">
        <v>1</v>
      </c>
      <c r="C23" s="5" t="s">
        <v>47</v>
      </c>
      <c r="D23" s="6" t="s">
        <v>202</v>
      </c>
      <c r="E23" s="7" t="s">
        <v>100</v>
      </c>
      <c r="F23" s="7" t="s">
        <v>91</v>
      </c>
      <c r="G23" s="7"/>
      <c r="H23" s="7" t="s">
        <v>87</v>
      </c>
      <c r="I23" s="7"/>
      <c r="J23" s="7" t="s">
        <v>102</v>
      </c>
      <c r="K23" s="7" t="s">
        <v>95</v>
      </c>
      <c r="L23" s="7"/>
    </row>
    <row r="24" spans="1:12" ht="25.5" hidden="1" x14ac:dyDescent="0.2">
      <c r="A24" s="4" t="s">
        <v>120</v>
      </c>
      <c r="B24" s="4">
        <v>1</v>
      </c>
      <c r="C24" s="5" t="s">
        <v>48</v>
      </c>
      <c r="D24" s="6" t="s">
        <v>203</v>
      </c>
      <c r="E24" s="7" t="s">
        <v>100</v>
      </c>
      <c r="F24" s="7" t="s">
        <v>91</v>
      </c>
      <c r="G24" s="7"/>
      <c r="H24" s="7" t="s">
        <v>87</v>
      </c>
      <c r="I24" s="7"/>
      <c r="J24" s="7" t="s">
        <v>102</v>
      </c>
      <c r="K24" s="7" t="s">
        <v>91</v>
      </c>
      <c r="L24" s="7"/>
    </row>
    <row r="25" spans="1:12" ht="25.5" x14ac:dyDescent="0.2">
      <c r="A25" s="4" t="s">
        <v>171</v>
      </c>
      <c r="B25" s="4"/>
      <c r="C25" s="5" t="s">
        <v>38</v>
      </c>
      <c r="D25" s="6" t="s">
        <v>204</v>
      </c>
      <c r="E25" s="7" t="s">
        <v>100</v>
      </c>
      <c r="F25" s="7" t="s">
        <v>95</v>
      </c>
      <c r="G25" s="7"/>
      <c r="H25" s="7" t="s">
        <v>87</v>
      </c>
      <c r="I25" s="7"/>
      <c r="J25" s="7" t="s">
        <v>102</v>
      </c>
      <c r="K25" s="7" t="s">
        <v>95</v>
      </c>
      <c r="L25" s="7"/>
    </row>
    <row r="26" spans="1:12" ht="25.5" hidden="1" x14ac:dyDescent="0.2">
      <c r="A26" s="4" t="s">
        <v>109</v>
      </c>
      <c r="B26" s="4">
        <v>1</v>
      </c>
      <c r="C26" s="5" t="s">
        <v>43</v>
      </c>
      <c r="D26" s="35" t="s">
        <v>355</v>
      </c>
      <c r="E26" s="7" t="s">
        <v>102</v>
      </c>
      <c r="F26" s="7" t="s">
        <v>91</v>
      </c>
      <c r="G26" s="7"/>
      <c r="H26" s="7" t="s">
        <v>87</v>
      </c>
      <c r="I26" s="7"/>
      <c r="J26" s="7" t="s">
        <v>102</v>
      </c>
      <c r="K26" s="7" t="s">
        <v>91</v>
      </c>
      <c r="L26" s="7"/>
    </row>
    <row r="27" spans="1:12" ht="25.5" hidden="1" x14ac:dyDescent="0.2">
      <c r="A27" s="4" t="s">
        <v>108</v>
      </c>
      <c r="B27" s="4">
        <v>1</v>
      </c>
      <c r="C27" s="5" t="s">
        <v>40</v>
      </c>
      <c r="D27" s="6" t="s">
        <v>205</v>
      </c>
      <c r="E27" s="7" t="s">
        <v>102</v>
      </c>
      <c r="F27" s="7" t="s">
        <v>91</v>
      </c>
      <c r="G27" s="7" t="s">
        <v>90</v>
      </c>
      <c r="H27" s="7" t="s">
        <v>87</v>
      </c>
      <c r="I27" s="7"/>
      <c r="J27" s="7" t="s">
        <v>102</v>
      </c>
      <c r="K27" s="7" t="s">
        <v>91</v>
      </c>
      <c r="L27" s="7"/>
    </row>
    <row r="28" spans="1:12" s="26" customFormat="1" ht="25.5" hidden="1" x14ac:dyDescent="0.2">
      <c r="A28" s="22" t="s">
        <v>113</v>
      </c>
      <c r="B28" s="22">
        <v>1</v>
      </c>
      <c r="C28" s="23" t="s">
        <v>42</v>
      </c>
      <c r="D28" s="27" t="s">
        <v>311</v>
      </c>
      <c r="E28" s="25" t="s">
        <v>101</v>
      </c>
      <c r="F28" s="25" t="s">
        <v>91</v>
      </c>
      <c r="G28" s="25"/>
      <c r="H28" s="25" t="s">
        <v>87</v>
      </c>
      <c r="I28" s="25"/>
      <c r="J28" s="25" t="s">
        <v>102</v>
      </c>
      <c r="K28" s="25" t="s">
        <v>91</v>
      </c>
      <c r="L28" s="25"/>
    </row>
    <row r="29" spans="1:12" ht="25.5" hidden="1" x14ac:dyDescent="0.2">
      <c r="A29" s="4" t="s">
        <v>114</v>
      </c>
      <c r="B29" s="4">
        <v>1</v>
      </c>
      <c r="C29" s="5" t="s">
        <v>44</v>
      </c>
      <c r="D29" s="6" t="s">
        <v>206</v>
      </c>
      <c r="E29" s="7" t="s">
        <v>101</v>
      </c>
      <c r="F29" s="7" t="s">
        <v>91</v>
      </c>
      <c r="G29" s="7"/>
      <c r="H29" s="7" t="s">
        <v>87</v>
      </c>
      <c r="I29" s="7"/>
      <c r="J29" s="7" t="s">
        <v>102</v>
      </c>
      <c r="K29" s="7" t="s">
        <v>91</v>
      </c>
      <c r="L29" s="7"/>
    </row>
    <row r="30" spans="1:12" ht="25.5" hidden="1" x14ac:dyDescent="0.2">
      <c r="A30" s="4" t="s">
        <v>173</v>
      </c>
      <c r="B30" s="4">
        <v>1</v>
      </c>
      <c r="C30" s="5" t="s">
        <v>45</v>
      </c>
      <c r="D30" s="6" t="s">
        <v>207</v>
      </c>
      <c r="E30" s="7" t="s">
        <v>101</v>
      </c>
      <c r="F30" s="7" t="s">
        <v>91</v>
      </c>
      <c r="G30" s="7"/>
      <c r="H30" s="7" t="s">
        <v>87</v>
      </c>
      <c r="I30" s="7"/>
      <c r="J30" s="7" t="s">
        <v>102</v>
      </c>
      <c r="K30" s="7" t="s">
        <v>91</v>
      </c>
      <c r="L30" s="7"/>
    </row>
    <row r="31" spans="1:12" ht="25.5" x14ac:dyDescent="0.2">
      <c r="A31" s="4" t="s">
        <v>125</v>
      </c>
      <c r="B31" s="4"/>
      <c r="C31" s="5" t="s">
        <v>41</v>
      </c>
      <c r="D31" s="6" t="s">
        <v>208</v>
      </c>
      <c r="E31" s="7" t="s">
        <v>101</v>
      </c>
      <c r="F31" s="7" t="s">
        <v>95</v>
      </c>
      <c r="G31" s="7"/>
      <c r="H31" s="7" t="s">
        <v>87</v>
      </c>
      <c r="I31" s="7"/>
      <c r="J31" s="7" t="s">
        <v>102</v>
      </c>
      <c r="K31" s="7" t="s">
        <v>95</v>
      </c>
      <c r="L31" s="7"/>
    </row>
    <row r="32" spans="1:12" ht="25.5" hidden="1" x14ac:dyDescent="0.2">
      <c r="A32" s="4" t="s">
        <v>122</v>
      </c>
      <c r="B32" s="4">
        <v>1</v>
      </c>
      <c r="C32" s="5" t="s">
        <v>46</v>
      </c>
      <c r="D32" s="6" t="s">
        <v>209</v>
      </c>
      <c r="E32" s="7" t="s">
        <v>101</v>
      </c>
      <c r="F32" s="7" t="s">
        <v>91</v>
      </c>
      <c r="G32" s="7" t="s">
        <v>93</v>
      </c>
      <c r="H32" s="7" t="s">
        <v>87</v>
      </c>
      <c r="I32" s="7"/>
      <c r="J32" s="7" t="s">
        <v>102</v>
      </c>
      <c r="K32" s="7" t="s">
        <v>91</v>
      </c>
      <c r="L32" s="7"/>
    </row>
    <row r="33" spans="1:12" ht="25.5" hidden="1" x14ac:dyDescent="0.2">
      <c r="A33" s="4" t="s">
        <v>104</v>
      </c>
      <c r="B33" s="4">
        <v>1</v>
      </c>
      <c r="C33" s="5" t="s">
        <v>33</v>
      </c>
      <c r="D33" s="6" t="s">
        <v>210</v>
      </c>
      <c r="E33" s="7" t="s">
        <v>100</v>
      </c>
      <c r="F33" s="7" t="s">
        <v>91</v>
      </c>
      <c r="G33" s="7" t="s">
        <v>90</v>
      </c>
      <c r="H33" s="7" t="s">
        <v>87</v>
      </c>
      <c r="I33" s="7"/>
      <c r="J33" s="7" t="s">
        <v>101</v>
      </c>
      <c r="K33" s="7" t="s">
        <v>91</v>
      </c>
      <c r="L33" s="7"/>
    </row>
    <row r="34" spans="1:12" ht="25.5" hidden="1" x14ac:dyDescent="0.2">
      <c r="A34" s="4" t="s">
        <v>103</v>
      </c>
      <c r="B34" s="4">
        <v>1</v>
      </c>
      <c r="C34" s="5" t="s">
        <v>35</v>
      </c>
      <c r="D34" s="6" t="s">
        <v>211</v>
      </c>
      <c r="E34" s="7" t="s">
        <v>100</v>
      </c>
      <c r="F34" s="7" t="s">
        <v>91</v>
      </c>
      <c r="G34" s="7"/>
      <c r="H34" s="7" t="s">
        <v>87</v>
      </c>
      <c r="I34" s="7"/>
      <c r="J34" s="7" t="s">
        <v>101</v>
      </c>
      <c r="K34" s="7" t="s">
        <v>91</v>
      </c>
      <c r="L34" s="7"/>
    </row>
    <row r="35" spans="1:12" ht="25.5" hidden="1" x14ac:dyDescent="0.2">
      <c r="A35" s="4" t="s">
        <v>175</v>
      </c>
      <c r="B35" s="4">
        <v>1</v>
      </c>
      <c r="C35" s="5" t="s">
        <v>32</v>
      </c>
      <c r="D35" s="6" t="s">
        <v>212</v>
      </c>
      <c r="E35" s="7" t="s">
        <v>100</v>
      </c>
      <c r="F35" s="7" t="s">
        <v>91</v>
      </c>
      <c r="G35" s="7"/>
      <c r="H35" s="7" t="s">
        <v>87</v>
      </c>
      <c r="I35" s="7"/>
      <c r="J35" s="7" t="s">
        <v>101</v>
      </c>
      <c r="K35" s="7" t="s">
        <v>91</v>
      </c>
      <c r="L35" s="7"/>
    </row>
    <row r="36" spans="1:12" ht="25.5" x14ac:dyDescent="0.2">
      <c r="A36" s="4" t="s">
        <v>172</v>
      </c>
      <c r="B36" s="4"/>
      <c r="C36" s="5" t="s">
        <v>28</v>
      </c>
      <c r="D36" s="6" t="s">
        <v>213</v>
      </c>
      <c r="E36" s="7" t="s">
        <v>100</v>
      </c>
      <c r="F36" s="7" t="s">
        <v>95</v>
      </c>
      <c r="G36" s="7"/>
      <c r="H36" s="7" t="s">
        <v>87</v>
      </c>
      <c r="I36" s="7"/>
      <c r="J36" s="7" t="s">
        <v>101</v>
      </c>
      <c r="K36" s="7" t="s">
        <v>95</v>
      </c>
      <c r="L36" s="7"/>
    </row>
    <row r="37" spans="1:12" ht="25.5" hidden="1" x14ac:dyDescent="0.2">
      <c r="A37" s="4" t="s">
        <v>123</v>
      </c>
      <c r="B37" s="4">
        <v>1</v>
      </c>
      <c r="C37" s="5" t="s">
        <v>31</v>
      </c>
      <c r="D37" s="6" t="s">
        <v>214</v>
      </c>
      <c r="E37" s="7" t="s">
        <v>102</v>
      </c>
      <c r="F37" s="7" t="s">
        <v>91</v>
      </c>
      <c r="G37" s="7" t="s">
        <v>90</v>
      </c>
      <c r="H37" s="7" t="s">
        <v>87</v>
      </c>
      <c r="I37" s="7"/>
      <c r="J37" s="7" t="s">
        <v>101</v>
      </c>
      <c r="K37" s="7" t="s">
        <v>91</v>
      </c>
      <c r="L37" s="7"/>
    </row>
    <row r="38" spans="1:12" ht="25.5" hidden="1" x14ac:dyDescent="0.2">
      <c r="A38" s="4" t="s">
        <v>110</v>
      </c>
      <c r="B38" s="4">
        <v>1</v>
      </c>
      <c r="C38" s="5" t="s">
        <v>29</v>
      </c>
      <c r="D38" s="6" t="s">
        <v>215</v>
      </c>
      <c r="E38" s="7" t="s">
        <v>102</v>
      </c>
      <c r="F38" s="7" t="s">
        <v>91</v>
      </c>
      <c r="G38" s="7"/>
      <c r="H38" s="7" t="s">
        <v>87</v>
      </c>
      <c r="I38" s="7"/>
      <c r="J38" s="7" t="s">
        <v>101</v>
      </c>
      <c r="K38" s="7" t="s">
        <v>91</v>
      </c>
      <c r="L38" s="7"/>
    </row>
    <row r="39" spans="1:12" ht="25.5" x14ac:dyDescent="0.2">
      <c r="A39" s="4" t="s">
        <v>177</v>
      </c>
      <c r="B39" s="4"/>
      <c r="C39" s="5" t="s">
        <v>30</v>
      </c>
      <c r="D39" s="6" t="s">
        <v>216</v>
      </c>
      <c r="E39" s="7" t="s">
        <v>102</v>
      </c>
      <c r="F39" s="7" t="s">
        <v>95</v>
      </c>
      <c r="G39" s="7"/>
      <c r="H39" s="7" t="s">
        <v>87</v>
      </c>
      <c r="I39" s="7"/>
      <c r="J39" s="7" t="s">
        <v>101</v>
      </c>
      <c r="K39" s="7" t="s">
        <v>95</v>
      </c>
      <c r="L39" s="7"/>
    </row>
    <row r="40" spans="1:12" ht="25.5" x14ac:dyDescent="0.2">
      <c r="A40" s="4" t="s">
        <v>176</v>
      </c>
      <c r="B40" s="4"/>
      <c r="C40" s="5" t="s">
        <v>34</v>
      </c>
      <c r="D40" s="6" t="s">
        <v>217</v>
      </c>
      <c r="E40" s="7" t="s">
        <v>102</v>
      </c>
      <c r="F40" s="7" t="s">
        <v>95</v>
      </c>
      <c r="G40" s="7" t="s">
        <v>90</v>
      </c>
      <c r="H40" s="7" t="s">
        <v>87</v>
      </c>
      <c r="I40" s="7"/>
      <c r="J40" s="7" t="s">
        <v>101</v>
      </c>
      <c r="K40" s="7" t="s">
        <v>95</v>
      </c>
      <c r="L40" s="7"/>
    </row>
    <row r="41" spans="1:12" ht="25.5" hidden="1" x14ac:dyDescent="0.2">
      <c r="A41" s="4" t="s">
        <v>97</v>
      </c>
      <c r="B41" s="4">
        <v>1</v>
      </c>
      <c r="C41" s="5" t="s">
        <v>36</v>
      </c>
      <c r="D41" s="6" t="s">
        <v>218</v>
      </c>
      <c r="E41" s="7" t="s">
        <v>101</v>
      </c>
      <c r="F41" s="7" t="s">
        <v>91</v>
      </c>
      <c r="G41" s="7" t="s">
        <v>90</v>
      </c>
      <c r="H41" s="7" t="s">
        <v>87</v>
      </c>
      <c r="I41" s="7"/>
      <c r="J41" s="7" t="s">
        <v>101</v>
      </c>
      <c r="K41" s="7" t="s">
        <v>91</v>
      </c>
      <c r="L41" s="7"/>
    </row>
    <row r="42" spans="1:12" ht="25.5" hidden="1" x14ac:dyDescent="0.2">
      <c r="A42" s="4" t="s">
        <v>112</v>
      </c>
      <c r="B42" s="4">
        <v>1</v>
      </c>
      <c r="C42" s="5" t="s">
        <v>37</v>
      </c>
      <c r="D42" s="6" t="s">
        <v>219</v>
      </c>
      <c r="E42" s="7" t="s">
        <v>101</v>
      </c>
      <c r="F42" s="7" t="s">
        <v>91</v>
      </c>
      <c r="G42" s="7"/>
      <c r="H42" s="7" t="s">
        <v>87</v>
      </c>
      <c r="I42" s="7"/>
      <c r="J42" s="7" t="s">
        <v>101</v>
      </c>
      <c r="K42" s="7" t="s">
        <v>91</v>
      </c>
      <c r="L42" s="7"/>
    </row>
    <row r="43" spans="1:12" ht="25.5" hidden="1" x14ac:dyDescent="0.2">
      <c r="A43" s="4" t="s">
        <v>96</v>
      </c>
      <c r="B43" s="4">
        <v>1</v>
      </c>
      <c r="C43" s="5" t="s">
        <v>27</v>
      </c>
      <c r="D43" s="6" t="s">
        <v>220</v>
      </c>
      <c r="E43" s="7" t="s">
        <v>101</v>
      </c>
      <c r="F43" s="7" t="s">
        <v>91</v>
      </c>
      <c r="G43" s="7" t="s">
        <v>93</v>
      </c>
      <c r="H43" s="7" t="s">
        <v>87</v>
      </c>
      <c r="I43" s="7"/>
      <c r="J43" s="7" t="s">
        <v>101</v>
      </c>
      <c r="K43" s="7" t="s">
        <v>91</v>
      </c>
      <c r="L43" s="7"/>
    </row>
    <row r="44" spans="1:12" hidden="1" x14ac:dyDescent="0.2">
      <c r="A44" s="4" t="s">
        <v>179</v>
      </c>
      <c r="B44" s="4">
        <v>1</v>
      </c>
      <c r="C44" s="5" t="s">
        <v>71</v>
      </c>
      <c r="D44" s="6" t="s">
        <v>221</v>
      </c>
      <c r="E44" s="7" t="s">
        <v>182</v>
      </c>
      <c r="F44" s="7"/>
      <c r="G44" s="7"/>
      <c r="H44" s="7" t="s">
        <v>87</v>
      </c>
      <c r="I44" s="7"/>
      <c r="J44" s="7" t="s">
        <v>182</v>
      </c>
      <c r="K44" s="7"/>
      <c r="L44" s="7"/>
    </row>
    <row r="45" spans="1:12" hidden="1" x14ac:dyDescent="0.2">
      <c r="A45" s="4" t="s">
        <v>129</v>
      </c>
      <c r="B45" s="4">
        <v>1</v>
      </c>
      <c r="C45" s="5" t="s">
        <v>68</v>
      </c>
      <c r="D45" s="6" t="s">
        <v>222</v>
      </c>
      <c r="E45" s="7" t="s">
        <v>182</v>
      </c>
      <c r="F45" s="7"/>
      <c r="G45" s="7"/>
      <c r="H45" s="7" t="s">
        <v>87</v>
      </c>
      <c r="I45" s="7"/>
      <c r="J45" s="7" t="s">
        <v>182</v>
      </c>
      <c r="K45" s="7"/>
      <c r="L45" s="7"/>
    </row>
    <row r="46" spans="1:12" hidden="1" x14ac:dyDescent="0.2">
      <c r="A46" s="4" t="s">
        <v>130</v>
      </c>
      <c r="B46" s="4">
        <v>1</v>
      </c>
      <c r="C46" s="5" t="s">
        <v>69</v>
      </c>
      <c r="D46" s="6" t="s">
        <v>223</v>
      </c>
      <c r="E46" s="7" t="s">
        <v>182</v>
      </c>
      <c r="F46" s="7"/>
      <c r="G46" s="7"/>
      <c r="H46" s="7" t="s">
        <v>87</v>
      </c>
      <c r="I46" s="7"/>
      <c r="J46" s="7" t="s">
        <v>182</v>
      </c>
      <c r="K46" s="7"/>
      <c r="L46" s="7"/>
    </row>
    <row r="47" spans="1:12" hidden="1" x14ac:dyDescent="0.2">
      <c r="A47" s="4" t="s">
        <v>181</v>
      </c>
      <c r="B47" s="4">
        <v>1</v>
      </c>
      <c r="C47" s="5" t="s">
        <v>70</v>
      </c>
      <c r="D47" s="6" t="s">
        <v>224</v>
      </c>
      <c r="E47" s="7" t="s">
        <v>182</v>
      </c>
      <c r="F47" s="7"/>
      <c r="G47" s="7"/>
      <c r="H47" s="7" t="s">
        <v>87</v>
      </c>
      <c r="I47" s="7"/>
      <c r="J47" s="7" t="s">
        <v>182</v>
      </c>
      <c r="K47" s="7"/>
      <c r="L47" s="7"/>
    </row>
    <row r="48" spans="1:12" hidden="1" x14ac:dyDescent="0.2">
      <c r="A48" s="4" t="s">
        <v>180</v>
      </c>
      <c r="B48" s="4">
        <v>1</v>
      </c>
      <c r="C48" s="5" t="s">
        <v>2</v>
      </c>
      <c r="D48" s="6" t="s">
        <v>225</v>
      </c>
      <c r="E48" s="7" t="s">
        <v>182</v>
      </c>
      <c r="F48" s="7"/>
      <c r="G48" s="7"/>
      <c r="H48" s="7" t="s">
        <v>87</v>
      </c>
      <c r="I48" s="7"/>
      <c r="J48" s="7" t="s">
        <v>182</v>
      </c>
      <c r="K48" s="7"/>
      <c r="L48" s="7"/>
    </row>
    <row r="49" spans="1:12" ht="25.5" hidden="1" x14ac:dyDescent="0.2">
      <c r="A49" s="4" t="s">
        <v>117</v>
      </c>
      <c r="B49" s="4">
        <v>1</v>
      </c>
      <c r="C49" s="5" t="s">
        <v>24</v>
      </c>
      <c r="D49" s="6" t="s">
        <v>226</v>
      </c>
      <c r="E49" s="7" t="s">
        <v>100</v>
      </c>
      <c r="F49" s="7" t="s">
        <v>91</v>
      </c>
      <c r="G49" s="7"/>
      <c r="H49" s="7" t="s">
        <v>88</v>
      </c>
      <c r="I49" s="7"/>
      <c r="J49" s="7" t="s">
        <v>182</v>
      </c>
      <c r="K49" s="7" t="s">
        <v>91</v>
      </c>
      <c r="L49" s="7" t="s">
        <v>90</v>
      </c>
    </row>
    <row r="50" spans="1:12" ht="25.5" hidden="1" x14ac:dyDescent="0.2">
      <c r="A50" s="4" t="s">
        <v>118</v>
      </c>
      <c r="B50" s="4">
        <v>1</v>
      </c>
      <c r="C50" s="5" t="s">
        <v>26</v>
      </c>
      <c r="D50" s="6" t="s">
        <v>227</v>
      </c>
      <c r="E50" s="7" t="s">
        <v>102</v>
      </c>
      <c r="F50" s="7" t="s">
        <v>91</v>
      </c>
      <c r="G50" s="7"/>
      <c r="H50" s="7" t="s">
        <v>88</v>
      </c>
      <c r="I50" s="7"/>
      <c r="J50" s="7" t="s">
        <v>182</v>
      </c>
      <c r="K50" s="7" t="s">
        <v>91</v>
      </c>
      <c r="L50" s="7" t="s">
        <v>90</v>
      </c>
    </row>
    <row r="51" spans="1:12" ht="25.5" hidden="1" x14ac:dyDescent="0.2">
      <c r="A51" s="4" t="s">
        <v>282</v>
      </c>
      <c r="B51" s="4">
        <v>1</v>
      </c>
      <c r="C51" s="5" t="s">
        <v>25</v>
      </c>
      <c r="D51" s="6" t="s">
        <v>228</v>
      </c>
      <c r="E51" s="7" t="s">
        <v>101</v>
      </c>
      <c r="F51" s="7" t="s">
        <v>91</v>
      </c>
      <c r="G51" s="7" t="s">
        <v>90</v>
      </c>
      <c r="H51" s="7" t="s">
        <v>88</v>
      </c>
      <c r="I51" s="7"/>
      <c r="J51" s="7" t="s">
        <v>182</v>
      </c>
      <c r="K51" s="7" t="s">
        <v>91</v>
      </c>
      <c r="L51" s="7"/>
    </row>
    <row r="52" spans="1:12" ht="25.5" hidden="1" x14ac:dyDescent="0.2">
      <c r="A52" s="4" t="s">
        <v>283</v>
      </c>
      <c r="B52" s="4">
        <v>1</v>
      </c>
      <c r="C52" s="5" t="s">
        <v>25</v>
      </c>
      <c r="D52" s="6" t="s">
        <v>228</v>
      </c>
      <c r="E52" s="7" t="s">
        <v>101</v>
      </c>
      <c r="F52" s="7" t="s">
        <v>91</v>
      </c>
      <c r="G52" s="7" t="s">
        <v>90</v>
      </c>
      <c r="H52" s="7" t="s">
        <v>88</v>
      </c>
      <c r="I52" s="7"/>
      <c r="J52" s="7" t="s">
        <v>182</v>
      </c>
      <c r="K52" s="7" t="s">
        <v>91</v>
      </c>
      <c r="L52" s="7"/>
    </row>
    <row r="53" spans="1:12" ht="25.5" hidden="1" x14ac:dyDescent="0.2">
      <c r="A53" s="4" t="s">
        <v>284</v>
      </c>
      <c r="B53" s="4">
        <v>1</v>
      </c>
      <c r="C53" s="5" t="s">
        <v>25</v>
      </c>
      <c r="D53" s="6" t="s">
        <v>228</v>
      </c>
      <c r="E53" s="7" t="s">
        <v>101</v>
      </c>
      <c r="F53" s="7" t="s">
        <v>91</v>
      </c>
      <c r="G53" s="7" t="s">
        <v>90</v>
      </c>
      <c r="H53" s="7" t="s">
        <v>88</v>
      </c>
      <c r="I53" s="7"/>
      <c r="J53" s="7" t="s">
        <v>182</v>
      </c>
      <c r="K53" s="7" t="s">
        <v>91</v>
      </c>
      <c r="L53" s="7"/>
    </row>
    <row r="54" spans="1:12" ht="25.5" hidden="1" x14ac:dyDescent="0.2">
      <c r="A54" s="4" t="s">
        <v>131</v>
      </c>
      <c r="B54" s="4">
        <v>1</v>
      </c>
      <c r="C54" s="5" t="s">
        <v>22</v>
      </c>
      <c r="D54" s="6" t="s">
        <v>229</v>
      </c>
      <c r="E54" s="7" t="s">
        <v>102</v>
      </c>
      <c r="F54" s="7"/>
      <c r="G54" s="7"/>
      <c r="H54" s="7" t="s">
        <v>88</v>
      </c>
      <c r="I54" s="7" t="s">
        <v>94</v>
      </c>
      <c r="J54" s="7" t="s">
        <v>182</v>
      </c>
      <c r="K54" s="7"/>
      <c r="L54" s="7"/>
    </row>
    <row r="55" spans="1:12" ht="25.5" hidden="1" x14ac:dyDescent="0.2">
      <c r="A55" s="4" t="s">
        <v>136</v>
      </c>
      <c r="B55" s="4">
        <v>1</v>
      </c>
      <c r="C55" s="5" t="s">
        <v>23</v>
      </c>
      <c r="D55" s="6" t="s">
        <v>230</v>
      </c>
      <c r="E55" s="7" t="s">
        <v>102</v>
      </c>
      <c r="F55" s="7"/>
      <c r="G55" s="7"/>
      <c r="H55" s="7" t="s">
        <v>88</v>
      </c>
      <c r="I55" s="7" t="s">
        <v>94</v>
      </c>
      <c r="J55" s="7" t="s">
        <v>182</v>
      </c>
      <c r="K55" s="7"/>
      <c r="L55" s="7"/>
    </row>
    <row r="56" spans="1:12" ht="25.5" hidden="1" x14ac:dyDescent="0.2">
      <c r="A56" s="4" t="s">
        <v>132</v>
      </c>
      <c r="B56" s="4">
        <v>1</v>
      </c>
      <c r="C56" s="5" t="s">
        <v>17</v>
      </c>
      <c r="D56" s="6" t="s">
        <v>231</v>
      </c>
      <c r="E56" s="7" t="s">
        <v>100</v>
      </c>
      <c r="F56" s="7"/>
      <c r="G56" s="7"/>
      <c r="H56" s="7" t="s">
        <v>88</v>
      </c>
      <c r="I56" s="7" t="s">
        <v>94</v>
      </c>
      <c r="J56" s="7" t="s">
        <v>182</v>
      </c>
      <c r="K56" s="7"/>
      <c r="L56" s="7"/>
    </row>
    <row r="57" spans="1:12" ht="25.5" hidden="1" x14ac:dyDescent="0.2">
      <c r="A57" s="4" t="s">
        <v>133</v>
      </c>
      <c r="B57" s="4">
        <v>1</v>
      </c>
      <c r="C57" s="5" t="s">
        <v>16</v>
      </c>
      <c r="D57" s="6" t="s">
        <v>232</v>
      </c>
      <c r="E57" s="7" t="s">
        <v>101</v>
      </c>
      <c r="F57" s="7"/>
      <c r="G57" s="7"/>
      <c r="H57" s="7" t="s">
        <v>88</v>
      </c>
      <c r="I57" s="7" t="s">
        <v>94</v>
      </c>
      <c r="J57" s="7" t="s">
        <v>182</v>
      </c>
      <c r="K57" s="7"/>
      <c r="L57" s="7"/>
    </row>
    <row r="58" spans="1:12" ht="25.5" hidden="1" x14ac:dyDescent="0.2">
      <c r="A58" s="4" t="s">
        <v>141</v>
      </c>
      <c r="B58" s="4">
        <v>1</v>
      </c>
      <c r="C58" s="5" t="s">
        <v>15</v>
      </c>
      <c r="D58" s="6" t="s">
        <v>233</v>
      </c>
      <c r="E58" s="7" t="s">
        <v>182</v>
      </c>
      <c r="F58" s="7"/>
      <c r="G58" s="7"/>
      <c r="H58" s="7" t="s">
        <v>88</v>
      </c>
      <c r="I58" s="7" t="s">
        <v>94</v>
      </c>
      <c r="J58" s="7" t="s">
        <v>182</v>
      </c>
      <c r="K58" s="7"/>
      <c r="L58" s="7"/>
    </row>
    <row r="59" spans="1:12" ht="25.5" hidden="1" x14ac:dyDescent="0.2">
      <c r="A59" s="4" t="s">
        <v>135</v>
      </c>
      <c r="B59" s="4">
        <v>1</v>
      </c>
      <c r="C59" s="5" t="s">
        <v>13</v>
      </c>
      <c r="D59" s="6" t="s">
        <v>234</v>
      </c>
      <c r="E59" s="7" t="s">
        <v>100</v>
      </c>
      <c r="F59" s="7"/>
      <c r="G59" s="7"/>
      <c r="H59" s="7" t="s">
        <v>88</v>
      </c>
      <c r="I59" s="7" t="s">
        <v>94</v>
      </c>
      <c r="J59" s="7" t="s">
        <v>182</v>
      </c>
      <c r="K59" s="7"/>
      <c r="L59" s="7"/>
    </row>
    <row r="60" spans="1:12" ht="25.5" hidden="1" x14ac:dyDescent="0.2">
      <c r="A60" s="4" t="s">
        <v>134</v>
      </c>
      <c r="B60" s="4">
        <v>1</v>
      </c>
      <c r="C60" s="5" t="s">
        <v>14</v>
      </c>
      <c r="D60" s="6" t="s">
        <v>235</v>
      </c>
      <c r="E60" s="7" t="s">
        <v>101</v>
      </c>
      <c r="F60" s="7"/>
      <c r="G60" s="7"/>
      <c r="H60" s="7" t="s">
        <v>88</v>
      </c>
      <c r="I60" s="7" t="s">
        <v>94</v>
      </c>
      <c r="J60" s="7" t="s">
        <v>182</v>
      </c>
      <c r="K60" s="7"/>
      <c r="L60" s="7"/>
    </row>
    <row r="61" spans="1:12" ht="25.5" hidden="1" x14ac:dyDescent="0.2">
      <c r="A61" s="4" t="s">
        <v>142</v>
      </c>
      <c r="B61" s="4">
        <v>1</v>
      </c>
      <c r="C61" s="5" t="s">
        <v>4</v>
      </c>
      <c r="D61" s="6" t="s">
        <v>236</v>
      </c>
      <c r="E61" s="7" t="s">
        <v>182</v>
      </c>
      <c r="F61" s="7"/>
      <c r="G61" s="7"/>
      <c r="H61" s="7" t="s">
        <v>88</v>
      </c>
      <c r="I61" s="7" t="s">
        <v>94</v>
      </c>
      <c r="J61" s="7" t="s">
        <v>182</v>
      </c>
      <c r="K61" s="7"/>
      <c r="L61" s="7"/>
    </row>
    <row r="62" spans="1:12" ht="25.5" hidden="1" x14ac:dyDescent="0.2">
      <c r="A62" s="4" t="s">
        <v>143</v>
      </c>
      <c r="B62" s="4">
        <v>1</v>
      </c>
      <c r="C62" s="5" t="s">
        <v>20</v>
      </c>
      <c r="D62" s="6" t="s">
        <v>237</v>
      </c>
      <c r="E62" s="7" t="s">
        <v>100</v>
      </c>
      <c r="F62" s="7"/>
      <c r="G62" s="7"/>
      <c r="H62" s="7" t="s">
        <v>88</v>
      </c>
      <c r="I62" s="7" t="s">
        <v>94</v>
      </c>
      <c r="J62" s="7" t="s">
        <v>182</v>
      </c>
      <c r="K62" s="7"/>
      <c r="L62" s="7"/>
    </row>
    <row r="63" spans="1:12" ht="25.5" hidden="1" x14ac:dyDescent="0.2">
      <c r="A63" s="4" t="s">
        <v>145</v>
      </c>
      <c r="B63" s="4">
        <v>1</v>
      </c>
      <c r="C63" s="5" t="s">
        <v>21</v>
      </c>
      <c r="D63" s="6" t="s">
        <v>238</v>
      </c>
      <c r="E63" s="7" t="s">
        <v>102</v>
      </c>
      <c r="F63" s="7"/>
      <c r="G63" s="7"/>
      <c r="H63" s="7" t="s">
        <v>88</v>
      </c>
      <c r="I63" s="7" t="s">
        <v>94</v>
      </c>
      <c r="J63" s="7" t="s">
        <v>182</v>
      </c>
      <c r="K63" s="7"/>
      <c r="L63" s="7"/>
    </row>
    <row r="64" spans="1:12" ht="25.5" hidden="1" x14ac:dyDescent="0.2">
      <c r="A64" s="4" t="s">
        <v>144</v>
      </c>
      <c r="B64" s="4">
        <v>1</v>
      </c>
      <c r="C64" s="5" t="s">
        <v>19</v>
      </c>
      <c r="D64" s="6" t="s">
        <v>239</v>
      </c>
      <c r="E64" s="7" t="s">
        <v>101</v>
      </c>
      <c r="F64" s="7"/>
      <c r="G64" s="7"/>
      <c r="H64" s="7" t="s">
        <v>88</v>
      </c>
      <c r="I64" s="7" t="s">
        <v>94</v>
      </c>
      <c r="J64" s="7" t="s">
        <v>182</v>
      </c>
      <c r="K64" s="7"/>
      <c r="L64" s="7"/>
    </row>
    <row r="65" spans="1:12" ht="25.5" hidden="1" x14ac:dyDescent="0.2">
      <c r="A65" s="4" t="s">
        <v>138</v>
      </c>
      <c r="B65" s="4">
        <v>1</v>
      </c>
      <c r="C65" s="5" t="s">
        <v>18</v>
      </c>
      <c r="D65" s="6" t="s">
        <v>240</v>
      </c>
      <c r="E65" s="8" t="s">
        <v>100</v>
      </c>
      <c r="F65" s="7"/>
      <c r="G65" s="7"/>
      <c r="H65" s="7" t="s">
        <v>88</v>
      </c>
      <c r="I65" s="7" t="s">
        <v>94</v>
      </c>
      <c r="J65" s="7" t="s">
        <v>182</v>
      </c>
      <c r="K65" s="7"/>
      <c r="L65" s="7"/>
    </row>
    <row r="66" spans="1:12" hidden="1" x14ac:dyDescent="0.2">
      <c r="A66" s="4" t="s">
        <v>157</v>
      </c>
      <c r="B66" s="4">
        <v>1</v>
      </c>
      <c r="C66" s="5" t="s">
        <v>5</v>
      </c>
      <c r="D66" s="6" t="s">
        <v>241</v>
      </c>
      <c r="E66" s="7" t="s">
        <v>100</v>
      </c>
      <c r="F66" s="7"/>
      <c r="G66" s="7"/>
      <c r="H66" s="7" t="s">
        <v>88</v>
      </c>
      <c r="I66" s="7"/>
      <c r="J66" s="7" t="s">
        <v>182</v>
      </c>
      <c r="K66" s="7"/>
      <c r="L66" s="7"/>
    </row>
    <row r="67" spans="1:12" hidden="1" x14ac:dyDescent="0.2">
      <c r="A67" s="4" t="s">
        <v>178</v>
      </c>
      <c r="B67" s="4">
        <v>1</v>
      </c>
      <c r="C67" s="5" t="s">
        <v>3</v>
      </c>
      <c r="D67" s="6" t="s">
        <v>242</v>
      </c>
      <c r="E67" s="7" t="s">
        <v>102</v>
      </c>
      <c r="F67" s="7"/>
      <c r="G67" s="7"/>
      <c r="H67" s="7" t="s">
        <v>88</v>
      </c>
      <c r="I67" s="7"/>
      <c r="J67" s="7" t="s">
        <v>182</v>
      </c>
      <c r="K67" s="7"/>
      <c r="L67" s="7"/>
    </row>
    <row r="68" spans="1:12" hidden="1" x14ac:dyDescent="0.2">
      <c r="A68" s="4" t="s">
        <v>156</v>
      </c>
      <c r="B68" s="4">
        <v>1</v>
      </c>
      <c r="C68" s="5" t="s">
        <v>6</v>
      </c>
      <c r="D68" s="6" t="s">
        <v>243</v>
      </c>
      <c r="E68" s="7" t="s">
        <v>101</v>
      </c>
      <c r="F68" s="7"/>
      <c r="G68" s="7"/>
      <c r="H68" s="7" t="s">
        <v>88</v>
      </c>
      <c r="I68" s="7"/>
      <c r="J68" s="7" t="s">
        <v>182</v>
      </c>
      <c r="K68" s="7"/>
      <c r="L68" s="7"/>
    </row>
    <row r="69" spans="1:12" ht="25.5" hidden="1" x14ac:dyDescent="0.2">
      <c r="A69" s="4" t="s">
        <v>139</v>
      </c>
      <c r="B69" s="4">
        <v>1</v>
      </c>
      <c r="C69" s="5" t="s">
        <v>9</v>
      </c>
      <c r="D69" s="6" t="s">
        <v>244</v>
      </c>
      <c r="E69" s="7" t="s">
        <v>100</v>
      </c>
      <c r="F69" s="7"/>
      <c r="G69" s="7" t="s">
        <v>90</v>
      </c>
      <c r="H69" s="7" t="s">
        <v>88</v>
      </c>
      <c r="I69" s="7" t="s">
        <v>94</v>
      </c>
      <c r="J69" s="7" t="s">
        <v>182</v>
      </c>
      <c r="K69" s="7"/>
      <c r="L69" s="7" t="s">
        <v>90</v>
      </c>
    </row>
    <row r="70" spans="1:12" ht="25.5" hidden="1" x14ac:dyDescent="0.2">
      <c r="A70" s="4" t="s">
        <v>137</v>
      </c>
      <c r="B70" s="4">
        <v>1</v>
      </c>
      <c r="C70" s="5" t="s">
        <v>11</v>
      </c>
      <c r="D70" s="6" t="s">
        <v>245</v>
      </c>
      <c r="E70" s="7" t="s">
        <v>102</v>
      </c>
      <c r="F70" s="7"/>
      <c r="G70" s="7" t="s">
        <v>90</v>
      </c>
      <c r="H70" s="7" t="s">
        <v>88</v>
      </c>
      <c r="I70" s="7" t="s">
        <v>94</v>
      </c>
      <c r="J70" s="7" t="s">
        <v>182</v>
      </c>
      <c r="K70" s="7"/>
      <c r="L70" s="7" t="s">
        <v>90</v>
      </c>
    </row>
    <row r="71" spans="1:12" ht="25.5" hidden="1" x14ac:dyDescent="0.2">
      <c r="A71" s="4" t="s">
        <v>140</v>
      </c>
      <c r="B71" s="4">
        <v>1</v>
      </c>
      <c r="C71" s="5" t="s">
        <v>10</v>
      </c>
      <c r="D71" s="6" t="s">
        <v>246</v>
      </c>
      <c r="E71" s="7" t="s">
        <v>101</v>
      </c>
      <c r="F71" s="7"/>
      <c r="G71" s="7" t="s">
        <v>90</v>
      </c>
      <c r="H71" s="7" t="s">
        <v>88</v>
      </c>
      <c r="I71" s="7" t="s">
        <v>94</v>
      </c>
      <c r="J71" s="7" t="s">
        <v>182</v>
      </c>
      <c r="K71" s="7"/>
      <c r="L71" s="7" t="s">
        <v>90</v>
      </c>
    </row>
    <row r="72" spans="1:12" ht="25.5" hidden="1" x14ac:dyDescent="0.2">
      <c r="A72" s="4" t="s">
        <v>118</v>
      </c>
      <c r="B72" s="4">
        <v>1</v>
      </c>
      <c r="C72" s="5" t="s">
        <v>12</v>
      </c>
      <c r="D72" s="6" t="s">
        <v>247</v>
      </c>
      <c r="E72" s="7" t="s">
        <v>102</v>
      </c>
      <c r="F72" s="7"/>
      <c r="G72" s="7" t="s">
        <v>90</v>
      </c>
      <c r="H72" s="7" t="s">
        <v>88</v>
      </c>
      <c r="I72" s="7"/>
      <c r="J72" s="7" t="s">
        <v>182</v>
      </c>
      <c r="K72" s="7"/>
      <c r="L72" s="7" t="s">
        <v>93</v>
      </c>
    </row>
    <row r="73" spans="1:12" ht="25.5" hidden="1" x14ac:dyDescent="0.2">
      <c r="A73" s="4" t="s">
        <v>158</v>
      </c>
      <c r="B73" s="4">
        <v>1</v>
      </c>
      <c r="C73" s="5" t="s">
        <v>65</v>
      </c>
      <c r="D73" s="6" t="s">
        <v>248</v>
      </c>
      <c r="E73" s="7" t="s">
        <v>102</v>
      </c>
      <c r="F73" s="7"/>
      <c r="G73" s="7"/>
      <c r="H73" s="7" t="s">
        <v>88</v>
      </c>
      <c r="I73" s="7"/>
      <c r="J73" s="7" t="s">
        <v>182</v>
      </c>
      <c r="K73" s="7"/>
      <c r="L73" s="7"/>
    </row>
    <row r="74" spans="1:12" hidden="1" x14ac:dyDescent="0.2">
      <c r="A74" s="4" t="s">
        <v>164</v>
      </c>
      <c r="B74" s="4"/>
      <c r="C74" s="5" t="s">
        <v>73</v>
      </c>
      <c r="D74" s="6" t="s">
        <v>249</v>
      </c>
      <c r="E74" s="7" t="s">
        <v>182</v>
      </c>
      <c r="F74" s="7"/>
      <c r="G74" s="7"/>
      <c r="H74" s="7" t="s">
        <v>88</v>
      </c>
      <c r="I74" s="7"/>
      <c r="J74" s="7" t="s">
        <v>182</v>
      </c>
      <c r="K74" s="7"/>
      <c r="L74" s="7"/>
    </row>
    <row r="75" spans="1:12" hidden="1" x14ac:dyDescent="0.2">
      <c r="A75" s="4" t="s">
        <v>160</v>
      </c>
      <c r="B75" s="4"/>
      <c r="C75" s="5" t="s">
        <v>67</v>
      </c>
      <c r="D75" s="6" t="s">
        <v>250</v>
      </c>
      <c r="E75" s="7" t="s">
        <v>182</v>
      </c>
      <c r="F75" s="7"/>
      <c r="G75" s="7"/>
      <c r="H75" s="7" t="s">
        <v>88</v>
      </c>
      <c r="I75" s="7"/>
      <c r="J75" s="7" t="s">
        <v>182</v>
      </c>
      <c r="K75" s="7"/>
      <c r="L75" s="7"/>
    </row>
    <row r="76" spans="1:12" hidden="1" x14ac:dyDescent="0.2">
      <c r="A76" s="4" t="s">
        <v>159</v>
      </c>
      <c r="B76" s="4"/>
      <c r="C76" s="5" t="s">
        <v>66</v>
      </c>
      <c r="D76" s="6" t="s">
        <v>251</v>
      </c>
      <c r="E76" s="7" t="s">
        <v>182</v>
      </c>
      <c r="F76" s="7"/>
      <c r="G76" s="7"/>
      <c r="H76" s="7" t="s">
        <v>88</v>
      </c>
      <c r="I76" s="7"/>
      <c r="J76" s="7" t="s">
        <v>182</v>
      </c>
      <c r="K76" s="7"/>
      <c r="L76" s="7"/>
    </row>
    <row r="77" spans="1:12" ht="25.5" hidden="1" x14ac:dyDescent="0.2">
      <c r="A77" s="4" t="s">
        <v>161</v>
      </c>
      <c r="B77" s="4"/>
      <c r="C77" s="5" t="s">
        <v>63</v>
      </c>
      <c r="D77" s="6" t="s">
        <v>252</v>
      </c>
      <c r="E77" s="7" t="s">
        <v>182</v>
      </c>
      <c r="F77" s="7"/>
      <c r="G77" s="7"/>
      <c r="H77" s="7" t="s">
        <v>88</v>
      </c>
      <c r="I77" s="7"/>
      <c r="J77" s="7" t="s">
        <v>182</v>
      </c>
      <c r="K77" s="7"/>
      <c r="L77" s="7"/>
    </row>
    <row r="78" spans="1:12" ht="25.5" hidden="1" x14ac:dyDescent="0.2">
      <c r="A78" s="4" t="s">
        <v>162</v>
      </c>
      <c r="B78" s="4"/>
      <c r="C78" s="5" t="s">
        <v>64</v>
      </c>
      <c r="D78" s="6" t="s">
        <v>253</v>
      </c>
      <c r="E78" s="7" t="s">
        <v>182</v>
      </c>
      <c r="F78" s="7"/>
      <c r="G78" s="7"/>
      <c r="H78" s="7" t="s">
        <v>88</v>
      </c>
      <c r="I78" s="7"/>
      <c r="J78" s="7" t="s">
        <v>182</v>
      </c>
      <c r="K78" s="7"/>
      <c r="L78" s="7"/>
    </row>
    <row r="79" spans="1:12" ht="25.5" hidden="1" x14ac:dyDescent="0.2">
      <c r="A79" s="4" t="s">
        <v>163</v>
      </c>
      <c r="B79" s="4"/>
      <c r="C79" s="5" t="s">
        <v>72</v>
      </c>
      <c r="D79" s="6" t="s">
        <v>254</v>
      </c>
      <c r="E79" s="7" t="s">
        <v>182</v>
      </c>
      <c r="F79" s="7"/>
      <c r="G79" s="7"/>
      <c r="H79" s="7" t="s">
        <v>88</v>
      </c>
      <c r="I79" s="7"/>
      <c r="J79" s="7" t="s">
        <v>182</v>
      </c>
      <c r="K79" s="7"/>
      <c r="L79" s="7"/>
    </row>
    <row r="80" spans="1:12" ht="25.5" hidden="1" x14ac:dyDescent="0.2">
      <c r="A80" s="4" t="s">
        <v>165</v>
      </c>
      <c r="B80" s="4"/>
      <c r="C80" s="5" t="s">
        <v>74</v>
      </c>
      <c r="D80" s="6" t="s">
        <v>255</v>
      </c>
      <c r="E80" s="7" t="s">
        <v>182</v>
      </c>
      <c r="F80" s="7"/>
      <c r="G80" s="7"/>
      <c r="H80" s="7" t="s">
        <v>88</v>
      </c>
      <c r="I80" s="7"/>
      <c r="J80" s="7" t="s">
        <v>182</v>
      </c>
      <c r="K80" s="7"/>
      <c r="L80" s="7"/>
    </row>
    <row r="81" spans="1:12" hidden="1" x14ac:dyDescent="0.2">
      <c r="A81" s="4" t="s">
        <v>166</v>
      </c>
      <c r="B81" s="4"/>
      <c r="C81" s="5" t="s">
        <v>8</v>
      </c>
      <c r="D81" s="6" t="s">
        <v>256</v>
      </c>
      <c r="E81" s="7" t="s">
        <v>182</v>
      </c>
      <c r="F81" s="7"/>
      <c r="G81" s="7"/>
      <c r="H81" s="7"/>
      <c r="I81" s="7"/>
      <c r="J81" s="7" t="s">
        <v>182</v>
      </c>
      <c r="K81" s="7"/>
      <c r="L81" s="7"/>
    </row>
    <row r="82" spans="1:12" ht="25.5" hidden="1" x14ac:dyDescent="0.2">
      <c r="A82" s="4" t="s">
        <v>147</v>
      </c>
      <c r="B82" s="4">
        <v>1</v>
      </c>
      <c r="C82" s="5" t="s">
        <v>81</v>
      </c>
      <c r="D82" s="6" t="s">
        <v>257</v>
      </c>
      <c r="E82" s="7" t="s">
        <v>100</v>
      </c>
      <c r="F82" s="7"/>
      <c r="G82" s="7"/>
      <c r="H82" s="7" t="s">
        <v>89</v>
      </c>
      <c r="I82" s="7"/>
      <c r="J82" s="7" t="s">
        <v>182</v>
      </c>
      <c r="K82" s="7"/>
      <c r="L82" s="7"/>
    </row>
    <row r="83" spans="1:12" ht="25.5" hidden="1" x14ac:dyDescent="0.2">
      <c r="A83" s="4" t="s">
        <v>148</v>
      </c>
      <c r="B83" s="4">
        <v>1</v>
      </c>
      <c r="C83" s="5" t="s">
        <v>80</v>
      </c>
      <c r="D83" s="6" t="s">
        <v>258</v>
      </c>
      <c r="E83" s="7" t="s">
        <v>100</v>
      </c>
      <c r="F83" s="7"/>
      <c r="G83" s="7"/>
      <c r="H83" s="7" t="s">
        <v>89</v>
      </c>
      <c r="I83" s="7"/>
      <c r="J83" s="7" t="s">
        <v>182</v>
      </c>
      <c r="K83" s="7"/>
      <c r="L83" s="7"/>
    </row>
    <row r="84" spans="1:12" ht="25.5" hidden="1" x14ac:dyDescent="0.2">
      <c r="A84" s="4" t="s">
        <v>149</v>
      </c>
      <c r="B84" s="4">
        <v>1</v>
      </c>
      <c r="C84" s="5" t="s">
        <v>79</v>
      </c>
      <c r="D84" s="6" t="s">
        <v>259</v>
      </c>
      <c r="E84" s="7" t="s">
        <v>102</v>
      </c>
      <c r="F84" s="7"/>
      <c r="G84" s="7"/>
      <c r="H84" s="7" t="s">
        <v>89</v>
      </c>
      <c r="I84" s="7"/>
      <c r="J84" s="7" t="s">
        <v>182</v>
      </c>
      <c r="K84" s="7"/>
      <c r="L84" s="7"/>
    </row>
    <row r="85" spans="1:12" ht="25.5" hidden="1" x14ac:dyDescent="0.2">
      <c r="A85" s="4" t="s">
        <v>150</v>
      </c>
      <c r="B85" s="4">
        <v>1</v>
      </c>
      <c r="C85" s="5" t="s">
        <v>78</v>
      </c>
      <c r="D85" s="6" t="s">
        <v>260</v>
      </c>
      <c r="E85" s="7" t="s">
        <v>102</v>
      </c>
      <c r="F85" s="7"/>
      <c r="G85" s="7" t="s">
        <v>90</v>
      </c>
      <c r="H85" s="7" t="s">
        <v>89</v>
      </c>
      <c r="I85" s="7"/>
      <c r="J85" s="7" t="s">
        <v>182</v>
      </c>
      <c r="K85" s="7"/>
      <c r="L85" s="7"/>
    </row>
    <row r="86" spans="1:12" hidden="1" x14ac:dyDescent="0.2">
      <c r="A86" s="4" t="s">
        <v>151</v>
      </c>
      <c r="B86" s="4">
        <v>1</v>
      </c>
      <c r="C86" s="5" t="s">
        <v>82</v>
      </c>
      <c r="D86" s="6" t="s">
        <v>261</v>
      </c>
      <c r="E86" s="7" t="s">
        <v>101</v>
      </c>
      <c r="F86" s="7"/>
      <c r="G86" s="7"/>
      <c r="H86" s="7" t="s">
        <v>89</v>
      </c>
      <c r="I86" s="7"/>
      <c r="J86" s="7" t="s">
        <v>182</v>
      </c>
      <c r="K86" s="7"/>
      <c r="L86" s="7"/>
    </row>
    <row r="87" spans="1:12" ht="25.5" hidden="1" x14ac:dyDescent="0.2">
      <c r="A87" s="4" t="s">
        <v>152</v>
      </c>
      <c r="B87" s="4">
        <v>1</v>
      </c>
      <c r="C87" s="5" t="s">
        <v>84</v>
      </c>
      <c r="D87" s="6" t="s">
        <v>262</v>
      </c>
      <c r="E87" s="7" t="s">
        <v>101</v>
      </c>
      <c r="F87" s="7"/>
      <c r="G87" s="7" t="s">
        <v>90</v>
      </c>
      <c r="H87" s="7" t="s">
        <v>89</v>
      </c>
      <c r="I87" s="7"/>
      <c r="J87" s="7" t="s">
        <v>182</v>
      </c>
      <c r="K87" s="7"/>
      <c r="L87" s="7"/>
    </row>
    <row r="88" spans="1:12" ht="25.5" hidden="1" x14ac:dyDescent="0.2">
      <c r="A88" s="4" t="s">
        <v>153</v>
      </c>
      <c r="B88" s="4">
        <v>1</v>
      </c>
      <c r="C88" s="5" t="s">
        <v>83</v>
      </c>
      <c r="D88" s="6" t="s">
        <v>263</v>
      </c>
      <c r="E88" s="7" t="s">
        <v>101</v>
      </c>
      <c r="F88" s="7"/>
      <c r="G88" s="7"/>
      <c r="H88" s="7" t="s">
        <v>89</v>
      </c>
      <c r="I88" s="7"/>
      <c r="J88" s="7" t="s">
        <v>182</v>
      </c>
      <c r="K88" s="7"/>
      <c r="L88" s="7"/>
    </row>
    <row r="89" spans="1:12" ht="25.5" hidden="1" x14ac:dyDescent="0.2">
      <c r="A89" s="4" t="s">
        <v>167</v>
      </c>
      <c r="B89" s="4"/>
      <c r="C89" s="5" t="s">
        <v>0</v>
      </c>
      <c r="D89" s="6" t="s">
        <v>264</v>
      </c>
      <c r="E89" s="7" t="s">
        <v>182</v>
      </c>
      <c r="F89" s="7"/>
      <c r="G89" s="7"/>
      <c r="H89" s="7" t="s">
        <v>89</v>
      </c>
      <c r="I89" s="7"/>
      <c r="J89" s="7" t="s">
        <v>182</v>
      </c>
      <c r="K89" s="7"/>
      <c r="L89" s="7"/>
    </row>
    <row r="90" spans="1:12" hidden="1" x14ac:dyDescent="0.2">
      <c r="A90" s="4" t="s">
        <v>168</v>
      </c>
      <c r="B90" s="4"/>
      <c r="C90" s="5" t="s">
        <v>77</v>
      </c>
      <c r="D90" s="6" t="s">
        <v>265</v>
      </c>
      <c r="E90" s="7" t="s">
        <v>182</v>
      </c>
      <c r="F90" s="7"/>
      <c r="G90" s="7"/>
      <c r="H90" s="7" t="s">
        <v>89</v>
      </c>
      <c r="I90" s="7"/>
      <c r="J90" s="7" t="s">
        <v>182</v>
      </c>
      <c r="K90" s="7"/>
      <c r="L90" s="7"/>
    </row>
    <row r="91" spans="1:12" ht="25.5" hidden="1" x14ac:dyDescent="0.2">
      <c r="A91" s="4" t="s">
        <v>169</v>
      </c>
      <c r="B91" s="4"/>
      <c r="C91" s="5" t="s">
        <v>76</v>
      </c>
      <c r="D91" s="6" t="s">
        <v>266</v>
      </c>
      <c r="E91" s="7" t="s">
        <v>182</v>
      </c>
      <c r="F91" s="7"/>
      <c r="G91" s="7"/>
      <c r="H91" s="7" t="s">
        <v>89</v>
      </c>
      <c r="I91" s="7"/>
      <c r="J91" s="7" t="s">
        <v>182</v>
      </c>
      <c r="K91" s="7"/>
      <c r="L91" s="7"/>
    </row>
    <row r="92" spans="1:12" hidden="1" x14ac:dyDescent="0.2">
      <c r="A92" s="4" t="s">
        <v>154</v>
      </c>
      <c r="B92" s="4">
        <v>1</v>
      </c>
      <c r="C92" s="5" t="s">
        <v>85</v>
      </c>
      <c r="D92" s="6" t="s">
        <v>267</v>
      </c>
      <c r="E92" s="7" t="s">
        <v>182</v>
      </c>
      <c r="F92" s="7"/>
      <c r="G92" s="7"/>
      <c r="H92" s="7" t="s">
        <v>89</v>
      </c>
      <c r="I92" s="7"/>
      <c r="J92" s="7" t="s">
        <v>182</v>
      </c>
      <c r="K92" s="7"/>
      <c r="L92" s="7"/>
    </row>
    <row r="93" spans="1:12" ht="25.5" hidden="1" x14ac:dyDescent="0.2">
      <c r="A93" s="4" t="s">
        <v>155</v>
      </c>
      <c r="B93" s="4">
        <v>1</v>
      </c>
      <c r="C93" s="5" t="s">
        <v>7</v>
      </c>
      <c r="D93" s="6" t="s">
        <v>268</v>
      </c>
      <c r="E93" s="7" t="s">
        <v>182</v>
      </c>
      <c r="F93" s="7"/>
      <c r="G93" s="7"/>
      <c r="H93" s="7"/>
      <c r="I93" s="7"/>
      <c r="J93" s="7" t="s">
        <v>182</v>
      </c>
      <c r="K93" s="7"/>
      <c r="L93" s="7"/>
    </row>
    <row r="94" spans="1:12" x14ac:dyDescent="0.2">
      <c r="C94" s="9"/>
      <c r="D94" s="9"/>
    </row>
    <row r="95" spans="1:12" x14ac:dyDescent="0.2">
      <c r="D95" s="1">
        <f>SUM(B3:B94)</f>
        <v>71</v>
      </c>
    </row>
    <row r="96" spans="1:12" x14ac:dyDescent="0.2">
      <c r="A96" s="12"/>
      <c r="D96" s="12">
        <f>D95/91</f>
        <v>0.78021978021978022</v>
      </c>
    </row>
  </sheetData>
  <autoFilter ref="A2:L93">
    <filterColumn colId="1">
      <filters blank="1"/>
    </filterColumn>
    <filterColumn colId="7">
      <filters>
        <filter val="INSERT"/>
      </filters>
    </filterColumn>
  </autoFilter>
  <mergeCells count="4">
    <mergeCell ref="E1:G1"/>
    <mergeCell ref="J1:L1"/>
    <mergeCell ref="H1:I1"/>
    <mergeCell ref="A1:D1"/>
  </mergeCells>
  <hyperlinks>
    <hyperlink ref="C89" r:id="rId1" display="http://jira.ucm.be/browse/CASTST-2981"/>
    <hyperlink ref="C4" r:id="rId2" display="http://jira.ucm.be/browse/CASTST-2978"/>
    <hyperlink ref="C48" r:id="rId3" display="http://jira.ucm.be/browse/CASTST-2977"/>
    <hyperlink ref="C67" r:id="rId4" display="http://jira.ucm.be/browse/CASTST-2976"/>
    <hyperlink ref="C61" r:id="rId5" display="http://jira.ucm.be/browse/CASTST-2975"/>
    <hyperlink ref="C66" r:id="rId6" display="http://jira.ucm.be/browse/CASTST-2974"/>
    <hyperlink ref="C68" r:id="rId7" display="http://jira.ucm.be/browse/CASTST-2972"/>
    <hyperlink ref="C93" r:id="rId8" display="http://jira.ucm.be/browse/CASTST-2971"/>
    <hyperlink ref="C81" r:id="rId9" display="http://jira.ucm.be/browse/CASTST-2401"/>
    <hyperlink ref="C69" r:id="rId10" display="http://jira.ucm.be/browse/CASTST-2399"/>
    <hyperlink ref="C71" r:id="rId11" display="http://jira.ucm.be/browse/CASTST-2396"/>
    <hyperlink ref="C70" r:id="rId12" display="http://jira.ucm.be/browse/CASTST-2395"/>
    <hyperlink ref="C72" r:id="rId13" display="http://jira.ucm.be/browse/CASTST-2393"/>
    <hyperlink ref="C59" r:id="rId14" display="http://jira.ucm.be/browse/CASTST-2382"/>
    <hyperlink ref="C60" r:id="rId15" display="http://jira.ucm.be/browse/CASTST-2381"/>
    <hyperlink ref="C58" r:id="rId16" display="http://jira.ucm.be/browse/CASTST-2380"/>
    <hyperlink ref="C57" r:id="rId17" display="http://jira.ucm.be/browse/CASTST-2378"/>
    <hyperlink ref="C56" r:id="rId18" display="http://jira.ucm.be/browse/CASTST-2377"/>
    <hyperlink ref="C65" r:id="rId19" display="http://jira.ucm.be/browse/CASTST-2375"/>
    <hyperlink ref="C64" r:id="rId20" display="http://jira.ucm.be/browse/CASTST-2374"/>
    <hyperlink ref="C62" r:id="rId21" display="http://jira.ucm.be/browse/CASTST-2373"/>
    <hyperlink ref="C63" r:id="rId22" display="http://jira.ucm.be/browse/CASTST-2370"/>
    <hyperlink ref="C54" r:id="rId23" display="http://jira.ucm.be/browse/CASTST-2369"/>
    <hyperlink ref="C55" r:id="rId24" display="http://jira.ucm.be/browse/CASTST-2367"/>
    <hyperlink ref="C49" r:id="rId25" display="http://jira.ucm.be/browse/CASTST-2366"/>
    <hyperlink ref="C53" r:id="rId26" display="http://jira.ucm.be/browse/CASTST-2364"/>
    <hyperlink ref="C50" r:id="rId27" display="http://jira.ucm.be/browse/CASTST-2361"/>
    <hyperlink ref="C43" r:id="rId28" display="http://jira.ucm.be/browse/CASTST-2354"/>
    <hyperlink ref="C36" r:id="rId29" display="http://jira.ucm.be/browse/CASTST-2353"/>
    <hyperlink ref="C38" r:id="rId30" display="http://jira.ucm.be/browse/CASTST-2352"/>
    <hyperlink ref="C39" r:id="rId31" display="http://jira.ucm.be/browse/CASTST-2351"/>
    <hyperlink ref="C37" r:id="rId32" display="http://jira.ucm.be/browse/CASTST-2350"/>
    <hyperlink ref="C35" r:id="rId33" display="http://jira.ucm.be/browse/CASTST-2349"/>
    <hyperlink ref="C33" r:id="rId34" display="http://jira.ucm.be/browse/CASTST-2348"/>
    <hyperlink ref="C40" r:id="rId35" display="http://jira.ucm.be/browse/CASTST-2347"/>
    <hyperlink ref="C34" r:id="rId36" display="http://jira.ucm.be/browse/CASTST-2346"/>
    <hyperlink ref="C41" r:id="rId37" display="http://jira.ucm.be/browse/CASTST-2345"/>
    <hyperlink ref="C42" r:id="rId38" display="http://jira.ucm.be/browse/CASTST-2344"/>
    <hyperlink ref="C25" r:id="rId39" display="http://jira.ucm.be/browse/CASTST-2329"/>
    <hyperlink ref="C22" r:id="rId40" display="http://jira.ucm.be/browse/CASTST-2328"/>
    <hyperlink ref="C27" r:id="rId41" display="http://jira.ucm.be/browse/CASTST-2327"/>
    <hyperlink ref="C31" r:id="rId42" display="http://jira.ucm.be/browse/CASTST-2326"/>
    <hyperlink ref="C28" r:id="rId43" display="http://jira.ucm.be/browse/CASTST-2325"/>
    <hyperlink ref="C26" r:id="rId44" display="http://jira.ucm.be/browse/CASTST-2324"/>
    <hyperlink ref="C29" r:id="rId45" display="http://jira.ucm.be/browse/CASTST-2323"/>
    <hyperlink ref="C30" r:id="rId46" display="http://jira.ucm.be/browse/CASTST-2322"/>
    <hyperlink ref="C32" r:id="rId47" display="http://jira.ucm.be/browse/CASTST-2321"/>
    <hyperlink ref="C23" r:id="rId48" display="http://jira.ucm.be/browse/CASTST-2320"/>
    <hyperlink ref="C24" r:id="rId49" display="http://jira.ucm.be/browse/CASTST-2319"/>
    <hyperlink ref="C11" r:id="rId50" display="http://jira.ucm.be/browse/CASTST-2318"/>
    <hyperlink ref="C14" r:id="rId51" display="http://jira.ucm.be/browse/CASTST-2317"/>
    <hyperlink ref="C13" r:id="rId52" display="http://jira.ucm.be/browse/CASTST-2316"/>
    <hyperlink ref="C12" r:id="rId53" display="http://jira.ucm.be/browse/CASTST-2315"/>
    <hyperlink ref="C15" r:id="rId54" display="http://jira.ucm.be/browse/CASTST-2314"/>
    <hyperlink ref="C17" r:id="rId55" display="http://jira.ucm.be/browse/CASTST-2313"/>
    <hyperlink ref="C20" r:id="rId56" display="http://jira.ucm.be/browse/CASTST-2312"/>
    <hyperlink ref="C19" r:id="rId57" display="http://jira.ucm.be/browse/CASTST-2311"/>
    <hyperlink ref="C18" r:id="rId58" display="http://jira.ucm.be/browse/CASTST-2310"/>
    <hyperlink ref="C16" r:id="rId59" display="http://jira.ucm.be/browse/CASTST-2309"/>
    <hyperlink ref="C10" r:id="rId60" display="http://jira.ucm.be/browse/CASTST-2308"/>
    <hyperlink ref="C7" r:id="rId61" display="http://jira.ucm.be/browse/CASTST-2303"/>
    <hyperlink ref="C6" r:id="rId62" display="http://jira.ucm.be/browse/CASTST-2302"/>
    <hyperlink ref="C5" r:id="rId63" display="http://jira.ucm.be/browse/CASTST-2301"/>
    <hyperlink ref="C77" r:id="rId64" display="http://jira.ucm.be/browse/CASTST-836"/>
    <hyperlink ref="C78" r:id="rId65" display="http://jira.ucm.be/browse/CASTST-835"/>
    <hyperlink ref="C73" r:id="rId66" display="http://jira.ucm.be/browse/CASTST-834"/>
    <hyperlink ref="C76" r:id="rId67" display="http://jira.ucm.be/browse/CASTST-833"/>
    <hyperlink ref="C75" r:id="rId68" display="http://jira.ucm.be/browse/CASTST-830"/>
    <hyperlink ref="C45" r:id="rId69" display="http://jira.ucm.be/browse/CASTST-820"/>
    <hyperlink ref="C46" r:id="rId70" display="http://jira.ucm.be/browse/CASTST-819"/>
    <hyperlink ref="C47" r:id="rId71" display="http://jira.ucm.be/browse/CASTST-818"/>
    <hyperlink ref="C44" r:id="rId72" display="http://jira.ucm.be/browse/CASTST-815"/>
    <hyperlink ref="C79" r:id="rId73" display="http://jira.ucm.be/browse/CASTST-814"/>
    <hyperlink ref="C74" r:id="rId74" display="http://jira.ucm.be/browse/CASTST-812"/>
    <hyperlink ref="C80" r:id="rId75" display="http://jira.ucm.be/browse/CASTST-810"/>
    <hyperlink ref="C3" r:id="rId76" display="http://jira.ucm.be/browse/CASTST-809"/>
    <hyperlink ref="C91" r:id="rId77" display="http://jira.ucm.be/browse/CASTST-803"/>
    <hyperlink ref="C90" r:id="rId78" display="http://jira.ucm.be/browse/CASTST-802"/>
    <hyperlink ref="C85" r:id="rId79" display="http://jira.ucm.be/browse/CASTST-795"/>
    <hyperlink ref="C84" r:id="rId80" display="http://jira.ucm.be/browse/CASTST-794"/>
    <hyperlink ref="C83" r:id="rId81" display="http://jira.ucm.be/browse/CASTST-793"/>
    <hyperlink ref="C82" r:id="rId82" display="http://jira.ucm.be/browse/CASTST-778"/>
    <hyperlink ref="C86" r:id="rId83" display="http://jira.ucm.be/browse/CASTST-777"/>
    <hyperlink ref="C88" r:id="rId84" display="http://jira.ucm.be/browse/CASTST-775"/>
    <hyperlink ref="C87" r:id="rId85" display="http://jira.ucm.be/browse/CASTST-774"/>
    <hyperlink ref="C92" r:id="rId86" display="http://jira.ucm.be/browse/CASTST-773"/>
    <hyperlink ref="C21" r:id="rId87" display="http://jira.ucm.be/browse/CASTST-743"/>
    <hyperlink ref="C9" r:id="rId88" display="http://jira.ucm.be/browse/CASTST-2303"/>
    <hyperlink ref="C8" r:id="rId89" display="http://jira.ucm.be/browse/CASTST-2303"/>
    <hyperlink ref="C52" r:id="rId90" display="http://jira.ucm.be/browse/CASTST-2364"/>
    <hyperlink ref="C51" r:id="rId91" display="http://jira.ucm.be/browse/CASTST-2364"/>
  </hyperlinks>
  <printOptions horizontalCentered="1" verticalCentered="1"/>
  <pageMargins left="0.25" right="0.25" top="0.25" bottom="0.5" header="0.5" footer="0.25"/>
  <pageSetup paperSize="8" scale="80" orientation="landscape" r:id="rId92"/>
  <headerFooter>
    <oddFooter>&amp;R&amp;P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zoomScale="60" zoomScaleNormal="60" workbookViewId="0">
      <selection activeCell="B24" sqref="B24"/>
    </sheetView>
  </sheetViews>
  <sheetFormatPr baseColWidth="10" defaultColWidth="11.42578125" defaultRowHeight="15" x14ac:dyDescent="0.25"/>
  <cols>
    <col min="1" max="1" width="20" style="17" customWidth="1"/>
    <col min="2" max="2" width="20" style="51" customWidth="1"/>
    <col min="3" max="3" width="8.42578125" style="17" customWidth="1"/>
    <col min="4" max="9" width="11.42578125" style="17"/>
    <col min="10" max="10" width="14.140625" style="17" customWidth="1"/>
    <col min="11" max="11" width="11.42578125" style="19"/>
    <col min="12" max="12" width="11.42578125" style="15"/>
    <col min="13" max="13" width="11.42578125" style="17"/>
    <col min="14" max="14" width="15.28515625" style="19" bestFit="1" customWidth="1"/>
    <col min="15" max="15" width="11.42578125" style="17" customWidth="1"/>
    <col min="16" max="16" width="11.42578125" style="19" customWidth="1"/>
    <col min="17" max="17" width="11.42578125" style="21"/>
    <col min="18" max="18" width="50.140625" style="17" bestFit="1" customWidth="1"/>
    <col min="19" max="16384" width="11.42578125" style="17"/>
  </cols>
  <sheetData>
    <row r="1" spans="1:18" x14ac:dyDescent="0.25">
      <c r="A1" s="17" t="s">
        <v>411</v>
      </c>
    </row>
    <row r="3" spans="1:18" x14ac:dyDescent="0.25">
      <c r="C3" s="17" t="s">
        <v>344</v>
      </c>
      <c r="G3" s="17" t="s">
        <v>345</v>
      </c>
    </row>
    <row r="4" spans="1:18" x14ac:dyDescent="0.25">
      <c r="A4" s="17" t="s">
        <v>472</v>
      </c>
      <c r="B4" s="51" t="s">
        <v>399</v>
      </c>
      <c r="C4" s="17" t="s">
        <v>347</v>
      </c>
      <c r="D4" s="17" t="s">
        <v>342</v>
      </c>
      <c r="E4" s="17" t="s">
        <v>285</v>
      </c>
      <c r="F4" s="28" t="s">
        <v>296</v>
      </c>
      <c r="G4" s="28" t="s">
        <v>348</v>
      </c>
      <c r="H4" s="17" t="s">
        <v>343</v>
      </c>
      <c r="I4" s="17" t="s">
        <v>299</v>
      </c>
      <c r="J4" s="17" t="s">
        <v>297</v>
      </c>
      <c r="K4" s="19" t="s">
        <v>305</v>
      </c>
      <c r="L4" s="15" t="s">
        <v>306</v>
      </c>
      <c r="M4" s="17" t="s">
        <v>287</v>
      </c>
      <c r="N4" s="19" t="s">
        <v>288</v>
      </c>
      <c r="O4" s="17" t="s">
        <v>289</v>
      </c>
      <c r="P4" s="19" t="s">
        <v>295</v>
      </c>
      <c r="Q4" s="21" t="s">
        <v>309</v>
      </c>
      <c r="R4" s="17" t="s">
        <v>457</v>
      </c>
    </row>
    <row r="5" spans="1:18" s="18" customFormat="1" x14ac:dyDescent="0.25">
      <c r="B5" s="52">
        <v>1</v>
      </c>
      <c r="C5" s="18" t="s">
        <v>346</v>
      </c>
      <c r="D5" s="18">
        <v>1</v>
      </c>
      <c r="E5" s="18" t="s">
        <v>90</v>
      </c>
      <c r="F5" s="29">
        <f t="shared" ref="F5:F23" si="0">DATE($O5-$P5,$N5,$M5)</f>
        <v>41275</v>
      </c>
      <c r="G5" s="29" t="s">
        <v>350</v>
      </c>
      <c r="H5" s="18">
        <v>1</v>
      </c>
      <c r="J5" s="29">
        <f t="shared" ref="J5:J23" si="1">DATE($O5-$P5+1,$N5,$M5)</f>
        <v>41640</v>
      </c>
      <c r="K5" s="19">
        <v>20141</v>
      </c>
      <c r="L5" s="30">
        <f>INDEX(barèmes!$D$2:$E$311,MATCH(Q5,barèmes!$D$2:$D$311,0),2)</f>
        <v>0</v>
      </c>
      <c r="M5" s="18">
        <v>1</v>
      </c>
      <c r="N5" s="19">
        <v>1</v>
      </c>
      <c r="O5" s="18">
        <v>2015</v>
      </c>
      <c r="P5" s="19">
        <v>2</v>
      </c>
      <c r="Q5" s="21" t="s">
        <v>317</v>
      </c>
      <c r="R5" s="18" t="str">
        <f>TRIM("Supprimer "&amp;G5&amp;" "&amp;$A$4&amp;" "&amp;I5&amp; " - Scénario id "&amp;B5)</f>
        <v>Supprimer CPR Principal1 - Scénario id 1</v>
      </c>
    </row>
    <row r="6" spans="1:18" s="18" customFormat="1" x14ac:dyDescent="0.25">
      <c r="B6" s="52">
        <v>2</v>
      </c>
      <c r="C6" s="18" t="s">
        <v>346</v>
      </c>
      <c r="D6" s="18">
        <v>1</v>
      </c>
      <c r="E6" s="18" t="s">
        <v>93</v>
      </c>
      <c r="F6" s="29">
        <f t="shared" si="0"/>
        <v>41275</v>
      </c>
      <c r="G6" s="29" t="s">
        <v>350</v>
      </c>
      <c r="H6" s="18">
        <v>1</v>
      </c>
      <c r="J6" s="29">
        <f t="shared" si="1"/>
        <v>41640</v>
      </c>
      <c r="K6" s="19">
        <v>20141</v>
      </c>
      <c r="L6" s="30">
        <f>INDEX(barèmes!$D$2:$E$311,MATCH(Q6,barèmes!$D$2:$D$311,0),2)</f>
        <v>367.94</v>
      </c>
      <c r="M6" s="18">
        <v>1</v>
      </c>
      <c r="N6" s="19">
        <v>1</v>
      </c>
      <c r="O6" s="52">
        <v>2015</v>
      </c>
      <c r="P6" s="19">
        <v>2</v>
      </c>
      <c r="Q6" s="21" t="s">
        <v>327</v>
      </c>
      <c r="R6" s="52" t="str">
        <f t="shared" ref="R6:R23" si="2">TRIM("Supprimer "&amp;G6&amp;" "&amp;$A$4&amp;" "&amp;I6&amp; " - Scénario id "&amp;B6)</f>
        <v>Supprimer CPR Principal1 - Scénario id 2</v>
      </c>
    </row>
    <row r="7" spans="1:18" s="18" customFormat="1" x14ac:dyDescent="0.25">
      <c r="B7" s="52">
        <v>3</v>
      </c>
      <c r="C7" s="18" t="s">
        <v>346</v>
      </c>
      <c r="D7" s="18">
        <v>4</v>
      </c>
      <c r="F7" s="29">
        <f t="shared" si="0"/>
        <v>41275</v>
      </c>
      <c r="G7" s="29" t="s">
        <v>350</v>
      </c>
      <c r="H7" s="18">
        <v>1</v>
      </c>
      <c r="J7" s="29">
        <f t="shared" si="1"/>
        <v>41640</v>
      </c>
      <c r="K7" s="19">
        <v>20141</v>
      </c>
      <c r="L7" s="30">
        <f>INDEX(barèmes!$D$2:$E$311,MATCH(Q7,barèmes!$D$2:$D$311,0),2)</f>
        <v>77.7</v>
      </c>
      <c r="M7" s="18">
        <v>1</v>
      </c>
      <c r="N7" s="19">
        <v>1</v>
      </c>
      <c r="O7" s="52">
        <v>2015</v>
      </c>
      <c r="P7" s="19">
        <v>2</v>
      </c>
      <c r="Q7" s="21" t="s">
        <v>330</v>
      </c>
      <c r="R7" s="52" t="str">
        <f t="shared" si="2"/>
        <v>Supprimer CPR Principal1 - Scénario id 3</v>
      </c>
    </row>
    <row r="8" spans="1:18" s="18" customFormat="1" x14ac:dyDescent="0.25">
      <c r="B8" s="52">
        <v>4</v>
      </c>
      <c r="C8" s="18" t="s">
        <v>346</v>
      </c>
      <c r="D8" s="18">
        <v>4</v>
      </c>
      <c r="E8" s="18" t="s">
        <v>90</v>
      </c>
      <c r="F8" s="29">
        <f t="shared" si="0"/>
        <v>41275</v>
      </c>
      <c r="G8" s="29" t="s">
        <v>350</v>
      </c>
      <c r="H8" s="18">
        <v>1</v>
      </c>
      <c r="J8" s="29">
        <f t="shared" si="1"/>
        <v>41640</v>
      </c>
      <c r="K8" s="19">
        <v>20141</v>
      </c>
      <c r="L8" s="30">
        <f>INDEX(barèmes!$D$2:$E$311,MATCH(Q8,barèmes!$D$2:$D$311,0),2)</f>
        <v>0</v>
      </c>
      <c r="M8" s="18">
        <v>1</v>
      </c>
      <c r="N8" s="19">
        <v>1</v>
      </c>
      <c r="O8" s="52">
        <v>2015</v>
      </c>
      <c r="P8" s="19">
        <v>2</v>
      </c>
      <c r="Q8" s="21" t="s">
        <v>317</v>
      </c>
      <c r="R8" s="52" t="str">
        <f t="shared" si="2"/>
        <v>Supprimer CPR Principal1 - Scénario id 4</v>
      </c>
    </row>
    <row r="9" spans="1:18" s="18" customFormat="1" x14ac:dyDescent="0.25">
      <c r="B9" s="52">
        <v>5</v>
      </c>
      <c r="C9" s="18" t="s">
        <v>346</v>
      </c>
      <c r="D9" s="18">
        <v>5</v>
      </c>
      <c r="F9" s="29">
        <f t="shared" si="0"/>
        <v>41275</v>
      </c>
      <c r="G9" s="29" t="s">
        <v>350</v>
      </c>
      <c r="H9" s="18">
        <v>1</v>
      </c>
      <c r="J9" s="29">
        <f t="shared" si="1"/>
        <v>41640</v>
      </c>
      <c r="K9" s="19">
        <v>20141</v>
      </c>
      <c r="L9" s="30">
        <f>INDEX(barèmes!$D$2:$E$311,MATCH(Q9,barèmes!$D$2:$D$311,0),2)</f>
        <v>308.55</v>
      </c>
      <c r="M9" s="18">
        <v>1</v>
      </c>
      <c r="N9" s="19">
        <v>1</v>
      </c>
      <c r="O9" s="52">
        <v>2015</v>
      </c>
      <c r="P9" s="19">
        <v>2</v>
      </c>
      <c r="Q9" s="21" t="s">
        <v>323</v>
      </c>
      <c r="R9" s="52" t="str">
        <f t="shared" si="2"/>
        <v>Supprimer CPR Principal1 - Scénario id 5</v>
      </c>
    </row>
    <row r="10" spans="1:18" s="18" customFormat="1" x14ac:dyDescent="0.25">
      <c r="B10" s="52">
        <v>6</v>
      </c>
      <c r="C10" s="18" t="s">
        <v>346</v>
      </c>
      <c r="D10" s="18">
        <v>5</v>
      </c>
      <c r="E10" s="18" t="s">
        <v>90</v>
      </c>
      <c r="F10" s="29">
        <f t="shared" si="0"/>
        <v>41275</v>
      </c>
      <c r="G10" s="29" t="s">
        <v>350</v>
      </c>
      <c r="H10" s="18">
        <v>1</v>
      </c>
      <c r="J10" s="29">
        <f t="shared" si="1"/>
        <v>41640</v>
      </c>
      <c r="K10" s="19">
        <v>20141</v>
      </c>
      <c r="L10" s="30">
        <f>INDEX(barèmes!$D$2:$E$311,MATCH(Q10,barèmes!$D$2:$D$311,0),2)</f>
        <v>0</v>
      </c>
      <c r="M10" s="18">
        <v>1</v>
      </c>
      <c r="N10" s="19">
        <v>1</v>
      </c>
      <c r="O10" s="52">
        <v>2015</v>
      </c>
      <c r="P10" s="19">
        <v>2</v>
      </c>
      <c r="Q10" s="21" t="s">
        <v>317</v>
      </c>
      <c r="R10" s="52" t="str">
        <f t="shared" si="2"/>
        <v>Supprimer CPR Principal1 - Scénario id 6</v>
      </c>
    </row>
    <row r="11" spans="1:18" s="18" customFormat="1" x14ac:dyDescent="0.25">
      <c r="B11" s="52">
        <v>7</v>
      </c>
      <c r="C11" s="18" t="s">
        <v>346</v>
      </c>
      <c r="D11" s="18">
        <v>1</v>
      </c>
      <c r="E11" s="18" t="s">
        <v>90</v>
      </c>
      <c r="F11" s="29">
        <f t="shared" si="0"/>
        <v>41275</v>
      </c>
      <c r="G11" s="29" t="s">
        <v>350</v>
      </c>
      <c r="H11" s="18">
        <v>1</v>
      </c>
      <c r="I11" s="18" t="s">
        <v>93</v>
      </c>
      <c r="J11" s="29">
        <f t="shared" si="1"/>
        <v>41640</v>
      </c>
      <c r="K11" s="19">
        <v>20141</v>
      </c>
      <c r="L11" s="30">
        <f>INDEX(barèmes!$D$2:$E$311,MATCH(Q11,barèmes!$D$2:$D$311,0),2)</f>
        <v>0</v>
      </c>
      <c r="M11" s="18">
        <v>1</v>
      </c>
      <c r="N11" s="19">
        <v>1</v>
      </c>
      <c r="O11" s="52">
        <v>2015</v>
      </c>
      <c r="P11" s="19">
        <v>2</v>
      </c>
      <c r="Q11" s="21" t="s">
        <v>317</v>
      </c>
      <c r="R11" s="52" t="str">
        <f t="shared" si="2"/>
        <v>Supprimer CPR Principal1 RED - Scénario id 7</v>
      </c>
    </row>
    <row r="12" spans="1:18" s="18" customFormat="1" x14ac:dyDescent="0.25">
      <c r="B12" s="52">
        <v>8</v>
      </c>
      <c r="C12" s="18" t="s">
        <v>346</v>
      </c>
      <c r="D12" s="18">
        <v>4</v>
      </c>
      <c r="F12" s="29">
        <f t="shared" si="0"/>
        <v>41275</v>
      </c>
      <c r="G12" s="29" t="s">
        <v>350</v>
      </c>
      <c r="H12" s="18">
        <v>1</v>
      </c>
      <c r="I12" s="18" t="s">
        <v>93</v>
      </c>
      <c r="J12" s="29">
        <f t="shared" si="1"/>
        <v>41640</v>
      </c>
      <c r="K12" s="19">
        <v>20141</v>
      </c>
      <c r="L12" s="30">
        <f>INDEX(barèmes!$D$2:$E$311,MATCH(Q12,barèmes!$D$2:$D$311,0),2)</f>
        <v>77.7</v>
      </c>
      <c r="M12" s="18">
        <v>1</v>
      </c>
      <c r="N12" s="19">
        <v>1</v>
      </c>
      <c r="O12" s="52">
        <v>2015</v>
      </c>
      <c r="P12" s="19">
        <v>2</v>
      </c>
      <c r="Q12" s="21" t="s">
        <v>330</v>
      </c>
      <c r="R12" s="52" t="str">
        <f t="shared" si="2"/>
        <v>Supprimer CPR Principal1 RED - Scénario id 8</v>
      </c>
    </row>
    <row r="13" spans="1:18" s="18" customFormat="1" x14ac:dyDescent="0.25">
      <c r="B13" s="52">
        <v>9</v>
      </c>
      <c r="C13" s="18" t="s">
        <v>346</v>
      </c>
      <c r="D13" s="18">
        <v>4</v>
      </c>
      <c r="E13" s="18" t="s">
        <v>90</v>
      </c>
      <c r="F13" s="29">
        <f t="shared" si="0"/>
        <v>41275</v>
      </c>
      <c r="G13" s="29" t="s">
        <v>350</v>
      </c>
      <c r="H13" s="18">
        <v>1</v>
      </c>
      <c r="I13" s="18" t="s">
        <v>93</v>
      </c>
      <c r="J13" s="29">
        <f t="shared" si="1"/>
        <v>41640</v>
      </c>
      <c r="K13" s="19">
        <v>20141</v>
      </c>
      <c r="L13" s="30">
        <f>INDEX(barèmes!$D$2:$E$311,MATCH(Q13,barèmes!$D$2:$D$311,0),2)</f>
        <v>0</v>
      </c>
      <c r="M13" s="18">
        <v>1</v>
      </c>
      <c r="N13" s="19">
        <v>1</v>
      </c>
      <c r="O13" s="52">
        <v>2015</v>
      </c>
      <c r="P13" s="19">
        <v>2</v>
      </c>
      <c r="Q13" s="21" t="s">
        <v>317</v>
      </c>
      <c r="R13" s="52" t="str">
        <f t="shared" si="2"/>
        <v>Supprimer CPR Principal1 RED - Scénario id 9</v>
      </c>
    </row>
    <row r="14" spans="1:18" s="18" customFormat="1" x14ac:dyDescent="0.25">
      <c r="B14" s="52">
        <v>10</v>
      </c>
      <c r="C14" s="18" t="s">
        <v>346</v>
      </c>
      <c r="D14" s="18">
        <v>5</v>
      </c>
      <c r="F14" s="29">
        <f t="shared" si="0"/>
        <v>41275</v>
      </c>
      <c r="G14" s="29" t="s">
        <v>350</v>
      </c>
      <c r="H14" s="18">
        <v>1</v>
      </c>
      <c r="I14" s="18" t="s">
        <v>93</v>
      </c>
      <c r="J14" s="29">
        <f t="shared" si="1"/>
        <v>41640</v>
      </c>
      <c r="K14" s="19">
        <v>20141</v>
      </c>
      <c r="L14" s="30">
        <f>INDEX(barèmes!$D$2:$E$311,MATCH(Q14,barèmes!$D$2:$D$311,0),2)</f>
        <v>308.55</v>
      </c>
      <c r="M14" s="18">
        <v>1</v>
      </c>
      <c r="N14" s="19">
        <v>1</v>
      </c>
      <c r="O14" s="52">
        <v>2015</v>
      </c>
      <c r="P14" s="19">
        <v>2</v>
      </c>
      <c r="Q14" s="21" t="s">
        <v>323</v>
      </c>
      <c r="R14" s="52" t="str">
        <f t="shared" si="2"/>
        <v>Supprimer CPR Principal1 RED - Scénario id 10</v>
      </c>
    </row>
    <row r="15" spans="1:18" s="18" customFormat="1" x14ac:dyDescent="0.25">
      <c r="A15" s="51" t="s">
        <v>473</v>
      </c>
      <c r="B15" s="51" t="s">
        <v>399</v>
      </c>
      <c r="C15" s="51" t="s">
        <v>347</v>
      </c>
      <c r="D15" s="51" t="s">
        <v>342</v>
      </c>
      <c r="E15" s="51" t="s">
        <v>285</v>
      </c>
      <c r="F15" s="53" t="s">
        <v>296</v>
      </c>
      <c r="G15" s="53" t="s">
        <v>348</v>
      </c>
      <c r="H15" s="51" t="s">
        <v>343</v>
      </c>
      <c r="I15" s="51" t="s">
        <v>299</v>
      </c>
      <c r="J15" s="51" t="s">
        <v>297</v>
      </c>
      <c r="K15" s="19" t="s">
        <v>305</v>
      </c>
      <c r="L15" s="15" t="s">
        <v>306</v>
      </c>
      <c r="M15" s="51" t="s">
        <v>287</v>
      </c>
      <c r="N15" s="19" t="s">
        <v>288</v>
      </c>
      <c r="O15" s="51" t="s">
        <v>289</v>
      </c>
      <c r="P15" s="19" t="s">
        <v>295</v>
      </c>
      <c r="Q15" s="21" t="s">
        <v>309</v>
      </c>
      <c r="R15" s="51" t="s">
        <v>457</v>
      </c>
    </row>
    <row r="16" spans="1:18" s="18" customFormat="1" x14ac:dyDescent="0.25">
      <c r="B16" s="52">
        <v>1</v>
      </c>
      <c r="C16" s="18" t="s">
        <v>346</v>
      </c>
      <c r="D16" s="18">
        <v>5</v>
      </c>
      <c r="E16" s="18" t="s">
        <v>90</v>
      </c>
      <c r="F16" s="29">
        <f t="shared" si="0"/>
        <v>41275</v>
      </c>
      <c r="G16" s="29" t="s">
        <v>350</v>
      </c>
      <c r="H16" s="18">
        <v>1</v>
      </c>
      <c r="I16" s="18" t="s">
        <v>93</v>
      </c>
      <c r="J16" s="29">
        <f t="shared" si="1"/>
        <v>41640</v>
      </c>
      <c r="K16" s="19">
        <v>20141</v>
      </c>
      <c r="L16" s="30">
        <f>INDEX(barèmes!$D$2:$E$311,MATCH(Q16,barèmes!$D$2:$D$311,0),2)</f>
        <v>0</v>
      </c>
      <c r="M16" s="18">
        <v>1</v>
      </c>
      <c r="N16" s="19">
        <v>1</v>
      </c>
      <c r="O16" s="52">
        <v>2015</v>
      </c>
      <c r="P16" s="19">
        <v>2</v>
      </c>
      <c r="Q16" s="21" t="s">
        <v>317</v>
      </c>
      <c r="R16" s="52" t="str">
        <f t="shared" si="2"/>
        <v>Supprimer CPR Principal1 RED - Scénario id 1</v>
      </c>
    </row>
    <row r="17" spans="1:18" s="18" customFormat="1" x14ac:dyDescent="0.25">
      <c r="B17" s="52">
        <v>2</v>
      </c>
      <c r="C17" s="18" t="s">
        <v>346</v>
      </c>
      <c r="D17" s="18">
        <v>1</v>
      </c>
      <c r="E17" s="18" t="s">
        <v>93</v>
      </c>
      <c r="F17" s="29">
        <f t="shared" si="0"/>
        <v>41275</v>
      </c>
      <c r="G17" s="29" t="s">
        <v>350</v>
      </c>
      <c r="H17" s="18">
        <v>1</v>
      </c>
      <c r="I17" s="18" t="s">
        <v>90</v>
      </c>
      <c r="J17" s="29">
        <f t="shared" si="1"/>
        <v>41640</v>
      </c>
      <c r="K17" s="19">
        <v>20141</v>
      </c>
      <c r="L17" s="30">
        <f>INDEX(barèmes!$D$2:$E$311,MATCH(Q17,barèmes!$D$2:$D$311,0),2)</f>
        <v>367.94</v>
      </c>
      <c r="M17" s="18">
        <v>1</v>
      </c>
      <c r="N17" s="19">
        <v>1</v>
      </c>
      <c r="O17" s="52">
        <v>2015</v>
      </c>
      <c r="P17" s="19">
        <v>2</v>
      </c>
      <c r="Q17" s="21" t="s">
        <v>327</v>
      </c>
      <c r="R17" s="52" t="str">
        <f t="shared" si="2"/>
        <v>Supprimer CPR Principal1 EXO - Scénario id 2</v>
      </c>
    </row>
    <row r="18" spans="1:18" s="18" customFormat="1" x14ac:dyDescent="0.25">
      <c r="B18" s="52">
        <v>3</v>
      </c>
      <c r="C18" s="18" t="s">
        <v>346</v>
      </c>
      <c r="D18" s="18">
        <v>4</v>
      </c>
      <c r="F18" s="29">
        <f t="shared" si="0"/>
        <v>41275</v>
      </c>
      <c r="G18" s="29" t="s">
        <v>350</v>
      </c>
      <c r="H18" s="18">
        <v>1</v>
      </c>
      <c r="I18" s="18" t="s">
        <v>90</v>
      </c>
      <c r="J18" s="29">
        <f t="shared" si="1"/>
        <v>41640</v>
      </c>
      <c r="K18" s="19">
        <v>20141</v>
      </c>
      <c r="L18" s="30">
        <f>INDEX(barèmes!$D$2:$E$311,MATCH(Q18,barèmes!$D$2:$D$311,0),2)</f>
        <v>77.7</v>
      </c>
      <c r="M18" s="18">
        <v>1</v>
      </c>
      <c r="N18" s="19">
        <v>1</v>
      </c>
      <c r="O18" s="52">
        <v>2015</v>
      </c>
      <c r="P18" s="19">
        <v>2</v>
      </c>
      <c r="Q18" s="21" t="s">
        <v>330</v>
      </c>
      <c r="R18" s="52" t="str">
        <f t="shared" si="2"/>
        <v>Supprimer CPR Principal1 EXO - Scénario id 3</v>
      </c>
    </row>
    <row r="19" spans="1:18" s="18" customFormat="1" x14ac:dyDescent="0.25">
      <c r="B19" s="52">
        <v>4</v>
      </c>
      <c r="C19" s="18" t="s">
        <v>346</v>
      </c>
      <c r="D19" s="18">
        <v>4</v>
      </c>
      <c r="E19" s="18" t="s">
        <v>90</v>
      </c>
      <c r="F19" s="29">
        <f t="shared" si="0"/>
        <v>41275</v>
      </c>
      <c r="G19" s="29" t="s">
        <v>350</v>
      </c>
      <c r="H19" s="18">
        <v>1</v>
      </c>
      <c r="I19" s="18" t="s">
        <v>90</v>
      </c>
      <c r="J19" s="29">
        <f t="shared" si="1"/>
        <v>41640</v>
      </c>
      <c r="K19" s="19">
        <v>20141</v>
      </c>
      <c r="L19" s="30">
        <f>INDEX(barèmes!$D$2:$E$311,MATCH(Q19,barèmes!$D$2:$D$311,0),2)</f>
        <v>0</v>
      </c>
      <c r="M19" s="18">
        <v>1</v>
      </c>
      <c r="N19" s="19">
        <v>1</v>
      </c>
      <c r="O19" s="52">
        <v>2015</v>
      </c>
      <c r="P19" s="19">
        <v>2</v>
      </c>
      <c r="Q19" s="21" t="s">
        <v>317</v>
      </c>
      <c r="R19" s="52" t="str">
        <f t="shared" si="2"/>
        <v>Supprimer CPR Principal1 EXO - Scénario id 4</v>
      </c>
    </row>
    <row r="20" spans="1:18" s="18" customFormat="1" x14ac:dyDescent="0.25">
      <c r="B20" s="52">
        <v>5</v>
      </c>
      <c r="C20" s="18" t="s">
        <v>346</v>
      </c>
      <c r="D20" s="18">
        <v>5</v>
      </c>
      <c r="F20" s="29">
        <f t="shared" si="0"/>
        <v>41275</v>
      </c>
      <c r="G20" s="29" t="s">
        <v>350</v>
      </c>
      <c r="H20" s="18">
        <v>1</v>
      </c>
      <c r="I20" s="18" t="s">
        <v>90</v>
      </c>
      <c r="J20" s="29">
        <f t="shared" si="1"/>
        <v>41640</v>
      </c>
      <c r="K20" s="19">
        <v>20141</v>
      </c>
      <c r="L20" s="30">
        <f>INDEX(barèmes!$D$2:$E$311,MATCH(Q20,barèmes!$D$2:$D$311,0),2)</f>
        <v>308.55</v>
      </c>
      <c r="M20" s="18">
        <v>1</v>
      </c>
      <c r="N20" s="19">
        <v>1</v>
      </c>
      <c r="O20" s="52">
        <v>2015</v>
      </c>
      <c r="P20" s="19">
        <v>2</v>
      </c>
      <c r="Q20" s="21" t="s">
        <v>323</v>
      </c>
      <c r="R20" s="52" t="str">
        <f t="shared" si="2"/>
        <v>Supprimer CPR Principal1 EXO - Scénario id 5</v>
      </c>
    </row>
    <row r="21" spans="1:18" s="18" customFormat="1" x14ac:dyDescent="0.25">
      <c r="B21" s="52">
        <v>6</v>
      </c>
      <c r="C21" s="18" t="s">
        <v>346</v>
      </c>
      <c r="D21" s="18">
        <v>5</v>
      </c>
      <c r="E21" s="18" t="s">
        <v>90</v>
      </c>
      <c r="F21" s="29">
        <f t="shared" si="0"/>
        <v>41275</v>
      </c>
      <c r="G21" s="29" t="s">
        <v>350</v>
      </c>
      <c r="H21" s="18">
        <v>1</v>
      </c>
      <c r="I21" s="18" t="s">
        <v>90</v>
      </c>
      <c r="J21" s="29">
        <f t="shared" si="1"/>
        <v>41640</v>
      </c>
      <c r="K21" s="19">
        <v>20141</v>
      </c>
      <c r="L21" s="30">
        <f>INDEX(barèmes!$D$2:$E$311,MATCH(Q21,barèmes!$D$2:$D$311,0),2)</f>
        <v>0</v>
      </c>
      <c r="M21" s="18">
        <v>1</v>
      </c>
      <c r="N21" s="19">
        <v>1</v>
      </c>
      <c r="O21" s="52">
        <v>2015</v>
      </c>
      <c r="P21" s="19">
        <v>2</v>
      </c>
      <c r="Q21" s="21" t="s">
        <v>317</v>
      </c>
      <c r="R21" s="52" t="str">
        <f t="shared" si="2"/>
        <v>Supprimer CPR Principal1 EXO - Scénario id 6</v>
      </c>
    </row>
    <row r="22" spans="1:18" s="18" customFormat="1" x14ac:dyDescent="0.25">
      <c r="B22" s="52">
        <v>7</v>
      </c>
      <c r="C22" s="18" t="s">
        <v>346</v>
      </c>
      <c r="D22" s="18">
        <v>1</v>
      </c>
      <c r="F22" s="29">
        <f t="shared" si="0"/>
        <v>41275</v>
      </c>
      <c r="G22" s="29" t="s">
        <v>349</v>
      </c>
      <c r="J22" s="29">
        <f t="shared" si="1"/>
        <v>41640</v>
      </c>
      <c r="K22" s="19">
        <v>20151</v>
      </c>
      <c r="L22" s="30">
        <f>INDEX(barèmes!$D$2:$E$311,MATCH(Q22,barèmes!$D$2:$D$311,0),2)</f>
        <v>719.12</v>
      </c>
      <c r="M22" s="18">
        <v>1</v>
      </c>
      <c r="N22" s="19">
        <v>1</v>
      </c>
      <c r="O22" s="52">
        <v>2015</v>
      </c>
      <c r="P22" s="19">
        <v>2</v>
      </c>
      <c r="Q22" s="21" t="s">
        <v>304</v>
      </c>
      <c r="R22" s="52" t="str">
        <f t="shared" si="2"/>
        <v>Supprimer CES Principal1 - Scénario id 7</v>
      </c>
    </row>
    <row r="23" spans="1:18" s="18" customFormat="1" x14ac:dyDescent="0.25">
      <c r="B23" s="52">
        <v>8</v>
      </c>
      <c r="C23" s="18" t="s">
        <v>346</v>
      </c>
      <c r="D23" s="18">
        <v>1</v>
      </c>
      <c r="E23" s="18" t="s">
        <v>90</v>
      </c>
      <c r="F23" s="29">
        <f t="shared" si="0"/>
        <v>41275</v>
      </c>
      <c r="G23" s="29" t="s">
        <v>349</v>
      </c>
      <c r="J23" s="29">
        <f t="shared" si="1"/>
        <v>41640</v>
      </c>
      <c r="K23" s="19">
        <v>20151</v>
      </c>
      <c r="L23" s="30">
        <f>INDEX(barèmes!$D$2:$E$311,MATCH(Q23,barèmes!$D$2:$D$311,0),2)</f>
        <v>0</v>
      </c>
      <c r="M23" s="18">
        <v>1</v>
      </c>
      <c r="N23" s="19">
        <v>1</v>
      </c>
      <c r="O23" s="52">
        <v>2015</v>
      </c>
      <c r="P23" s="19">
        <v>2</v>
      </c>
      <c r="Q23" s="21" t="s">
        <v>317</v>
      </c>
      <c r="R23" s="52" t="str">
        <f t="shared" si="2"/>
        <v>Supprimer CES Principal1 - Scénario id 8</v>
      </c>
    </row>
    <row r="24" spans="1:18" s="18" customFormat="1" x14ac:dyDescent="0.25">
      <c r="A24" s="17" t="s">
        <v>293</v>
      </c>
      <c r="B24" s="51" t="s">
        <v>399</v>
      </c>
      <c r="C24" s="18" t="s">
        <v>347</v>
      </c>
      <c r="D24" s="17" t="s">
        <v>342</v>
      </c>
      <c r="E24" s="17" t="s">
        <v>285</v>
      </c>
      <c r="F24" s="28" t="s">
        <v>296</v>
      </c>
      <c r="G24" s="28" t="s">
        <v>348</v>
      </c>
      <c r="H24" s="17" t="s">
        <v>343</v>
      </c>
      <c r="I24" s="17" t="s">
        <v>299</v>
      </c>
      <c r="J24" s="17" t="s">
        <v>297</v>
      </c>
      <c r="K24" s="19" t="s">
        <v>305</v>
      </c>
      <c r="L24" s="15" t="s">
        <v>306</v>
      </c>
      <c r="M24" s="17" t="s">
        <v>287</v>
      </c>
      <c r="N24" s="19" t="s">
        <v>288</v>
      </c>
      <c r="O24" s="17" t="s">
        <v>289</v>
      </c>
      <c r="P24" s="19" t="s">
        <v>295</v>
      </c>
      <c r="Q24" s="21" t="s">
        <v>309</v>
      </c>
      <c r="R24" s="52" t="s">
        <v>457</v>
      </c>
    </row>
    <row r="25" spans="1:18" s="18" customFormat="1" x14ac:dyDescent="0.25">
      <c r="B25" s="52">
        <v>1</v>
      </c>
      <c r="C25" s="18" t="s">
        <v>346</v>
      </c>
      <c r="D25" s="18">
        <v>1</v>
      </c>
      <c r="E25" s="18" t="s">
        <v>90</v>
      </c>
      <c r="F25" s="29">
        <f t="shared" ref="F25:F36" si="3">DATE($O25-$P25,$N25,$M25)</f>
        <v>41275</v>
      </c>
      <c r="G25" s="29" t="s">
        <v>350</v>
      </c>
      <c r="H25" s="18">
        <v>4</v>
      </c>
      <c r="J25" s="29">
        <f t="shared" ref="J25:J36" si="4">DATE($O25-$P25+1,$N25,$M25)</f>
        <v>41640</v>
      </c>
      <c r="K25" s="19">
        <v>20141</v>
      </c>
      <c r="L25" s="30">
        <f>INDEX(barèmes!$D$2:$E$311,MATCH(Q25,barèmes!$D$2:$D$311,0),2)</f>
        <v>0</v>
      </c>
      <c r="M25" s="18">
        <v>1</v>
      </c>
      <c r="N25" s="19">
        <v>1</v>
      </c>
      <c r="O25" s="18">
        <v>2015</v>
      </c>
      <c r="P25" s="19">
        <v>2</v>
      </c>
      <c r="Q25" s="21" t="s">
        <v>317</v>
      </c>
      <c r="R25" s="52" t="str">
        <f>TRIM("Supprimer "&amp;G25&amp;" "&amp;$A$24&amp;" "&amp;I25&amp; " - Scénario id "&amp;B25)</f>
        <v>Supprimer CPR Complémentaire - Scénario id 1</v>
      </c>
    </row>
    <row r="26" spans="1:18" s="18" customFormat="1" x14ac:dyDescent="0.25">
      <c r="B26" s="52">
        <v>2</v>
      </c>
      <c r="C26" s="18" t="s">
        <v>346</v>
      </c>
      <c r="D26" s="18">
        <v>1</v>
      </c>
      <c r="E26" s="18" t="s">
        <v>93</v>
      </c>
      <c r="F26" s="29">
        <f t="shared" si="3"/>
        <v>41275</v>
      </c>
      <c r="G26" s="29" t="s">
        <v>350</v>
      </c>
      <c r="H26" s="18">
        <v>4</v>
      </c>
      <c r="J26" s="29">
        <f t="shared" si="4"/>
        <v>41640</v>
      </c>
      <c r="K26" s="19">
        <v>20141</v>
      </c>
      <c r="L26" s="30">
        <f>INDEX(barèmes!$D$2:$E$311,MATCH(Q26,barèmes!$D$2:$D$311,0),2)</f>
        <v>367.94</v>
      </c>
      <c r="M26" s="18">
        <v>1</v>
      </c>
      <c r="N26" s="19">
        <v>1</v>
      </c>
      <c r="O26" s="52">
        <v>2015</v>
      </c>
      <c r="P26" s="19">
        <v>2</v>
      </c>
      <c r="Q26" s="21" t="s">
        <v>327</v>
      </c>
      <c r="R26" s="52" t="str">
        <f t="shared" ref="R26:R36" si="5">TRIM("Supprimer "&amp;G26&amp;" "&amp;$A$24&amp;" "&amp;I26&amp; " - Scénario id "&amp;B26)</f>
        <v>Supprimer CPR Complémentaire - Scénario id 2</v>
      </c>
    </row>
    <row r="27" spans="1:18" s="18" customFormat="1" x14ac:dyDescent="0.25">
      <c r="B27" s="52">
        <v>3</v>
      </c>
      <c r="C27" s="18" t="s">
        <v>346</v>
      </c>
      <c r="D27" s="18">
        <v>4</v>
      </c>
      <c r="E27" s="18" t="s">
        <v>90</v>
      </c>
      <c r="F27" s="29">
        <f t="shared" si="3"/>
        <v>41275</v>
      </c>
      <c r="G27" s="29" t="s">
        <v>350</v>
      </c>
      <c r="H27" s="18">
        <v>4</v>
      </c>
      <c r="J27" s="29">
        <f t="shared" si="4"/>
        <v>41640</v>
      </c>
      <c r="K27" s="19">
        <v>20141</v>
      </c>
      <c r="L27" s="30">
        <f>INDEX(barèmes!$D$2:$E$311,MATCH(Q27,barèmes!$D$2:$D$311,0),2)</f>
        <v>0</v>
      </c>
      <c r="M27" s="18">
        <v>1</v>
      </c>
      <c r="N27" s="19">
        <v>1</v>
      </c>
      <c r="O27" s="52">
        <v>2015</v>
      </c>
      <c r="P27" s="19">
        <v>2</v>
      </c>
      <c r="Q27" s="21" t="s">
        <v>317</v>
      </c>
      <c r="R27" s="52" t="str">
        <f t="shared" si="5"/>
        <v>Supprimer CPR Complémentaire - Scénario id 3</v>
      </c>
    </row>
    <row r="28" spans="1:18" s="18" customFormat="1" x14ac:dyDescent="0.25">
      <c r="B28" s="52">
        <v>4</v>
      </c>
      <c r="C28" s="18" t="s">
        <v>346</v>
      </c>
      <c r="D28" s="18">
        <v>5</v>
      </c>
      <c r="F28" s="29">
        <f t="shared" si="3"/>
        <v>41275</v>
      </c>
      <c r="G28" s="29" t="s">
        <v>350</v>
      </c>
      <c r="H28" s="18">
        <v>4</v>
      </c>
      <c r="J28" s="29">
        <f t="shared" si="4"/>
        <v>41640</v>
      </c>
      <c r="K28" s="19">
        <v>20141</v>
      </c>
      <c r="L28" s="30">
        <f>INDEX(barèmes!$D$2:$E$311,MATCH(Q28,barèmes!$D$2:$D$311,0),2)</f>
        <v>308.55</v>
      </c>
      <c r="M28" s="18">
        <v>1</v>
      </c>
      <c r="N28" s="19">
        <v>1</v>
      </c>
      <c r="O28" s="52">
        <v>2015</v>
      </c>
      <c r="P28" s="19">
        <v>2</v>
      </c>
      <c r="Q28" s="21" t="s">
        <v>323</v>
      </c>
      <c r="R28" s="52" t="str">
        <f t="shared" si="5"/>
        <v>Supprimer CPR Complémentaire - Scénario id 4</v>
      </c>
    </row>
    <row r="29" spans="1:18" s="18" customFormat="1" x14ac:dyDescent="0.25">
      <c r="B29" s="52">
        <v>5</v>
      </c>
      <c r="C29" s="18" t="s">
        <v>346</v>
      </c>
      <c r="D29" s="18">
        <v>5</v>
      </c>
      <c r="E29" s="18" t="s">
        <v>90</v>
      </c>
      <c r="F29" s="29">
        <f t="shared" si="3"/>
        <v>41275</v>
      </c>
      <c r="G29" s="29" t="s">
        <v>350</v>
      </c>
      <c r="H29" s="18">
        <v>4</v>
      </c>
      <c r="J29" s="29">
        <f t="shared" si="4"/>
        <v>41640</v>
      </c>
      <c r="K29" s="19">
        <v>20141</v>
      </c>
      <c r="L29" s="30">
        <f>INDEX(barèmes!$D$2:$E$311,MATCH(Q29,barèmes!$D$2:$D$311,0),2)</f>
        <v>0</v>
      </c>
      <c r="M29" s="18">
        <v>1</v>
      </c>
      <c r="N29" s="19">
        <v>1</v>
      </c>
      <c r="O29" s="52">
        <v>2015</v>
      </c>
      <c r="P29" s="19">
        <v>2</v>
      </c>
      <c r="Q29" s="21" t="s">
        <v>317</v>
      </c>
      <c r="R29" s="52" t="str">
        <f t="shared" si="5"/>
        <v>Supprimer CPR Complémentaire - Scénario id 5</v>
      </c>
    </row>
    <row r="30" spans="1:18" s="18" customFormat="1" x14ac:dyDescent="0.25">
      <c r="B30" s="52">
        <v>6</v>
      </c>
      <c r="C30" s="18" t="s">
        <v>346</v>
      </c>
      <c r="D30" s="18">
        <v>1</v>
      </c>
      <c r="E30" s="18" t="s">
        <v>90</v>
      </c>
      <c r="F30" s="29">
        <f t="shared" si="3"/>
        <v>41275</v>
      </c>
      <c r="G30" s="29" t="s">
        <v>350</v>
      </c>
      <c r="H30" s="18">
        <v>4</v>
      </c>
      <c r="I30" s="18" t="s">
        <v>90</v>
      </c>
      <c r="J30" s="29">
        <f t="shared" si="4"/>
        <v>41640</v>
      </c>
      <c r="K30" s="19">
        <v>20141</v>
      </c>
      <c r="L30" s="30"/>
      <c r="M30" s="18">
        <v>1</v>
      </c>
      <c r="N30" s="19">
        <v>1</v>
      </c>
      <c r="O30" s="52">
        <v>2015</v>
      </c>
      <c r="P30" s="19">
        <v>2</v>
      </c>
      <c r="Q30" s="21" t="s">
        <v>317</v>
      </c>
      <c r="R30" s="52" t="str">
        <f t="shared" si="5"/>
        <v>Supprimer CPR Complémentaire EXO - Scénario id 6</v>
      </c>
    </row>
    <row r="31" spans="1:18" s="18" customFormat="1" x14ac:dyDescent="0.25">
      <c r="B31" s="52">
        <v>7</v>
      </c>
      <c r="C31" s="18" t="s">
        <v>346</v>
      </c>
      <c r="D31" s="18">
        <v>1</v>
      </c>
      <c r="E31" s="18" t="s">
        <v>93</v>
      </c>
      <c r="F31" s="29">
        <f t="shared" si="3"/>
        <v>41275</v>
      </c>
      <c r="G31" s="29" t="s">
        <v>350</v>
      </c>
      <c r="H31" s="18">
        <v>4</v>
      </c>
      <c r="I31" s="18" t="s">
        <v>90</v>
      </c>
      <c r="J31" s="29">
        <f t="shared" si="4"/>
        <v>41640</v>
      </c>
      <c r="K31" s="19">
        <v>20141</v>
      </c>
      <c r="L31" s="30">
        <f>INDEX(barèmes!$D$2:$E$311,MATCH(Q31,barèmes!$D$2:$D$311,0),2)</f>
        <v>367.94</v>
      </c>
      <c r="M31" s="18">
        <v>1</v>
      </c>
      <c r="N31" s="19">
        <v>1</v>
      </c>
      <c r="O31" s="52">
        <v>2015</v>
      </c>
      <c r="P31" s="19">
        <v>2</v>
      </c>
      <c r="Q31" s="21" t="s">
        <v>333</v>
      </c>
      <c r="R31" s="52" t="str">
        <f t="shared" si="5"/>
        <v>Supprimer CPR Complémentaire EXO - Scénario id 7</v>
      </c>
    </row>
    <row r="32" spans="1:18" s="18" customFormat="1" x14ac:dyDescent="0.25">
      <c r="B32" s="52">
        <v>8</v>
      </c>
      <c r="C32" s="18" t="s">
        <v>346</v>
      </c>
      <c r="D32" s="18">
        <v>4</v>
      </c>
      <c r="F32" s="29">
        <f t="shared" si="3"/>
        <v>41275</v>
      </c>
      <c r="G32" s="29" t="s">
        <v>350</v>
      </c>
      <c r="H32" s="18">
        <v>4</v>
      </c>
      <c r="I32" s="18" t="s">
        <v>90</v>
      </c>
      <c r="J32" s="29">
        <f t="shared" si="4"/>
        <v>41640</v>
      </c>
      <c r="K32" s="19">
        <v>20141</v>
      </c>
      <c r="L32" s="30">
        <f>INDEX(barèmes!$D$2:$E$311,MATCH(Q32,barèmes!$D$2:$D$311,0),2)</f>
        <v>77.7</v>
      </c>
      <c r="M32" s="18">
        <v>1</v>
      </c>
      <c r="N32" s="19">
        <v>1</v>
      </c>
      <c r="O32" s="52">
        <v>2015</v>
      </c>
      <c r="P32" s="19">
        <v>2</v>
      </c>
      <c r="Q32" s="21" t="s">
        <v>330</v>
      </c>
      <c r="R32" s="52" t="str">
        <f t="shared" si="5"/>
        <v>Supprimer CPR Complémentaire EXO - Scénario id 8</v>
      </c>
    </row>
    <row r="33" spans="1:18" s="18" customFormat="1" x14ac:dyDescent="0.25">
      <c r="B33" s="52">
        <v>9</v>
      </c>
      <c r="C33" s="18" t="s">
        <v>346</v>
      </c>
      <c r="D33" s="18">
        <v>5</v>
      </c>
      <c r="F33" s="29">
        <f t="shared" si="3"/>
        <v>41275</v>
      </c>
      <c r="G33" s="29" t="s">
        <v>350</v>
      </c>
      <c r="H33" s="18">
        <v>4</v>
      </c>
      <c r="I33" s="18" t="s">
        <v>90</v>
      </c>
      <c r="J33" s="29">
        <f t="shared" si="4"/>
        <v>41640</v>
      </c>
      <c r="K33" s="19">
        <v>20141</v>
      </c>
      <c r="L33" s="30">
        <f>INDEX(barèmes!$D$2:$E$311,MATCH(Q33,barèmes!$D$2:$D$311,0),2)</f>
        <v>308.55</v>
      </c>
      <c r="M33" s="18">
        <v>1</v>
      </c>
      <c r="N33" s="19">
        <v>1</v>
      </c>
      <c r="O33" s="52">
        <v>2015</v>
      </c>
      <c r="P33" s="19">
        <v>2</v>
      </c>
      <c r="Q33" s="21" t="s">
        <v>323</v>
      </c>
      <c r="R33" s="52" t="str">
        <f t="shared" si="5"/>
        <v>Supprimer CPR Complémentaire EXO - Scénario id 9</v>
      </c>
    </row>
    <row r="34" spans="1:18" s="18" customFormat="1" x14ac:dyDescent="0.25">
      <c r="B34" s="52">
        <v>10</v>
      </c>
      <c r="C34" s="18" t="s">
        <v>346</v>
      </c>
      <c r="D34" s="18">
        <v>5</v>
      </c>
      <c r="E34" s="18" t="s">
        <v>90</v>
      </c>
      <c r="F34" s="29">
        <f t="shared" si="3"/>
        <v>41275</v>
      </c>
      <c r="G34" s="29" t="s">
        <v>350</v>
      </c>
      <c r="H34" s="18">
        <v>4</v>
      </c>
      <c r="I34" s="18" t="s">
        <v>90</v>
      </c>
      <c r="J34" s="29">
        <f t="shared" si="4"/>
        <v>41640</v>
      </c>
      <c r="K34" s="19">
        <v>20141</v>
      </c>
      <c r="L34" s="30">
        <f>INDEX(barèmes!$D$2:$E$311,MATCH(Q34,barèmes!$D$2:$D$311,0),2)</f>
        <v>0</v>
      </c>
      <c r="M34" s="18">
        <v>1</v>
      </c>
      <c r="N34" s="19">
        <v>1</v>
      </c>
      <c r="O34" s="52">
        <v>2015</v>
      </c>
      <c r="P34" s="19">
        <v>2</v>
      </c>
      <c r="Q34" s="21" t="s">
        <v>317</v>
      </c>
      <c r="R34" s="52" t="str">
        <f t="shared" si="5"/>
        <v>Supprimer CPR Complémentaire EXO - Scénario id 10</v>
      </c>
    </row>
    <row r="35" spans="1:18" s="18" customFormat="1" x14ac:dyDescent="0.25">
      <c r="B35" s="52">
        <v>11</v>
      </c>
      <c r="C35" s="18" t="s">
        <v>346</v>
      </c>
      <c r="D35" s="18">
        <v>4</v>
      </c>
      <c r="F35" s="29">
        <f t="shared" si="3"/>
        <v>41275</v>
      </c>
      <c r="G35" s="29" t="s">
        <v>349</v>
      </c>
      <c r="J35" s="29">
        <f t="shared" si="4"/>
        <v>41640</v>
      </c>
      <c r="K35" s="19">
        <v>20151</v>
      </c>
      <c r="L35" s="30">
        <f>INDEX(barèmes!$D$2:$E$311,MATCH(Q35,barèmes!$D$2:$D$311,0),2)</f>
        <v>79.55</v>
      </c>
      <c r="M35" s="18">
        <v>1</v>
      </c>
      <c r="N35" s="19">
        <v>1</v>
      </c>
      <c r="O35" s="52">
        <v>2015</v>
      </c>
      <c r="P35" s="19">
        <v>2</v>
      </c>
      <c r="Q35" s="21" t="s">
        <v>316</v>
      </c>
      <c r="R35" s="52" t="str">
        <f t="shared" si="5"/>
        <v>Supprimer CES Complémentaire - Scénario id 11</v>
      </c>
    </row>
    <row r="36" spans="1:18" s="18" customFormat="1" x14ac:dyDescent="0.25">
      <c r="B36" s="52">
        <v>12</v>
      </c>
      <c r="C36" s="18" t="s">
        <v>346</v>
      </c>
      <c r="D36" s="18">
        <v>4</v>
      </c>
      <c r="E36" s="18" t="s">
        <v>90</v>
      </c>
      <c r="F36" s="29">
        <f t="shared" si="3"/>
        <v>41275</v>
      </c>
      <c r="G36" s="29" t="s">
        <v>349</v>
      </c>
      <c r="J36" s="29">
        <f t="shared" si="4"/>
        <v>41640</v>
      </c>
      <c r="K36" s="19">
        <v>20141</v>
      </c>
      <c r="L36" s="30">
        <f>INDEX(barèmes!$D$2:$E$311,MATCH(Q36,barèmes!$D$2:$D$311,0),2)</f>
        <v>0</v>
      </c>
      <c r="M36" s="18">
        <v>1</v>
      </c>
      <c r="N36" s="19">
        <v>1</v>
      </c>
      <c r="O36" s="52">
        <v>2015</v>
      </c>
      <c r="P36" s="19">
        <v>2</v>
      </c>
      <c r="Q36" s="21" t="s">
        <v>317</v>
      </c>
      <c r="R36" s="52" t="str">
        <f t="shared" si="5"/>
        <v>Supprimer CES Complémentaire - Scénario id 12</v>
      </c>
    </row>
    <row r="37" spans="1:18" s="18" customFormat="1" x14ac:dyDescent="0.25">
      <c r="A37" s="17" t="s">
        <v>294</v>
      </c>
      <c r="B37" s="51" t="s">
        <v>399</v>
      </c>
      <c r="C37" s="52" t="s">
        <v>347</v>
      </c>
      <c r="D37" s="17" t="s">
        <v>342</v>
      </c>
      <c r="E37" s="17" t="s">
        <v>285</v>
      </c>
      <c r="F37" s="28" t="s">
        <v>296</v>
      </c>
      <c r="G37" s="28"/>
      <c r="H37" s="17" t="s">
        <v>343</v>
      </c>
      <c r="I37" s="17" t="s">
        <v>299</v>
      </c>
      <c r="J37" s="17" t="s">
        <v>297</v>
      </c>
      <c r="K37" s="19" t="s">
        <v>305</v>
      </c>
      <c r="L37" s="15" t="s">
        <v>306</v>
      </c>
      <c r="M37" s="17" t="s">
        <v>287</v>
      </c>
      <c r="N37" s="19" t="s">
        <v>288</v>
      </c>
      <c r="O37" s="17" t="s">
        <v>289</v>
      </c>
      <c r="P37" s="19" t="s">
        <v>295</v>
      </c>
      <c r="Q37" s="21" t="s">
        <v>309</v>
      </c>
      <c r="R37" s="18" t="s">
        <v>457</v>
      </c>
    </row>
    <row r="38" spans="1:18" s="18" customFormat="1" x14ac:dyDescent="0.25">
      <c r="B38" s="52">
        <v>1</v>
      </c>
      <c r="C38" s="18" t="s">
        <v>346</v>
      </c>
      <c r="D38" s="18">
        <v>1</v>
      </c>
      <c r="E38" s="18" t="s">
        <v>90</v>
      </c>
      <c r="F38" s="29">
        <f t="shared" ref="F38:F47" si="6">DATE($O38-$P38,$N38,$M38)</f>
        <v>41275</v>
      </c>
      <c r="G38" s="29" t="s">
        <v>350</v>
      </c>
      <c r="H38" s="18">
        <v>5</v>
      </c>
      <c r="J38" s="29">
        <f>DATE($O38-$P38+2,$N38,$M38)</f>
        <v>42005</v>
      </c>
      <c r="K38" s="19">
        <v>20141</v>
      </c>
      <c r="L38" s="30">
        <f>INDEX(barèmes!$D$2:$E$311,MATCH(Q38,barèmes!$D$2:$D$311,0),2)</f>
        <v>0</v>
      </c>
      <c r="M38" s="18">
        <v>1</v>
      </c>
      <c r="N38" s="19">
        <v>1</v>
      </c>
      <c r="O38" s="18">
        <v>2015</v>
      </c>
      <c r="P38" s="19">
        <v>2</v>
      </c>
      <c r="Q38" s="21" t="s">
        <v>317</v>
      </c>
      <c r="R38" s="52" t="str">
        <f>TRIM("Supprimer "&amp;G38&amp;" "&amp;$A$37&amp;" "&amp;I38&amp; " - Scénario id "&amp;B38)</f>
        <v>Supprimer CPR Maxi-statut - Scénario id 1</v>
      </c>
    </row>
    <row r="39" spans="1:18" s="18" customFormat="1" x14ac:dyDescent="0.25">
      <c r="B39" s="52">
        <v>2</v>
      </c>
      <c r="C39" s="18" t="s">
        <v>346</v>
      </c>
      <c r="D39" s="18">
        <v>1</v>
      </c>
      <c r="E39" s="18" t="s">
        <v>93</v>
      </c>
      <c r="F39" s="29">
        <f t="shared" si="6"/>
        <v>41275</v>
      </c>
      <c r="G39" s="29" t="s">
        <v>350</v>
      </c>
      <c r="H39" s="18">
        <v>5</v>
      </c>
      <c r="J39" s="54">
        <f t="shared" ref="J39:J47" si="7">DATE($O39-$P39+2,$N39,$M39)</f>
        <v>42005</v>
      </c>
      <c r="K39" s="19">
        <v>20141</v>
      </c>
      <c r="L39" s="30">
        <f>INDEX(barèmes!$D$2:$E$311,MATCH(Q39,barèmes!$D$2:$D$311,0),2)</f>
        <v>367.94</v>
      </c>
      <c r="M39" s="18">
        <v>1</v>
      </c>
      <c r="N39" s="19">
        <v>1</v>
      </c>
      <c r="O39" s="52">
        <v>2015</v>
      </c>
      <c r="P39" s="19">
        <v>2</v>
      </c>
      <c r="Q39" s="21" t="s">
        <v>327</v>
      </c>
      <c r="R39" s="52" t="str">
        <f t="shared" ref="R39:R47" si="8">TRIM("Supprimer "&amp;G39&amp;" "&amp;$A$37&amp;" "&amp;I39&amp; " - Scénario id "&amp;B39)</f>
        <v>Supprimer CPR Maxi-statut - Scénario id 2</v>
      </c>
    </row>
    <row r="40" spans="1:18" s="18" customFormat="1" x14ac:dyDescent="0.25">
      <c r="B40" s="52">
        <v>3</v>
      </c>
      <c r="C40" s="18" t="s">
        <v>346</v>
      </c>
      <c r="D40" s="18">
        <v>4</v>
      </c>
      <c r="E40" s="18" t="s">
        <v>90</v>
      </c>
      <c r="F40" s="29">
        <f t="shared" si="6"/>
        <v>41275</v>
      </c>
      <c r="G40" s="29" t="s">
        <v>350</v>
      </c>
      <c r="H40" s="18">
        <v>5</v>
      </c>
      <c r="J40" s="54">
        <f t="shared" si="7"/>
        <v>42005</v>
      </c>
      <c r="K40" s="19">
        <v>20141</v>
      </c>
      <c r="L40" s="30">
        <f>INDEX(barèmes!$D$2:$E$311,MATCH(Q40,barèmes!$D$2:$D$311,0),2)</f>
        <v>0</v>
      </c>
      <c r="M40" s="18">
        <v>1</v>
      </c>
      <c r="N40" s="19">
        <v>1</v>
      </c>
      <c r="O40" s="52">
        <v>2015</v>
      </c>
      <c r="P40" s="19">
        <v>2</v>
      </c>
      <c r="Q40" s="21" t="s">
        <v>317</v>
      </c>
      <c r="R40" s="52" t="str">
        <f t="shared" si="8"/>
        <v>Supprimer CPR Maxi-statut - Scénario id 3</v>
      </c>
    </row>
    <row r="41" spans="1:18" s="18" customFormat="1" x14ac:dyDescent="0.25">
      <c r="B41" s="52">
        <v>4</v>
      </c>
      <c r="C41" s="18" t="s">
        <v>346</v>
      </c>
      <c r="D41" s="18">
        <v>5</v>
      </c>
      <c r="E41" s="18" t="s">
        <v>90</v>
      </c>
      <c r="F41" s="29">
        <f t="shared" si="6"/>
        <v>41275</v>
      </c>
      <c r="G41" s="29" t="s">
        <v>350</v>
      </c>
      <c r="H41" s="18">
        <v>5</v>
      </c>
      <c r="J41" s="54">
        <f t="shared" si="7"/>
        <v>42005</v>
      </c>
      <c r="K41" s="19">
        <v>20141</v>
      </c>
      <c r="L41" s="30">
        <f>INDEX(barèmes!$D$2:$E$311,MATCH(Q41,barèmes!$D$2:$D$311,0),2)</f>
        <v>0</v>
      </c>
      <c r="M41" s="18">
        <v>1</v>
      </c>
      <c r="N41" s="19">
        <v>1</v>
      </c>
      <c r="O41" s="52">
        <v>2015</v>
      </c>
      <c r="P41" s="19">
        <v>2</v>
      </c>
      <c r="Q41" s="21" t="s">
        <v>317</v>
      </c>
      <c r="R41" s="52" t="str">
        <f t="shared" si="8"/>
        <v>Supprimer CPR Maxi-statut - Scénario id 4</v>
      </c>
    </row>
    <row r="42" spans="1:18" s="18" customFormat="1" x14ac:dyDescent="0.25">
      <c r="B42" s="52">
        <v>5</v>
      </c>
      <c r="C42" s="18" t="s">
        <v>346</v>
      </c>
      <c r="D42" s="18">
        <v>1</v>
      </c>
      <c r="E42" s="18" t="s">
        <v>90</v>
      </c>
      <c r="F42" s="29">
        <f t="shared" si="6"/>
        <v>41275</v>
      </c>
      <c r="G42" s="29" t="s">
        <v>350</v>
      </c>
      <c r="H42" s="18">
        <v>5</v>
      </c>
      <c r="I42" s="18" t="s">
        <v>90</v>
      </c>
      <c r="J42" s="54">
        <f t="shared" si="7"/>
        <v>42005</v>
      </c>
      <c r="K42" s="19">
        <v>20141</v>
      </c>
      <c r="L42" s="30">
        <f>INDEX(barèmes!$D$2:$E$311,MATCH(Q42,barèmes!$D$2:$D$311,0),2)</f>
        <v>0</v>
      </c>
      <c r="M42" s="18">
        <v>1</v>
      </c>
      <c r="N42" s="19">
        <v>1</v>
      </c>
      <c r="O42" s="52">
        <v>2015</v>
      </c>
      <c r="P42" s="19">
        <v>2</v>
      </c>
      <c r="Q42" s="21" t="s">
        <v>317</v>
      </c>
      <c r="R42" s="52" t="str">
        <f t="shared" si="8"/>
        <v>Supprimer CPR Maxi-statut EXO - Scénario id 5</v>
      </c>
    </row>
    <row r="43" spans="1:18" s="18" customFormat="1" x14ac:dyDescent="0.25">
      <c r="B43" s="52">
        <v>6</v>
      </c>
      <c r="C43" s="18" t="s">
        <v>346</v>
      </c>
      <c r="D43" s="18">
        <v>1</v>
      </c>
      <c r="E43" s="18" t="s">
        <v>93</v>
      </c>
      <c r="F43" s="29">
        <f t="shared" si="6"/>
        <v>41275</v>
      </c>
      <c r="G43" s="29" t="s">
        <v>350</v>
      </c>
      <c r="H43" s="18">
        <v>5</v>
      </c>
      <c r="I43" s="18" t="s">
        <v>90</v>
      </c>
      <c r="J43" s="54">
        <f t="shared" si="7"/>
        <v>42005</v>
      </c>
      <c r="K43" s="19">
        <v>20141</v>
      </c>
      <c r="L43" s="30">
        <f>INDEX(barèmes!$D$2:$E$311,MATCH(Q43,barèmes!$D$2:$D$311,0),2)</f>
        <v>367.94</v>
      </c>
      <c r="M43" s="18">
        <v>1</v>
      </c>
      <c r="N43" s="19">
        <v>1</v>
      </c>
      <c r="O43" s="52">
        <v>2015</v>
      </c>
      <c r="P43" s="19">
        <v>2</v>
      </c>
      <c r="Q43" s="21" t="s">
        <v>327</v>
      </c>
      <c r="R43" s="52" t="str">
        <f t="shared" si="8"/>
        <v>Supprimer CPR Maxi-statut EXO - Scénario id 6</v>
      </c>
    </row>
    <row r="44" spans="1:18" s="18" customFormat="1" x14ac:dyDescent="0.25">
      <c r="B44" s="52">
        <v>7</v>
      </c>
      <c r="C44" s="18" t="s">
        <v>346</v>
      </c>
      <c r="D44" s="18">
        <v>4</v>
      </c>
      <c r="F44" s="29">
        <f t="shared" si="6"/>
        <v>41275</v>
      </c>
      <c r="G44" s="29" t="s">
        <v>350</v>
      </c>
      <c r="H44" s="18">
        <v>5</v>
      </c>
      <c r="I44" s="18" t="s">
        <v>90</v>
      </c>
      <c r="J44" s="54">
        <f t="shared" si="7"/>
        <v>42005</v>
      </c>
      <c r="K44" s="19">
        <v>20141</v>
      </c>
      <c r="L44" s="30">
        <f>INDEX(barèmes!$D$2:$E$311,MATCH(Q44,barèmes!$D$2:$D$311,0),2)</f>
        <v>77.7</v>
      </c>
      <c r="M44" s="18">
        <v>1</v>
      </c>
      <c r="N44" s="19">
        <v>1</v>
      </c>
      <c r="O44" s="52">
        <v>2015</v>
      </c>
      <c r="P44" s="19">
        <v>2</v>
      </c>
      <c r="Q44" s="21" t="s">
        <v>330</v>
      </c>
      <c r="R44" s="52" t="str">
        <f t="shared" si="8"/>
        <v>Supprimer CPR Maxi-statut EXO - Scénario id 7</v>
      </c>
    </row>
    <row r="45" spans="1:18" s="18" customFormat="1" x14ac:dyDescent="0.25">
      <c r="B45" s="52">
        <v>8</v>
      </c>
      <c r="C45" s="18" t="s">
        <v>346</v>
      </c>
      <c r="D45" s="18">
        <v>5</v>
      </c>
      <c r="F45" s="29">
        <f t="shared" si="6"/>
        <v>41275</v>
      </c>
      <c r="G45" s="29" t="s">
        <v>350</v>
      </c>
      <c r="H45" s="18">
        <v>5</v>
      </c>
      <c r="I45" s="18" t="s">
        <v>90</v>
      </c>
      <c r="J45" s="54">
        <f t="shared" si="7"/>
        <v>42005</v>
      </c>
      <c r="K45" s="19">
        <v>20141</v>
      </c>
      <c r="L45" s="30">
        <f>INDEX(barèmes!$D$2:$E$311,MATCH(Q45,barèmes!$D$2:$D$311,0),2)</f>
        <v>308.55</v>
      </c>
      <c r="M45" s="18">
        <v>1</v>
      </c>
      <c r="N45" s="19">
        <v>1</v>
      </c>
      <c r="O45" s="52">
        <v>2015</v>
      </c>
      <c r="P45" s="19">
        <v>2</v>
      </c>
      <c r="Q45" s="21" t="s">
        <v>323</v>
      </c>
      <c r="R45" s="52" t="str">
        <f t="shared" si="8"/>
        <v>Supprimer CPR Maxi-statut EXO - Scénario id 8</v>
      </c>
    </row>
    <row r="46" spans="1:18" s="18" customFormat="1" x14ac:dyDescent="0.25">
      <c r="B46" s="52">
        <v>9</v>
      </c>
      <c r="C46" s="18" t="s">
        <v>346</v>
      </c>
      <c r="D46" s="18">
        <v>5</v>
      </c>
      <c r="F46" s="29">
        <f t="shared" si="6"/>
        <v>41275</v>
      </c>
      <c r="G46" s="29" t="s">
        <v>349</v>
      </c>
      <c r="J46" s="54">
        <f t="shared" si="7"/>
        <v>42005</v>
      </c>
      <c r="K46" s="19">
        <v>20151</v>
      </c>
      <c r="L46" s="30">
        <f>INDEX(barèmes!$D$2:$E$311,MATCH(Q46,barèmes!$D$2:$D$311,0),2)</f>
        <v>315.89999999999998</v>
      </c>
      <c r="M46" s="18">
        <v>1</v>
      </c>
      <c r="N46" s="19">
        <v>1</v>
      </c>
      <c r="O46" s="52">
        <v>2015</v>
      </c>
      <c r="P46" s="19">
        <v>2</v>
      </c>
      <c r="Q46" s="21" t="s">
        <v>319</v>
      </c>
      <c r="R46" s="52" t="str">
        <f t="shared" si="8"/>
        <v>Supprimer CES Maxi-statut - Scénario id 9</v>
      </c>
    </row>
    <row r="47" spans="1:18" x14ac:dyDescent="0.25">
      <c r="A47" s="18"/>
      <c r="B47" s="52">
        <v>10</v>
      </c>
      <c r="C47" s="18" t="s">
        <v>346</v>
      </c>
      <c r="D47" s="18">
        <v>5</v>
      </c>
      <c r="E47" s="18" t="s">
        <v>90</v>
      </c>
      <c r="F47" s="29">
        <f t="shared" si="6"/>
        <v>41275</v>
      </c>
      <c r="G47" s="29" t="s">
        <v>349</v>
      </c>
      <c r="H47" s="18"/>
      <c r="I47" s="18"/>
      <c r="J47" s="54">
        <f t="shared" si="7"/>
        <v>42005</v>
      </c>
      <c r="K47" s="19">
        <v>20141</v>
      </c>
      <c r="L47" s="30">
        <f>INDEX(barèmes!$D$2:$E$311,MATCH(Q47,barèmes!$D$2:$D$311,0),2)</f>
        <v>0</v>
      </c>
      <c r="M47" s="18">
        <v>1</v>
      </c>
      <c r="N47" s="19">
        <v>1</v>
      </c>
      <c r="O47" s="52">
        <v>2015</v>
      </c>
      <c r="P47" s="19">
        <v>2</v>
      </c>
      <c r="Q47" s="21" t="s">
        <v>317</v>
      </c>
      <c r="R47" s="52" t="str">
        <f t="shared" si="8"/>
        <v>Supprimer CES Maxi-statut - Scénario id 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4"/>
  <sheetViews>
    <sheetView topLeftCell="A133" workbookViewId="0">
      <selection activeCell="G78" sqref="G78"/>
    </sheetView>
  </sheetViews>
  <sheetFormatPr baseColWidth="10" defaultColWidth="11.42578125" defaultRowHeight="15" x14ac:dyDescent="0.25"/>
  <cols>
    <col min="1" max="2" width="11.42578125" customWidth="1"/>
    <col min="3" max="3" width="11.42578125" style="16" customWidth="1"/>
    <col min="4" max="4" width="11.42578125" style="16"/>
    <col min="5" max="5" width="11.42578125" style="15"/>
  </cols>
  <sheetData>
    <row r="1" spans="1:5" x14ac:dyDescent="0.25">
      <c r="A1" t="s">
        <v>273</v>
      </c>
      <c r="B1" t="s">
        <v>300</v>
      </c>
      <c r="C1" s="16" t="s">
        <v>301</v>
      </c>
      <c r="E1" s="15" t="s">
        <v>302</v>
      </c>
    </row>
    <row r="2" spans="1:5" x14ac:dyDescent="0.25">
      <c r="A2">
        <v>1</v>
      </c>
      <c r="B2">
        <v>2015</v>
      </c>
      <c r="C2" s="16">
        <v>1</v>
      </c>
      <c r="D2" s="16" t="str">
        <f>CONCATENATE(A2,B2,C2)</f>
        <v>120151</v>
      </c>
      <c r="E2" s="15">
        <v>685.66</v>
      </c>
    </row>
    <row r="3" spans="1:5" x14ac:dyDescent="0.25">
      <c r="A3">
        <v>1</v>
      </c>
      <c r="B3">
        <v>2015</v>
      </c>
      <c r="C3" s="16">
        <v>2</v>
      </c>
      <c r="D3" s="16" t="str">
        <f t="shared" ref="D3:D67" si="0">CONCATENATE(A3,B3,C3)</f>
        <v>120152</v>
      </c>
      <c r="E3" s="15">
        <v>702.39</v>
      </c>
    </row>
    <row r="4" spans="1:5" x14ac:dyDescent="0.25">
      <c r="A4">
        <v>1</v>
      </c>
      <c r="B4">
        <v>2015</v>
      </c>
      <c r="C4" s="16">
        <v>3</v>
      </c>
      <c r="D4" s="16" t="str">
        <f t="shared" si="0"/>
        <v>120153</v>
      </c>
      <c r="E4" s="15">
        <v>719.12</v>
      </c>
    </row>
    <row r="5" spans="1:5" x14ac:dyDescent="0.25">
      <c r="A5">
        <v>1</v>
      </c>
      <c r="B5">
        <v>2014</v>
      </c>
      <c r="C5" s="16">
        <v>1</v>
      </c>
      <c r="D5" s="16" t="str">
        <f t="shared" si="0"/>
        <v>120141</v>
      </c>
      <c r="E5" s="15">
        <v>685.66</v>
      </c>
    </row>
    <row r="6" spans="1:5" x14ac:dyDescent="0.25">
      <c r="A6">
        <v>1</v>
      </c>
      <c r="B6">
        <v>2014</v>
      </c>
      <c r="C6" s="16">
        <v>2</v>
      </c>
      <c r="D6" s="16" t="str">
        <f t="shared" si="0"/>
        <v>120142</v>
      </c>
      <c r="E6" s="15">
        <v>702.39</v>
      </c>
    </row>
    <row r="7" spans="1:5" x14ac:dyDescent="0.25">
      <c r="A7">
        <v>1</v>
      </c>
      <c r="B7">
        <v>2014</v>
      </c>
      <c r="C7" s="16">
        <v>3</v>
      </c>
      <c r="D7" s="16" t="str">
        <f t="shared" si="0"/>
        <v>120143</v>
      </c>
      <c r="E7" s="15">
        <v>719.12</v>
      </c>
    </row>
    <row r="8" spans="1:5" x14ac:dyDescent="0.25">
      <c r="A8">
        <v>1</v>
      </c>
      <c r="B8">
        <v>2013</v>
      </c>
      <c r="C8" s="16">
        <v>1</v>
      </c>
      <c r="D8" s="16" t="str">
        <f t="shared" si="0"/>
        <v>120131</v>
      </c>
      <c r="E8" s="15">
        <v>683.22</v>
      </c>
    </row>
    <row r="9" spans="1:5" x14ac:dyDescent="0.25">
      <c r="A9">
        <v>1</v>
      </c>
      <c r="B9">
        <v>2013</v>
      </c>
      <c r="C9" s="16">
        <v>2</v>
      </c>
      <c r="D9" s="16" t="str">
        <f t="shared" si="0"/>
        <v>120132</v>
      </c>
      <c r="E9" s="15">
        <v>699.88</v>
      </c>
    </row>
    <row r="10" spans="1:5" x14ac:dyDescent="0.25">
      <c r="A10">
        <v>1</v>
      </c>
      <c r="B10">
        <v>2013</v>
      </c>
      <c r="C10" s="16">
        <v>3</v>
      </c>
      <c r="D10" s="16" t="str">
        <f t="shared" si="0"/>
        <v>120133</v>
      </c>
      <c r="E10" s="15">
        <v>716.55</v>
      </c>
    </row>
    <row r="11" spans="1:5" x14ac:dyDescent="0.25">
      <c r="A11">
        <v>1</v>
      </c>
      <c r="B11">
        <v>2012</v>
      </c>
      <c r="C11" s="16">
        <v>1</v>
      </c>
      <c r="D11" s="16" t="str">
        <f t="shared" si="0"/>
        <v>120121</v>
      </c>
      <c r="E11" s="15">
        <v>670.15</v>
      </c>
    </row>
    <row r="12" spans="1:5" x14ac:dyDescent="0.25">
      <c r="A12">
        <v>1</v>
      </c>
      <c r="B12">
        <v>2012</v>
      </c>
      <c r="C12" s="16">
        <v>2</v>
      </c>
      <c r="D12" s="16" t="str">
        <f t="shared" si="0"/>
        <v>120122</v>
      </c>
      <c r="E12" s="15">
        <v>686.5</v>
      </c>
    </row>
    <row r="13" spans="1:5" x14ac:dyDescent="0.25">
      <c r="A13">
        <v>1</v>
      </c>
      <c r="B13">
        <v>2012</v>
      </c>
      <c r="C13" s="16">
        <v>3</v>
      </c>
      <c r="D13" s="16" t="str">
        <f t="shared" si="0"/>
        <v>120123</v>
      </c>
      <c r="E13" s="15">
        <v>702.84</v>
      </c>
    </row>
    <row r="14" spans="1:5" x14ac:dyDescent="0.25">
      <c r="A14">
        <v>1</v>
      </c>
      <c r="B14">
        <v>2011</v>
      </c>
      <c r="C14" s="16">
        <v>1</v>
      </c>
      <c r="D14" s="16" t="str">
        <f t="shared" si="0"/>
        <v>120111</v>
      </c>
      <c r="E14" s="15">
        <v>645.27</v>
      </c>
    </row>
    <row r="15" spans="1:5" x14ac:dyDescent="0.25">
      <c r="A15">
        <v>1</v>
      </c>
      <c r="B15">
        <v>2011</v>
      </c>
      <c r="C15" s="16">
        <v>2</v>
      </c>
      <c r="D15" s="16" t="str">
        <f t="shared" si="0"/>
        <v>120112</v>
      </c>
      <c r="E15" s="15">
        <v>661.01</v>
      </c>
    </row>
    <row r="16" spans="1:5" x14ac:dyDescent="0.25">
      <c r="A16">
        <v>1</v>
      </c>
      <c r="B16">
        <v>2011</v>
      </c>
      <c r="C16" s="16">
        <v>3</v>
      </c>
      <c r="D16" s="16" t="str">
        <f t="shared" si="0"/>
        <v>120113</v>
      </c>
      <c r="E16" s="15">
        <v>676.74</v>
      </c>
    </row>
    <row r="17" spans="1:5" x14ac:dyDescent="0.25">
      <c r="A17">
        <v>1</v>
      </c>
      <c r="B17">
        <v>2010</v>
      </c>
      <c r="C17" s="16">
        <v>1</v>
      </c>
      <c r="D17" s="16" t="str">
        <f t="shared" si="0"/>
        <v>120101</v>
      </c>
      <c r="E17" s="15">
        <v>629.03</v>
      </c>
    </row>
    <row r="18" spans="1:5" x14ac:dyDescent="0.25">
      <c r="A18">
        <v>1</v>
      </c>
      <c r="B18">
        <v>2010</v>
      </c>
      <c r="C18" s="16">
        <v>2</v>
      </c>
      <c r="D18" s="16" t="str">
        <f t="shared" si="0"/>
        <v>120102</v>
      </c>
      <c r="E18" s="15">
        <v>644.37</v>
      </c>
    </row>
    <row r="19" spans="1:5" x14ac:dyDescent="0.25">
      <c r="A19">
        <v>1</v>
      </c>
      <c r="B19">
        <v>2010</v>
      </c>
      <c r="C19" s="16">
        <v>3</v>
      </c>
      <c r="D19" s="16" t="str">
        <f t="shared" si="0"/>
        <v>120103</v>
      </c>
      <c r="E19" s="15">
        <v>659.71</v>
      </c>
    </row>
    <row r="20" spans="1:5" x14ac:dyDescent="0.25">
      <c r="A20">
        <v>1</v>
      </c>
      <c r="B20">
        <v>2009</v>
      </c>
      <c r="C20" s="16">
        <v>1</v>
      </c>
      <c r="D20" s="16" t="str">
        <f t="shared" si="0"/>
        <v>120091</v>
      </c>
      <c r="E20" s="15">
        <v>629.03</v>
      </c>
    </row>
    <row r="21" spans="1:5" x14ac:dyDescent="0.25">
      <c r="A21">
        <v>1</v>
      </c>
      <c r="B21">
        <v>2009</v>
      </c>
      <c r="C21" s="16">
        <v>2</v>
      </c>
      <c r="D21" s="16" t="str">
        <f t="shared" si="0"/>
        <v>120092</v>
      </c>
      <c r="E21" s="15">
        <v>644.37</v>
      </c>
    </row>
    <row r="22" spans="1:5" x14ac:dyDescent="0.25">
      <c r="A22">
        <v>1</v>
      </c>
      <c r="B22">
        <v>2009</v>
      </c>
      <c r="C22" s="16">
        <v>3</v>
      </c>
      <c r="D22" s="16" t="str">
        <f t="shared" si="0"/>
        <v>120093</v>
      </c>
      <c r="E22" s="15">
        <v>659.71</v>
      </c>
    </row>
    <row r="23" spans="1:5" x14ac:dyDescent="0.25">
      <c r="A23">
        <v>1</v>
      </c>
      <c r="B23">
        <v>2008</v>
      </c>
      <c r="C23" s="16">
        <v>1</v>
      </c>
      <c r="D23" s="16" t="str">
        <f t="shared" si="0"/>
        <v>120081</v>
      </c>
      <c r="E23" s="15">
        <v>607.54</v>
      </c>
    </row>
    <row r="24" spans="1:5" x14ac:dyDescent="0.25">
      <c r="A24">
        <v>1</v>
      </c>
      <c r="B24">
        <v>2008</v>
      </c>
      <c r="C24" s="16">
        <v>2</v>
      </c>
      <c r="D24" s="16" t="str">
        <f t="shared" si="0"/>
        <v>120082</v>
      </c>
      <c r="E24" s="15">
        <v>622.35</v>
      </c>
    </row>
    <row r="25" spans="1:5" x14ac:dyDescent="0.25">
      <c r="A25">
        <v>1</v>
      </c>
      <c r="B25">
        <v>2008</v>
      </c>
      <c r="C25" s="16">
        <v>3</v>
      </c>
      <c r="D25" s="16" t="str">
        <f t="shared" si="0"/>
        <v>120083</v>
      </c>
      <c r="E25" s="15">
        <v>637.17999999999995</v>
      </c>
    </row>
    <row r="26" spans="1:5" x14ac:dyDescent="0.25">
      <c r="A26">
        <v>1</v>
      </c>
      <c r="B26">
        <v>2015</v>
      </c>
      <c r="C26" s="16" t="s">
        <v>303</v>
      </c>
      <c r="D26" s="16" t="str">
        <f t="shared" si="0"/>
        <v>12015d</v>
      </c>
      <c r="E26" s="15">
        <v>735.83</v>
      </c>
    </row>
    <row r="27" spans="1:5" x14ac:dyDescent="0.25">
      <c r="A27">
        <v>1</v>
      </c>
      <c r="B27">
        <v>2014</v>
      </c>
      <c r="C27" s="16" t="s">
        <v>303</v>
      </c>
      <c r="D27" s="16" t="str">
        <f t="shared" si="0"/>
        <v>12014d</v>
      </c>
      <c r="E27" s="15">
        <v>735.83</v>
      </c>
    </row>
    <row r="28" spans="1:5" x14ac:dyDescent="0.25">
      <c r="A28">
        <v>1</v>
      </c>
      <c r="B28">
        <v>2013</v>
      </c>
      <c r="C28" s="16" t="s">
        <v>303</v>
      </c>
      <c r="D28" s="16" t="str">
        <f t="shared" si="0"/>
        <v>12013d</v>
      </c>
      <c r="E28" s="15">
        <v>733.2</v>
      </c>
    </row>
    <row r="29" spans="1:5" x14ac:dyDescent="0.25">
      <c r="A29">
        <v>1</v>
      </c>
      <c r="B29">
        <v>2012</v>
      </c>
      <c r="C29" s="16" t="s">
        <v>303</v>
      </c>
      <c r="D29" s="16" t="str">
        <f t="shared" si="0"/>
        <v>12012d</v>
      </c>
      <c r="E29" s="15">
        <v>719.19</v>
      </c>
    </row>
    <row r="30" spans="1:5" x14ac:dyDescent="0.25">
      <c r="A30">
        <v>1</v>
      </c>
      <c r="B30">
        <v>2011</v>
      </c>
      <c r="C30" s="16" t="s">
        <v>303</v>
      </c>
      <c r="D30" s="16" t="str">
        <f t="shared" si="0"/>
        <v>12011d</v>
      </c>
      <c r="E30" s="15">
        <v>692.49</v>
      </c>
    </row>
    <row r="31" spans="1:5" x14ac:dyDescent="0.25">
      <c r="A31">
        <v>1</v>
      </c>
      <c r="B31">
        <v>2010</v>
      </c>
      <c r="C31" s="16" t="s">
        <v>303</v>
      </c>
      <c r="D31" s="16" t="str">
        <f t="shared" si="0"/>
        <v>12010d</v>
      </c>
      <c r="E31" s="15">
        <v>675.05</v>
      </c>
    </row>
    <row r="32" spans="1:5" x14ac:dyDescent="0.25">
      <c r="A32">
        <v>1</v>
      </c>
      <c r="B32">
        <v>2009</v>
      </c>
      <c r="C32" s="16" t="s">
        <v>303</v>
      </c>
      <c r="D32" s="16" t="str">
        <f t="shared" si="0"/>
        <v>12009d</v>
      </c>
      <c r="E32" s="15">
        <v>675.05</v>
      </c>
    </row>
    <row r="33" spans="1:5" x14ac:dyDescent="0.25">
      <c r="A33">
        <v>1</v>
      </c>
      <c r="B33">
        <v>2008</v>
      </c>
      <c r="C33" s="16" t="s">
        <v>303</v>
      </c>
      <c r="D33" s="16" t="str">
        <f t="shared" si="0"/>
        <v>12008d</v>
      </c>
      <c r="E33" s="15">
        <v>651.99</v>
      </c>
    </row>
    <row r="34" spans="1:5" x14ac:dyDescent="0.25">
      <c r="A34">
        <v>4</v>
      </c>
      <c r="B34">
        <v>2015</v>
      </c>
      <c r="C34" s="16">
        <v>1</v>
      </c>
      <c r="D34" s="16" t="str">
        <f t="shared" si="0"/>
        <v>420151</v>
      </c>
      <c r="E34" s="15">
        <v>75.849999999999994</v>
      </c>
    </row>
    <row r="35" spans="1:5" x14ac:dyDescent="0.25">
      <c r="A35">
        <v>4</v>
      </c>
      <c r="B35">
        <v>2015</v>
      </c>
      <c r="C35" s="16">
        <v>2</v>
      </c>
      <c r="D35" s="16" t="str">
        <f t="shared" si="0"/>
        <v>420152</v>
      </c>
      <c r="E35" s="15">
        <v>77.7</v>
      </c>
    </row>
    <row r="36" spans="1:5" x14ac:dyDescent="0.25">
      <c r="A36">
        <v>4</v>
      </c>
      <c r="B36">
        <v>2015</v>
      </c>
      <c r="C36" s="16">
        <v>3</v>
      </c>
      <c r="D36" s="16" t="str">
        <f t="shared" si="0"/>
        <v>420153</v>
      </c>
      <c r="E36" s="15">
        <v>79.55</v>
      </c>
    </row>
    <row r="37" spans="1:5" x14ac:dyDescent="0.25">
      <c r="A37">
        <v>4</v>
      </c>
      <c r="B37">
        <v>2014</v>
      </c>
      <c r="C37" s="16">
        <v>1</v>
      </c>
      <c r="D37" s="16" t="str">
        <f t="shared" si="0"/>
        <v>420141</v>
      </c>
      <c r="E37" s="15">
        <v>75.849999999999994</v>
      </c>
    </row>
    <row r="38" spans="1:5" x14ac:dyDescent="0.25">
      <c r="A38">
        <v>4</v>
      </c>
      <c r="B38">
        <v>2014</v>
      </c>
      <c r="C38" s="16">
        <v>2</v>
      </c>
      <c r="D38" s="16" t="str">
        <f t="shared" si="0"/>
        <v>420142</v>
      </c>
      <c r="E38" s="15">
        <v>77.7</v>
      </c>
    </row>
    <row r="39" spans="1:5" x14ac:dyDescent="0.25">
      <c r="A39">
        <v>4</v>
      </c>
      <c r="B39">
        <v>2014</v>
      </c>
      <c r="C39" s="16">
        <v>3</v>
      </c>
      <c r="D39" s="16" t="str">
        <f t="shared" si="0"/>
        <v>420143</v>
      </c>
      <c r="E39" s="15">
        <v>79.55</v>
      </c>
    </row>
    <row r="40" spans="1:5" x14ac:dyDescent="0.25">
      <c r="A40">
        <v>4</v>
      </c>
      <c r="B40">
        <v>2013</v>
      </c>
      <c r="C40" s="16">
        <v>1</v>
      </c>
      <c r="D40" s="16" t="str">
        <f t="shared" si="0"/>
        <v>420131</v>
      </c>
      <c r="E40" s="15">
        <v>75.59</v>
      </c>
    </row>
    <row r="41" spans="1:5" x14ac:dyDescent="0.25">
      <c r="A41">
        <v>4</v>
      </c>
      <c r="B41">
        <v>2013</v>
      </c>
      <c r="C41" s="16">
        <v>2</v>
      </c>
      <c r="D41" s="16" t="str">
        <f t="shared" si="0"/>
        <v>420132</v>
      </c>
      <c r="E41" s="15">
        <v>77.430000000000007</v>
      </c>
    </row>
    <row r="42" spans="1:5" x14ac:dyDescent="0.25">
      <c r="A42">
        <v>4</v>
      </c>
      <c r="B42">
        <v>2013</v>
      </c>
      <c r="C42" s="16">
        <v>3</v>
      </c>
      <c r="D42" s="16" t="str">
        <f t="shared" si="0"/>
        <v>420133</v>
      </c>
      <c r="E42" s="15">
        <v>79.28</v>
      </c>
    </row>
    <row r="43" spans="1:5" x14ac:dyDescent="0.25">
      <c r="A43">
        <v>4</v>
      </c>
      <c r="B43">
        <v>2012</v>
      </c>
      <c r="C43" s="16">
        <v>1</v>
      </c>
      <c r="D43" s="16" t="str">
        <f t="shared" si="0"/>
        <v>420121</v>
      </c>
      <c r="E43" s="15">
        <v>74.14</v>
      </c>
    </row>
    <row r="44" spans="1:5" x14ac:dyDescent="0.25">
      <c r="A44">
        <v>4</v>
      </c>
      <c r="B44">
        <v>2012</v>
      </c>
      <c r="C44" s="16">
        <v>2</v>
      </c>
      <c r="D44" s="16" t="str">
        <f t="shared" si="0"/>
        <v>420122</v>
      </c>
      <c r="E44" s="15">
        <v>75.95</v>
      </c>
    </row>
    <row r="45" spans="1:5" x14ac:dyDescent="0.25">
      <c r="A45">
        <v>4</v>
      </c>
      <c r="B45">
        <v>2012</v>
      </c>
      <c r="C45" s="16">
        <v>3</v>
      </c>
      <c r="D45" s="16" t="str">
        <f t="shared" si="0"/>
        <v>420123</v>
      </c>
      <c r="E45" s="15">
        <v>77.760000000000005</v>
      </c>
    </row>
    <row r="46" spans="1:5" x14ac:dyDescent="0.25">
      <c r="A46">
        <v>4</v>
      </c>
      <c r="B46">
        <v>2011</v>
      </c>
      <c r="C46" s="16">
        <v>1</v>
      </c>
      <c r="D46" s="16" t="str">
        <f t="shared" si="0"/>
        <v>420111</v>
      </c>
      <c r="E46" s="15">
        <v>71.39</v>
      </c>
    </row>
    <row r="47" spans="1:5" x14ac:dyDescent="0.25">
      <c r="A47">
        <v>4</v>
      </c>
      <c r="B47">
        <v>2011</v>
      </c>
      <c r="C47" s="16">
        <v>2</v>
      </c>
      <c r="D47" s="16" t="str">
        <f t="shared" si="0"/>
        <v>420112</v>
      </c>
      <c r="E47" s="15">
        <v>73.13</v>
      </c>
    </row>
    <row r="48" spans="1:5" x14ac:dyDescent="0.25">
      <c r="A48">
        <v>4</v>
      </c>
      <c r="B48">
        <v>2011</v>
      </c>
      <c r="C48" s="16">
        <v>3</v>
      </c>
      <c r="D48" s="16" t="str">
        <f t="shared" si="0"/>
        <v>420113</v>
      </c>
      <c r="E48" s="15">
        <v>74.87</v>
      </c>
    </row>
    <row r="49" spans="1:5" x14ac:dyDescent="0.25">
      <c r="A49">
        <v>4</v>
      </c>
      <c r="B49">
        <v>2010</v>
      </c>
      <c r="C49" s="16">
        <v>1</v>
      </c>
      <c r="D49" s="16" t="str">
        <f t="shared" si="0"/>
        <v>420101</v>
      </c>
      <c r="E49" s="15">
        <v>69.599999999999994</v>
      </c>
    </row>
    <row r="50" spans="1:5" x14ac:dyDescent="0.25">
      <c r="A50">
        <v>4</v>
      </c>
      <c r="B50">
        <v>2010</v>
      </c>
      <c r="C50" s="16">
        <v>2</v>
      </c>
      <c r="D50" s="16" t="str">
        <f t="shared" si="0"/>
        <v>420102</v>
      </c>
      <c r="E50" s="15">
        <v>71.290000000000006</v>
      </c>
    </row>
    <row r="51" spans="1:5" x14ac:dyDescent="0.25">
      <c r="A51">
        <v>4</v>
      </c>
      <c r="B51">
        <v>2010</v>
      </c>
      <c r="C51" s="16">
        <v>3</v>
      </c>
      <c r="D51" s="16" t="str">
        <f t="shared" si="0"/>
        <v>420103</v>
      </c>
      <c r="E51" s="15">
        <v>72.989999999999995</v>
      </c>
    </row>
    <row r="52" spans="1:5" x14ac:dyDescent="0.25">
      <c r="A52">
        <v>4</v>
      </c>
      <c r="B52">
        <v>2009</v>
      </c>
      <c r="C52" s="16">
        <v>1</v>
      </c>
      <c r="D52" s="16" t="str">
        <f t="shared" si="0"/>
        <v>420091</v>
      </c>
      <c r="E52" s="15">
        <v>69.599999999999994</v>
      </c>
    </row>
    <row r="53" spans="1:5" x14ac:dyDescent="0.25">
      <c r="A53">
        <v>4</v>
      </c>
      <c r="B53">
        <v>2009</v>
      </c>
      <c r="C53" s="16">
        <v>2</v>
      </c>
      <c r="D53" s="16" t="str">
        <f t="shared" si="0"/>
        <v>420092</v>
      </c>
      <c r="E53" s="15">
        <v>71.290000000000006</v>
      </c>
    </row>
    <row r="54" spans="1:5" x14ac:dyDescent="0.25">
      <c r="A54">
        <v>4</v>
      </c>
      <c r="B54">
        <v>2009</v>
      </c>
      <c r="C54" s="16">
        <v>3</v>
      </c>
      <c r="D54" s="16" t="str">
        <f t="shared" si="0"/>
        <v>420093</v>
      </c>
      <c r="E54" s="15">
        <v>72.989999999999995</v>
      </c>
    </row>
    <row r="55" spans="1:5" x14ac:dyDescent="0.25">
      <c r="A55">
        <v>4</v>
      </c>
      <c r="B55">
        <v>2008</v>
      </c>
      <c r="C55" s="16">
        <v>1</v>
      </c>
      <c r="D55" s="16" t="str">
        <f t="shared" si="0"/>
        <v>420081</v>
      </c>
      <c r="E55" s="15">
        <v>67.209999999999994</v>
      </c>
    </row>
    <row r="56" spans="1:5" x14ac:dyDescent="0.25">
      <c r="A56">
        <v>4</v>
      </c>
      <c r="B56">
        <v>2008</v>
      </c>
      <c r="C56" s="16">
        <v>2</v>
      </c>
      <c r="D56" s="16" t="str">
        <f t="shared" si="0"/>
        <v>420082</v>
      </c>
      <c r="E56" s="15">
        <v>68.849999999999994</v>
      </c>
    </row>
    <row r="57" spans="1:5" x14ac:dyDescent="0.25">
      <c r="A57">
        <v>4</v>
      </c>
      <c r="B57">
        <v>2008</v>
      </c>
      <c r="C57" s="16">
        <v>3</v>
      </c>
      <c r="D57" s="16" t="str">
        <f t="shared" si="0"/>
        <v>420083</v>
      </c>
      <c r="E57" s="15">
        <v>70.489999999999995</v>
      </c>
    </row>
    <row r="58" spans="1:5" x14ac:dyDescent="0.25">
      <c r="A58">
        <v>4</v>
      </c>
      <c r="B58">
        <v>2015</v>
      </c>
      <c r="C58" s="16" t="s">
        <v>303</v>
      </c>
      <c r="D58" s="16" t="str">
        <f t="shared" si="0"/>
        <v>42015d</v>
      </c>
      <c r="E58" s="15">
        <v>81.400000000000006</v>
      </c>
    </row>
    <row r="59" spans="1:5" x14ac:dyDescent="0.25">
      <c r="A59">
        <v>4</v>
      </c>
      <c r="B59">
        <v>2014</v>
      </c>
      <c r="C59" s="16" t="s">
        <v>303</v>
      </c>
      <c r="D59" s="16" t="str">
        <f t="shared" si="0"/>
        <v>42014d</v>
      </c>
    </row>
    <row r="60" spans="1:5" x14ac:dyDescent="0.25">
      <c r="A60">
        <v>4</v>
      </c>
      <c r="B60">
        <v>2013</v>
      </c>
      <c r="C60" s="16" t="s">
        <v>303</v>
      </c>
      <c r="D60" s="16" t="str">
        <f t="shared" si="0"/>
        <v>42013d</v>
      </c>
    </row>
    <row r="61" spans="1:5" x14ac:dyDescent="0.25">
      <c r="A61">
        <v>4</v>
      </c>
      <c r="B61">
        <v>2012</v>
      </c>
      <c r="C61" s="16" t="s">
        <v>303</v>
      </c>
      <c r="D61" s="16" t="str">
        <f t="shared" si="0"/>
        <v>42012d</v>
      </c>
    </row>
    <row r="62" spans="1:5" x14ac:dyDescent="0.25">
      <c r="A62">
        <v>4</v>
      </c>
      <c r="B62">
        <v>2011</v>
      </c>
      <c r="C62" s="16" t="s">
        <v>303</v>
      </c>
      <c r="D62" s="16" t="str">
        <f t="shared" si="0"/>
        <v>42011d</v>
      </c>
    </row>
    <row r="63" spans="1:5" x14ac:dyDescent="0.25">
      <c r="A63">
        <v>4</v>
      </c>
      <c r="B63">
        <v>2010</v>
      </c>
      <c r="C63" s="16" t="s">
        <v>303</v>
      </c>
      <c r="D63" s="16" t="str">
        <f t="shared" si="0"/>
        <v>42010d</v>
      </c>
    </row>
    <row r="64" spans="1:5" x14ac:dyDescent="0.25">
      <c r="A64">
        <v>4</v>
      </c>
      <c r="B64">
        <v>2009</v>
      </c>
      <c r="C64" s="16" t="s">
        <v>303</v>
      </c>
      <c r="D64" s="16" t="str">
        <f t="shared" si="0"/>
        <v>42009d</v>
      </c>
    </row>
    <row r="65" spans="1:5" x14ac:dyDescent="0.25">
      <c r="A65">
        <v>9</v>
      </c>
      <c r="B65">
        <v>9999</v>
      </c>
      <c r="C65" s="16">
        <v>9</v>
      </c>
      <c r="D65" s="16" t="str">
        <f t="shared" si="0"/>
        <v>999999</v>
      </c>
    </row>
    <row r="66" spans="1:5" s="50" customFormat="1" x14ac:dyDescent="0.25">
      <c r="A66" s="50">
        <v>9</v>
      </c>
      <c r="B66" s="50">
        <v>9999</v>
      </c>
      <c r="C66" s="16" t="s">
        <v>400</v>
      </c>
      <c r="D66" s="16" t="str">
        <f t="shared" si="0"/>
        <v>99999r</v>
      </c>
      <c r="E66" s="15" t="str">
        <f>""</f>
        <v/>
      </c>
    </row>
    <row r="67" spans="1:5" x14ac:dyDescent="0.25">
      <c r="A67">
        <v>5</v>
      </c>
      <c r="B67">
        <v>2015</v>
      </c>
      <c r="C67" s="16">
        <v>1</v>
      </c>
      <c r="D67" s="16" t="str">
        <f t="shared" si="0"/>
        <v>520151</v>
      </c>
      <c r="E67" s="15">
        <v>301.22000000000003</v>
      </c>
    </row>
    <row r="68" spans="1:5" x14ac:dyDescent="0.25">
      <c r="A68">
        <v>5</v>
      </c>
      <c r="B68">
        <v>2015</v>
      </c>
      <c r="C68" s="16">
        <v>2</v>
      </c>
      <c r="D68" s="16" t="str">
        <f t="shared" ref="D68:D98" si="1">CONCATENATE(A68,B68,C68)</f>
        <v>520152</v>
      </c>
      <c r="E68" s="15">
        <v>308.55</v>
      </c>
    </row>
    <row r="69" spans="1:5" x14ac:dyDescent="0.25">
      <c r="A69">
        <v>5</v>
      </c>
      <c r="B69">
        <v>2015</v>
      </c>
      <c r="C69" s="16">
        <v>3</v>
      </c>
      <c r="D69" s="16" t="str">
        <f t="shared" si="1"/>
        <v>520153</v>
      </c>
      <c r="E69" s="15">
        <v>315.89999999999998</v>
      </c>
    </row>
    <row r="70" spans="1:5" x14ac:dyDescent="0.25">
      <c r="A70">
        <v>5</v>
      </c>
      <c r="B70">
        <v>2014</v>
      </c>
      <c r="C70" s="16">
        <v>1</v>
      </c>
      <c r="D70" s="16" t="str">
        <f t="shared" si="1"/>
        <v>520141</v>
      </c>
      <c r="E70" s="15">
        <v>301.22000000000003</v>
      </c>
    </row>
    <row r="71" spans="1:5" x14ac:dyDescent="0.25">
      <c r="A71">
        <v>5</v>
      </c>
      <c r="B71">
        <v>2014</v>
      </c>
      <c r="C71" s="16">
        <v>2</v>
      </c>
      <c r="D71" s="16" t="str">
        <f t="shared" si="1"/>
        <v>520142</v>
      </c>
      <c r="E71" s="15">
        <v>308.55</v>
      </c>
    </row>
    <row r="72" spans="1:5" x14ac:dyDescent="0.25">
      <c r="A72">
        <v>5</v>
      </c>
      <c r="B72">
        <v>2014</v>
      </c>
      <c r="C72" s="16">
        <v>3</v>
      </c>
      <c r="D72" s="16" t="str">
        <f t="shared" si="1"/>
        <v>520143</v>
      </c>
      <c r="E72" s="15">
        <v>315.89999999999998</v>
      </c>
    </row>
    <row r="73" spans="1:5" x14ac:dyDescent="0.25">
      <c r="A73">
        <v>5</v>
      </c>
      <c r="B73">
        <v>2013</v>
      </c>
      <c r="C73" s="16">
        <v>1</v>
      </c>
      <c r="D73" s="16" t="str">
        <f t="shared" si="1"/>
        <v>520131</v>
      </c>
      <c r="E73" s="15">
        <v>300.14</v>
      </c>
    </row>
    <row r="74" spans="1:5" x14ac:dyDescent="0.25">
      <c r="A74">
        <v>5</v>
      </c>
      <c r="B74">
        <v>2013</v>
      </c>
      <c r="C74" s="16">
        <v>2</v>
      </c>
      <c r="D74" s="16" t="str">
        <f t="shared" si="1"/>
        <v>520132</v>
      </c>
      <c r="E74" s="15">
        <v>307.45999999999998</v>
      </c>
    </row>
    <row r="75" spans="1:5" x14ac:dyDescent="0.25">
      <c r="A75">
        <v>5</v>
      </c>
      <c r="B75">
        <v>2013</v>
      </c>
      <c r="C75" s="16">
        <v>3</v>
      </c>
      <c r="D75" s="16" t="str">
        <f t="shared" si="1"/>
        <v>520133</v>
      </c>
      <c r="E75" s="15">
        <v>314.77999999999997</v>
      </c>
    </row>
    <row r="76" spans="1:5" x14ac:dyDescent="0.25">
      <c r="A76">
        <v>5</v>
      </c>
      <c r="B76">
        <v>2012</v>
      </c>
      <c r="C76" s="16">
        <v>1</v>
      </c>
      <c r="D76" s="16" t="str">
        <f t="shared" si="1"/>
        <v>520121</v>
      </c>
      <c r="E76" s="15">
        <v>294.39999999999998</v>
      </c>
    </row>
    <row r="77" spans="1:5" x14ac:dyDescent="0.25">
      <c r="A77">
        <v>5</v>
      </c>
      <c r="B77">
        <v>2012</v>
      </c>
      <c r="C77" s="16">
        <v>2</v>
      </c>
      <c r="D77" s="16" t="str">
        <f t="shared" si="1"/>
        <v>520122</v>
      </c>
      <c r="E77" s="15">
        <v>301.58</v>
      </c>
    </row>
    <row r="78" spans="1:5" x14ac:dyDescent="0.25">
      <c r="A78">
        <v>5</v>
      </c>
      <c r="B78">
        <v>2012</v>
      </c>
      <c r="C78" s="16">
        <v>3</v>
      </c>
      <c r="D78" s="16" t="str">
        <f t="shared" si="1"/>
        <v>520123</v>
      </c>
      <c r="E78" s="15">
        <v>308.76</v>
      </c>
    </row>
    <row r="79" spans="1:5" x14ac:dyDescent="0.25">
      <c r="A79">
        <v>5</v>
      </c>
      <c r="B79">
        <v>2011</v>
      </c>
      <c r="C79" s="16">
        <v>1</v>
      </c>
      <c r="D79" s="16" t="str">
        <f t="shared" si="1"/>
        <v>520111</v>
      </c>
      <c r="E79" s="15">
        <v>283.47000000000003</v>
      </c>
    </row>
    <row r="80" spans="1:5" x14ac:dyDescent="0.25">
      <c r="A80">
        <v>5</v>
      </c>
      <c r="B80">
        <v>2011</v>
      </c>
      <c r="C80" s="16">
        <v>2</v>
      </c>
      <c r="D80" s="16" t="str">
        <f t="shared" si="1"/>
        <v>520112</v>
      </c>
      <c r="E80" s="15">
        <v>290.38</v>
      </c>
    </row>
    <row r="81" spans="1:5" x14ac:dyDescent="0.25">
      <c r="A81">
        <v>5</v>
      </c>
      <c r="B81">
        <v>2011</v>
      </c>
      <c r="C81" s="16">
        <v>3</v>
      </c>
      <c r="D81" s="16" t="str">
        <f t="shared" si="1"/>
        <v>520113</v>
      </c>
      <c r="E81" s="15">
        <v>297.29000000000002</v>
      </c>
    </row>
    <row r="82" spans="1:5" x14ac:dyDescent="0.25">
      <c r="A82">
        <v>5</v>
      </c>
      <c r="B82">
        <v>2010</v>
      </c>
      <c r="C82" s="16">
        <v>1</v>
      </c>
      <c r="D82" s="16" t="str">
        <f t="shared" si="1"/>
        <v>520101</v>
      </c>
      <c r="E82" s="15">
        <v>276.33999999999997</v>
      </c>
    </row>
    <row r="83" spans="1:5" x14ac:dyDescent="0.25">
      <c r="A83">
        <v>5</v>
      </c>
      <c r="B83">
        <v>2010</v>
      </c>
      <c r="C83" s="16">
        <v>2</v>
      </c>
      <c r="D83" s="16" t="str">
        <f t="shared" si="1"/>
        <v>520102</v>
      </c>
      <c r="E83" s="15">
        <v>283.07</v>
      </c>
    </row>
    <row r="84" spans="1:5" x14ac:dyDescent="0.25">
      <c r="A84">
        <v>5</v>
      </c>
      <c r="B84">
        <v>2010</v>
      </c>
      <c r="C84" s="16">
        <v>3</v>
      </c>
      <c r="D84" s="16" t="str">
        <f t="shared" si="1"/>
        <v>520103</v>
      </c>
      <c r="E84" s="15">
        <v>289.81</v>
      </c>
    </row>
    <row r="85" spans="1:5" x14ac:dyDescent="0.25">
      <c r="A85">
        <v>5</v>
      </c>
      <c r="B85">
        <v>2009</v>
      </c>
      <c r="C85" s="16">
        <v>1</v>
      </c>
      <c r="D85" s="16" t="str">
        <f t="shared" si="1"/>
        <v>520091</v>
      </c>
      <c r="E85" s="15">
        <v>276.33999999999997</v>
      </c>
    </row>
    <row r="86" spans="1:5" x14ac:dyDescent="0.25">
      <c r="A86">
        <v>5</v>
      </c>
      <c r="B86">
        <v>2009</v>
      </c>
      <c r="C86" s="16">
        <v>2</v>
      </c>
      <c r="D86" s="16" t="str">
        <f t="shared" si="1"/>
        <v>520092</v>
      </c>
      <c r="E86" s="15">
        <v>283.07</v>
      </c>
    </row>
    <row r="87" spans="1:5" x14ac:dyDescent="0.25">
      <c r="A87">
        <v>5</v>
      </c>
      <c r="B87">
        <v>2009</v>
      </c>
      <c r="C87" s="16">
        <v>3</v>
      </c>
      <c r="D87" s="16" t="str">
        <f t="shared" si="1"/>
        <v>520093</v>
      </c>
      <c r="E87" s="15">
        <v>289.81</v>
      </c>
    </row>
    <row r="88" spans="1:5" x14ac:dyDescent="0.25">
      <c r="A88">
        <v>5</v>
      </c>
      <c r="B88">
        <v>2008</v>
      </c>
      <c r="C88" s="16">
        <v>1</v>
      </c>
      <c r="D88" s="16" t="str">
        <f t="shared" si="1"/>
        <v>520081</v>
      </c>
      <c r="E88" s="15">
        <v>266.89</v>
      </c>
    </row>
    <row r="89" spans="1:5" x14ac:dyDescent="0.25">
      <c r="A89">
        <v>5</v>
      </c>
      <c r="B89">
        <v>2008</v>
      </c>
      <c r="C89" s="16">
        <v>2</v>
      </c>
      <c r="D89" s="16" t="str">
        <f t="shared" si="1"/>
        <v>520082</v>
      </c>
      <c r="E89" s="15">
        <v>273.39999999999998</v>
      </c>
    </row>
    <row r="90" spans="1:5" x14ac:dyDescent="0.25">
      <c r="A90">
        <v>5</v>
      </c>
      <c r="B90">
        <v>2008</v>
      </c>
      <c r="C90" s="16">
        <v>3</v>
      </c>
      <c r="D90" s="16" t="str">
        <f t="shared" si="1"/>
        <v>520083</v>
      </c>
      <c r="E90" s="15">
        <v>279.91000000000003</v>
      </c>
    </row>
    <row r="91" spans="1:5" x14ac:dyDescent="0.25">
      <c r="A91">
        <v>5</v>
      </c>
      <c r="B91">
        <v>2015</v>
      </c>
      <c r="C91" s="16" t="s">
        <v>303</v>
      </c>
      <c r="D91" s="16" t="str">
        <f t="shared" si="1"/>
        <v>52015d</v>
      </c>
      <c r="E91" s="15">
        <v>323.25</v>
      </c>
    </row>
    <row r="92" spans="1:5" x14ac:dyDescent="0.25">
      <c r="A92">
        <v>5</v>
      </c>
      <c r="B92">
        <v>2014</v>
      </c>
      <c r="C92" s="16" t="s">
        <v>303</v>
      </c>
      <c r="D92" s="16" t="str">
        <f t="shared" si="1"/>
        <v>52014d</v>
      </c>
      <c r="E92" s="15">
        <v>323.25</v>
      </c>
    </row>
    <row r="93" spans="1:5" x14ac:dyDescent="0.25">
      <c r="A93">
        <v>5</v>
      </c>
      <c r="B93">
        <v>2013</v>
      </c>
      <c r="C93" s="16" t="s">
        <v>303</v>
      </c>
      <c r="D93" s="16" t="str">
        <f t="shared" si="1"/>
        <v>52013d</v>
      </c>
      <c r="E93" s="15">
        <v>322.10000000000002</v>
      </c>
    </row>
    <row r="94" spans="1:5" x14ac:dyDescent="0.25">
      <c r="A94">
        <v>5</v>
      </c>
      <c r="B94">
        <v>2012</v>
      </c>
      <c r="C94" s="16" t="s">
        <v>303</v>
      </c>
      <c r="D94" s="16" t="str">
        <f t="shared" si="1"/>
        <v>52012d</v>
      </c>
      <c r="E94" s="15">
        <v>315.94</v>
      </c>
    </row>
    <row r="95" spans="1:5" x14ac:dyDescent="0.25">
      <c r="A95">
        <v>5</v>
      </c>
      <c r="B95">
        <v>2011</v>
      </c>
      <c r="C95" s="16" t="s">
        <v>303</v>
      </c>
      <c r="D95" s="16" t="str">
        <f t="shared" si="1"/>
        <v>52011d</v>
      </c>
      <c r="E95" s="15">
        <v>304.20999999999998</v>
      </c>
    </row>
    <row r="96" spans="1:5" x14ac:dyDescent="0.25">
      <c r="A96">
        <v>5</v>
      </c>
      <c r="B96">
        <v>2010</v>
      </c>
      <c r="C96" s="16" t="s">
        <v>303</v>
      </c>
      <c r="D96" s="16" t="str">
        <f t="shared" si="1"/>
        <v>52010d</v>
      </c>
      <c r="E96" s="15">
        <v>296.56</v>
      </c>
    </row>
    <row r="97" spans="1:7" x14ac:dyDescent="0.25">
      <c r="A97">
        <v>5</v>
      </c>
      <c r="B97">
        <v>2009</v>
      </c>
      <c r="C97" s="16" t="s">
        <v>303</v>
      </c>
      <c r="D97" s="16" t="str">
        <f t="shared" si="1"/>
        <v>52009d</v>
      </c>
      <c r="E97" s="15">
        <v>296.56</v>
      </c>
    </row>
    <row r="98" spans="1:7" x14ac:dyDescent="0.25">
      <c r="A98">
        <v>5</v>
      </c>
      <c r="B98">
        <v>2008</v>
      </c>
      <c r="C98" s="16" t="s">
        <v>303</v>
      </c>
      <c r="D98" s="16" t="str">
        <f t="shared" si="1"/>
        <v>52008d</v>
      </c>
      <c r="E98" s="15">
        <v>286.42</v>
      </c>
    </row>
    <row r="99" spans="1:7" x14ac:dyDescent="0.25">
      <c r="A99">
        <v>1</v>
      </c>
      <c r="B99">
        <v>2015</v>
      </c>
      <c r="C99" s="16" t="s">
        <v>324</v>
      </c>
      <c r="D99" s="16" t="str">
        <f>CONCATENATE(A99,B99,C99)</f>
        <v>12015r1</v>
      </c>
      <c r="E99" s="15">
        <v>359.18</v>
      </c>
    </row>
    <row r="100" spans="1:7" x14ac:dyDescent="0.25">
      <c r="A100">
        <v>1</v>
      </c>
      <c r="B100">
        <v>2015</v>
      </c>
      <c r="C100" s="16" t="s">
        <v>325</v>
      </c>
      <c r="D100" s="16" t="str">
        <f t="shared" ref="D100:D135" si="2">CONCATENATE(A100,B100,C100)</f>
        <v>12015r2</v>
      </c>
      <c r="E100" s="15">
        <v>367.94</v>
      </c>
    </row>
    <row r="101" spans="1:7" x14ac:dyDescent="0.25">
      <c r="A101">
        <v>1</v>
      </c>
      <c r="B101">
        <v>2015</v>
      </c>
      <c r="C101" s="16" t="s">
        <v>326</v>
      </c>
      <c r="D101" s="16" t="str">
        <f t="shared" si="2"/>
        <v>12015r3</v>
      </c>
      <c r="E101" s="15">
        <v>376.7</v>
      </c>
    </row>
    <row r="102" spans="1:7" x14ac:dyDescent="0.25">
      <c r="A102">
        <v>1</v>
      </c>
      <c r="B102">
        <v>2014</v>
      </c>
      <c r="C102" s="16" t="s">
        <v>324</v>
      </c>
      <c r="D102" s="16" t="str">
        <f t="shared" si="2"/>
        <v>12014r1</v>
      </c>
      <c r="E102" s="15">
        <v>359.18</v>
      </c>
    </row>
    <row r="103" spans="1:7" x14ac:dyDescent="0.25">
      <c r="A103">
        <v>1</v>
      </c>
      <c r="B103">
        <v>2014</v>
      </c>
      <c r="C103" s="16" t="s">
        <v>325</v>
      </c>
      <c r="D103" s="16" t="str">
        <f t="shared" si="2"/>
        <v>12014r2</v>
      </c>
      <c r="E103" s="15">
        <v>367.94</v>
      </c>
      <c r="G103" t="s">
        <v>327</v>
      </c>
    </row>
    <row r="104" spans="1:7" x14ac:dyDescent="0.25">
      <c r="A104">
        <v>1</v>
      </c>
      <c r="B104">
        <v>2014</v>
      </c>
      <c r="C104" s="16" t="s">
        <v>326</v>
      </c>
      <c r="D104" s="16" t="str">
        <f t="shared" si="2"/>
        <v>12014r3</v>
      </c>
      <c r="E104" s="15">
        <v>376.7</v>
      </c>
    </row>
    <row r="105" spans="1:7" x14ac:dyDescent="0.25">
      <c r="A105">
        <v>1</v>
      </c>
      <c r="B105">
        <v>2013</v>
      </c>
      <c r="C105" s="16" t="s">
        <v>324</v>
      </c>
      <c r="D105" s="16" t="str">
        <f t="shared" si="2"/>
        <v>12013r1</v>
      </c>
      <c r="E105" s="15">
        <v>357.89</v>
      </c>
    </row>
    <row r="106" spans="1:7" x14ac:dyDescent="0.25">
      <c r="A106">
        <v>1</v>
      </c>
      <c r="B106">
        <v>2013</v>
      </c>
      <c r="C106" s="16" t="s">
        <v>325</v>
      </c>
      <c r="D106" s="16" t="str">
        <f t="shared" si="2"/>
        <v>12013r2</v>
      </c>
      <c r="E106" s="15">
        <v>366.62</v>
      </c>
    </row>
    <row r="107" spans="1:7" x14ac:dyDescent="0.25">
      <c r="A107">
        <v>1</v>
      </c>
      <c r="B107">
        <v>2013</v>
      </c>
      <c r="C107" s="16" t="s">
        <v>326</v>
      </c>
      <c r="D107" s="16" t="str">
        <f t="shared" si="2"/>
        <v>12013r3</v>
      </c>
      <c r="E107" s="15">
        <v>375.36</v>
      </c>
    </row>
    <row r="108" spans="1:7" x14ac:dyDescent="0.25">
      <c r="A108">
        <v>1</v>
      </c>
      <c r="B108">
        <v>2012</v>
      </c>
      <c r="C108" s="16" t="s">
        <v>324</v>
      </c>
      <c r="D108" s="16" t="str">
        <f t="shared" si="2"/>
        <v>12012r1</v>
      </c>
      <c r="E108" s="15">
        <v>351.05</v>
      </c>
    </row>
    <row r="109" spans="1:7" x14ac:dyDescent="0.25">
      <c r="A109">
        <v>1</v>
      </c>
      <c r="B109">
        <v>2012</v>
      </c>
      <c r="C109" s="16" t="s">
        <v>325</v>
      </c>
      <c r="D109" s="16" t="str">
        <f t="shared" si="2"/>
        <v>12012r2</v>
      </c>
      <c r="E109" s="15">
        <v>359.62</v>
      </c>
    </row>
    <row r="110" spans="1:7" x14ac:dyDescent="0.25">
      <c r="A110">
        <v>1</v>
      </c>
      <c r="B110">
        <v>2012</v>
      </c>
      <c r="C110" s="16" t="s">
        <v>326</v>
      </c>
      <c r="D110" s="16" t="str">
        <f t="shared" si="2"/>
        <v>12012r3</v>
      </c>
      <c r="E110" s="15">
        <v>368.18</v>
      </c>
    </row>
    <row r="111" spans="1:7" x14ac:dyDescent="0.25">
      <c r="A111">
        <v>1</v>
      </c>
      <c r="B111">
        <v>2011</v>
      </c>
      <c r="C111" s="16" t="s">
        <v>324</v>
      </c>
      <c r="D111" s="16" t="str">
        <f t="shared" si="2"/>
        <v>12011r1</v>
      </c>
      <c r="E111" s="15">
        <v>338.02</v>
      </c>
    </row>
    <row r="112" spans="1:7" x14ac:dyDescent="0.25">
      <c r="A112">
        <v>1</v>
      </c>
      <c r="B112">
        <v>2011</v>
      </c>
      <c r="C112" s="16" t="s">
        <v>325</v>
      </c>
      <c r="D112" s="16" t="str">
        <f t="shared" si="2"/>
        <v>12011r2</v>
      </c>
      <c r="E112" s="15">
        <v>346.27</v>
      </c>
    </row>
    <row r="113" spans="1:5" x14ac:dyDescent="0.25">
      <c r="A113">
        <v>1</v>
      </c>
      <c r="B113">
        <v>2011</v>
      </c>
      <c r="C113" s="16" t="s">
        <v>326</v>
      </c>
      <c r="D113" s="16" t="str">
        <f t="shared" si="2"/>
        <v>12011r3</v>
      </c>
      <c r="E113" s="15">
        <v>354.51</v>
      </c>
    </row>
    <row r="114" spans="1:5" x14ac:dyDescent="0.25">
      <c r="A114">
        <v>1</v>
      </c>
      <c r="B114">
        <v>2010</v>
      </c>
      <c r="C114" s="16" t="s">
        <v>324</v>
      </c>
      <c r="D114" s="16" t="str">
        <f t="shared" si="2"/>
        <v>12010r1</v>
      </c>
      <c r="E114" s="15">
        <v>329.51</v>
      </c>
    </row>
    <row r="115" spans="1:5" x14ac:dyDescent="0.25">
      <c r="A115">
        <v>1</v>
      </c>
      <c r="B115">
        <v>2010</v>
      </c>
      <c r="C115" s="16" t="s">
        <v>325</v>
      </c>
      <c r="D115" s="16" t="str">
        <f t="shared" si="2"/>
        <v>12010r2</v>
      </c>
      <c r="E115" s="15">
        <v>337.55</v>
      </c>
    </row>
    <row r="116" spans="1:5" x14ac:dyDescent="0.25">
      <c r="A116">
        <v>1</v>
      </c>
      <c r="B116">
        <v>2010</v>
      </c>
      <c r="C116" s="16" t="s">
        <v>326</v>
      </c>
      <c r="D116" s="16" t="str">
        <f t="shared" si="2"/>
        <v>12010r3</v>
      </c>
      <c r="E116" s="15">
        <v>345.58</v>
      </c>
    </row>
    <row r="117" spans="1:5" x14ac:dyDescent="0.25">
      <c r="A117">
        <v>1</v>
      </c>
      <c r="B117">
        <v>2009</v>
      </c>
      <c r="C117" s="16" t="s">
        <v>324</v>
      </c>
      <c r="D117" s="16" t="str">
        <f t="shared" si="2"/>
        <v>12009r1</v>
      </c>
      <c r="E117" s="15">
        <v>329.51</v>
      </c>
    </row>
    <row r="118" spans="1:5" x14ac:dyDescent="0.25">
      <c r="A118">
        <v>1</v>
      </c>
      <c r="B118">
        <v>2009</v>
      </c>
      <c r="C118" s="16" t="s">
        <v>325</v>
      </c>
      <c r="D118" s="16" t="str">
        <f t="shared" si="2"/>
        <v>12009r2</v>
      </c>
      <c r="E118" s="15">
        <v>337.55</v>
      </c>
    </row>
    <row r="119" spans="1:5" x14ac:dyDescent="0.25">
      <c r="A119">
        <v>1</v>
      </c>
      <c r="B119">
        <v>2009</v>
      </c>
      <c r="C119" s="16" t="s">
        <v>326</v>
      </c>
      <c r="D119" s="16" t="str">
        <f t="shared" si="2"/>
        <v>12009r3</v>
      </c>
      <c r="E119" s="15">
        <v>345.58</v>
      </c>
    </row>
    <row r="120" spans="1:5" x14ac:dyDescent="0.25">
      <c r="A120">
        <v>1</v>
      </c>
      <c r="B120">
        <v>2008</v>
      </c>
      <c r="C120" s="16" t="s">
        <v>324</v>
      </c>
      <c r="D120" s="16" t="str">
        <f t="shared" si="2"/>
        <v>12008r1</v>
      </c>
      <c r="E120" s="15">
        <v>318.25</v>
      </c>
    </row>
    <row r="121" spans="1:5" x14ac:dyDescent="0.25">
      <c r="A121">
        <v>1</v>
      </c>
      <c r="B121">
        <v>2008</v>
      </c>
      <c r="C121" s="16" t="s">
        <v>325</v>
      </c>
      <c r="D121" s="16" t="str">
        <f t="shared" si="2"/>
        <v>12008r2</v>
      </c>
      <c r="E121" s="15">
        <v>326.02</v>
      </c>
    </row>
    <row r="122" spans="1:5" x14ac:dyDescent="0.25">
      <c r="A122">
        <v>1</v>
      </c>
      <c r="B122">
        <v>2008</v>
      </c>
      <c r="C122" s="16" t="s">
        <v>326</v>
      </c>
      <c r="D122" s="16" t="str">
        <f t="shared" si="2"/>
        <v>12008r3</v>
      </c>
      <c r="E122" s="15">
        <v>333.78</v>
      </c>
    </row>
    <row r="123" spans="1:5" x14ac:dyDescent="0.25">
      <c r="A123">
        <v>1</v>
      </c>
      <c r="B123">
        <v>2015</v>
      </c>
      <c r="C123" s="16" t="s">
        <v>360</v>
      </c>
      <c r="D123" s="16" t="str">
        <f t="shared" ref="D123:D127" si="3">CONCATENATE(A123,B123,C123)</f>
        <v>12015dr</v>
      </c>
      <c r="E123" s="15">
        <v>385.46</v>
      </c>
    </row>
    <row r="124" spans="1:5" x14ac:dyDescent="0.25">
      <c r="A124">
        <v>1</v>
      </c>
      <c r="B124">
        <v>2014</v>
      </c>
      <c r="C124" s="16" t="s">
        <v>360</v>
      </c>
      <c r="D124" s="16" t="str">
        <f t="shared" si="3"/>
        <v>12014dr</v>
      </c>
      <c r="E124" s="15">
        <v>385.46</v>
      </c>
    </row>
    <row r="125" spans="1:5" x14ac:dyDescent="0.25">
      <c r="A125">
        <v>1</v>
      </c>
      <c r="B125">
        <v>2013</v>
      </c>
      <c r="C125" s="16" t="s">
        <v>360</v>
      </c>
      <c r="D125" s="16" t="str">
        <f t="shared" si="3"/>
        <v>12013dr</v>
      </c>
      <c r="E125" s="15">
        <v>384.09</v>
      </c>
    </row>
    <row r="126" spans="1:5" x14ac:dyDescent="0.25">
      <c r="A126">
        <v>1</v>
      </c>
      <c r="B126">
        <v>2012</v>
      </c>
      <c r="C126" s="16" t="s">
        <v>360</v>
      </c>
      <c r="D126" s="16" t="str">
        <f t="shared" ref="D126" si="4">CONCATENATE(A126,B126,C126)</f>
        <v>12012dr</v>
      </c>
      <c r="E126" s="15">
        <v>376.74</v>
      </c>
    </row>
    <row r="127" spans="1:5" x14ac:dyDescent="0.25">
      <c r="A127">
        <v>1</v>
      </c>
      <c r="B127">
        <v>2011</v>
      </c>
      <c r="C127" s="16" t="s">
        <v>360</v>
      </c>
      <c r="D127" s="16" t="str">
        <f t="shared" si="3"/>
        <v>12011dr</v>
      </c>
      <c r="E127" s="15">
        <v>362.75</v>
      </c>
    </row>
    <row r="128" spans="1:5" x14ac:dyDescent="0.25">
      <c r="A128">
        <v>1</v>
      </c>
      <c r="B128">
        <v>2010</v>
      </c>
      <c r="C128" s="16" t="s">
        <v>360</v>
      </c>
      <c r="D128" s="16" t="str">
        <f t="shared" si="2"/>
        <v>12010dr</v>
      </c>
      <c r="E128" s="15">
        <v>340.68</v>
      </c>
    </row>
    <row r="129" spans="1:5" x14ac:dyDescent="0.25">
      <c r="A129">
        <v>4</v>
      </c>
      <c r="B129">
        <v>2015</v>
      </c>
      <c r="C129" s="16" t="s">
        <v>303</v>
      </c>
      <c r="D129" s="16" t="str">
        <f t="shared" ref="D129:D133" si="5">CONCATENATE(A129,B129,C129)</f>
        <v>42015d</v>
      </c>
      <c r="E129" s="15">
        <v>81.400000000000006</v>
      </c>
    </row>
    <row r="130" spans="1:5" x14ac:dyDescent="0.25">
      <c r="A130">
        <v>4</v>
      </c>
      <c r="B130">
        <v>2014</v>
      </c>
      <c r="C130" s="16" t="s">
        <v>303</v>
      </c>
      <c r="D130" s="16" t="str">
        <f t="shared" si="5"/>
        <v>42014d</v>
      </c>
      <c r="E130" s="15">
        <v>81.400000000000006</v>
      </c>
    </row>
    <row r="131" spans="1:5" x14ac:dyDescent="0.25">
      <c r="A131">
        <v>4</v>
      </c>
      <c r="B131">
        <v>2013</v>
      </c>
      <c r="C131" s="16" t="s">
        <v>303</v>
      </c>
      <c r="D131" s="16" t="str">
        <f t="shared" si="5"/>
        <v>42013d</v>
      </c>
      <c r="E131" s="15">
        <v>81.11</v>
      </c>
    </row>
    <row r="132" spans="1:5" x14ac:dyDescent="0.25">
      <c r="A132">
        <v>4</v>
      </c>
      <c r="B132">
        <v>2012</v>
      </c>
      <c r="C132" s="16" t="s">
        <v>303</v>
      </c>
      <c r="D132" s="16" t="str">
        <f t="shared" ref="D132" si="6">CONCATENATE(A132,B132,C132)</f>
        <v>42012d</v>
      </c>
      <c r="E132" s="15">
        <v>79.56</v>
      </c>
    </row>
    <row r="133" spans="1:5" x14ac:dyDescent="0.25">
      <c r="A133">
        <v>4</v>
      </c>
      <c r="B133">
        <v>2011</v>
      </c>
      <c r="C133" s="16" t="s">
        <v>303</v>
      </c>
      <c r="D133" s="16" t="str">
        <f t="shared" si="5"/>
        <v>42011d</v>
      </c>
      <c r="E133" s="15">
        <v>76.62</v>
      </c>
    </row>
    <row r="134" spans="1:5" x14ac:dyDescent="0.25">
      <c r="A134">
        <v>4</v>
      </c>
      <c r="B134">
        <v>2010</v>
      </c>
      <c r="C134" s="16" t="s">
        <v>303</v>
      </c>
      <c r="D134" s="16" t="str">
        <f t="shared" si="2"/>
        <v>42010d</v>
      </c>
      <c r="E134" s="15">
        <v>74.680000000000007</v>
      </c>
    </row>
    <row r="135" spans="1:5" x14ac:dyDescent="0.25">
      <c r="A135">
        <v>1</v>
      </c>
      <c r="B135">
        <v>2015</v>
      </c>
      <c r="C135" s="16" t="s">
        <v>397</v>
      </c>
      <c r="D135" s="16" t="str">
        <f t="shared" si="2"/>
        <v>12015dmax</v>
      </c>
      <c r="E135" s="15">
        <v>4146.22</v>
      </c>
    </row>
    <row r="136" spans="1:5" x14ac:dyDescent="0.25">
      <c r="A136">
        <v>1</v>
      </c>
      <c r="B136">
        <v>2014</v>
      </c>
      <c r="C136" s="16" t="s">
        <v>397</v>
      </c>
      <c r="D136" s="16" t="str">
        <f t="shared" ref="D136:D143" si="7">CONCATENATE(A136,B136,C136)</f>
        <v>12014dmax</v>
      </c>
      <c r="E136" s="15">
        <v>4146.22</v>
      </c>
    </row>
    <row r="137" spans="1:5" x14ac:dyDescent="0.25">
      <c r="A137">
        <v>1</v>
      </c>
      <c r="B137">
        <v>2013</v>
      </c>
      <c r="C137" s="16" t="s">
        <v>397</v>
      </c>
      <c r="D137" s="16" t="str">
        <f t="shared" si="7"/>
        <v>12013dmax</v>
      </c>
      <c r="E137" s="15">
        <v>4131.41</v>
      </c>
    </row>
    <row r="138" spans="1:5" x14ac:dyDescent="0.25">
      <c r="A138">
        <v>1</v>
      </c>
      <c r="B138">
        <v>2012</v>
      </c>
      <c r="C138" s="16" t="s">
        <v>397</v>
      </c>
      <c r="D138" s="16" t="str">
        <f t="shared" si="7"/>
        <v>12012dmax</v>
      </c>
      <c r="E138" s="15">
        <v>4052.41</v>
      </c>
    </row>
    <row r="139" spans="1:5" x14ac:dyDescent="0.25">
      <c r="A139">
        <v>1</v>
      </c>
      <c r="B139">
        <v>2011</v>
      </c>
      <c r="C139" s="16" t="s">
        <v>397</v>
      </c>
      <c r="D139" s="16" t="str">
        <f t="shared" si="7"/>
        <v>12011dmax</v>
      </c>
      <c r="E139" s="15">
        <v>3901.97</v>
      </c>
    </row>
    <row r="140" spans="1:5" x14ac:dyDescent="0.25">
      <c r="A140">
        <v>1</v>
      </c>
      <c r="B140">
        <v>2010</v>
      </c>
      <c r="C140" s="16" t="s">
        <v>397</v>
      </c>
      <c r="D140" s="16" t="str">
        <f t="shared" si="7"/>
        <v>12010dmax</v>
      </c>
      <c r="E140" s="15">
        <v>3803.74</v>
      </c>
    </row>
    <row r="141" spans="1:5" x14ac:dyDescent="0.25">
      <c r="A141">
        <v>1</v>
      </c>
      <c r="B141">
        <v>2009</v>
      </c>
      <c r="C141" s="16" t="s">
        <v>397</v>
      </c>
      <c r="D141" s="16" t="str">
        <f t="shared" si="7"/>
        <v>12009dmax</v>
      </c>
      <c r="E141" s="15">
        <v>3803.74</v>
      </c>
    </row>
    <row r="142" spans="1:5" x14ac:dyDescent="0.25">
      <c r="A142">
        <v>1</v>
      </c>
      <c r="B142">
        <v>2008</v>
      </c>
      <c r="C142" s="16" t="s">
        <v>397</v>
      </c>
      <c r="D142" s="16" t="str">
        <f t="shared" si="7"/>
        <v>12008dmax</v>
      </c>
      <c r="E142" s="15">
        <v>3673.78</v>
      </c>
    </row>
    <row r="143" spans="1:5" x14ac:dyDescent="0.25">
      <c r="A143">
        <v>4</v>
      </c>
      <c r="B143">
        <v>2015</v>
      </c>
      <c r="C143" s="16" t="s">
        <v>397</v>
      </c>
      <c r="D143" s="16" t="str">
        <f t="shared" si="7"/>
        <v>42015dmax</v>
      </c>
      <c r="E143" s="15">
        <v>4146.22</v>
      </c>
    </row>
    <row r="144" spans="1:5" x14ac:dyDescent="0.25">
      <c r="A144">
        <v>4</v>
      </c>
      <c r="B144">
        <v>2014</v>
      </c>
      <c r="C144" s="16" t="s">
        <v>397</v>
      </c>
      <c r="D144" s="16" t="str">
        <f t="shared" ref="D144:D150" si="8">CONCATENATE(A144,B144,C144)</f>
        <v>42014dmax</v>
      </c>
      <c r="E144" s="15">
        <v>4146.22</v>
      </c>
    </row>
    <row r="145" spans="1:8" x14ac:dyDescent="0.25">
      <c r="A145">
        <v>4</v>
      </c>
      <c r="B145">
        <v>2013</v>
      </c>
      <c r="C145" s="16" t="s">
        <v>397</v>
      </c>
      <c r="D145" s="16" t="str">
        <f t="shared" si="8"/>
        <v>42013dmax</v>
      </c>
      <c r="E145" s="15">
        <v>4131.41</v>
      </c>
      <c r="H145" t="s">
        <v>328</v>
      </c>
    </row>
    <row r="146" spans="1:8" x14ac:dyDescent="0.25">
      <c r="A146">
        <v>4</v>
      </c>
      <c r="B146">
        <v>2012</v>
      </c>
      <c r="C146" s="16" t="s">
        <v>397</v>
      </c>
      <c r="D146" s="16" t="str">
        <f t="shared" si="8"/>
        <v>42012dmax</v>
      </c>
      <c r="E146" s="15">
        <v>4052.41</v>
      </c>
    </row>
    <row r="147" spans="1:8" x14ac:dyDescent="0.25">
      <c r="A147">
        <v>4</v>
      </c>
      <c r="B147">
        <v>2011</v>
      </c>
      <c r="C147" s="16" t="s">
        <v>397</v>
      </c>
      <c r="D147" s="16" t="str">
        <f t="shared" si="8"/>
        <v>42011dmax</v>
      </c>
      <c r="E147" s="15">
        <v>3901.97</v>
      </c>
    </row>
    <row r="148" spans="1:8" x14ac:dyDescent="0.25">
      <c r="A148">
        <v>4</v>
      </c>
      <c r="B148">
        <v>2010</v>
      </c>
      <c r="C148" s="16" t="s">
        <v>397</v>
      </c>
      <c r="D148" s="16" t="str">
        <f t="shared" si="8"/>
        <v>42010dmax</v>
      </c>
      <c r="E148" s="15">
        <v>3803.74</v>
      </c>
    </row>
    <row r="149" spans="1:8" x14ac:dyDescent="0.25">
      <c r="A149">
        <v>4</v>
      </c>
      <c r="B149">
        <v>2009</v>
      </c>
      <c r="C149" s="16" t="s">
        <v>397</v>
      </c>
      <c r="D149" s="16" t="str">
        <f t="shared" si="8"/>
        <v>42009dmax</v>
      </c>
      <c r="E149" s="15">
        <v>3803.74</v>
      </c>
    </row>
    <row r="150" spans="1:8" x14ac:dyDescent="0.25">
      <c r="A150">
        <v>4</v>
      </c>
      <c r="B150">
        <v>2008</v>
      </c>
      <c r="C150" s="16" t="s">
        <v>397</v>
      </c>
      <c r="D150" s="16" t="str">
        <f t="shared" si="8"/>
        <v>42008dmax</v>
      </c>
      <c r="E150" s="15">
        <v>3673.78</v>
      </c>
    </row>
    <row r="151" spans="1:8" x14ac:dyDescent="0.25">
      <c r="A151" s="50">
        <v>1</v>
      </c>
      <c r="B151" s="50">
        <v>2016</v>
      </c>
      <c r="C151" s="16">
        <v>1</v>
      </c>
      <c r="D151" s="16" t="str">
        <f>CONCATENATE(A151,B151,C151)</f>
        <v>120161</v>
      </c>
      <c r="E151" s="15">
        <v>693.81</v>
      </c>
    </row>
    <row r="152" spans="1:8" x14ac:dyDescent="0.25">
      <c r="A152" s="50">
        <v>1</v>
      </c>
      <c r="B152" s="50">
        <v>2016</v>
      </c>
      <c r="C152" s="16">
        <v>2</v>
      </c>
      <c r="D152" s="16" t="str">
        <f t="shared" ref="D152:D159" si="9">CONCATENATE(A152,B152,C152)</f>
        <v>120162</v>
      </c>
      <c r="E152" s="15">
        <v>710.72</v>
      </c>
    </row>
    <row r="153" spans="1:8" x14ac:dyDescent="0.25">
      <c r="A153" s="50">
        <v>1</v>
      </c>
      <c r="B153" s="50">
        <v>2016</v>
      </c>
      <c r="C153" s="16">
        <v>3</v>
      </c>
      <c r="D153" s="16" t="str">
        <f t="shared" si="9"/>
        <v>120163</v>
      </c>
      <c r="E153" s="15">
        <v>727.64</v>
      </c>
    </row>
    <row r="154" spans="1:8" x14ac:dyDescent="0.25">
      <c r="A154" s="50">
        <v>4</v>
      </c>
      <c r="B154" s="50">
        <v>2016</v>
      </c>
      <c r="C154" s="16">
        <v>1</v>
      </c>
      <c r="D154" s="16" t="str">
        <f t="shared" si="9"/>
        <v>420161</v>
      </c>
      <c r="E154" s="15">
        <v>76.760000000000005</v>
      </c>
    </row>
    <row r="155" spans="1:8" x14ac:dyDescent="0.25">
      <c r="A155" s="50">
        <v>4</v>
      </c>
      <c r="B155" s="50">
        <v>2016</v>
      </c>
      <c r="C155" s="16">
        <v>2</v>
      </c>
      <c r="D155" s="16" t="str">
        <f t="shared" si="9"/>
        <v>420162</v>
      </c>
      <c r="E155" s="15">
        <v>78.63</v>
      </c>
    </row>
    <row r="156" spans="1:8" x14ac:dyDescent="0.25">
      <c r="A156" s="50">
        <v>4</v>
      </c>
      <c r="B156" s="50">
        <v>2016</v>
      </c>
      <c r="C156" s="16">
        <v>3</v>
      </c>
      <c r="D156" s="16" t="str">
        <f t="shared" si="9"/>
        <v>420163</v>
      </c>
      <c r="E156" s="15">
        <v>80.5</v>
      </c>
    </row>
    <row r="157" spans="1:8" x14ac:dyDescent="0.25">
      <c r="A157" s="50">
        <v>5</v>
      </c>
      <c r="B157" s="50">
        <v>2016</v>
      </c>
      <c r="C157" s="16">
        <v>1</v>
      </c>
      <c r="D157" s="16" t="str">
        <f t="shared" si="9"/>
        <v>520161</v>
      </c>
      <c r="E157" s="15">
        <v>304.77999999999997</v>
      </c>
    </row>
    <row r="158" spans="1:8" x14ac:dyDescent="0.25">
      <c r="A158" s="50">
        <v>5</v>
      </c>
      <c r="B158" s="50">
        <v>2016</v>
      </c>
      <c r="C158" s="16">
        <v>2</v>
      </c>
      <c r="D158" s="16" t="str">
        <f t="shared" si="9"/>
        <v>520162</v>
      </c>
      <c r="E158" s="15">
        <v>312.22000000000003</v>
      </c>
    </row>
    <row r="159" spans="1:8" x14ac:dyDescent="0.25">
      <c r="A159" s="50">
        <v>5</v>
      </c>
      <c r="B159" s="50">
        <v>2016</v>
      </c>
      <c r="C159" s="16">
        <v>3</v>
      </c>
      <c r="D159" s="16" t="str">
        <f t="shared" si="9"/>
        <v>520163</v>
      </c>
      <c r="E159" s="15">
        <v>319.64999999999998</v>
      </c>
    </row>
    <row r="160" spans="1:8" x14ac:dyDescent="0.25">
      <c r="A160" s="50">
        <v>1</v>
      </c>
      <c r="B160" s="50">
        <v>2016</v>
      </c>
      <c r="C160" s="16" t="s">
        <v>324</v>
      </c>
      <c r="D160" s="16" t="str">
        <f>CONCATENATE(A160,B160,C160)</f>
        <v>12016r1</v>
      </c>
      <c r="E160" s="15">
        <v>363.45</v>
      </c>
    </row>
    <row r="161" spans="1:5" x14ac:dyDescent="0.25">
      <c r="A161" s="50">
        <v>1</v>
      </c>
      <c r="B161" s="50">
        <v>2016</v>
      </c>
      <c r="C161" s="16" t="s">
        <v>325</v>
      </c>
      <c r="D161" s="16" t="str">
        <f t="shared" ref="D161:D164" si="10">CONCATENATE(A161,B161,C161)</f>
        <v>12016r2</v>
      </c>
      <c r="E161" s="15">
        <v>372.3</v>
      </c>
    </row>
    <row r="162" spans="1:5" x14ac:dyDescent="0.25">
      <c r="A162" s="50">
        <v>1</v>
      </c>
      <c r="B162" s="50">
        <v>2016</v>
      </c>
      <c r="C162" s="16" t="s">
        <v>326</v>
      </c>
      <c r="D162" s="16" t="str">
        <f t="shared" si="10"/>
        <v>12016r3</v>
      </c>
      <c r="E162" s="15">
        <v>381.17</v>
      </c>
    </row>
    <row r="163" spans="1:5" s="50" customFormat="1" x14ac:dyDescent="0.25">
      <c r="A163" s="50">
        <v>1</v>
      </c>
      <c r="B163" s="50">
        <v>2016</v>
      </c>
      <c r="C163" s="16" t="s">
        <v>397</v>
      </c>
      <c r="D163" s="16" t="str">
        <f t="shared" si="10"/>
        <v>12016dmax</v>
      </c>
      <c r="E163" s="15">
        <v>4122.3599999999997</v>
      </c>
    </row>
    <row r="164" spans="1:5" s="50" customFormat="1" x14ac:dyDescent="0.25">
      <c r="A164" s="50">
        <v>4</v>
      </c>
      <c r="B164" s="50">
        <v>2016</v>
      </c>
      <c r="C164" s="16" t="s">
        <v>397</v>
      </c>
      <c r="D164" s="16" t="str">
        <f t="shared" si="10"/>
        <v>42016dmax</v>
      </c>
      <c r="E164" s="15">
        <v>4122.3599999999997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11.42578125" style="40"/>
    <col min="6" max="6" width="22.7109375" customWidth="1"/>
  </cols>
  <sheetData>
    <row r="1" spans="1:9" x14ac:dyDescent="0.25">
      <c r="A1" s="40" t="s">
        <v>387</v>
      </c>
      <c r="B1" t="s">
        <v>386</v>
      </c>
      <c r="C1" t="s">
        <v>365</v>
      </c>
      <c r="D1" t="s">
        <v>367</v>
      </c>
      <c r="E1" t="s">
        <v>366</v>
      </c>
      <c r="F1" t="s">
        <v>368</v>
      </c>
    </row>
    <row r="2" spans="1:9" x14ac:dyDescent="0.25">
      <c r="A2" s="17" t="str">
        <f>"I"&amp;C2&amp;E2</f>
        <v>I20152012</v>
      </c>
      <c r="B2">
        <f>D2/F2</f>
        <v>1.0282749975941805</v>
      </c>
      <c r="C2" s="34">
        <v>2015</v>
      </c>
      <c r="D2" s="37">
        <v>501.14</v>
      </c>
      <c r="E2" s="34">
        <v>2012</v>
      </c>
      <c r="F2" s="37">
        <v>487.35989999999998</v>
      </c>
      <c r="G2" s="34"/>
    </row>
    <row r="3" spans="1:9" x14ac:dyDescent="0.25">
      <c r="A3" s="17" t="str">
        <f t="shared" ref="A3:A27" si="0">"I"&amp;C3&amp;E3</f>
        <v>I20152011</v>
      </c>
      <c r="B3">
        <f t="shared" ref="B3:B27" si="1">D3/F3</f>
        <v>1.0574583902973962</v>
      </c>
      <c r="C3" s="34">
        <v>2015</v>
      </c>
      <c r="D3" s="37">
        <v>501.14</v>
      </c>
      <c r="E3" s="34">
        <v>2011</v>
      </c>
      <c r="F3" s="37">
        <v>473.90989999999999</v>
      </c>
      <c r="G3" s="34"/>
    </row>
    <row r="4" spans="1:9" x14ac:dyDescent="0.25">
      <c r="A4" s="17" t="str">
        <f t="shared" si="0"/>
        <v>I20152006</v>
      </c>
      <c r="B4">
        <f t="shared" si="1"/>
        <v>1.1896783756714404</v>
      </c>
      <c r="C4" s="34">
        <v>2015</v>
      </c>
      <c r="D4" s="37">
        <v>501.14</v>
      </c>
      <c r="E4" s="34">
        <v>2006</v>
      </c>
      <c r="F4" s="37">
        <v>421.23989999999998</v>
      </c>
      <c r="G4" s="34"/>
    </row>
    <row r="5" spans="1:9" x14ac:dyDescent="0.25">
      <c r="A5" s="17" t="str">
        <f t="shared" si="0"/>
        <v>I20152015</v>
      </c>
      <c r="B5">
        <f t="shared" si="1"/>
        <v>1</v>
      </c>
      <c r="C5" s="34">
        <v>2015</v>
      </c>
      <c r="D5" s="37">
        <v>501.14</v>
      </c>
      <c r="E5" s="34">
        <v>2015</v>
      </c>
      <c r="F5" s="37">
        <v>501.14</v>
      </c>
      <c r="G5" s="34"/>
    </row>
    <row r="6" spans="1:9" x14ac:dyDescent="0.25">
      <c r="A6" s="17" t="str">
        <f t="shared" si="0"/>
        <v>I20152010</v>
      </c>
      <c r="B6">
        <f t="shared" si="1"/>
        <v>1.0948375679986018</v>
      </c>
      <c r="C6" s="34">
        <v>2015</v>
      </c>
      <c r="D6" s="37">
        <v>501.14</v>
      </c>
      <c r="E6" s="34">
        <v>2010</v>
      </c>
      <c r="F6" s="37">
        <v>457.73</v>
      </c>
      <c r="G6" s="34"/>
    </row>
    <row r="7" spans="1:9" x14ac:dyDescent="0.25">
      <c r="A7" s="17" t="str">
        <f t="shared" si="0"/>
        <v>I20152008</v>
      </c>
      <c r="B7">
        <f t="shared" si="1"/>
        <v>1.1181418594792387</v>
      </c>
      <c r="C7" s="34">
        <v>2015</v>
      </c>
      <c r="D7" s="37">
        <v>501.14</v>
      </c>
      <c r="E7" s="34">
        <v>2008</v>
      </c>
      <c r="F7" s="37">
        <v>448.19</v>
      </c>
      <c r="G7" s="34"/>
    </row>
    <row r="8" spans="1:9" x14ac:dyDescent="0.25">
      <c r="A8" s="17" t="str">
        <f t="shared" si="0"/>
        <v>I20152009</v>
      </c>
      <c r="B8">
        <f t="shared" si="1"/>
        <v>1.1187659061481448</v>
      </c>
      <c r="C8" s="34">
        <v>2015</v>
      </c>
      <c r="D8" s="37">
        <v>501.14</v>
      </c>
      <c r="E8" s="34">
        <v>2009</v>
      </c>
      <c r="F8" s="37">
        <v>447.94</v>
      </c>
      <c r="G8" s="34"/>
    </row>
    <row r="9" spans="1:9" x14ac:dyDescent="0.25">
      <c r="A9" s="17" t="str">
        <f t="shared" si="0"/>
        <v>I20152007</v>
      </c>
      <c r="B9">
        <f t="shared" si="1"/>
        <v>1.168430869666589</v>
      </c>
      <c r="C9" s="34">
        <v>2015</v>
      </c>
      <c r="D9" s="37">
        <v>501.14</v>
      </c>
      <c r="E9" s="34">
        <v>2007</v>
      </c>
      <c r="F9" s="37">
        <v>428.9</v>
      </c>
      <c r="G9" s="34"/>
    </row>
    <row r="10" spans="1:9" x14ac:dyDescent="0.25">
      <c r="A10" s="17" t="str">
        <f t="shared" si="0"/>
        <v>I20142011</v>
      </c>
      <c r="B10">
        <f t="shared" si="1"/>
        <v>1.0574583902973962</v>
      </c>
      <c r="C10" s="34">
        <v>2014</v>
      </c>
      <c r="D10" s="37">
        <v>501.14</v>
      </c>
      <c r="E10" s="34">
        <v>2011</v>
      </c>
      <c r="F10" s="37">
        <v>473.90989999999999</v>
      </c>
      <c r="G10" s="34"/>
      <c r="H10" s="38"/>
      <c r="I10" s="34"/>
    </row>
    <row r="11" spans="1:9" x14ac:dyDescent="0.25">
      <c r="A11" s="17" t="str">
        <f t="shared" si="0"/>
        <v>I20142006</v>
      </c>
      <c r="B11">
        <f t="shared" si="1"/>
        <v>1.1896783756714404</v>
      </c>
      <c r="C11" s="34">
        <v>2014</v>
      </c>
      <c r="D11" s="37">
        <v>501.14</v>
      </c>
      <c r="E11" s="34">
        <v>2006</v>
      </c>
      <c r="F11" s="37">
        <v>421.23989999999998</v>
      </c>
      <c r="G11" s="34"/>
      <c r="H11" s="38"/>
      <c r="I11" s="34"/>
    </row>
    <row r="12" spans="1:9" x14ac:dyDescent="0.25">
      <c r="A12" s="17" t="str">
        <f t="shared" si="0"/>
        <v>I20142014</v>
      </c>
      <c r="B12">
        <f t="shared" si="1"/>
        <v>1</v>
      </c>
      <c r="C12" s="34">
        <v>2014</v>
      </c>
      <c r="D12" s="37">
        <v>501.14</v>
      </c>
      <c r="E12" s="34">
        <v>2014</v>
      </c>
      <c r="F12" s="37">
        <v>501.14</v>
      </c>
      <c r="G12" s="34"/>
      <c r="H12" s="38"/>
      <c r="I12" s="34"/>
    </row>
    <row r="13" spans="1:9" x14ac:dyDescent="0.25">
      <c r="A13" s="17" t="str">
        <f t="shared" si="0"/>
        <v>I20142013</v>
      </c>
      <c r="B13">
        <f t="shared" si="1"/>
        <v>1.0169443373445077</v>
      </c>
      <c r="C13" s="34">
        <v>2014</v>
      </c>
      <c r="D13" s="37">
        <v>501.14</v>
      </c>
      <c r="E13" s="34">
        <v>2013</v>
      </c>
      <c r="F13" s="37">
        <v>492.79</v>
      </c>
      <c r="G13" s="34"/>
      <c r="H13" s="38"/>
      <c r="I13" s="34"/>
    </row>
    <row r="14" spans="1:9" x14ac:dyDescent="0.25">
      <c r="A14" s="17" t="str">
        <f t="shared" si="0"/>
        <v>I20142010</v>
      </c>
      <c r="B14">
        <f t="shared" si="1"/>
        <v>1.0948375679986018</v>
      </c>
      <c r="C14" s="34">
        <v>2014</v>
      </c>
      <c r="D14" s="37">
        <v>501.14</v>
      </c>
      <c r="E14" s="34">
        <v>2010</v>
      </c>
      <c r="F14" s="37">
        <v>457.73</v>
      </c>
      <c r="G14" s="34"/>
      <c r="H14" s="38"/>
      <c r="I14" s="34"/>
    </row>
    <row r="15" spans="1:9" x14ac:dyDescent="0.25">
      <c r="A15" s="17" t="str">
        <f t="shared" si="0"/>
        <v>I20142008</v>
      </c>
      <c r="B15">
        <f t="shared" si="1"/>
        <v>1.1181418594792387</v>
      </c>
      <c r="C15" s="34">
        <v>2014</v>
      </c>
      <c r="D15" s="37">
        <v>501.14</v>
      </c>
      <c r="E15" s="34">
        <v>2008</v>
      </c>
      <c r="F15" s="37">
        <v>448.19</v>
      </c>
      <c r="G15" s="34"/>
      <c r="H15" s="38"/>
      <c r="I15" s="34"/>
    </row>
    <row r="16" spans="1:9" x14ac:dyDescent="0.25">
      <c r="A16" s="17" t="str">
        <f t="shared" si="0"/>
        <v>I20142009</v>
      </c>
      <c r="B16">
        <f t="shared" si="1"/>
        <v>1.1187659061481448</v>
      </c>
      <c r="C16" s="34">
        <v>2014</v>
      </c>
      <c r="D16" s="37">
        <v>501.14</v>
      </c>
      <c r="E16" s="34">
        <v>2009</v>
      </c>
      <c r="F16" s="37">
        <v>447.94</v>
      </c>
      <c r="G16" s="34"/>
      <c r="H16" s="38"/>
      <c r="I16" s="34"/>
    </row>
    <row r="17" spans="1:9" x14ac:dyDescent="0.25">
      <c r="A17" s="17" t="str">
        <f t="shared" si="0"/>
        <v>I20142007</v>
      </c>
      <c r="B17">
        <f t="shared" si="1"/>
        <v>1.168430869666589</v>
      </c>
      <c r="C17" s="34">
        <v>2014</v>
      </c>
      <c r="D17" s="37">
        <v>501.14</v>
      </c>
      <c r="E17" s="34">
        <v>2007</v>
      </c>
      <c r="F17" s="37">
        <v>428.9</v>
      </c>
      <c r="G17" s="34"/>
      <c r="H17" s="38"/>
      <c r="I17" s="34"/>
    </row>
    <row r="18" spans="1:9" x14ac:dyDescent="0.25">
      <c r="A18" s="17" t="str">
        <f t="shared" si="0"/>
        <v>I20142005</v>
      </c>
      <c r="B18">
        <f t="shared" si="1"/>
        <v>1.2109803542517459</v>
      </c>
      <c r="C18" s="34">
        <v>2014</v>
      </c>
      <c r="D18" s="37">
        <v>501.14</v>
      </c>
      <c r="E18" s="34">
        <v>2005</v>
      </c>
      <c r="F18" s="37">
        <v>413.83</v>
      </c>
      <c r="G18" s="34"/>
      <c r="H18" s="38"/>
      <c r="I18" s="34"/>
    </row>
    <row r="19" spans="1:9" x14ac:dyDescent="0.25">
      <c r="A19" s="17" t="str">
        <f t="shared" si="0"/>
        <v>I20132012</v>
      </c>
      <c r="B19">
        <f t="shared" si="1"/>
        <v>1.0250945964163238</v>
      </c>
      <c r="C19" s="34">
        <v>2013</v>
      </c>
      <c r="D19" s="37">
        <v>499.59</v>
      </c>
      <c r="E19" s="34">
        <v>2012</v>
      </c>
      <c r="F19" s="37">
        <v>487.35989999999998</v>
      </c>
      <c r="G19" s="34"/>
      <c r="H19" s="38"/>
      <c r="I19" s="34"/>
    </row>
    <row r="20" spans="1:9" x14ac:dyDescent="0.25">
      <c r="A20" s="17" t="str">
        <f t="shared" si="0"/>
        <v>I20132006</v>
      </c>
      <c r="B20">
        <f t="shared" si="1"/>
        <v>1.1859987622255157</v>
      </c>
      <c r="C20" s="34">
        <v>2013</v>
      </c>
      <c r="D20" s="37">
        <v>499.59</v>
      </c>
      <c r="E20" s="34">
        <v>2006</v>
      </c>
      <c r="F20" s="37">
        <v>421.23989999999998</v>
      </c>
      <c r="G20" s="34"/>
      <c r="H20" s="38"/>
      <c r="I20" s="34"/>
    </row>
    <row r="21" spans="1:9" x14ac:dyDescent="0.25">
      <c r="A21" s="17" t="str">
        <f t="shared" si="0"/>
        <v>I20132013</v>
      </c>
      <c r="B21">
        <f t="shared" si="1"/>
        <v>1</v>
      </c>
      <c r="C21" s="34">
        <v>2013</v>
      </c>
      <c r="D21" s="37">
        <v>499.59</v>
      </c>
      <c r="E21" s="34">
        <v>2013</v>
      </c>
      <c r="F21" s="37">
        <v>499.59</v>
      </c>
      <c r="G21" s="34"/>
      <c r="H21" s="38"/>
      <c r="I21" s="34"/>
    </row>
    <row r="22" spans="1:9" x14ac:dyDescent="0.25">
      <c r="A22" s="17" t="str">
        <f t="shared" si="0"/>
        <v>I20132010</v>
      </c>
      <c r="B22">
        <f t="shared" si="1"/>
        <v>1.0914512922465207</v>
      </c>
      <c r="C22" s="34">
        <v>2013</v>
      </c>
      <c r="D22" s="37">
        <v>499.59</v>
      </c>
      <c r="E22" s="34">
        <v>2010</v>
      </c>
      <c r="F22" s="37">
        <v>457.73</v>
      </c>
      <c r="G22" s="34"/>
      <c r="H22" s="38"/>
      <c r="I22" s="34"/>
    </row>
    <row r="23" spans="1:9" x14ac:dyDescent="0.25">
      <c r="A23" s="17" t="str">
        <f t="shared" si="0"/>
        <v>I20132008</v>
      </c>
      <c r="B23">
        <f t="shared" si="1"/>
        <v>1.1146835047636046</v>
      </c>
      <c r="C23" s="34">
        <v>2013</v>
      </c>
      <c r="D23" s="37">
        <v>499.59</v>
      </c>
      <c r="E23" s="34">
        <v>2008</v>
      </c>
      <c r="F23" s="37">
        <v>448.19</v>
      </c>
      <c r="G23" s="34"/>
      <c r="H23" s="38"/>
      <c r="I23" s="34"/>
    </row>
    <row r="24" spans="1:9" x14ac:dyDescent="0.25">
      <c r="A24" s="17" t="str">
        <f t="shared" si="0"/>
        <v>I20132009</v>
      </c>
      <c r="B24">
        <f t="shared" si="1"/>
        <v>1.1153056212885655</v>
      </c>
      <c r="C24" s="34">
        <v>2013</v>
      </c>
      <c r="D24" s="37">
        <v>499.59</v>
      </c>
      <c r="E24" s="34">
        <v>2009</v>
      </c>
      <c r="F24" s="37">
        <v>447.94</v>
      </c>
      <c r="G24" s="34"/>
      <c r="H24" s="38"/>
      <c r="I24" s="34"/>
    </row>
    <row r="25" spans="1:9" x14ac:dyDescent="0.25">
      <c r="A25" s="17" t="str">
        <f t="shared" si="0"/>
        <v>I20132007</v>
      </c>
      <c r="B25">
        <f t="shared" si="1"/>
        <v>1.1648169736535323</v>
      </c>
      <c r="C25" s="34">
        <v>2013</v>
      </c>
      <c r="D25" s="37">
        <v>499.59</v>
      </c>
      <c r="E25" s="34">
        <v>2007</v>
      </c>
      <c r="F25" s="37">
        <v>428.9</v>
      </c>
      <c r="G25" s="34"/>
      <c r="H25" s="38"/>
      <c r="I25" s="34"/>
    </row>
    <row r="26" spans="1:9" x14ac:dyDescent="0.25">
      <c r="A26" s="17" t="str">
        <f t="shared" si="0"/>
        <v>I20132005</v>
      </c>
      <c r="B26">
        <f t="shared" si="1"/>
        <v>1.2072348548921055</v>
      </c>
      <c r="C26" s="34">
        <v>2013</v>
      </c>
      <c r="D26" s="37">
        <v>499.59</v>
      </c>
      <c r="E26" s="34">
        <v>2005</v>
      </c>
      <c r="F26" s="37">
        <v>413.83</v>
      </c>
      <c r="G26" s="34"/>
      <c r="H26" s="38"/>
      <c r="I26" s="34"/>
    </row>
    <row r="27" spans="1:9" x14ac:dyDescent="0.25">
      <c r="A27" s="17" t="str">
        <f t="shared" si="0"/>
        <v>I20132004</v>
      </c>
      <c r="B27">
        <f t="shared" si="1"/>
        <v>1.2408474492076895</v>
      </c>
      <c r="C27" s="34">
        <v>2013</v>
      </c>
      <c r="D27" s="37">
        <v>499.59</v>
      </c>
      <c r="E27" s="34">
        <v>2004</v>
      </c>
      <c r="F27" s="37">
        <v>402.62</v>
      </c>
      <c r="G27" s="34"/>
      <c r="H27" s="38"/>
    </row>
    <row r="28" spans="1:9" x14ac:dyDescent="0.25">
      <c r="A28" s="40" t="str">
        <f t="shared" ref="A28:A30" si="2">C28&amp;E28</f>
        <v/>
      </c>
    </row>
    <row r="29" spans="1:9" x14ac:dyDescent="0.25">
      <c r="A29" s="40" t="str">
        <f t="shared" si="2"/>
        <v/>
      </c>
    </row>
    <row r="30" spans="1:9" x14ac:dyDescent="0.25">
      <c r="A30" s="40" t="str">
        <f t="shared" si="2"/>
        <v/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C8"/>
    </sheetView>
  </sheetViews>
  <sheetFormatPr baseColWidth="10" defaultColWidth="11.42578125" defaultRowHeight="15" x14ac:dyDescent="0.25"/>
  <sheetData>
    <row r="1" spans="1:6" x14ac:dyDescent="0.25">
      <c r="B1" s="41" t="s">
        <v>388</v>
      </c>
      <c r="C1" s="41" t="s">
        <v>389</v>
      </c>
    </row>
    <row r="2" spans="1:6" x14ac:dyDescent="0.25">
      <c r="A2">
        <v>2010</v>
      </c>
      <c r="B2" s="34" t="s">
        <v>384</v>
      </c>
      <c r="C2" s="39">
        <f t="shared" ref="C2:C6" si="0">0.22/4</f>
        <v>5.5E-2</v>
      </c>
    </row>
    <row r="3" spans="1:6" x14ac:dyDescent="0.25">
      <c r="A3">
        <v>2011</v>
      </c>
      <c r="B3" s="34" t="s">
        <v>384</v>
      </c>
      <c r="C3" s="39">
        <f t="shared" si="0"/>
        <v>5.5E-2</v>
      </c>
    </row>
    <row r="4" spans="1:6" x14ac:dyDescent="0.25">
      <c r="A4">
        <v>2012</v>
      </c>
      <c r="B4" s="34" t="s">
        <v>384</v>
      </c>
      <c r="C4" s="39">
        <f t="shared" si="0"/>
        <v>5.5E-2</v>
      </c>
    </row>
    <row r="5" spans="1:6" x14ac:dyDescent="0.25">
      <c r="A5">
        <v>2013</v>
      </c>
      <c r="B5" s="34" t="s">
        <v>384</v>
      </c>
      <c r="C5" s="39">
        <f t="shared" si="0"/>
        <v>5.5E-2</v>
      </c>
    </row>
    <row r="6" spans="1:6" x14ac:dyDescent="0.25">
      <c r="A6">
        <v>2014</v>
      </c>
      <c r="B6" s="34" t="s">
        <v>384</v>
      </c>
      <c r="C6" s="39">
        <f t="shared" si="0"/>
        <v>5.5E-2</v>
      </c>
    </row>
    <row r="7" spans="1:6" x14ac:dyDescent="0.25">
      <c r="A7">
        <v>2015</v>
      </c>
      <c r="B7" s="34" t="s">
        <v>384</v>
      </c>
      <c r="C7" s="39">
        <f>0.22/4</f>
        <v>5.5E-2</v>
      </c>
      <c r="D7" s="38"/>
      <c r="E7" s="34"/>
      <c r="F7" s="34"/>
    </row>
    <row r="8" spans="1:6" x14ac:dyDescent="0.25">
      <c r="A8">
        <v>2016</v>
      </c>
      <c r="B8" s="34" t="s">
        <v>384</v>
      </c>
      <c r="C8" s="3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8"/>
    </sheetView>
  </sheetViews>
  <sheetFormatPr baseColWidth="10" defaultColWidth="11.42578125" defaultRowHeight="15" x14ac:dyDescent="0.25"/>
  <sheetData>
    <row r="1" spans="1:3" x14ac:dyDescent="0.25">
      <c r="B1" s="41" t="s">
        <v>388</v>
      </c>
      <c r="C1" s="41" t="s">
        <v>389</v>
      </c>
    </row>
    <row r="2" spans="1:3" x14ac:dyDescent="0.25">
      <c r="A2">
        <v>2010</v>
      </c>
      <c r="B2" s="34" t="s">
        <v>385</v>
      </c>
      <c r="C2" s="39">
        <v>3.7999999999999999E-2</v>
      </c>
    </row>
    <row r="3" spans="1:3" x14ac:dyDescent="0.25">
      <c r="A3">
        <v>2011</v>
      </c>
      <c r="B3" s="34" t="s">
        <v>385</v>
      </c>
      <c r="C3" s="39">
        <v>3.7999999999999999E-2</v>
      </c>
    </row>
    <row r="4" spans="1:3" x14ac:dyDescent="0.25">
      <c r="A4">
        <v>2012</v>
      </c>
      <c r="B4" s="34" t="s">
        <v>385</v>
      </c>
      <c r="C4" s="39">
        <v>3.7999999999999999E-2</v>
      </c>
    </row>
    <row r="5" spans="1:3" x14ac:dyDescent="0.25">
      <c r="A5">
        <v>2013</v>
      </c>
      <c r="B5" s="34" t="s">
        <v>385</v>
      </c>
      <c r="C5" s="39">
        <v>3.9E-2</v>
      </c>
    </row>
    <row r="6" spans="1:3" x14ac:dyDescent="0.25">
      <c r="A6">
        <v>2014</v>
      </c>
      <c r="B6" s="34" t="s">
        <v>385</v>
      </c>
      <c r="C6" s="39">
        <v>3.95E-2</v>
      </c>
    </row>
    <row r="7" spans="1:3" x14ac:dyDescent="0.25">
      <c r="A7">
        <v>2015</v>
      </c>
      <c r="B7" s="34" t="s">
        <v>385</v>
      </c>
      <c r="C7" s="39">
        <v>3.95E-2</v>
      </c>
    </row>
    <row r="8" spans="1:3" x14ac:dyDescent="0.25">
      <c r="A8">
        <v>2016</v>
      </c>
      <c r="B8" s="34" t="s">
        <v>385</v>
      </c>
      <c r="C8" s="39">
        <v>3.95E-2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" sqref="A2"/>
    </sheetView>
  </sheetViews>
  <sheetFormatPr baseColWidth="10" defaultColWidth="11.42578125" defaultRowHeight="15" x14ac:dyDescent="0.25"/>
  <cols>
    <col min="2" max="2" width="8.85546875" customWidth="1"/>
    <col min="4" max="4" width="11.42578125" style="15"/>
    <col min="5" max="5" width="51.140625" customWidth="1"/>
  </cols>
  <sheetData>
    <row r="1" spans="1:8" x14ac:dyDescent="0.25">
      <c r="A1" t="s">
        <v>387</v>
      </c>
      <c r="B1" t="s">
        <v>389</v>
      </c>
      <c r="C1" t="s">
        <v>300</v>
      </c>
      <c r="D1" s="15" t="s">
        <v>302</v>
      </c>
      <c r="E1" t="s">
        <v>396</v>
      </c>
    </row>
    <row r="2" spans="1:8" x14ac:dyDescent="0.25">
      <c r="A2" t="str">
        <f>"P"&amp;B2&amp;C2</f>
        <v>P02015</v>
      </c>
      <c r="B2">
        <v>0</v>
      </c>
      <c r="C2">
        <v>2015</v>
      </c>
      <c r="D2" s="42">
        <v>1423.9</v>
      </c>
      <c r="E2" s="34" t="s">
        <v>393</v>
      </c>
      <c r="F2" s="34"/>
      <c r="G2" s="38"/>
      <c r="H2" s="34"/>
    </row>
    <row r="3" spans="1:8" x14ac:dyDescent="0.25">
      <c r="A3" t="str">
        <f t="shared" ref="A3:A13" si="0">"P"&amp;B3&amp;C3</f>
        <v>P12015</v>
      </c>
      <c r="B3">
        <v>1</v>
      </c>
      <c r="C3">
        <v>2015</v>
      </c>
      <c r="D3" s="42">
        <v>5653.98</v>
      </c>
      <c r="E3" s="34" t="s">
        <v>395</v>
      </c>
      <c r="F3" s="34"/>
      <c r="G3" s="38"/>
      <c r="H3" s="34"/>
    </row>
    <row r="4" spans="1:8" x14ac:dyDescent="0.25">
      <c r="A4" t="str">
        <f t="shared" si="0"/>
        <v>P22015</v>
      </c>
      <c r="B4">
        <v>2</v>
      </c>
      <c r="C4">
        <v>2015</v>
      </c>
      <c r="D4" s="42">
        <v>6742.06</v>
      </c>
      <c r="E4" s="34" t="s">
        <v>394</v>
      </c>
      <c r="F4" s="34"/>
      <c r="G4" s="38"/>
      <c r="H4" s="34"/>
    </row>
    <row r="5" spans="1:8" x14ac:dyDescent="0.25">
      <c r="A5" t="str">
        <f t="shared" si="0"/>
        <v>P32015</v>
      </c>
      <c r="B5">
        <v>3</v>
      </c>
      <c r="C5">
        <v>2015</v>
      </c>
      <c r="D5" s="42">
        <v>12870.43</v>
      </c>
      <c r="E5" s="34" t="s">
        <v>390</v>
      </c>
      <c r="F5" s="34"/>
      <c r="G5" s="38"/>
      <c r="H5" s="34"/>
    </row>
    <row r="6" spans="1:8" x14ac:dyDescent="0.25">
      <c r="A6" t="str">
        <f t="shared" si="0"/>
        <v>P42015</v>
      </c>
      <c r="B6">
        <v>4</v>
      </c>
      <c r="C6">
        <v>2015</v>
      </c>
      <c r="D6" s="42">
        <v>55576.94</v>
      </c>
      <c r="E6" s="34" t="s">
        <v>391</v>
      </c>
      <c r="F6" s="34"/>
      <c r="G6" s="38"/>
      <c r="H6" s="34"/>
    </row>
    <row r="7" spans="1:8" x14ac:dyDescent="0.25">
      <c r="A7" t="str">
        <f t="shared" si="0"/>
        <v>P52015</v>
      </c>
      <c r="B7">
        <v>5</v>
      </c>
      <c r="C7">
        <v>2015</v>
      </c>
      <c r="D7" s="42">
        <v>81902.81</v>
      </c>
      <c r="E7" s="34" t="s">
        <v>392</v>
      </c>
      <c r="F7" s="34"/>
      <c r="G7" s="38"/>
      <c r="H7" s="34"/>
    </row>
    <row r="8" spans="1:8" x14ac:dyDescent="0.25">
      <c r="A8" t="str">
        <f t="shared" si="0"/>
        <v>P02014</v>
      </c>
      <c r="B8">
        <v>0</v>
      </c>
      <c r="C8">
        <v>2014</v>
      </c>
      <c r="D8" s="42">
        <v>1423.9</v>
      </c>
      <c r="E8" s="34" t="s">
        <v>393</v>
      </c>
      <c r="F8" s="34"/>
      <c r="G8" s="38"/>
      <c r="H8" s="34"/>
    </row>
    <row r="9" spans="1:8" x14ac:dyDescent="0.25">
      <c r="A9" t="str">
        <f t="shared" si="0"/>
        <v>P12014</v>
      </c>
      <c r="B9">
        <v>1</v>
      </c>
      <c r="C9">
        <v>2014</v>
      </c>
      <c r="D9" s="42">
        <v>5653.98</v>
      </c>
      <c r="E9" s="34" t="s">
        <v>395</v>
      </c>
      <c r="F9" s="34"/>
      <c r="G9" s="38"/>
      <c r="H9" s="34"/>
    </row>
    <row r="10" spans="1:8" x14ac:dyDescent="0.25">
      <c r="A10" t="str">
        <f t="shared" si="0"/>
        <v>P22014</v>
      </c>
      <c r="B10">
        <v>2</v>
      </c>
      <c r="C10">
        <v>2014</v>
      </c>
      <c r="D10" s="42">
        <v>6742.06</v>
      </c>
      <c r="E10" s="34" t="s">
        <v>394</v>
      </c>
      <c r="F10" s="34"/>
      <c r="G10" s="38"/>
      <c r="H10" s="34"/>
    </row>
    <row r="11" spans="1:8" x14ac:dyDescent="0.25">
      <c r="A11" t="str">
        <f t="shared" si="0"/>
        <v>P32014</v>
      </c>
      <c r="B11">
        <v>3</v>
      </c>
      <c r="C11">
        <v>2014</v>
      </c>
      <c r="D11" s="42">
        <v>12870.43</v>
      </c>
      <c r="E11" s="34" t="s">
        <v>390</v>
      </c>
      <c r="F11" s="34"/>
      <c r="G11" s="38"/>
      <c r="H11" s="34"/>
    </row>
    <row r="12" spans="1:8" x14ac:dyDescent="0.25">
      <c r="A12" t="str">
        <f t="shared" si="0"/>
        <v>P42014</v>
      </c>
      <c r="B12">
        <v>4</v>
      </c>
      <c r="C12">
        <v>2014</v>
      </c>
      <c r="D12" s="42">
        <v>55576.94</v>
      </c>
      <c r="E12" s="34" t="s">
        <v>391</v>
      </c>
      <c r="F12" s="34"/>
      <c r="G12" s="38"/>
      <c r="H12" s="34"/>
    </row>
    <row r="13" spans="1:8" x14ac:dyDescent="0.25">
      <c r="A13" t="str">
        <f t="shared" si="0"/>
        <v>P52014</v>
      </c>
      <c r="B13">
        <v>5</v>
      </c>
      <c r="C13">
        <v>2014</v>
      </c>
      <c r="D13" s="42">
        <v>81902.81</v>
      </c>
      <c r="E13" s="34" t="s">
        <v>392</v>
      </c>
      <c r="F13" s="34"/>
      <c r="G13" s="38"/>
      <c r="H13" s="34"/>
    </row>
  </sheetData>
  <sortState ref="A2:I13">
    <sortCondition ref="A2:A13"/>
  </sortState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9" sqref="C9"/>
    </sheetView>
  </sheetViews>
  <sheetFormatPr baseColWidth="10" defaultColWidth="11.42578125" defaultRowHeight="15" x14ac:dyDescent="0.25"/>
  <sheetData>
    <row r="1" spans="1:3" x14ac:dyDescent="0.25">
      <c r="B1" s="41" t="s">
        <v>388</v>
      </c>
      <c r="C1" s="41" t="s">
        <v>389</v>
      </c>
    </row>
    <row r="2" spans="1:3" x14ac:dyDescent="0.25">
      <c r="A2">
        <v>2010</v>
      </c>
      <c r="B2" s="34" t="s">
        <v>384</v>
      </c>
      <c r="C2" s="39">
        <v>3.5400000000000001E-2</v>
      </c>
    </row>
    <row r="3" spans="1:3" x14ac:dyDescent="0.25">
      <c r="A3">
        <v>2011</v>
      </c>
      <c r="B3" s="34" t="s">
        <v>384</v>
      </c>
      <c r="C3" s="39">
        <v>3.5400000000000001E-2</v>
      </c>
    </row>
    <row r="4" spans="1:3" x14ac:dyDescent="0.25">
      <c r="A4">
        <v>2012</v>
      </c>
      <c r="B4" s="34" t="s">
        <v>384</v>
      </c>
      <c r="C4" s="39">
        <v>3.5400000000000001E-2</v>
      </c>
    </row>
    <row r="5" spans="1:3" x14ac:dyDescent="0.25">
      <c r="A5">
        <v>2013</v>
      </c>
      <c r="B5" s="34" t="s">
        <v>384</v>
      </c>
      <c r="C5" s="39">
        <v>3.5400000000000001E-2</v>
      </c>
    </row>
    <row r="6" spans="1:3" x14ac:dyDescent="0.25">
      <c r="A6">
        <v>2014</v>
      </c>
      <c r="B6" s="34" t="s">
        <v>384</v>
      </c>
      <c r="C6" s="39">
        <v>3.5400000000000001E-2</v>
      </c>
    </row>
    <row r="7" spans="1:3" x14ac:dyDescent="0.25">
      <c r="A7">
        <v>2015</v>
      </c>
      <c r="B7" s="34" t="s">
        <v>384</v>
      </c>
      <c r="C7" s="39">
        <v>3.5400000000000001E-2</v>
      </c>
    </row>
    <row r="8" spans="1:3" x14ac:dyDescent="0.25">
      <c r="A8">
        <v>2016</v>
      </c>
      <c r="B8" s="34" t="s">
        <v>384</v>
      </c>
      <c r="C8" s="39">
        <v>3.5400000000000001E-2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baseColWidth="10" defaultColWidth="11.42578125" defaultRowHeight="15" x14ac:dyDescent="0.25"/>
  <cols>
    <col min="2" max="2" width="11.42578125" style="15"/>
  </cols>
  <sheetData>
    <row r="1" spans="1:2" x14ac:dyDescent="0.25">
      <c r="B1" s="43" t="s">
        <v>398</v>
      </c>
    </row>
    <row r="2" spans="1:2" x14ac:dyDescent="0.25">
      <c r="A2">
        <v>2010</v>
      </c>
      <c r="B2" s="42">
        <v>2915.02</v>
      </c>
    </row>
    <row r="3" spans="1:2" x14ac:dyDescent="0.25">
      <c r="A3">
        <v>2011</v>
      </c>
      <c r="B3" s="42">
        <v>2990.29</v>
      </c>
    </row>
    <row r="4" spans="1:2" x14ac:dyDescent="0.25">
      <c r="A4">
        <v>2012</v>
      </c>
      <c r="B4" s="42">
        <v>3105.58</v>
      </c>
    </row>
    <row r="5" spans="1:2" x14ac:dyDescent="0.25">
      <c r="A5">
        <v>2013</v>
      </c>
      <c r="B5" s="42">
        <v>3166.12</v>
      </c>
    </row>
    <row r="6" spans="1:2" x14ac:dyDescent="0.25">
      <c r="A6">
        <v>2014</v>
      </c>
      <c r="B6" s="42">
        <v>3177.47</v>
      </c>
    </row>
    <row r="7" spans="1:2" x14ac:dyDescent="0.25">
      <c r="A7">
        <v>2015</v>
      </c>
      <c r="B7" s="42">
        <v>3177.47</v>
      </c>
    </row>
    <row r="8" spans="1:2" x14ac:dyDescent="0.25">
      <c r="A8">
        <v>2016</v>
      </c>
      <c r="B8" s="42">
        <v>3177.47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3"/>
  <sheetViews>
    <sheetView topLeftCell="J1" zoomScale="60" zoomScaleNormal="60" workbookViewId="0">
      <selection activeCell="AH15" sqref="AH15"/>
    </sheetView>
  </sheetViews>
  <sheetFormatPr baseColWidth="10" defaultColWidth="11.42578125" defaultRowHeight="15" x14ac:dyDescent="0.25"/>
  <cols>
    <col min="1" max="1" width="24.5703125" style="52" customWidth="1"/>
    <col min="2" max="2" width="20" style="52" customWidth="1"/>
    <col min="3" max="7" width="11.42578125" style="52"/>
    <col min="8" max="8" width="11.42578125" style="54"/>
    <col min="9" max="9" width="19.7109375" style="52" customWidth="1"/>
    <col min="10" max="10" width="16.140625" style="52" bestFit="1" customWidth="1"/>
    <col min="11" max="11" width="11.42578125" style="55"/>
    <col min="12" max="12" width="11.42578125" style="52"/>
    <col min="13" max="13" width="11.42578125" style="30"/>
    <col min="14" max="14" width="11.42578125" style="61"/>
    <col min="15" max="15" width="12.7109375" style="30" bestFit="1" customWidth="1"/>
    <col min="16" max="16" width="11.42578125" style="52"/>
    <col min="17" max="17" width="15.28515625" style="52" bestFit="1" customWidth="1"/>
    <col min="18" max="19" width="11.42578125" style="52" customWidth="1"/>
    <col min="20" max="20" width="11.42578125" style="59"/>
    <col min="21" max="21" width="13.85546875" style="59" bestFit="1" customWidth="1"/>
    <col min="22" max="16384" width="11.42578125" style="52"/>
  </cols>
  <sheetData>
    <row r="1" spans="1:34" x14ac:dyDescent="0.25">
      <c r="A1" s="52" t="s">
        <v>409</v>
      </c>
      <c r="D1" s="60"/>
      <c r="G1" s="60"/>
    </row>
    <row r="3" spans="1:34" x14ac:dyDescent="0.25">
      <c r="A3" s="52" t="s">
        <v>291</v>
      </c>
      <c r="B3" s="52" t="s">
        <v>399</v>
      </c>
      <c r="C3" s="52" t="s">
        <v>290</v>
      </c>
      <c r="D3" s="52" t="s">
        <v>92</v>
      </c>
      <c r="E3" s="52" t="s">
        <v>285</v>
      </c>
      <c r="F3" s="52" t="s">
        <v>292</v>
      </c>
      <c r="G3" s="52" t="s">
        <v>286</v>
      </c>
      <c r="H3" s="54" t="s">
        <v>296</v>
      </c>
      <c r="I3" s="52" t="s">
        <v>298</v>
      </c>
      <c r="J3" s="52" t="s">
        <v>299</v>
      </c>
      <c r="K3" s="55" t="s">
        <v>297</v>
      </c>
      <c r="L3" s="52" t="s">
        <v>305</v>
      </c>
      <c r="M3" s="30" t="s">
        <v>306</v>
      </c>
      <c r="N3" s="61" t="s">
        <v>307</v>
      </c>
      <c r="O3" s="30" t="s">
        <v>308</v>
      </c>
      <c r="P3" s="52" t="s">
        <v>287</v>
      </c>
      <c r="Q3" s="52" t="s">
        <v>288</v>
      </c>
      <c r="R3" s="52" t="s">
        <v>289</v>
      </c>
      <c r="S3" s="52" t="s">
        <v>295</v>
      </c>
      <c r="T3" s="59" t="s">
        <v>309</v>
      </c>
      <c r="U3" s="59" t="s">
        <v>310</v>
      </c>
      <c r="V3" s="52" t="s">
        <v>428</v>
      </c>
      <c r="W3" s="52" t="s">
        <v>429</v>
      </c>
      <c r="X3" s="52" t="s">
        <v>430</v>
      </c>
      <c r="Y3" s="52" t="s">
        <v>431</v>
      </c>
      <c r="Z3" s="52" t="s">
        <v>432</v>
      </c>
      <c r="AA3" s="52" t="s">
        <v>433</v>
      </c>
      <c r="AB3" s="52" t="s">
        <v>434</v>
      </c>
      <c r="AC3" s="52" t="s">
        <v>309</v>
      </c>
      <c r="AD3" s="52" t="s">
        <v>310</v>
      </c>
      <c r="AE3" s="59" t="s">
        <v>309</v>
      </c>
      <c r="AF3" s="59" t="s">
        <v>310</v>
      </c>
      <c r="AG3" s="52" t="s">
        <v>435</v>
      </c>
      <c r="AH3" s="52" t="s">
        <v>436</v>
      </c>
    </row>
    <row r="4" spans="1:34" x14ac:dyDescent="0.25">
      <c r="B4" s="52">
        <v>1</v>
      </c>
      <c r="C4" s="52">
        <v>1</v>
      </c>
      <c r="D4" s="52" t="s">
        <v>91</v>
      </c>
      <c r="H4" s="54">
        <f t="shared" ref="H4:H45" ca="1" si="0">DATE($R4-2,1,1)</f>
        <v>41640</v>
      </c>
      <c r="I4" s="52" t="s">
        <v>293</v>
      </c>
      <c r="K4" s="55">
        <f t="shared" ref="K4:K45" ca="1" si="1">DATE($R4-$S4,$Q4,$P4)</f>
        <v>42005</v>
      </c>
      <c r="L4" s="52">
        <v>20134</v>
      </c>
      <c r="M4" s="30">
        <f>INDEX(barèmes!$D$2:$E$311,MATCH(T4,barèmes!$D$2:$D$311,0),2)</f>
        <v>683.22</v>
      </c>
      <c r="N4" s="61">
        <v>20151</v>
      </c>
      <c r="O4" s="30">
        <f>INDEX(barèmes!$D$2:$E$311,MATCH(U4,barèmes!$D$2:$D$311,0),2)</f>
        <v>77.7</v>
      </c>
      <c r="P4" s="52">
        <v>1</v>
      </c>
      <c r="Q4" s="52">
        <v>1</v>
      </c>
      <c r="R4" s="52">
        <f ca="1">YEAR(NOW())-1</f>
        <v>2016</v>
      </c>
      <c r="S4" s="52">
        <v>1</v>
      </c>
      <c r="T4" s="59" t="s">
        <v>338</v>
      </c>
      <c r="U4" s="59" t="s">
        <v>315</v>
      </c>
      <c r="V4" s="52" t="str">
        <f>LEFT(L4,4)</f>
        <v>2013</v>
      </c>
      <c r="W4" s="52" t="str">
        <f>RIGHT(L4,1)</f>
        <v>4</v>
      </c>
      <c r="X4" s="52">
        <f ca="1">R4-V4</f>
        <v>3</v>
      </c>
      <c r="Y4" s="52" t="str">
        <f>LEFT(N4,4)</f>
        <v>2015</v>
      </c>
      <c r="Z4" s="52" t="str">
        <f>RIGHT(N4,1)</f>
        <v>1</v>
      </c>
      <c r="AA4" s="52">
        <f ca="1">R4-Y4</f>
        <v>1</v>
      </c>
      <c r="AB4" s="52">
        <f>IF(I4="Complémentaire",4,IF(I4="Principal",1,5))</f>
        <v>4</v>
      </c>
      <c r="AC4" s="52" t="str">
        <f>RIGHT(T4,1)</f>
        <v>1</v>
      </c>
      <c r="AD4" s="52" t="str">
        <f>RIGHT(U4,1)</f>
        <v>2</v>
      </c>
      <c r="AE4" s="52" t="str">
        <f>IF($AC4="9","999999",$C4&amp;$V4&amp;$AC4)</f>
        <v>120131</v>
      </c>
      <c r="AF4" s="52" t="str">
        <f>IF($AD4="9","999999",$AB4&amp;$Y4&amp;$AD4)</f>
        <v>420152</v>
      </c>
      <c r="AG4" s="52" t="str">
        <f>IF(AE4=T4,"T","F")</f>
        <v>T</v>
      </c>
      <c r="AH4" s="52" t="str">
        <f>IF(AF4=U4,"T","F")</f>
        <v>T</v>
      </c>
    </row>
    <row r="5" spans="1:34" x14ac:dyDescent="0.25">
      <c r="B5" s="52">
        <v>2</v>
      </c>
      <c r="C5" s="52">
        <v>1</v>
      </c>
      <c r="D5" s="52" t="s">
        <v>91</v>
      </c>
      <c r="H5" s="54">
        <f t="shared" ca="1" si="0"/>
        <v>41640</v>
      </c>
      <c r="I5" s="52" t="s">
        <v>293</v>
      </c>
      <c r="K5" s="55">
        <f t="shared" ca="1" si="1"/>
        <v>42186</v>
      </c>
      <c r="L5" s="52">
        <v>20142</v>
      </c>
      <c r="M5" s="30">
        <f>INDEX(barèmes!$D$2:$E$311,MATCH(T5,barèmes!$D$2:$D$311,0),2)</f>
        <v>702.39</v>
      </c>
      <c r="N5" s="61">
        <v>20151</v>
      </c>
      <c r="O5" s="30">
        <f>INDEX(barèmes!$D$2:$E$311,MATCH(U5,barèmes!$D$2:$D$311,0),2)</f>
        <v>75.849999999999994</v>
      </c>
      <c r="P5" s="52">
        <v>1</v>
      </c>
      <c r="Q5" s="52">
        <v>7</v>
      </c>
      <c r="R5" s="52">
        <f t="shared" ref="R5:R45" ca="1" si="2">YEAR(NOW())-1</f>
        <v>2016</v>
      </c>
      <c r="S5" s="52">
        <v>1</v>
      </c>
      <c r="T5" s="59" t="s">
        <v>312</v>
      </c>
      <c r="U5" s="59" t="s">
        <v>313</v>
      </c>
      <c r="V5" s="52" t="str">
        <f t="shared" ref="V5:V68" si="3">LEFT(L5,4)</f>
        <v>2014</v>
      </c>
      <c r="W5" s="52" t="str">
        <f t="shared" ref="W5:W68" si="4">RIGHT(L5,1)</f>
        <v>2</v>
      </c>
      <c r="X5" s="52">
        <f t="shared" ref="X5:X68" ca="1" si="5">R5-V5</f>
        <v>2</v>
      </c>
      <c r="Y5" s="52" t="str">
        <f t="shared" ref="Y5:Y68" si="6">LEFT(N5,4)</f>
        <v>2015</v>
      </c>
      <c r="Z5" s="52" t="str">
        <f t="shared" ref="Z5:Z68" si="7">RIGHT(N5,1)</f>
        <v>1</v>
      </c>
      <c r="AA5" s="52">
        <f t="shared" ref="AA5:AA68" ca="1" si="8">R5-Y5</f>
        <v>1</v>
      </c>
      <c r="AB5" s="52">
        <f t="shared" ref="AB5:AB68" si="9">IF(I5="Complémentaire",4,IF(I5="Principal",1,5))</f>
        <v>4</v>
      </c>
      <c r="AC5" s="52" t="str">
        <f t="shared" ref="AC5:AD68" si="10">RIGHT(T5,1)</f>
        <v>2</v>
      </c>
      <c r="AD5" s="52" t="str">
        <f t="shared" si="10"/>
        <v>1</v>
      </c>
      <c r="AE5" s="52" t="str">
        <f t="shared" ref="AE5:AE68" si="11">IF($AC5="9","999999",$C5&amp;$V5&amp;$AC5)</f>
        <v>120142</v>
      </c>
      <c r="AF5" s="52" t="str">
        <f t="shared" ref="AF5:AF68" si="12">IF($AD5="9","999999",$AB5&amp;$Y5&amp;$AD5)</f>
        <v>420151</v>
      </c>
      <c r="AG5" s="52" t="str">
        <f t="shared" ref="AG5:AH68" si="13">IF(AE5=T5,"T","F")</f>
        <v>T</v>
      </c>
      <c r="AH5" s="52" t="str">
        <f t="shared" si="13"/>
        <v>T</v>
      </c>
    </row>
    <row r="6" spans="1:34" x14ac:dyDescent="0.25">
      <c r="B6" s="52">
        <v>3</v>
      </c>
      <c r="C6" s="52">
        <v>1</v>
      </c>
      <c r="D6" s="52" t="s">
        <v>91</v>
      </c>
      <c r="H6" s="54">
        <f t="shared" ca="1" si="0"/>
        <v>41640</v>
      </c>
      <c r="I6" s="52" t="s">
        <v>293</v>
      </c>
      <c r="K6" s="55">
        <f t="shared" ca="1" si="1"/>
        <v>42370</v>
      </c>
      <c r="L6" s="52">
        <v>20144</v>
      </c>
      <c r="M6" s="30">
        <f>INDEX(barèmes!$D$2:$E$311,MATCH(T6,barèmes!$D$2:$D$311,0),2)</f>
        <v>702.39</v>
      </c>
      <c r="N6" s="61">
        <v>20151</v>
      </c>
      <c r="O6" s="30">
        <f>INDEX(barèmes!$D$2:$E$311,MATCH(U6,barèmes!$D$2:$D$311,0),2)</f>
        <v>79.55</v>
      </c>
      <c r="P6" s="52">
        <v>1</v>
      </c>
      <c r="Q6" s="52">
        <v>1</v>
      </c>
      <c r="R6" s="52">
        <f t="shared" ca="1" si="2"/>
        <v>2016</v>
      </c>
      <c r="S6" s="52">
        <v>0</v>
      </c>
      <c r="T6" s="59" t="s">
        <v>312</v>
      </c>
      <c r="U6" s="59" t="s">
        <v>316</v>
      </c>
      <c r="V6" s="52" t="str">
        <f t="shared" si="3"/>
        <v>2014</v>
      </c>
      <c r="W6" s="52" t="str">
        <f t="shared" si="4"/>
        <v>4</v>
      </c>
      <c r="X6" s="52">
        <f t="shared" ca="1" si="5"/>
        <v>2</v>
      </c>
      <c r="Y6" s="52" t="str">
        <f t="shared" si="6"/>
        <v>2015</v>
      </c>
      <c r="Z6" s="52" t="str">
        <f t="shared" si="7"/>
        <v>1</v>
      </c>
      <c r="AA6" s="52">
        <f t="shared" ca="1" si="8"/>
        <v>1</v>
      </c>
      <c r="AB6" s="52">
        <f t="shared" si="9"/>
        <v>4</v>
      </c>
      <c r="AC6" s="52" t="str">
        <f t="shared" si="10"/>
        <v>2</v>
      </c>
      <c r="AD6" s="52" t="str">
        <f t="shared" si="10"/>
        <v>3</v>
      </c>
      <c r="AE6" s="52" t="str">
        <f t="shared" si="11"/>
        <v>120142</v>
      </c>
      <c r="AF6" s="52" t="str">
        <f t="shared" si="12"/>
        <v>420153</v>
      </c>
      <c r="AG6" s="52" t="str">
        <f t="shared" si="13"/>
        <v>T</v>
      </c>
      <c r="AH6" s="52" t="str">
        <f t="shared" si="13"/>
        <v>T</v>
      </c>
    </row>
    <row r="7" spans="1:34" x14ac:dyDescent="0.25">
      <c r="B7" s="52">
        <v>4</v>
      </c>
      <c r="C7" s="52">
        <v>1</v>
      </c>
      <c r="D7" s="52" t="s">
        <v>91</v>
      </c>
      <c r="H7" s="54">
        <f t="shared" ca="1" si="0"/>
        <v>41640</v>
      </c>
      <c r="I7" s="52" t="s">
        <v>293</v>
      </c>
      <c r="J7" s="52" t="s">
        <v>90</v>
      </c>
      <c r="K7" s="55">
        <f t="shared" ca="1" si="1"/>
        <v>42005</v>
      </c>
      <c r="L7" s="52">
        <v>20134</v>
      </c>
      <c r="M7" s="30">
        <f>INDEX(barèmes!$D$2:$E$311,MATCH(T7,barèmes!$D$2:$D$311,0),2)</f>
        <v>683.22</v>
      </c>
      <c r="N7" s="61">
        <v>20141</v>
      </c>
      <c r="O7" s="30">
        <f>INDEX(barèmes!$D$2:$E$311,MATCH(U7,barèmes!$D$2:$D$311,0),2)</f>
        <v>0</v>
      </c>
      <c r="P7" s="52">
        <v>1</v>
      </c>
      <c r="Q7" s="52">
        <v>1</v>
      </c>
      <c r="R7" s="52">
        <f t="shared" ca="1" si="2"/>
        <v>2016</v>
      </c>
      <c r="S7" s="52">
        <v>1</v>
      </c>
      <c r="T7" s="59" t="s">
        <v>338</v>
      </c>
      <c r="U7" s="59" t="s">
        <v>317</v>
      </c>
      <c r="V7" s="52" t="str">
        <f t="shared" si="3"/>
        <v>2013</v>
      </c>
      <c r="W7" s="52" t="str">
        <f t="shared" si="4"/>
        <v>4</v>
      </c>
      <c r="X7" s="52">
        <f t="shared" ca="1" si="5"/>
        <v>3</v>
      </c>
      <c r="Y7" s="52" t="str">
        <f t="shared" si="6"/>
        <v>2014</v>
      </c>
      <c r="Z7" s="52" t="str">
        <f t="shared" si="7"/>
        <v>1</v>
      </c>
      <c r="AA7" s="52">
        <f t="shared" ca="1" si="8"/>
        <v>2</v>
      </c>
      <c r="AB7" s="52">
        <f t="shared" si="9"/>
        <v>4</v>
      </c>
      <c r="AC7" s="52" t="str">
        <f t="shared" si="10"/>
        <v>1</v>
      </c>
      <c r="AD7" s="52" t="str">
        <f t="shared" si="10"/>
        <v>9</v>
      </c>
      <c r="AE7" s="52" t="str">
        <f t="shared" si="11"/>
        <v>120131</v>
      </c>
      <c r="AF7" s="52" t="str">
        <f t="shared" si="12"/>
        <v>999999</v>
      </c>
      <c r="AG7" s="52" t="str">
        <f t="shared" si="13"/>
        <v>T</v>
      </c>
      <c r="AH7" s="52" t="str">
        <f t="shared" si="13"/>
        <v>T</v>
      </c>
    </row>
    <row r="8" spans="1:34" x14ac:dyDescent="0.25">
      <c r="B8" s="52">
        <v>5</v>
      </c>
      <c r="C8" s="52">
        <v>1</v>
      </c>
      <c r="D8" s="52" t="s">
        <v>91</v>
      </c>
      <c r="H8" s="54">
        <f t="shared" ca="1" si="0"/>
        <v>41640</v>
      </c>
      <c r="I8" s="52" t="s">
        <v>293</v>
      </c>
      <c r="J8" s="52" t="s">
        <v>90</v>
      </c>
      <c r="K8" s="55">
        <f t="shared" ca="1" si="1"/>
        <v>42186</v>
      </c>
      <c r="L8" s="52">
        <v>20142</v>
      </c>
      <c r="M8" s="30">
        <f>INDEX(barèmes!$D$2:$E$311,MATCH(T8,barèmes!$D$2:$D$311,0),2)</f>
        <v>702.39</v>
      </c>
      <c r="N8" s="61">
        <v>20151</v>
      </c>
      <c r="O8" s="30">
        <f>INDEX(barèmes!$D$2:$E$311,MATCH(U8,barèmes!$D$2:$D$311,0),2)</f>
        <v>0</v>
      </c>
      <c r="P8" s="52">
        <v>1</v>
      </c>
      <c r="Q8" s="52">
        <v>7</v>
      </c>
      <c r="R8" s="52">
        <f t="shared" ca="1" si="2"/>
        <v>2016</v>
      </c>
      <c r="S8" s="52">
        <v>1</v>
      </c>
      <c r="T8" s="59" t="s">
        <v>312</v>
      </c>
      <c r="U8" s="59" t="s">
        <v>317</v>
      </c>
      <c r="V8" s="52" t="str">
        <f t="shared" si="3"/>
        <v>2014</v>
      </c>
      <c r="W8" s="52" t="str">
        <f t="shared" si="4"/>
        <v>2</v>
      </c>
      <c r="X8" s="52">
        <f t="shared" ca="1" si="5"/>
        <v>2</v>
      </c>
      <c r="Y8" s="52" t="str">
        <f t="shared" si="6"/>
        <v>2015</v>
      </c>
      <c r="Z8" s="52" t="str">
        <f t="shared" si="7"/>
        <v>1</v>
      </c>
      <c r="AA8" s="52">
        <f t="shared" ca="1" si="8"/>
        <v>1</v>
      </c>
      <c r="AB8" s="52">
        <f t="shared" si="9"/>
        <v>4</v>
      </c>
      <c r="AC8" s="52" t="str">
        <f t="shared" si="10"/>
        <v>2</v>
      </c>
      <c r="AD8" s="52" t="str">
        <f t="shared" si="10"/>
        <v>9</v>
      </c>
      <c r="AE8" s="52" t="str">
        <f t="shared" si="11"/>
        <v>120142</v>
      </c>
      <c r="AF8" s="52" t="str">
        <f t="shared" si="12"/>
        <v>999999</v>
      </c>
      <c r="AG8" s="52" t="str">
        <f t="shared" si="13"/>
        <v>T</v>
      </c>
      <c r="AH8" s="52" t="str">
        <f t="shared" si="13"/>
        <v>T</v>
      </c>
    </row>
    <row r="9" spans="1:34" x14ac:dyDescent="0.25">
      <c r="B9" s="52">
        <v>6</v>
      </c>
      <c r="C9" s="52">
        <v>1</v>
      </c>
      <c r="D9" s="52" t="s">
        <v>91</v>
      </c>
      <c r="H9" s="54">
        <f t="shared" ca="1" si="0"/>
        <v>41640</v>
      </c>
      <c r="I9" s="52" t="s">
        <v>293</v>
      </c>
      <c r="J9" s="52" t="s">
        <v>90</v>
      </c>
      <c r="K9" s="55">
        <f t="shared" ca="1" si="1"/>
        <v>42370</v>
      </c>
      <c r="L9" s="52">
        <v>20144</v>
      </c>
      <c r="M9" s="30">
        <f>INDEX(barèmes!$D$2:$E$311,MATCH(T9,barèmes!$D$2:$D$311,0),2)</f>
        <v>702.39</v>
      </c>
      <c r="N9" s="61">
        <v>20151</v>
      </c>
      <c r="O9" s="30">
        <f>INDEX(barèmes!$D$2:$E$311,MATCH(U9,barèmes!$D$2:$D$311,0),2)</f>
        <v>0</v>
      </c>
      <c r="P9" s="52">
        <v>1</v>
      </c>
      <c r="Q9" s="52">
        <v>1</v>
      </c>
      <c r="R9" s="52">
        <f t="shared" ca="1" si="2"/>
        <v>2016</v>
      </c>
      <c r="S9" s="52">
        <v>0</v>
      </c>
      <c r="T9" s="59" t="s">
        <v>312</v>
      </c>
      <c r="U9" s="59" t="s">
        <v>317</v>
      </c>
      <c r="V9" s="52" t="str">
        <f t="shared" si="3"/>
        <v>2014</v>
      </c>
      <c r="W9" s="52" t="str">
        <f t="shared" si="4"/>
        <v>4</v>
      </c>
      <c r="X9" s="52">
        <f t="shared" ca="1" si="5"/>
        <v>2</v>
      </c>
      <c r="Y9" s="52" t="str">
        <f t="shared" si="6"/>
        <v>2015</v>
      </c>
      <c r="Z9" s="52" t="str">
        <f t="shared" si="7"/>
        <v>1</v>
      </c>
      <c r="AA9" s="52">
        <f t="shared" ca="1" si="8"/>
        <v>1</v>
      </c>
      <c r="AB9" s="52">
        <f t="shared" si="9"/>
        <v>4</v>
      </c>
      <c r="AC9" s="52" t="str">
        <f t="shared" si="10"/>
        <v>2</v>
      </c>
      <c r="AD9" s="52" t="str">
        <f t="shared" si="10"/>
        <v>9</v>
      </c>
      <c r="AE9" s="52" t="str">
        <f t="shared" si="11"/>
        <v>120142</v>
      </c>
      <c r="AF9" s="52" t="str">
        <f t="shared" si="12"/>
        <v>999999</v>
      </c>
      <c r="AG9" s="52" t="str">
        <f t="shared" si="13"/>
        <v>T</v>
      </c>
      <c r="AH9" s="52" t="str">
        <f t="shared" si="13"/>
        <v>T</v>
      </c>
    </row>
    <row r="10" spans="1:34" x14ac:dyDescent="0.25">
      <c r="B10" s="52">
        <v>7</v>
      </c>
      <c r="C10" s="52">
        <v>1</v>
      </c>
      <c r="D10" s="52" t="s">
        <v>91</v>
      </c>
      <c r="H10" s="54">
        <f t="shared" ca="1" si="0"/>
        <v>41640</v>
      </c>
      <c r="I10" s="52" t="s">
        <v>294</v>
      </c>
      <c r="K10" s="55">
        <f t="shared" ca="1" si="1"/>
        <v>42005</v>
      </c>
      <c r="L10" s="52">
        <v>20134</v>
      </c>
      <c r="M10" s="30">
        <f>INDEX(barèmes!$D$2:$E$311,MATCH(T10,barèmes!$D$2:$D$311,0),2)</f>
        <v>683.22</v>
      </c>
      <c r="N10" s="61">
        <v>20151</v>
      </c>
      <c r="O10" s="30">
        <f>INDEX(barèmes!$D$2:$E$311,MATCH(U10,barèmes!$D$2:$D$311,0),2)</f>
        <v>308.55</v>
      </c>
      <c r="P10" s="52">
        <v>1</v>
      </c>
      <c r="Q10" s="52">
        <v>1</v>
      </c>
      <c r="R10" s="52">
        <f t="shared" ca="1" si="2"/>
        <v>2016</v>
      </c>
      <c r="S10" s="52">
        <v>1</v>
      </c>
      <c r="T10" s="59" t="s">
        <v>338</v>
      </c>
      <c r="U10" s="59" t="s">
        <v>321</v>
      </c>
      <c r="V10" s="52" t="str">
        <f t="shared" si="3"/>
        <v>2013</v>
      </c>
      <c r="W10" s="52" t="str">
        <f t="shared" si="4"/>
        <v>4</v>
      </c>
      <c r="X10" s="52">
        <f t="shared" ca="1" si="5"/>
        <v>3</v>
      </c>
      <c r="Y10" s="52" t="str">
        <f t="shared" si="6"/>
        <v>2015</v>
      </c>
      <c r="Z10" s="52" t="str">
        <f t="shared" si="7"/>
        <v>1</v>
      </c>
      <c r="AA10" s="52">
        <f t="shared" ca="1" si="8"/>
        <v>1</v>
      </c>
      <c r="AB10" s="52">
        <f t="shared" si="9"/>
        <v>5</v>
      </c>
      <c r="AC10" s="52" t="str">
        <f t="shared" si="10"/>
        <v>1</v>
      </c>
      <c r="AD10" s="52" t="str">
        <f t="shared" si="10"/>
        <v>2</v>
      </c>
      <c r="AE10" s="52" t="str">
        <f t="shared" si="11"/>
        <v>120131</v>
      </c>
      <c r="AF10" s="52" t="str">
        <f t="shared" si="12"/>
        <v>520152</v>
      </c>
      <c r="AG10" s="52" t="str">
        <f t="shared" si="13"/>
        <v>T</v>
      </c>
      <c r="AH10" s="52" t="str">
        <f t="shared" si="13"/>
        <v>T</v>
      </c>
    </row>
    <row r="11" spans="1:34" x14ac:dyDescent="0.25">
      <c r="B11" s="52">
        <v>8</v>
      </c>
      <c r="C11" s="52">
        <v>1</v>
      </c>
      <c r="D11" s="52" t="s">
        <v>91</v>
      </c>
      <c r="H11" s="54">
        <f t="shared" ca="1" si="0"/>
        <v>41640</v>
      </c>
      <c r="I11" s="52" t="s">
        <v>294</v>
      </c>
      <c r="K11" s="55">
        <f t="shared" ca="1" si="1"/>
        <v>42186</v>
      </c>
      <c r="L11" s="52">
        <v>20142</v>
      </c>
      <c r="M11" s="30">
        <f>INDEX(barèmes!$D$2:$E$311,MATCH(T11,barèmes!$D$2:$D$311,0),2)</f>
        <v>702.39</v>
      </c>
      <c r="N11" s="61">
        <v>20151</v>
      </c>
      <c r="O11" s="30">
        <f>INDEX(barèmes!$D$2:$E$311,MATCH(U11,barèmes!$D$2:$D$311,0),2)</f>
        <v>301.22000000000003</v>
      </c>
      <c r="P11" s="52">
        <v>1</v>
      </c>
      <c r="Q11" s="52">
        <v>7</v>
      </c>
      <c r="R11" s="52">
        <f t="shared" ca="1" si="2"/>
        <v>2016</v>
      </c>
      <c r="S11" s="52">
        <v>1</v>
      </c>
      <c r="T11" s="59" t="s">
        <v>312</v>
      </c>
      <c r="U11" s="59" t="s">
        <v>318</v>
      </c>
      <c r="V11" s="52" t="str">
        <f t="shared" si="3"/>
        <v>2014</v>
      </c>
      <c r="W11" s="52" t="str">
        <f t="shared" si="4"/>
        <v>2</v>
      </c>
      <c r="X11" s="52">
        <f t="shared" ca="1" si="5"/>
        <v>2</v>
      </c>
      <c r="Y11" s="52" t="str">
        <f t="shared" si="6"/>
        <v>2015</v>
      </c>
      <c r="Z11" s="52" t="str">
        <f t="shared" si="7"/>
        <v>1</v>
      </c>
      <c r="AA11" s="52">
        <f t="shared" ca="1" si="8"/>
        <v>1</v>
      </c>
      <c r="AB11" s="52">
        <f t="shared" si="9"/>
        <v>5</v>
      </c>
      <c r="AC11" s="52" t="str">
        <f t="shared" si="10"/>
        <v>2</v>
      </c>
      <c r="AD11" s="52" t="str">
        <f t="shared" si="10"/>
        <v>1</v>
      </c>
      <c r="AE11" s="52" t="str">
        <f t="shared" si="11"/>
        <v>120142</v>
      </c>
      <c r="AF11" s="52" t="str">
        <f t="shared" si="12"/>
        <v>520151</v>
      </c>
      <c r="AG11" s="52" t="str">
        <f t="shared" si="13"/>
        <v>T</v>
      </c>
      <c r="AH11" s="52" t="str">
        <f t="shared" si="13"/>
        <v>T</v>
      </c>
    </row>
    <row r="12" spans="1:34" x14ac:dyDescent="0.25">
      <c r="B12" s="52">
        <v>9</v>
      </c>
      <c r="C12" s="52">
        <v>1</v>
      </c>
      <c r="D12" s="52" t="s">
        <v>91</v>
      </c>
      <c r="H12" s="54">
        <f t="shared" ca="1" si="0"/>
        <v>41640</v>
      </c>
      <c r="I12" s="52" t="s">
        <v>294</v>
      </c>
      <c r="K12" s="55">
        <f t="shared" ca="1" si="1"/>
        <v>42370</v>
      </c>
      <c r="L12" s="52">
        <v>20144</v>
      </c>
      <c r="M12" s="30">
        <f>INDEX(barèmes!$D$2:$E$311,MATCH(T12,barèmes!$D$2:$D$311,0),2)</f>
        <v>702.39</v>
      </c>
      <c r="N12" s="61">
        <v>20151</v>
      </c>
      <c r="O12" s="30">
        <f>INDEX(barèmes!$D$2:$E$311,MATCH(U12,barèmes!$D$2:$D$311,0),2)</f>
        <v>315.89999999999998</v>
      </c>
      <c r="P12" s="52">
        <v>1</v>
      </c>
      <c r="Q12" s="52">
        <v>1</v>
      </c>
      <c r="R12" s="52">
        <f t="shared" ca="1" si="2"/>
        <v>2016</v>
      </c>
      <c r="S12" s="52">
        <v>0</v>
      </c>
      <c r="T12" s="59" t="s">
        <v>312</v>
      </c>
      <c r="U12" s="59" t="s">
        <v>319</v>
      </c>
      <c r="V12" s="52" t="str">
        <f t="shared" si="3"/>
        <v>2014</v>
      </c>
      <c r="W12" s="52" t="str">
        <f t="shared" si="4"/>
        <v>4</v>
      </c>
      <c r="X12" s="52">
        <f t="shared" ca="1" si="5"/>
        <v>2</v>
      </c>
      <c r="Y12" s="52" t="str">
        <f t="shared" si="6"/>
        <v>2015</v>
      </c>
      <c r="Z12" s="52" t="str">
        <f t="shared" si="7"/>
        <v>1</v>
      </c>
      <c r="AA12" s="52">
        <f t="shared" ca="1" si="8"/>
        <v>1</v>
      </c>
      <c r="AB12" s="52">
        <f t="shared" si="9"/>
        <v>5</v>
      </c>
      <c r="AC12" s="52" t="str">
        <f t="shared" si="10"/>
        <v>2</v>
      </c>
      <c r="AD12" s="52" t="str">
        <f t="shared" si="10"/>
        <v>3</v>
      </c>
      <c r="AE12" s="52" t="str">
        <f t="shared" si="11"/>
        <v>120142</v>
      </c>
      <c r="AF12" s="52" t="str">
        <f t="shared" si="12"/>
        <v>520153</v>
      </c>
      <c r="AG12" s="52" t="str">
        <f t="shared" si="13"/>
        <v>T</v>
      </c>
      <c r="AH12" s="52" t="str">
        <f t="shared" si="13"/>
        <v>T</v>
      </c>
    </row>
    <row r="13" spans="1:34" x14ac:dyDescent="0.25">
      <c r="B13" s="52">
        <v>10</v>
      </c>
      <c r="C13" s="52">
        <v>1</v>
      </c>
      <c r="D13" s="52" t="s">
        <v>91</v>
      </c>
      <c r="H13" s="54">
        <f t="shared" ca="1" si="0"/>
        <v>41640</v>
      </c>
      <c r="I13" s="52" t="s">
        <v>294</v>
      </c>
      <c r="K13" s="55">
        <f t="shared" ca="1" si="1"/>
        <v>42716</v>
      </c>
      <c r="L13" s="52">
        <v>20153</v>
      </c>
      <c r="M13" s="30">
        <f>INDEX(barèmes!$D$2:$E$311,MATCH(T13,barèmes!$D$2:$D$311,0),2)</f>
        <v>719.12</v>
      </c>
      <c r="N13" s="61">
        <v>20154</v>
      </c>
      <c r="O13" s="30">
        <f>INDEX(barèmes!$D$2:$E$311,MATCH(U13,barèmes!$D$2:$D$311,0),2)</f>
        <v>315.89999999999998</v>
      </c>
      <c r="P13" s="52">
        <v>12</v>
      </c>
      <c r="Q13" s="52">
        <v>12</v>
      </c>
      <c r="R13" s="52">
        <f t="shared" ca="1" si="2"/>
        <v>2016</v>
      </c>
      <c r="S13" s="52">
        <v>0</v>
      </c>
      <c r="T13" s="59" t="s">
        <v>304</v>
      </c>
      <c r="U13" s="59" t="s">
        <v>319</v>
      </c>
      <c r="V13" s="52" t="str">
        <f t="shared" si="3"/>
        <v>2015</v>
      </c>
      <c r="W13" s="52" t="str">
        <f t="shared" si="4"/>
        <v>3</v>
      </c>
      <c r="X13" s="52">
        <f t="shared" ca="1" si="5"/>
        <v>1</v>
      </c>
      <c r="Y13" s="52" t="str">
        <f t="shared" si="6"/>
        <v>2015</v>
      </c>
      <c r="Z13" s="52" t="str">
        <f t="shared" si="7"/>
        <v>4</v>
      </c>
      <c r="AA13" s="52">
        <f t="shared" ca="1" si="8"/>
        <v>1</v>
      </c>
      <c r="AB13" s="52">
        <f t="shared" si="9"/>
        <v>5</v>
      </c>
      <c r="AC13" s="52" t="str">
        <f t="shared" si="10"/>
        <v>3</v>
      </c>
      <c r="AD13" s="52" t="str">
        <f t="shared" si="10"/>
        <v>3</v>
      </c>
      <c r="AE13" s="52" t="str">
        <f t="shared" si="11"/>
        <v>120153</v>
      </c>
      <c r="AF13" s="52" t="str">
        <f t="shared" si="12"/>
        <v>520153</v>
      </c>
      <c r="AG13" s="52" t="str">
        <f t="shared" si="13"/>
        <v>T</v>
      </c>
      <c r="AH13" s="52" t="str">
        <f t="shared" si="13"/>
        <v>T</v>
      </c>
    </row>
    <row r="14" spans="1:34" x14ac:dyDescent="0.25">
      <c r="B14" s="52">
        <v>11</v>
      </c>
      <c r="C14" s="52">
        <v>1</v>
      </c>
      <c r="D14" s="52" t="s">
        <v>91</v>
      </c>
      <c r="H14" s="54">
        <f t="shared" ca="1" si="0"/>
        <v>41640</v>
      </c>
      <c r="I14" s="52" t="s">
        <v>294</v>
      </c>
      <c r="J14" s="52" t="s">
        <v>90</v>
      </c>
      <c r="K14" s="55">
        <f t="shared" ca="1" si="1"/>
        <v>42005</v>
      </c>
      <c r="L14" s="52">
        <v>20134</v>
      </c>
      <c r="M14" s="30">
        <f>INDEX(barèmes!$D$2:$E$311,MATCH(T14,barèmes!$D$2:$D$311,0),2)</f>
        <v>683.22</v>
      </c>
      <c r="N14" s="61">
        <v>20151</v>
      </c>
      <c r="O14" s="30">
        <f>INDEX(barèmes!$D$2:$E$311,MATCH(U14,barèmes!$D$2:$D$311,0),2)</f>
        <v>0</v>
      </c>
      <c r="P14" s="52">
        <v>1</v>
      </c>
      <c r="Q14" s="52">
        <v>1</v>
      </c>
      <c r="R14" s="52">
        <f t="shared" ca="1" si="2"/>
        <v>2016</v>
      </c>
      <c r="S14" s="52">
        <v>1</v>
      </c>
      <c r="T14" s="59" t="s">
        <v>338</v>
      </c>
      <c r="U14" s="59" t="s">
        <v>317</v>
      </c>
      <c r="V14" s="52" t="str">
        <f t="shared" si="3"/>
        <v>2013</v>
      </c>
      <c r="W14" s="52" t="str">
        <f t="shared" si="4"/>
        <v>4</v>
      </c>
      <c r="X14" s="52">
        <f t="shared" ca="1" si="5"/>
        <v>3</v>
      </c>
      <c r="Y14" s="52" t="str">
        <f t="shared" si="6"/>
        <v>2015</v>
      </c>
      <c r="Z14" s="52" t="str">
        <f t="shared" si="7"/>
        <v>1</v>
      </c>
      <c r="AA14" s="52">
        <f t="shared" ca="1" si="8"/>
        <v>1</v>
      </c>
      <c r="AB14" s="52">
        <f t="shared" si="9"/>
        <v>5</v>
      </c>
      <c r="AC14" s="52" t="str">
        <f t="shared" si="10"/>
        <v>1</v>
      </c>
      <c r="AD14" s="52" t="str">
        <f t="shared" si="10"/>
        <v>9</v>
      </c>
      <c r="AE14" s="52" t="str">
        <f t="shared" si="11"/>
        <v>120131</v>
      </c>
      <c r="AF14" s="52" t="str">
        <f t="shared" si="12"/>
        <v>999999</v>
      </c>
      <c r="AG14" s="52" t="str">
        <f t="shared" si="13"/>
        <v>T</v>
      </c>
      <c r="AH14" s="52" t="str">
        <f t="shared" si="13"/>
        <v>T</v>
      </c>
    </row>
    <row r="15" spans="1:34" x14ac:dyDescent="0.25">
      <c r="B15" s="52">
        <v>12</v>
      </c>
      <c r="C15" s="52">
        <v>1</v>
      </c>
      <c r="D15" s="52" t="s">
        <v>91</v>
      </c>
      <c r="H15" s="54">
        <f t="shared" ca="1" si="0"/>
        <v>41640</v>
      </c>
      <c r="I15" s="52" t="s">
        <v>294</v>
      </c>
      <c r="J15" s="52" t="s">
        <v>90</v>
      </c>
      <c r="K15" s="55">
        <f t="shared" ca="1" si="1"/>
        <v>42186</v>
      </c>
      <c r="L15" s="52">
        <v>20142</v>
      </c>
      <c r="M15" s="30">
        <f>INDEX(barèmes!$D$2:$E$311,MATCH(T15,barèmes!$D$2:$D$311,0),2)</f>
        <v>702.39</v>
      </c>
      <c r="N15" s="61">
        <v>20151</v>
      </c>
      <c r="O15" s="30">
        <v>0</v>
      </c>
      <c r="P15" s="52">
        <v>1</v>
      </c>
      <c r="Q15" s="52">
        <v>7</v>
      </c>
      <c r="R15" s="52">
        <f t="shared" ca="1" si="2"/>
        <v>2016</v>
      </c>
      <c r="S15" s="52">
        <v>1</v>
      </c>
      <c r="T15" s="59" t="s">
        <v>312</v>
      </c>
      <c r="U15" s="59" t="s">
        <v>317</v>
      </c>
      <c r="V15" s="52" t="str">
        <f t="shared" si="3"/>
        <v>2014</v>
      </c>
      <c r="W15" s="52" t="str">
        <f t="shared" si="4"/>
        <v>2</v>
      </c>
      <c r="X15" s="52">
        <f t="shared" ca="1" si="5"/>
        <v>2</v>
      </c>
      <c r="Y15" s="52" t="str">
        <f t="shared" si="6"/>
        <v>2015</v>
      </c>
      <c r="Z15" s="52" t="str">
        <f t="shared" si="7"/>
        <v>1</v>
      </c>
      <c r="AA15" s="52">
        <f t="shared" ca="1" si="8"/>
        <v>1</v>
      </c>
      <c r="AB15" s="52">
        <f t="shared" si="9"/>
        <v>5</v>
      </c>
      <c r="AC15" s="52" t="str">
        <f t="shared" si="10"/>
        <v>2</v>
      </c>
      <c r="AD15" s="52" t="str">
        <f t="shared" si="10"/>
        <v>9</v>
      </c>
      <c r="AE15" s="52" t="str">
        <f t="shared" si="11"/>
        <v>120142</v>
      </c>
      <c r="AF15" s="52" t="str">
        <f t="shared" si="12"/>
        <v>999999</v>
      </c>
      <c r="AG15" s="52" t="str">
        <f t="shared" si="13"/>
        <v>T</v>
      </c>
      <c r="AH15" s="52" t="str">
        <f t="shared" si="13"/>
        <v>T</v>
      </c>
    </row>
    <row r="16" spans="1:34" x14ac:dyDescent="0.25">
      <c r="B16" s="52">
        <v>13</v>
      </c>
      <c r="C16" s="52">
        <v>1</v>
      </c>
      <c r="D16" s="52" t="s">
        <v>91</v>
      </c>
      <c r="H16" s="54">
        <f t="shared" ca="1" si="0"/>
        <v>41640</v>
      </c>
      <c r="I16" s="52" t="s">
        <v>294</v>
      </c>
      <c r="J16" s="52" t="s">
        <v>90</v>
      </c>
      <c r="K16" s="55">
        <f t="shared" ca="1" si="1"/>
        <v>42370</v>
      </c>
      <c r="L16" s="52">
        <v>20144</v>
      </c>
      <c r="M16" s="30">
        <f>INDEX(barèmes!$D$2:$E$311,MATCH(T16,barèmes!$D$2:$D$311,0),2)</f>
        <v>702.39</v>
      </c>
      <c r="N16" s="61">
        <v>20151</v>
      </c>
      <c r="O16" s="30">
        <f>INDEX(barèmes!$D$2:$E$311,MATCH(U16,barèmes!$D$2:$D$311,0),2)</f>
        <v>0</v>
      </c>
      <c r="P16" s="52">
        <v>1</v>
      </c>
      <c r="Q16" s="52">
        <v>1</v>
      </c>
      <c r="R16" s="52">
        <f t="shared" ca="1" si="2"/>
        <v>2016</v>
      </c>
      <c r="S16" s="52">
        <v>0</v>
      </c>
      <c r="T16" s="59" t="s">
        <v>312</v>
      </c>
      <c r="U16" s="59" t="s">
        <v>317</v>
      </c>
      <c r="V16" s="52" t="str">
        <f t="shared" si="3"/>
        <v>2014</v>
      </c>
      <c r="W16" s="52" t="str">
        <f t="shared" si="4"/>
        <v>4</v>
      </c>
      <c r="X16" s="52">
        <f t="shared" ca="1" si="5"/>
        <v>2</v>
      </c>
      <c r="Y16" s="52" t="str">
        <f t="shared" si="6"/>
        <v>2015</v>
      </c>
      <c r="Z16" s="52" t="str">
        <f t="shared" si="7"/>
        <v>1</v>
      </c>
      <c r="AA16" s="52">
        <f t="shared" ca="1" si="8"/>
        <v>1</v>
      </c>
      <c r="AB16" s="52">
        <f t="shared" si="9"/>
        <v>5</v>
      </c>
      <c r="AC16" s="52" t="str">
        <f t="shared" si="10"/>
        <v>2</v>
      </c>
      <c r="AD16" s="52" t="str">
        <f t="shared" si="10"/>
        <v>9</v>
      </c>
      <c r="AE16" s="52" t="str">
        <f t="shared" si="11"/>
        <v>120142</v>
      </c>
      <c r="AF16" s="52" t="str">
        <f t="shared" si="12"/>
        <v>999999</v>
      </c>
      <c r="AG16" s="52" t="str">
        <f t="shared" si="13"/>
        <v>T</v>
      </c>
      <c r="AH16" s="52" t="str">
        <f t="shared" si="13"/>
        <v>T</v>
      </c>
    </row>
    <row r="17" spans="2:34" x14ac:dyDescent="0.25">
      <c r="B17" s="52">
        <v>14</v>
      </c>
      <c r="C17" s="52">
        <v>1</v>
      </c>
      <c r="D17" s="52" t="s">
        <v>91</v>
      </c>
      <c r="H17" s="54">
        <f t="shared" ca="1" si="0"/>
        <v>41640</v>
      </c>
      <c r="I17" s="52" t="s">
        <v>294</v>
      </c>
      <c r="J17" s="52" t="s">
        <v>90</v>
      </c>
      <c r="K17" s="55">
        <f t="shared" ca="1" si="1"/>
        <v>42716</v>
      </c>
      <c r="L17" s="52">
        <v>20153</v>
      </c>
      <c r="M17" s="30">
        <f>INDEX(barèmes!$D$2:$E$311,MATCH(T17,barèmes!$D$2:$D$311,0),2)</f>
        <v>719.12</v>
      </c>
      <c r="N17" s="61">
        <v>20154</v>
      </c>
      <c r="O17" s="30">
        <f>INDEX(barèmes!$D$2:$E$311,MATCH(U17,barèmes!$D$2:$D$311,0),2)</f>
        <v>0</v>
      </c>
      <c r="P17" s="52">
        <v>12</v>
      </c>
      <c r="Q17" s="52">
        <v>12</v>
      </c>
      <c r="R17" s="52">
        <f t="shared" ca="1" si="2"/>
        <v>2016</v>
      </c>
      <c r="S17" s="52">
        <v>0</v>
      </c>
      <c r="T17" s="59" t="s">
        <v>304</v>
      </c>
      <c r="U17" s="59" t="s">
        <v>317</v>
      </c>
      <c r="V17" s="52" t="str">
        <f t="shared" si="3"/>
        <v>2015</v>
      </c>
      <c r="W17" s="52" t="str">
        <f t="shared" si="4"/>
        <v>3</v>
      </c>
      <c r="X17" s="52">
        <f t="shared" ca="1" si="5"/>
        <v>1</v>
      </c>
      <c r="Y17" s="52" t="str">
        <f t="shared" si="6"/>
        <v>2015</v>
      </c>
      <c r="Z17" s="52" t="str">
        <f t="shared" si="7"/>
        <v>4</v>
      </c>
      <c r="AA17" s="52">
        <f t="shared" ca="1" si="8"/>
        <v>1</v>
      </c>
      <c r="AB17" s="52">
        <f t="shared" si="9"/>
        <v>5</v>
      </c>
      <c r="AC17" s="52" t="str">
        <f t="shared" si="10"/>
        <v>3</v>
      </c>
      <c r="AD17" s="52" t="str">
        <f t="shared" si="10"/>
        <v>9</v>
      </c>
      <c r="AE17" s="52" t="str">
        <f t="shared" si="11"/>
        <v>120153</v>
      </c>
      <c r="AF17" s="52" t="str">
        <f t="shared" si="12"/>
        <v>999999</v>
      </c>
      <c r="AG17" s="52" t="str">
        <f t="shared" si="13"/>
        <v>T</v>
      </c>
      <c r="AH17" s="52" t="str">
        <f t="shared" si="13"/>
        <v>T</v>
      </c>
    </row>
    <row r="18" spans="2:34" x14ac:dyDescent="0.25">
      <c r="B18" s="52">
        <v>15</v>
      </c>
      <c r="C18" s="52">
        <v>1</v>
      </c>
      <c r="D18" s="52" t="s">
        <v>91</v>
      </c>
      <c r="E18" s="52" t="s">
        <v>90</v>
      </c>
      <c r="H18" s="54">
        <f t="shared" ca="1" si="0"/>
        <v>41640</v>
      </c>
      <c r="I18" s="52" t="s">
        <v>293</v>
      </c>
      <c r="K18" s="55">
        <f t="shared" ca="1" si="1"/>
        <v>42005</v>
      </c>
      <c r="L18" s="52">
        <v>20141</v>
      </c>
      <c r="M18" s="30">
        <f>INDEX(barèmes!$D$2:$E$311,MATCH(T18,barèmes!$D$2:$D$311,0),2)</f>
        <v>0</v>
      </c>
      <c r="N18" s="61">
        <v>20151</v>
      </c>
      <c r="O18" s="30">
        <f>INDEX(barèmes!$D$2:$E$311,MATCH(U18,barèmes!$D$2:$D$311,0),2)</f>
        <v>77.7</v>
      </c>
      <c r="P18" s="52">
        <v>1</v>
      </c>
      <c r="Q18" s="52">
        <v>1</v>
      </c>
      <c r="R18" s="52">
        <f t="shared" ca="1" si="2"/>
        <v>2016</v>
      </c>
      <c r="S18" s="52">
        <v>1</v>
      </c>
      <c r="T18" s="59" t="s">
        <v>317</v>
      </c>
      <c r="U18" s="59" t="s">
        <v>315</v>
      </c>
      <c r="V18" s="52" t="str">
        <f t="shared" si="3"/>
        <v>2014</v>
      </c>
      <c r="W18" s="52" t="str">
        <f t="shared" si="4"/>
        <v>1</v>
      </c>
      <c r="X18" s="52">
        <f t="shared" ca="1" si="5"/>
        <v>2</v>
      </c>
      <c r="Y18" s="52" t="str">
        <f t="shared" si="6"/>
        <v>2015</v>
      </c>
      <c r="Z18" s="52" t="str">
        <f t="shared" si="7"/>
        <v>1</v>
      </c>
      <c r="AA18" s="52">
        <f t="shared" ca="1" si="8"/>
        <v>1</v>
      </c>
      <c r="AB18" s="52">
        <f t="shared" si="9"/>
        <v>4</v>
      </c>
      <c r="AC18" s="52" t="str">
        <f t="shared" si="10"/>
        <v>9</v>
      </c>
      <c r="AD18" s="52" t="str">
        <f t="shared" si="10"/>
        <v>2</v>
      </c>
      <c r="AE18" s="52" t="str">
        <f t="shared" si="11"/>
        <v>999999</v>
      </c>
      <c r="AF18" s="52" t="str">
        <f t="shared" si="12"/>
        <v>420152</v>
      </c>
      <c r="AG18" s="52" t="str">
        <f t="shared" si="13"/>
        <v>T</v>
      </c>
      <c r="AH18" s="52" t="str">
        <f t="shared" si="13"/>
        <v>T</v>
      </c>
    </row>
    <row r="19" spans="2:34" x14ac:dyDescent="0.25">
      <c r="B19" s="52">
        <v>16</v>
      </c>
      <c r="C19" s="52">
        <v>1</v>
      </c>
      <c r="D19" s="52" t="s">
        <v>91</v>
      </c>
      <c r="E19" s="52" t="s">
        <v>90</v>
      </c>
      <c r="H19" s="54">
        <f t="shared" ca="1" si="0"/>
        <v>41640</v>
      </c>
      <c r="I19" s="52" t="s">
        <v>293</v>
      </c>
      <c r="K19" s="55">
        <f t="shared" ca="1" si="1"/>
        <v>42186</v>
      </c>
      <c r="L19" s="52">
        <v>20142</v>
      </c>
      <c r="M19" s="30">
        <f>INDEX(barèmes!$D$2:$E$311,MATCH(T19,barèmes!$D$2:$D$311,0),2)</f>
        <v>0</v>
      </c>
      <c r="N19" s="61">
        <v>20151</v>
      </c>
      <c r="O19" s="30">
        <f>INDEX(barèmes!$D$2:$E$311,MATCH(U19,barèmes!$D$2:$D$311,0),2)</f>
        <v>75.849999999999994</v>
      </c>
      <c r="P19" s="52">
        <v>1</v>
      </c>
      <c r="Q19" s="52">
        <v>7</v>
      </c>
      <c r="R19" s="52">
        <f t="shared" ca="1" si="2"/>
        <v>2016</v>
      </c>
      <c r="S19" s="52">
        <v>1</v>
      </c>
      <c r="T19" s="59" t="s">
        <v>317</v>
      </c>
      <c r="U19" s="59" t="s">
        <v>313</v>
      </c>
      <c r="V19" s="52" t="str">
        <f t="shared" si="3"/>
        <v>2014</v>
      </c>
      <c r="W19" s="52" t="str">
        <f t="shared" si="4"/>
        <v>2</v>
      </c>
      <c r="X19" s="52">
        <f t="shared" ca="1" si="5"/>
        <v>2</v>
      </c>
      <c r="Y19" s="52" t="str">
        <f t="shared" si="6"/>
        <v>2015</v>
      </c>
      <c r="Z19" s="52" t="str">
        <f t="shared" si="7"/>
        <v>1</v>
      </c>
      <c r="AA19" s="52">
        <f t="shared" ca="1" si="8"/>
        <v>1</v>
      </c>
      <c r="AB19" s="52">
        <f t="shared" si="9"/>
        <v>4</v>
      </c>
      <c r="AC19" s="52" t="str">
        <f t="shared" si="10"/>
        <v>9</v>
      </c>
      <c r="AD19" s="52" t="str">
        <f t="shared" si="10"/>
        <v>1</v>
      </c>
      <c r="AE19" s="52" t="str">
        <f t="shared" si="11"/>
        <v>999999</v>
      </c>
      <c r="AF19" s="52" t="str">
        <f t="shared" si="12"/>
        <v>420151</v>
      </c>
      <c r="AG19" s="52" t="str">
        <f t="shared" si="13"/>
        <v>T</v>
      </c>
      <c r="AH19" s="52" t="str">
        <f t="shared" si="13"/>
        <v>T</v>
      </c>
    </row>
    <row r="20" spans="2:34" x14ac:dyDescent="0.25">
      <c r="B20" s="52">
        <v>17</v>
      </c>
      <c r="C20" s="52">
        <v>1</v>
      </c>
      <c r="D20" s="52" t="s">
        <v>91</v>
      </c>
      <c r="E20" s="52" t="s">
        <v>90</v>
      </c>
      <c r="H20" s="54">
        <f t="shared" ca="1" si="0"/>
        <v>41640</v>
      </c>
      <c r="I20" s="52" t="s">
        <v>293</v>
      </c>
      <c r="K20" s="55">
        <f t="shared" ca="1" si="1"/>
        <v>42370</v>
      </c>
      <c r="L20" s="52">
        <v>20144</v>
      </c>
      <c r="M20" s="30">
        <f>INDEX(barèmes!$D$2:$E$311,MATCH(T20,barèmes!$D$2:$D$311,0),2)</f>
        <v>0</v>
      </c>
      <c r="N20" s="61">
        <v>20151</v>
      </c>
      <c r="O20" s="30">
        <f>INDEX(barèmes!$D$2:$E$311,MATCH(U20,barèmes!$D$2:$D$311,0),2)</f>
        <v>79.55</v>
      </c>
      <c r="P20" s="52">
        <v>1</v>
      </c>
      <c r="Q20" s="52">
        <v>1</v>
      </c>
      <c r="R20" s="52">
        <f t="shared" ca="1" si="2"/>
        <v>2016</v>
      </c>
      <c r="S20" s="52">
        <v>0</v>
      </c>
      <c r="T20" s="59" t="s">
        <v>317</v>
      </c>
      <c r="U20" s="59" t="s">
        <v>316</v>
      </c>
      <c r="V20" s="52" t="str">
        <f t="shared" si="3"/>
        <v>2014</v>
      </c>
      <c r="W20" s="52" t="str">
        <f t="shared" si="4"/>
        <v>4</v>
      </c>
      <c r="X20" s="52">
        <f t="shared" ca="1" si="5"/>
        <v>2</v>
      </c>
      <c r="Y20" s="52" t="str">
        <f t="shared" si="6"/>
        <v>2015</v>
      </c>
      <c r="Z20" s="52" t="str">
        <f t="shared" si="7"/>
        <v>1</v>
      </c>
      <c r="AA20" s="52">
        <f t="shared" ca="1" si="8"/>
        <v>1</v>
      </c>
      <c r="AB20" s="52">
        <f t="shared" si="9"/>
        <v>4</v>
      </c>
      <c r="AC20" s="52" t="str">
        <f t="shared" si="10"/>
        <v>9</v>
      </c>
      <c r="AD20" s="52" t="str">
        <f t="shared" si="10"/>
        <v>3</v>
      </c>
      <c r="AE20" s="52" t="str">
        <f t="shared" si="11"/>
        <v>999999</v>
      </c>
      <c r="AF20" s="52" t="str">
        <f t="shared" si="12"/>
        <v>420153</v>
      </c>
      <c r="AG20" s="52" t="str">
        <f t="shared" si="13"/>
        <v>T</v>
      </c>
      <c r="AH20" s="52" t="str">
        <f t="shared" si="13"/>
        <v>T</v>
      </c>
    </row>
    <row r="21" spans="2:34" x14ac:dyDescent="0.25">
      <c r="B21" s="52">
        <v>18</v>
      </c>
      <c r="C21" s="52">
        <v>1</v>
      </c>
      <c r="D21" s="52" t="s">
        <v>91</v>
      </c>
      <c r="E21" s="52" t="s">
        <v>90</v>
      </c>
      <c r="H21" s="54">
        <f t="shared" ca="1" si="0"/>
        <v>41640</v>
      </c>
      <c r="I21" s="52" t="s">
        <v>293</v>
      </c>
      <c r="J21" s="52" t="s">
        <v>90</v>
      </c>
      <c r="K21" s="55">
        <f t="shared" ca="1" si="1"/>
        <v>42005</v>
      </c>
      <c r="L21" s="52">
        <v>20134</v>
      </c>
      <c r="M21" s="30">
        <f>INDEX(barèmes!$D$2:$E$311,MATCH(T21,barèmes!$D$2:$D$311,0),2)</f>
        <v>0</v>
      </c>
      <c r="N21" s="61">
        <v>20141</v>
      </c>
      <c r="O21" s="30">
        <f>INDEX(barèmes!$D$2:$E$311,MATCH(U21,barèmes!$D$2:$D$311,0),2)</f>
        <v>0</v>
      </c>
      <c r="P21" s="52">
        <v>1</v>
      </c>
      <c r="Q21" s="52">
        <v>1</v>
      </c>
      <c r="R21" s="52">
        <f t="shared" ca="1" si="2"/>
        <v>2016</v>
      </c>
      <c r="S21" s="52">
        <v>1</v>
      </c>
      <c r="T21" s="59" t="s">
        <v>317</v>
      </c>
      <c r="U21" s="59" t="s">
        <v>317</v>
      </c>
      <c r="V21" s="52" t="str">
        <f t="shared" si="3"/>
        <v>2013</v>
      </c>
      <c r="W21" s="52" t="str">
        <f t="shared" si="4"/>
        <v>4</v>
      </c>
      <c r="X21" s="52">
        <f t="shared" ca="1" si="5"/>
        <v>3</v>
      </c>
      <c r="Y21" s="52" t="str">
        <f t="shared" si="6"/>
        <v>2014</v>
      </c>
      <c r="Z21" s="52" t="str">
        <f t="shared" si="7"/>
        <v>1</v>
      </c>
      <c r="AA21" s="52">
        <f t="shared" ca="1" si="8"/>
        <v>2</v>
      </c>
      <c r="AB21" s="52">
        <f t="shared" si="9"/>
        <v>4</v>
      </c>
      <c r="AC21" s="52" t="str">
        <f t="shared" si="10"/>
        <v>9</v>
      </c>
      <c r="AD21" s="52" t="str">
        <f t="shared" si="10"/>
        <v>9</v>
      </c>
      <c r="AE21" s="52" t="str">
        <f t="shared" si="11"/>
        <v>999999</v>
      </c>
      <c r="AF21" s="52" t="str">
        <f t="shared" si="12"/>
        <v>999999</v>
      </c>
      <c r="AG21" s="52" t="str">
        <f t="shared" si="13"/>
        <v>T</v>
      </c>
      <c r="AH21" s="52" t="str">
        <f t="shared" si="13"/>
        <v>T</v>
      </c>
    </row>
    <row r="22" spans="2:34" x14ac:dyDescent="0.25">
      <c r="B22" s="52">
        <v>19</v>
      </c>
      <c r="C22" s="52">
        <v>1</v>
      </c>
      <c r="D22" s="52" t="s">
        <v>91</v>
      </c>
      <c r="E22" s="52" t="s">
        <v>90</v>
      </c>
      <c r="H22" s="54">
        <f t="shared" ca="1" si="0"/>
        <v>41640</v>
      </c>
      <c r="I22" s="52" t="s">
        <v>293</v>
      </c>
      <c r="J22" s="52" t="s">
        <v>90</v>
      </c>
      <c r="K22" s="55">
        <f t="shared" ca="1" si="1"/>
        <v>42186</v>
      </c>
      <c r="L22" s="52">
        <v>20142</v>
      </c>
      <c r="M22" s="30">
        <f>INDEX(barèmes!$D$2:$E$311,MATCH(T22,barèmes!$D$2:$D$311,0),2)</f>
        <v>0</v>
      </c>
      <c r="N22" s="61">
        <v>20151</v>
      </c>
      <c r="O22" s="30">
        <f>INDEX(barèmes!$D$2:$E$311,MATCH(U22,barèmes!$D$2:$D$311,0),2)</f>
        <v>0</v>
      </c>
      <c r="P22" s="52">
        <v>1</v>
      </c>
      <c r="Q22" s="52">
        <v>7</v>
      </c>
      <c r="R22" s="52">
        <f t="shared" ca="1" si="2"/>
        <v>2016</v>
      </c>
      <c r="S22" s="52">
        <v>1</v>
      </c>
      <c r="T22" s="59" t="s">
        <v>317</v>
      </c>
      <c r="U22" s="59" t="s">
        <v>317</v>
      </c>
      <c r="V22" s="52" t="str">
        <f t="shared" si="3"/>
        <v>2014</v>
      </c>
      <c r="W22" s="52" t="str">
        <f t="shared" si="4"/>
        <v>2</v>
      </c>
      <c r="X22" s="52">
        <f t="shared" ca="1" si="5"/>
        <v>2</v>
      </c>
      <c r="Y22" s="52" t="str">
        <f t="shared" si="6"/>
        <v>2015</v>
      </c>
      <c r="Z22" s="52" t="str">
        <f t="shared" si="7"/>
        <v>1</v>
      </c>
      <c r="AA22" s="52">
        <f t="shared" ca="1" si="8"/>
        <v>1</v>
      </c>
      <c r="AB22" s="52">
        <f t="shared" si="9"/>
        <v>4</v>
      </c>
      <c r="AC22" s="52" t="str">
        <f t="shared" si="10"/>
        <v>9</v>
      </c>
      <c r="AD22" s="52" t="str">
        <f t="shared" si="10"/>
        <v>9</v>
      </c>
      <c r="AE22" s="52" t="str">
        <f t="shared" si="11"/>
        <v>999999</v>
      </c>
      <c r="AF22" s="52" t="str">
        <f t="shared" si="12"/>
        <v>999999</v>
      </c>
      <c r="AG22" s="52" t="str">
        <f t="shared" si="13"/>
        <v>T</v>
      </c>
      <c r="AH22" s="52" t="str">
        <f t="shared" si="13"/>
        <v>T</v>
      </c>
    </row>
    <row r="23" spans="2:34" x14ac:dyDescent="0.25">
      <c r="B23" s="52">
        <v>20</v>
      </c>
      <c r="C23" s="52">
        <v>1</v>
      </c>
      <c r="D23" s="52" t="s">
        <v>91</v>
      </c>
      <c r="E23" s="52" t="s">
        <v>90</v>
      </c>
      <c r="H23" s="54">
        <f t="shared" ca="1" si="0"/>
        <v>41640</v>
      </c>
      <c r="I23" s="52" t="s">
        <v>293</v>
      </c>
      <c r="J23" s="52" t="s">
        <v>90</v>
      </c>
      <c r="K23" s="55">
        <f t="shared" ca="1" si="1"/>
        <v>42370</v>
      </c>
      <c r="L23" s="52">
        <v>20144</v>
      </c>
      <c r="M23" s="30">
        <f>INDEX(barèmes!$D$2:$E$311,MATCH(T23,barèmes!$D$2:$D$311,0),2)</f>
        <v>0</v>
      </c>
      <c r="N23" s="61">
        <v>20151</v>
      </c>
      <c r="O23" s="30">
        <f>INDEX(barèmes!$D$2:$E$311,MATCH(U23,barèmes!$D$2:$D$311,0),2)</f>
        <v>0</v>
      </c>
      <c r="P23" s="52">
        <v>1</v>
      </c>
      <c r="Q23" s="52">
        <v>1</v>
      </c>
      <c r="R23" s="52">
        <f t="shared" ca="1" si="2"/>
        <v>2016</v>
      </c>
      <c r="S23" s="52">
        <v>0</v>
      </c>
      <c r="T23" s="59" t="s">
        <v>317</v>
      </c>
      <c r="U23" s="59" t="s">
        <v>317</v>
      </c>
      <c r="V23" s="52" t="str">
        <f t="shared" si="3"/>
        <v>2014</v>
      </c>
      <c r="W23" s="52" t="str">
        <f t="shared" si="4"/>
        <v>4</v>
      </c>
      <c r="X23" s="52">
        <f t="shared" ca="1" si="5"/>
        <v>2</v>
      </c>
      <c r="Y23" s="52" t="str">
        <f t="shared" si="6"/>
        <v>2015</v>
      </c>
      <c r="Z23" s="52" t="str">
        <f t="shared" si="7"/>
        <v>1</v>
      </c>
      <c r="AA23" s="52">
        <f t="shared" ca="1" si="8"/>
        <v>1</v>
      </c>
      <c r="AB23" s="52">
        <f t="shared" si="9"/>
        <v>4</v>
      </c>
      <c r="AC23" s="52" t="str">
        <f t="shared" si="10"/>
        <v>9</v>
      </c>
      <c r="AD23" s="52" t="str">
        <f t="shared" si="10"/>
        <v>9</v>
      </c>
      <c r="AE23" s="52" t="str">
        <f t="shared" si="11"/>
        <v>999999</v>
      </c>
      <c r="AF23" s="52" t="str">
        <f t="shared" si="12"/>
        <v>999999</v>
      </c>
      <c r="AG23" s="52" t="str">
        <f t="shared" si="13"/>
        <v>T</v>
      </c>
      <c r="AH23" s="52" t="str">
        <f t="shared" si="13"/>
        <v>T</v>
      </c>
    </row>
    <row r="24" spans="2:34" x14ac:dyDescent="0.25">
      <c r="B24" s="52">
        <v>21</v>
      </c>
      <c r="C24" s="52">
        <v>1</v>
      </c>
      <c r="D24" s="52" t="s">
        <v>91</v>
      </c>
      <c r="E24" s="52" t="s">
        <v>90</v>
      </c>
      <c r="H24" s="54">
        <f t="shared" ca="1" si="0"/>
        <v>41640</v>
      </c>
      <c r="I24" s="52" t="s">
        <v>294</v>
      </c>
      <c r="K24" s="55">
        <f t="shared" ca="1" si="1"/>
        <v>42005</v>
      </c>
      <c r="L24" s="52">
        <v>20141</v>
      </c>
      <c r="M24" s="30">
        <f>INDEX(barèmes!$D$2:$E$311,MATCH(T24,barèmes!$D$2:$D$311,0),2)</f>
        <v>0</v>
      </c>
      <c r="N24" s="61">
        <v>20151</v>
      </c>
      <c r="O24" s="30">
        <f>INDEX(barèmes!$D$2:$E$311,MATCH(U24,barèmes!$D$2:$D$311,0),2)</f>
        <v>308.55</v>
      </c>
      <c r="P24" s="52">
        <v>1</v>
      </c>
      <c r="Q24" s="52">
        <v>1</v>
      </c>
      <c r="R24" s="52">
        <f t="shared" ca="1" si="2"/>
        <v>2016</v>
      </c>
      <c r="S24" s="52">
        <v>1</v>
      </c>
      <c r="T24" s="59" t="s">
        <v>317</v>
      </c>
      <c r="U24" s="59" t="s">
        <v>321</v>
      </c>
      <c r="V24" s="52" t="str">
        <f t="shared" si="3"/>
        <v>2014</v>
      </c>
      <c r="W24" s="52" t="str">
        <f t="shared" si="4"/>
        <v>1</v>
      </c>
      <c r="X24" s="52">
        <f t="shared" ca="1" si="5"/>
        <v>2</v>
      </c>
      <c r="Y24" s="52" t="str">
        <f t="shared" si="6"/>
        <v>2015</v>
      </c>
      <c r="Z24" s="52" t="str">
        <f t="shared" si="7"/>
        <v>1</v>
      </c>
      <c r="AA24" s="52">
        <f t="shared" ca="1" si="8"/>
        <v>1</v>
      </c>
      <c r="AB24" s="52">
        <f t="shared" si="9"/>
        <v>5</v>
      </c>
      <c r="AC24" s="52" t="str">
        <f t="shared" si="10"/>
        <v>9</v>
      </c>
      <c r="AD24" s="52" t="str">
        <f t="shared" si="10"/>
        <v>2</v>
      </c>
      <c r="AE24" s="52" t="str">
        <f t="shared" si="11"/>
        <v>999999</v>
      </c>
      <c r="AF24" s="52" t="str">
        <f t="shared" si="12"/>
        <v>520152</v>
      </c>
      <c r="AG24" s="52" t="str">
        <f t="shared" si="13"/>
        <v>T</v>
      </c>
      <c r="AH24" s="52" t="str">
        <f t="shared" si="13"/>
        <v>T</v>
      </c>
    </row>
    <row r="25" spans="2:34" x14ac:dyDescent="0.25">
      <c r="B25" s="52">
        <v>22</v>
      </c>
      <c r="C25" s="52">
        <v>1</v>
      </c>
      <c r="D25" s="52" t="s">
        <v>91</v>
      </c>
      <c r="E25" s="52" t="s">
        <v>90</v>
      </c>
      <c r="H25" s="54">
        <f t="shared" ca="1" si="0"/>
        <v>41640</v>
      </c>
      <c r="I25" s="52" t="s">
        <v>294</v>
      </c>
      <c r="K25" s="55">
        <f t="shared" ca="1" si="1"/>
        <v>42186</v>
      </c>
      <c r="L25" s="52">
        <v>20142</v>
      </c>
      <c r="M25" s="30">
        <f>INDEX(barèmes!$D$2:$E$311,MATCH(T25,barèmes!$D$2:$D$311,0),2)</f>
        <v>0</v>
      </c>
      <c r="N25" s="61">
        <v>20151</v>
      </c>
      <c r="O25" s="30">
        <f>INDEX(barèmes!$D$2:$E$311,MATCH(U25,barèmes!$D$2:$D$311,0),2)</f>
        <v>301.22000000000003</v>
      </c>
      <c r="P25" s="52">
        <v>1</v>
      </c>
      <c r="Q25" s="52">
        <v>7</v>
      </c>
      <c r="R25" s="52">
        <f t="shared" ca="1" si="2"/>
        <v>2016</v>
      </c>
      <c r="S25" s="52">
        <v>1</v>
      </c>
      <c r="T25" s="59" t="s">
        <v>317</v>
      </c>
      <c r="U25" s="59" t="s">
        <v>318</v>
      </c>
      <c r="V25" s="52" t="str">
        <f t="shared" si="3"/>
        <v>2014</v>
      </c>
      <c r="W25" s="52" t="str">
        <f t="shared" si="4"/>
        <v>2</v>
      </c>
      <c r="X25" s="52">
        <f t="shared" ca="1" si="5"/>
        <v>2</v>
      </c>
      <c r="Y25" s="52" t="str">
        <f t="shared" si="6"/>
        <v>2015</v>
      </c>
      <c r="Z25" s="52" t="str">
        <f t="shared" si="7"/>
        <v>1</v>
      </c>
      <c r="AA25" s="52">
        <f t="shared" ca="1" si="8"/>
        <v>1</v>
      </c>
      <c r="AB25" s="52">
        <f t="shared" si="9"/>
        <v>5</v>
      </c>
      <c r="AC25" s="52" t="str">
        <f t="shared" si="10"/>
        <v>9</v>
      </c>
      <c r="AD25" s="52" t="str">
        <f t="shared" si="10"/>
        <v>1</v>
      </c>
      <c r="AE25" s="52" t="str">
        <f t="shared" si="11"/>
        <v>999999</v>
      </c>
      <c r="AF25" s="52" t="str">
        <f t="shared" si="12"/>
        <v>520151</v>
      </c>
      <c r="AG25" s="52" t="str">
        <f t="shared" si="13"/>
        <v>T</v>
      </c>
      <c r="AH25" s="52" t="str">
        <f t="shared" si="13"/>
        <v>T</v>
      </c>
    </row>
    <row r="26" spans="2:34" x14ac:dyDescent="0.25">
      <c r="B26" s="52">
        <v>23</v>
      </c>
      <c r="C26" s="52">
        <v>1</v>
      </c>
      <c r="D26" s="52" t="s">
        <v>91</v>
      </c>
      <c r="E26" s="52" t="s">
        <v>90</v>
      </c>
      <c r="H26" s="54">
        <f t="shared" ca="1" si="0"/>
        <v>41640</v>
      </c>
      <c r="I26" s="52" t="s">
        <v>294</v>
      </c>
      <c r="K26" s="55">
        <f t="shared" ca="1" si="1"/>
        <v>42370</v>
      </c>
      <c r="L26" s="52">
        <v>20144</v>
      </c>
      <c r="M26" s="30">
        <f>INDEX(barèmes!$D$2:$E$311,MATCH(T26,barèmes!$D$2:$D$311,0),2)</f>
        <v>0</v>
      </c>
      <c r="N26" s="61">
        <v>20151</v>
      </c>
      <c r="O26" s="30">
        <f>INDEX(barèmes!$D$2:$E$311,MATCH(U26,barèmes!$D$2:$D$311,0),2)</f>
        <v>315.89999999999998</v>
      </c>
      <c r="P26" s="52">
        <v>1</v>
      </c>
      <c r="Q26" s="52">
        <v>1</v>
      </c>
      <c r="R26" s="52">
        <f t="shared" ca="1" si="2"/>
        <v>2016</v>
      </c>
      <c r="S26" s="52">
        <v>0</v>
      </c>
      <c r="T26" s="59" t="s">
        <v>317</v>
      </c>
      <c r="U26" s="59" t="s">
        <v>319</v>
      </c>
      <c r="V26" s="52" t="str">
        <f t="shared" si="3"/>
        <v>2014</v>
      </c>
      <c r="W26" s="52" t="str">
        <f t="shared" si="4"/>
        <v>4</v>
      </c>
      <c r="X26" s="52">
        <f t="shared" ca="1" si="5"/>
        <v>2</v>
      </c>
      <c r="Y26" s="52" t="str">
        <f t="shared" si="6"/>
        <v>2015</v>
      </c>
      <c r="Z26" s="52" t="str">
        <f t="shared" si="7"/>
        <v>1</v>
      </c>
      <c r="AA26" s="52">
        <f t="shared" ca="1" si="8"/>
        <v>1</v>
      </c>
      <c r="AB26" s="52">
        <f t="shared" si="9"/>
        <v>5</v>
      </c>
      <c r="AC26" s="52" t="str">
        <f t="shared" si="10"/>
        <v>9</v>
      </c>
      <c r="AD26" s="52" t="str">
        <f t="shared" si="10"/>
        <v>3</v>
      </c>
      <c r="AE26" s="52" t="str">
        <f t="shared" si="11"/>
        <v>999999</v>
      </c>
      <c r="AF26" s="52" t="str">
        <f t="shared" si="12"/>
        <v>520153</v>
      </c>
      <c r="AG26" s="52" t="str">
        <f t="shared" si="13"/>
        <v>T</v>
      </c>
      <c r="AH26" s="52" t="str">
        <f t="shared" si="13"/>
        <v>T</v>
      </c>
    </row>
    <row r="27" spans="2:34" x14ac:dyDescent="0.25">
      <c r="B27" s="52">
        <v>24</v>
      </c>
      <c r="C27" s="52">
        <v>1</v>
      </c>
      <c r="D27" s="52" t="s">
        <v>91</v>
      </c>
      <c r="E27" s="52" t="s">
        <v>90</v>
      </c>
      <c r="H27" s="54">
        <f t="shared" ca="1" si="0"/>
        <v>41640</v>
      </c>
      <c r="I27" s="52" t="s">
        <v>294</v>
      </c>
      <c r="K27" s="55">
        <f t="shared" ca="1" si="1"/>
        <v>42716</v>
      </c>
      <c r="L27" s="52">
        <v>20153</v>
      </c>
      <c r="M27" s="30">
        <f>INDEX(barèmes!$D$2:$E$311,MATCH(T27,barèmes!$D$2:$D$311,0),2)</f>
        <v>0</v>
      </c>
      <c r="N27" s="61">
        <v>20154</v>
      </c>
      <c r="O27" s="30">
        <f>INDEX(barèmes!$D$2:$E$311,MATCH(U27,barèmes!$D$2:$D$311,0),2)</f>
        <v>315.89999999999998</v>
      </c>
      <c r="P27" s="52">
        <v>12</v>
      </c>
      <c r="Q27" s="52">
        <v>12</v>
      </c>
      <c r="R27" s="52">
        <f t="shared" ca="1" si="2"/>
        <v>2016</v>
      </c>
      <c r="S27" s="52">
        <v>0</v>
      </c>
      <c r="T27" s="59" t="s">
        <v>317</v>
      </c>
      <c r="U27" s="59" t="s">
        <v>319</v>
      </c>
      <c r="V27" s="52" t="str">
        <f t="shared" si="3"/>
        <v>2015</v>
      </c>
      <c r="W27" s="52" t="str">
        <f t="shared" si="4"/>
        <v>3</v>
      </c>
      <c r="X27" s="52">
        <f t="shared" ca="1" si="5"/>
        <v>1</v>
      </c>
      <c r="Y27" s="52" t="str">
        <f t="shared" si="6"/>
        <v>2015</v>
      </c>
      <c r="Z27" s="52" t="str">
        <f t="shared" si="7"/>
        <v>4</v>
      </c>
      <c r="AA27" s="52">
        <f t="shared" ca="1" si="8"/>
        <v>1</v>
      </c>
      <c r="AB27" s="52">
        <f t="shared" si="9"/>
        <v>5</v>
      </c>
      <c r="AC27" s="52" t="str">
        <f t="shared" si="10"/>
        <v>9</v>
      </c>
      <c r="AD27" s="52" t="str">
        <f t="shared" si="10"/>
        <v>3</v>
      </c>
      <c r="AE27" s="52" t="str">
        <f t="shared" si="11"/>
        <v>999999</v>
      </c>
      <c r="AF27" s="52" t="str">
        <f t="shared" si="12"/>
        <v>520153</v>
      </c>
      <c r="AG27" s="52" t="str">
        <f t="shared" si="13"/>
        <v>T</v>
      </c>
      <c r="AH27" s="52" t="str">
        <f t="shared" si="13"/>
        <v>T</v>
      </c>
    </row>
    <row r="28" spans="2:34" x14ac:dyDescent="0.25">
      <c r="B28" s="52">
        <v>25</v>
      </c>
      <c r="C28" s="52">
        <v>1</v>
      </c>
      <c r="D28" s="52" t="s">
        <v>91</v>
      </c>
      <c r="E28" s="52" t="s">
        <v>90</v>
      </c>
      <c r="H28" s="54">
        <f t="shared" ca="1" si="0"/>
        <v>41640</v>
      </c>
      <c r="I28" s="52" t="s">
        <v>294</v>
      </c>
      <c r="J28" s="52" t="s">
        <v>90</v>
      </c>
      <c r="K28" s="55">
        <f t="shared" ca="1" si="1"/>
        <v>42005</v>
      </c>
      <c r="L28" s="52">
        <v>20141</v>
      </c>
      <c r="M28" s="30">
        <f>INDEX(barèmes!$D$2:$E$311,MATCH(T28,barèmes!$D$2:$D$311,0),2)</f>
        <v>0</v>
      </c>
      <c r="N28" s="61">
        <v>20151</v>
      </c>
      <c r="O28" s="30">
        <f>INDEX(barèmes!$D$2:$E$311,MATCH(U28,barèmes!$D$2:$D$311,0),2)</f>
        <v>0</v>
      </c>
      <c r="P28" s="52">
        <v>1</v>
      </c>
      <c r="Q28" s="52">
        <v>1</v>
      </c>
      <c r="R28" s="52">
        <f t="shared" ca="1" si="2"/>
        <v>2016</v>
      </c>
      <c r="S28" s="52">
        <v>1</v>
      </c>
      <c r="T28" s="59" t="s">
        <v>317</v>
      </c>
      <c r="U28" s="59" t="s">
        <v>317</v>
      </c>
      <c r="V28" s="52" t="str">
        <f t="shared" si="3"/>
        <v>2014</v>
      </c>
      <c r="W28" s="52" t="str">
        <f t="shared" si="4"/>
        <v>1</v>
      </c>
      <c r="X28" s="52">
        <f t="shared" ca="1" si="5"/>
        <v>2</v>
      </c>
      <c r="Y28" s="52" t="str">
        <f t="shared" si="6"/>
        <v>2015</v>
      </c>
      <c r="Z28" s="52" t="str">
        <f t="shared" si="7"/>
        <v>1</v>
      </c>
      <c r="AA28" s="52">
        <f t="shared" ca="1" si="8"/>
        <v>1</v>
      </c>
      <c r="AB28" s="52">
        <f t="shared" si="9"/>
        <v>5</v>
      </c>
      <c r="AC28" s="52" t="str">
        <f t="shared" si="10"/>
        <v>9</v>
      </c>
      <c r="AD28" s="52" t="str">
        <f t="shared" si="10"/>
        <v>9</v>
      </c>
      <c r="AE28" s="52" t="str">
        <f t="shared" si="11"/>
        <v>999999</v>
      </c>
      <c r="AF28" s="52" t="str">
        <f t="shared" si="12"/>
        <v>999999</v>
      </c>
      <c r="AG28" s="52" t="str">
        <f t="shared" si="13"/>
        <v>T</v>
      </c>
      <c r="AH28" s="52" t="str">
        <f t="shared" si="13"/>
        <v>T</v>
      </c>
    </row>
    <row r="29" spans="2:34" x14ac:dyDescent="0.25">
      <c r="B29" s="52">
        <v>26</v>
      </c>
      <c r="C29" s="52">
        <v>1</v>
      </c>
      <c r="D29" s="52" t="s">
        <v>91</v>
      </c>
      <c r="E29" s="52" t="s">
        <v>90</v>
      </c>
      <c r="H29" s="54">
        <f t="shared" ca="1" si="0"/>
        <v>41640</v>
      </c>
      <c r="I29" s="52" t="s">
        <v>294</v>
      </c>
      <c r="J29" s="52" t="s">
        <v>90</v>
      </c>
      <c r="K29" s="55">
        <f t="shared" ca="1" si="1"/>
        <v>42186</v>
      </c>
      <c r="L29" s="52">
        <v>20142</v>
      </c>
      <c r="M29" s="30">
        <f>INDEX(barèmes!$D$2:$E$311,MATCH(T29,barèmes!$D$2:$D$311,0),2)</f>
        <v>0</v>
      </c>
      <c r="N29" s="61">
        <v>20151</v>
      </c>
      <c r="O29" s="30">
        <v>0</v>
      </c>
      <c r="P29" s="52">
        <v>1</v>
      </c>
      <c r="Q29" s="52">
        <v>7</v>
      </c>
      <c r="R29" s="52">
        <f t="shared" ca="1" si="2"/>
        <v>2016</v>
      </c>
      <c r="S29" s="52">
        <v>1</v>
      </c>
      <c r="T29" s="59" t="s">
        <v>317</v>
      </c>
      <c r="U29" s="59" t="s">
        <v>317</v>
      </c>
      <c r="V29" s="52" t="str">
        <f t="shared" si="3"/>
        <v>2014</v>
      </c>
      <c r="W29" s="52" t="str">
        <f t="shared" si="4"/>
        <v>2</v>
      </c>
      <c r="X29" s="52">
        <f t="shared" ca="1" si="5"/>
        <v>2</v>
      </c>
      <c r="Y29" s="52" t="str">
        <f t="shared" si="6"/>
        <v>2015</v>
      </c>
      <c r="Z29" s="52" t="str">
        <f t="shared" si="7"/>
        <v>1</v>
      </c>
      <c r="AA29" s="52">
        <f t="shared" ca="1" si="8"/>
        <v>1</v>
      </c>
      <c r="AB29" s="52">
        <f t="shared" si="9"/>
        <v>5</v>
      </c>
      <c r="AC29" s="52" t="str">
        <f t="shared" si="10"/>
        <v>9</v>
      </c>
      <c r="AD29" s="52" t="str">
        <f t="shared" si="10"/>
        <v>9</v>
      </c>
      <c r="AE29" s="52" t="str">
        <f t="shared" si="11"/>
        <v>999999</v>
      </c>
      <c r="AF29" s="52" t="str">
        <f t="shared" si="12"/>
        <v>999999</v>
      </c>
      <c r="AG29" s="52" t="str">
        <f t="shared" si="13"/>
        <v>T</v>
      </c>
      <c r="AH29" s="52" t="str">
        <f t="shared" si="13"/>
        <v>T</v>
      </c>
    </row>
    <row r="30" spans="2:34" x14ac:dyDescent="0.25">
      <c r="B30" s="52">
        <v>27</v>
      </c>
      <c r="C30" s="52">
        <v>1</v>
      </c>
      <c r="D30" s="52" t="s">
        <v>91</v>
      </c>
      <c r="E30" s="52" t="s">
        <v>90</v>
      </c>
      <c r="H30" s="54">
        <f t="shared" ca="1" si="0"/>
        <v>41640</v>
      </c>
      <c r="I30" s="52" t="s">
        <v>294</v>
      </c>
      <c r="J30" s="52" t="s">
        <v>90</v>
      </c>
      <c r="K30" s="55">
        <f t="shared" ca="1" si="1"/>
        <v>42370</v>
      </c>
      <c r="L30" s="52">
        <v>20144</v>
      </c>
      <c r="M30" s="30">
        <f>INDEX(barèmes!$D$2:$E$311,MATCH(T30,barèmes!$D$2:$D$311,0),2)</f>
        <v>0</v>
      </c>
      <c r="N30" s="61">
        <v>20151</v>
      </c>
      <c r="O30" s="30">
        <f>INDEX(barèmes!$D$2:$E$311,MATCH(U30,barèmes!$D$2:$D$311,0),2)</f>
        <v>0</v>
      </c>
      <c r="P30" s="52">
        <v>1</v>
      </c>
      <c r="Q30" s="52">
        <v>1</v>
      </c>
      <c r="R30" s="52">
        <f t="shared" ca="1" si="2"/>
        <v>2016</v>
      </c>
      <c r="S30" s="52">
        <v>0</v>
      </c>
      <c r="T30" s="59" t="s">
        <v>317</v>
      </c>
      <c r="U30" s="59" t="s">
        <v>317</v>
      </c>
      <c r="V30" s="52" t="str">
        <f t="shared" si="3"/>
        <v>2014</v>
      </c>
      <c r="W30" s="52" t="str">
        <f t="shared" si="4"/>
        <v>4</v>
      </c>
      <c r="X30" s="52">
        <f t="shared" ca="1" si="5"/>
        <v>2</v>
      </c>
      <c r="Y30" s="52" t="str">
        <f t="shared" si="6"/>
        <v>2015</v>
      </c>
      <c r="Z30" s="52" t="str">
        <f t="shared" si="7"/>
        <v>1</v>
      </c>
      <c r="AA30" s="52">
        <f t="shared" ca="1" si="8"/>
        <v>1</v>
      </c>
      <c r="AB30" s="52">
        <f t="shared" si="9"/>
        <v>5</v>
      </c>
      <c r="AC30" s="52" t="str">
        <f t="shared" si="10"/>
        <v>9</v>
      </c>
      <c r="AD30" s="52" t="str">
        <f t="shared" si="10"/>
        <v>9</v>
      </c>
      <c r="AE30" s="52" t="str">
        <f t="shared" si="11"/>
        <v>999999</v>
      </c>
      <c r="AF30" s="52" t="str">
        <f t="shared" si="12"/>
        <v>999999</v>
      </c>
      <c r="AG30" s="52" t="str">
        <f t="shared" si="13"/>
        <v>T</v>
      </c>
      <c r="AH30" s="52" t="str">
        <f t="shared" si="13"/>
        <v>T</v>
      </c>
    </row>
    <row r="31" spans="2:34" x14ac:dyDescent="0.25">
      <c r="B31" s="52">
        <v>28</v>
      </c>
      <c r="C31" s="52">
        <v>1</v>
      </c>
      <c r="D31" s="52" t="s">
        <v>91</v>
      </c>
      <c r="E31" s="52" t="s">
        <v>90</v>
      </c>
      <c r="H31" s="54">
        <f t="shared" ca="1" si="0"/>
        <v>41640</v>
      </c>
      <c r="I31" s="52" t="s">
        <v>294</v>
      </c>
      <c r="J31" s="52" t="s">
        <v>90</v>
      </c>
      <c r="K31" s="55">
        <f t="shared" ca="1" si="1"/>
        <v>42716</v>
      </c>
      <c r="L31" s="52">
        <v>20153</v>
      </c>
      <c r="M31" s="30">
        <f>INDEX(barèmes!$D$2:$E$311,MATCH(T31,barèmes!$D$2:$D$311,0),2)</f>
        <v>0</v>
      </c>
      <c r="N31" s="61">
        <v>20154</v>
      </c>
      <c r="O31" s="30">
        <f>INDEX(barèmes!$D$2:$E$311,MATCH(U31,barèmes!$D$2:$D$311,0),2)</f>
        <v>0</v>
      </c>
      <c r="P31" s="52">
        <v>12</v>
      </c>
      <c r="Q31" s="52">
        <v>12</v>
      </c>
      <c r="R31" s="52">
        <f t="shared" ca="1" si="2"/>
        <v>2016</v>
      </c>
      <c r="S31" s="52">
        <v>0</v>
      </c>
      <c r="T31" s="59" t="s">
        <v>317</v>
      </c>
      <c r="U31" s="59" t="s">
        <v>317</v>
      </c>
      <c r="V31" s="52" t="str">
        <f t="shared" si="3"/>
        <v>2015</v>
      </c>
      <c r="W31" s="52" t="str">
        <f t="shared" si="4"/>
        <v>3</v>
      </c>
      <c r="X31" s="52">
        <f t="shared" ca="1" si="5"/>
        <v>1</v>
      </c>
      <c r="Y31" s="52" t="str">
        <f t="shared" si="6"/>
        <v>2015</v>
      </c>
      <c r="Z31" s="52" t="str">
        <f t="shared" si="7"/>
        <v>4</v>
      </c>
      <c r="AA31" s="52">
        <f t="shared" ca="1" si="8"/>
        <v>1</v>
      </c>
      <c r="AB31" s="52">
        <f t="shared" si="9"/>
        <v>5</v>
      </c>
      <c r="AC31" s="52" t="str">
        <f t="shared" si="10"/>
        <v>9</v>
      </c>
      <c r="AD31" s="52" t="str">
        <f t="shared" si="10"/>
        <v>9</v>
      </c>
      <c r="AE31" s="52" t="str">
        <f t="shared" si="11"/>
        <v>999999</v>
      </c>
      <c r="AF31" s="52" t="str">
        <f t="shared" si="12"/>
        <v>999999</v>
      </c>
      <c r="AG31" s="52" t="str">
        <f t="shared" si="13"/>
        <v>T</v>
      </c>
      <c r="AH31" s="52" t="str">
        <f t="shared" si="13"/>
        <v>T</v>
      </c>
    </row>
    <row r="32" spans="2:34" x14ac:dyDescent="0.25">
      <c r="B32" s="52">
        <v>29</v>
      </c>
      <c r="C32" s="52">
        <v>1</v>
      </c>
      <c r="D32" s="52" t="s">
        <v>91</v>
      </c>
      <c r="E32" s="52" t="s">
        <v>93</v>
      </c>
      <c r="H32" s="54">
        <f t="shared" ca="1" si="0"/>
        <v>41640</v>
      </c>
      <c r="I32" s="52" t="s">
        <v>293</v>
      </c>
      <c r="K32" s="55">
        <f t="shared" ca="1" si="1"/>
        <v>42005</v>
      </c>
      <c r="L32" s="52">
        <v>20134</v>
      </c>
      <c r="M32" s="30">
        <f>INDEX(barèmes!$D$2:$E$311,MATCH(T32,barèmes!$D$2:$D$311,0),2)</f>
        <v>357.89</v>
      </c>
      <c r="N32" s="61">
        <v>20151</v>
      </c>
      <c r="O32" s="30">
        <f>INDEX(barèmes!$D$2:$E$311,MATCH(U32,barèmes!$D$2:$D$311,0),2)</f>
        <v>77.7</v>
      </c>
      <c r="P32" s="52">
        <v>1</v>
      </c>
      <c r="Q32" s="52">
        <v>1</v>
      </c>
      <c r="R32" s="52">
        <f t="shared" ca="1" si="2"/>
        <v>2016</v>
      </c>
      <c r="S32" s="52">
        <v>1</v>
      </c>
      <c r="T32" s="59" t="s">
        <v>336</v>
      </c>
      <c r="U32" s="59" t="s">
        <v>315</v>
      </c>
      <c r="V32" s="52" t="str">
        <f t="shared" si="3"/>
        <v>2013</v>
      </c>
      <c r="W32" s="52" t="str">
        <f t="shared" si="4"/>
        <v>4</v>
      </c>
      <c r="X32" s="52">
        <f t="shared" ca="1" si="5"/>
        <v>3</v>
      </c>
      <c r="Y32" s="52" t="str">
        <f t="shared" si="6"/>
        <v>2015</v>
      </c>
      <c r="Z32" s="52" t="str">
        <f t="shared" si="7"/>
        <v>1</v>
      </c>
      <c r="AA32" s="52">
        <f t="shared" ca="1" si="8"/>
        <v>1</v>
      </c>
      <c r="AB32" s="52">
        <f t="shared" si="9"/>
        <v>4</v>
      </c>
      <c r="AC32" s="52" t="s">
        <v>324</v>
      </c>
      <c r="AD32" s="52" t="str">
        <f t="shared" si="10"/>
        <v>2</v>
      </c>
      <c r="AE32" s="52" t="str">
        <f t="shared" si="11"/>
        <v>12013r1</v>
      </c>
      <c r="AF32" s="52" t="str">
        <f t="shared" si="12"/>
        <v>420152</v>
      </c>
      <c r="AG32" s="52" t="str">
        <f t="shared" si="13"/>
        <v>T</v>
      </c>
      <c r="AH32" s="52" t="str">
        <f t="shared" si="13"/>
        <v>T</v>
      </c>
    </row>
    <row r="33" spans="1:34" x14ac:dyDescent="0.25">
      <c r="B33" s="52">
        <v>30</v>
      </c>
      <c r="C33" s="52">
        <v>1</v>
      </c>
      <c r="D33" s="52" t="s">
        <v>91</v>
      </c>
      <c r="E33" s="52" t="s">
        <v>93</v>
      </c>
      <c r="H33" s="54">
        <f t="shared" ca="1" si="0"/>
        <v>41640</v>
      </c>
      <c r="I33" s="52" t="s">
        <v>293</v>
      </c>
      <c r="K33" s="55">
        <f t="shared" ca="1" si="1"/>
        <v>42186</v>
      </c>
      <c r="L33" s="52">
        <v>20142</v>
      </c>
      <c r="M33" s="30">
        <f>INDEX(barèmes!$D$2:$E$311,MATCH(T33,barèmes!$D$2:$D$311,0),2)</f>
        <v>367.94</v>
      </c>
      <c r="N33" s="61">
        <v>20151</v>
      </c>
      <c r="O33" s="30">
        <f>INDEX(barèmes!$D$2:$E$311,MATCH(U33,barèmes!$D$2:$D$311,0),2)</f>
        <v>75.849999999999994</v>
      </c>
      <c r="P33" s="52">
        <v>1</v>
      </c>
      <c r="Q33" s="52">
        <v>7</v>
      </c>
      <c r="R33" s="52">
        <f t="shared" ca="1" si="2"/>
        <v>2016</v>
      </c>
      <c r="S33" s="52">
        <v>1</v>
      </c>
      <c r="T33" s="59" t="s">
        <v>327</v>
      </c>
      <c r="U33" s="59" t="s">
        <v>313</v>
      </c>
      <c r="V33" s="52" t="str">
        <f t="shared" si="3"/>
        <v>2014</v>
      </c>
      <c r="W33" s="52" t="str">
        <f t="shared" si="4"/>
        <v>2</v>
      </c>
      <c r="X33" s="52">
        <f t="shared" ca="1" si="5"/>
        <v>2</v>
      </c>
      <c r="Y33" s="52" t="str">
        <f t="shared" si="6"/>
        <v>2015</v>
      </c>
      <c r="Z33" s="52" t="str">
        <f t="shared" si="7"/>
        <v>1</v>
      </c>
      <c r="AA33" s="52">
        <f t="shared" ca="1" si="8"/>
        <v>1</v>
      </c>
      <c r="AB33" s="52">
        <f t="shared" si="9"/>
        <v>4</v>
      </c>
      <c r="AC33" s="52" t="s">
        <v>325</v>
      </c>
      <c r="AD33" s="52" t="str">
        <f t="shared" si="10"/>
        <v>1</v>
      </c>
      <c r="AE33" s="52" t="str">
        <f t="shared" si="11"/>
        <v>12014r2</v>
      </c>
      <c r="AF33" s="52" t="str">
        <f t="shared" si="12"/>
        <v>420151</v>
      </c>
      <c r="AG33" s="52" t="str">
        <f t="shared" si="13"/>
        <v>T</v>
      </c>
      <c r="AH33" s="52" t="str">
        <f t="shared" si="13"/>
        <v>T</v>
      </c>
    </row>
    <row r="34" spans="1:34" x14ac:dyDescent="0.25">
      <c r="B34" s="52">
        <v>31</v>
      </c>
      <c r="C34" s="52">
        <v>1</v>
      </c>
      <c r="D34" s="52" t="s">
        <v>91</v>
      </c>
      <c r="E34" s="52" t="s">
        <v>93</v>
      </c>
      <c r="H34" s="54">
        <f t="shared" ca="1" si="0"/>
        <v>41640</v>
      </c>
      <c r="I34" s="52" t="s">
        <v>293</v>
      </c>
      <c r="K34" s="55">
        <f t="shared" ca="1" si="1"/>
        <v>42370</v>
      </c>
      <c r="L34" s="52">
        <v>20144</v>
      </c>
      <c r="M34" s="30">
        <f>INDEX(barèmes!$D$2:$E$311,MATCH(T34,barèmes!$D$2:$D$311,0),2)</f>
        <v>367.94</v>
      </c>
      <c r="N34" s="61">
        <v>20151</v>
      </c>
      <c r="O34" s="30">
        <f>INDEX(barèmes!$D$2:$E$311,MATCH(U34,barèmes!$D$2:$D$311,0),2)</f>
        <v>79.55</v>
      </c>
      <c r="P34" s="52">
        <v>1</v>
      </c>
      <c r="Q34" s="52">
        <v>1</v>
      </c>
      <c r="R34" s="52">
        <f t="shared" ca="1" si="2"/>
        <v>2016</v>
      </c>
      <c r="S34" s="52">
        <v>0</v>
      </c>
      <c r="T34" s="59" t="s">
        <v>327</v>
      </c>
      <c r="U34" s="59" t="s">
        <v>316</v>
      </c>
      <c r="V34" s="52" t="str">
        <f t="shared" si="3"/>
        <v>2014</v>
      </c>
      <c r="W34" s="52" t="str">
        <f t="shared" si="4"/>
        <v>4</v>
      </c>
      <c r="X34" s="52">
        <f t="shared" ca="1" si="5"/>
        <v>2</v>
      </c>
      <c r="Y34" s="52" t="str">
        <f t="shared" si="6"/>
        <v>2015</v>
      </c>
      <c r="Z34" s="52" t="str">
        <f t="shared" si="7"/>
        <v>1</v>
      </c>
      <c r="AA34" s="52">
        <f t="shared" ca="1" si="8"/>
        <v>1</v>
      </c>
      <c r="AB34" s="52">
        <f t="shared" si="9"/>
        <v>4</v>
      </c>
      <c r="AC34" s="52" t="s">
        <v>325</v>
      </c>
      <c r="AD34" s="52" t="str">
        <f t="shared" si="10"/>
        <v>3</v>
      </c>
      <c r="AE34" s="52" t="str">
        <f t="shared" si="11"/>
        <v>12014r2</v>
      </c>
      <c r="AF34" s="52" t="str">
        <f t="shared" si="12"/>
        <v>420153</v>
      </c>
      <c r="AG34" s="52" t="str">
        <f t="shared" si="13"/>
        <v>T</v>
      </c>
      <c r="AH34" s="52" t="str">
        <f t="shared" si="13"/>
        <v>T</v>
      </c>
    </row>
    <row r="35" spans="1:34" x14ac:dyDescent="0.25">
      <c r="B35" s="52">
        <v>32</v>
      </c>
      <c r="C35" s="52">
        <v>1</v>
      </c>
      <c r="D35" s="52" t="s">
        <v>91</v>
      </c>
      <c r="E35" s="52" t="s">
        <v>93</v>
      </c>
      <c r="H35" s="54">
        <f t="shared" ca="1" si="0"/>
        <v>41640</v>
      </c>
      <c r="I35" s="52" t="s">
        <v>293</v>
      </c>
      <c r="J35" s="52" t="s">
        <v>90</v>
      </c>
      <c r="K35" s="55">
        <f t="shared" ca="1" si="1"/>
        <v>42005</v>
      </c>
      <c r="L35" s="52">
        <v>20134</v>
      </c>
      <c r="M35" s="30">
        <f>INDEX(barèmes!$D$2:$E$311,MATCH(T35,barèmes!$D$2:$D$311,0),2)</f>
        <v>357.89</v>
      </c>
      <c r="N35" s="61">
        <v>20141</v>
      </c>
      <c r="O35" s="30">
        <f>INDEX(barèmes!$D$2:$E$311,MATCH(U35,barèmes!$D$2:$D$311,0),2)</f>
        <v>0</v>
      </c>
      <c r="P35" s="52">
        <v>1</v>
      </c>
      <c r="Q35" s="52">
        <v>1</v>
      </c>
      <c r="R35" s="52">
        <f t="shared" ca="1" si="2"/>
        <v>2016</v>
      </c>
      <c r="S35" s="52">
        <v>1</v>
      </c>
      <c r="T35" s="59" t="s">
        <v>336</v>
      </c>
      <c r="U35" s="59" t="s">
        <v>317</v>
      </c>
      <c r="V35" s="52" t="str">
        <f t="shared" si="3"/>
        <v>2013</v>
      </c>
      <c r="W35" s="52" t="str">
        <f t="shared" si="4"/>
        <v>4</v>
      </c>
      <c r="X35" s="52">
        <f t="shared" ca="1" si="5"/>
        <v>3</v>
      </c>
      <c r="Y35" s="52" t="str">
        <f t="shared" si="6"/>
        <v>2014</v>
      </c>
      <c r="Z35" s="52" t="str">
        <f t="shared" si="7"/>
        <v>1</v>
      </c>
      <c r="AA35" s="52">
        <f t="shared" ca="1" si="8"/>
        <v>2</v>
      </c>
      <c r="AB35" s="52">
        <f t="shared" si="9"/>
        <v>4</v>
      </c>
      <c r="AC35" s="52" t="s">
        <v>324</v>
      </c>
      <c r="AD35" s="52" t="str">
        <f t="shared" si="10"/>
        <v>9</v>
      </c>
      <c r="AE35" s="52" t="str">
        <f t="shared" si="11"/>
        <v>12013r1</v>
      </c>
      <c r="AF35" s="52" t="str">
        <f t="shared" si="12"/>
        <v>999999</v>
      </c>
      <c r="AG35" s="52" t="str">
        <f t="shared" si="13"/>
        <v>T</v>
      </c>
      <c r="AH35" s="52" t="str">
        <f t="shared" si="13"/>
        <v>T</v>
      </c>
    </row>
    <row r="36" spans="1:34" x14ac:dyDescent="0.25">
      <c r="B36" s="52">
        <v>33</v>
      </c>
      <c r="C36" s="52">
        <v>1</v>
      </c>
      <c r="D36" s="52" t="s">
        <v>91</v>
      </c>
      <c r="E36" s="52" t="s">
        <v>93</v>
      </c>
      <c r="H36" s="54">
        <f t="shared" ca="1" si="0"/>
        <v>41640</v>
      </c>
      <c r="I36" s="52" t="s">
        <v>293</v>
      </c>
      <c r="J36" s="52" t="s">
        <v>90</v>
      </c>
      <c r="K36" s="55">
        <f t="shared" ca="1" si="1"/>
        <v>42186</v>
      </c>
      <c r="L36" s="52">
        <v>20142</v>
      </c>
      <c r="M36" s="30">
        <f>INDEX(barèmes!$D$2:$E$311,MATCH(T36,barèmes!$D$2:$D$311,0),2)</f>
        <v>367.94</v>
      </c>
      <c r="N36" s="61">
        <v>20151</v>
      </c>
      <c r="O36" s="30">
        <f>INDEX(barèmes!$D$2:$E$311,MATCH(U36,barèmes!$D$2:$D$311,0),2)</f>
        <v>0</v>
      </c>
      <c r="P36" s="52">
        <v>1</v>
      </c>
      <c r="Q36" s="52">
        <v>7</v>
      </c>
      <c r="R36" s="52">
        <f t="shared" ca="1" si="2"/>
        <v>2016</v>
      </c>
      <c r="S36" s="52">
        <v>1</v>
      </c>
      <c r="T36" s="59" t="s">
        <v>327</v>
      </c>
      <c r="U36" s="59" t="s">
        <v>317</v>
      </c>
      <c r="V36" s="52" t="str">
        <f t="shared" si="3"/>
        <v>2014</v>
      </c>
      <c r="W36" s="52" t="str">
        <f t="shared" si="4"/>
        <v>2</v>
      </c>
      <c r="X36" s="52">
        <f t="shared" ca="1" si="5"/>
        <v>2</v>
      </c>
      <c r="Y36" s="52" t="str">
        <f t="shared" si="6"/>
        <v>2015</v>
      </c>
      <c r="Z36" s="52" t="str">
        <f t="shared" si="7"/>
        <v>1</v>
      </c>
      <c r="AA36" s="52">
        <f t="shared" ca="1" si="8"/>
        <v>1</v>
      </c>
      <c r="AB36" s="52">
        <f t="shared" si="9"/>
        <v>4</v>
      </c>
      <c r="AC36" s="52" t="s">
        <v>325</v>
      </c>
      <c r="AD36" s="52" t="str">
        <f t="shared" si="10"/>
        <v>9</v>
      </c>
      <c r="AE36" s="52" t="str">
        <f t="shared" si="11"/>
        <v>12014r2</v>
      </c>
      <c r="AF36" s="52" t="str">
        <f t="shared" si="12"/>
        <v>999999</v>
      </c>
      <c r="AG36" s="52" t="str">
        <f t="shared" si="13"/>
        <v>T</v>
      </c>
      <c r="AH36" s="52" t="str">
        <f t="shared" si="13"/>
        <v>T</v>
      </c>
    </row>
    <row r="37" spans="1:34" x14ac:dyDescent="0.25">
      <c r="B37" s="52">
        <v>34</v>
      </c>
      <c r="C37" s="52">
        <v>1</v>
      </c>
      <c r="D37" s="52" t="s">
        <v>91</v>
      </c>
      <c r="E37" s="52" t="s">
        <v>93</v>
      </c>
      <c r="H37" s="54">
        <f t="shared" ca="1" si="0"/>
        <v>41640</v>
      </c>
      <c r="I37" s="52" t="s">
        <v>293</v>
      </c>
      <c r="J37" s="52" t="s">
        <v>90</v>
      </c>
      <c r="K37" s="55">
        <f t="shared" ca="1" si="1"/>
        <v>42370</v>
      </c>
      <c r="L37" s="52">
        <v>20144</v>
      </c>
      <c r="M37" s="30">
        <f>INDEX(barèmes!$D$2:$E$311,MATCH(T37,barèmes!$D$2:$D$311,0),2)</f>
        <v>367.94</v>
      </c>
      <c r="N37" s="61">
        <v>20151</v>
      </c>
      <c r="O37" s="30">
        <f>INDEX(barèmes!$D$2:$E$311,MATCH(U37,barèmes!$D$2:$D$311,0),2)</f>
        <v>0</v>
      </c>
      <c r="P37" s="52">
        <v>1</v>
      </c>
      <c r="Q37" s="52">
        <v>1</v>
      </c>
      <c r="R37" s="52">
        <f t="shared" ca="1" si="2"/>
        <v>2016</v>
      </c>
      <c r="S37" s="52">
        <v>0</v>
      </c>
      <c r="T37" s="59" t="s">
        <v>327</v>
      </c>
      <c r="U37" s="59" t="s">
        <v>317</v>
      </c>
      <c r="V37" s="52" t="str">
        <f t="shared" si="3"/>
        <v>2014</v>
      </c>
      <c r="W37" s="52" t="str">
        <f t="shared" si="4"/>
        <v>4</v>
      </c>
      <c r="X37" s="52">
        <f t="shared" ca="1" si="5"/>
        <v>2</v>
      </c>
      <c r="Y37" s="52" t="str">
        <f t="shared" si="6"/>
        <v>2015</v>
      </c>
      <c r="Z37" s="52" t="str">
        <f t="shared" si="7"/>
        <v>1</v>
      </c>
      <c r="AA37" s="52">
        <f t="shared" ca="1" si="8"/>
        <v>1</v>
      </c>
      <c r="AB37" s="52">
        <f t="shared" si="9"/>
        <v>4</v>
      </c>
      <c r="AC37" s="52" t="s">
        <v>325</v>
      </c>
      <c r="AD37" s="52" t="str">
        <f t="shared" si="10"/>
        <v>9</v>
      </c>
      <c r="AE37" s="52" t="str">
        <f t="shared" si="11"/>
        <v>12014r2</v>
      </c>
      <c r="AF37" s="52" t="str">
        <f t="shared" si="12"/>
        <v>999999</v>
      </c>
      <c r="AG37" s="52" t="str">
        <f t="shared" si="13"/>
        <v>T</v>
      </c>
      <c r="AH37" s="52" t="str">
        <f t="shared" si="13"/>
        <v>T</v>
      </c>
    </row>
    <row r="38" spans="1:34" x14ac:dyDescent="0.25">
      <c r="B38" s="52">
        <v>35</v>
      </c>
      <c r="C38" s="52">
        <v>1</v>
      </c>
      <c r="D38" s="52" t="s">
        <v>91</v>
      </c>
      <c r="E38" s="52" t="s">
        <v>93</v>
      </c>
      <c r="H38" s="54">
        <f t="shared" ca="1" si="0"/>
        <v>41640</v>
      </c>
      <c r="I38" s="52" t="s">
        <v>294</v>
      </c>
      <c r="K38" s="55">
        <f t="shared" ca="1" si="1"/>
        <v>42005</v>
      </c>
      <c r="L38" s="52">
        <v>20134</v>
      </c>
      <c r="M38" s="30">
        <f>INDEX(barèmes!$D$2:$E$311,MATCH(T38,barèmes!$D$2:$D$311,0),2)</f>
        <v>357.89</v>
      </c>
      <c r="N38" s="61">
        <v>20151</v>
      </c>
      <c r="O38" s="30">
        <f>INDEX(barèmes!$D$2:$E$311,MATCH(U38,barèmes!$D$2:$D$311,0),2)</f>
        <v>308.55</v>
      </c>
      <c r="P38" s="52">
        <v>1</v>
      </c>
      <c r="Q38" s="52">
        <v>1</v>
      </c>
      <c r="R38" s="52">
        <f t="shared" ca="1" si="2"/>
        <v>2016</v>
      </c>
      <c r="S38" s="52">
        <v>1</v>
      </c>
      <c r="T38" s="59" t="s">
        <v>336</v>
      </c>
      <c r="U38" s="59" t="s">
        <v>321</v>
      </c>
      <c r="V38" s="52" t="str">
        <f t="shared" si="3"/>
        <v>2013</v>
      </c>
      <c r="W38" s="52" t="str">
        <f t="shared" si="4"/>
        <v>4</v>
      </c>
      <c r="X38" s="52">
        <f t="shared" ca="1" si="5"/>
        <v>3</v>
      </c>
      <c r="Y38" s="52" t="str">
        <f t="shared" si="6"/>
        <v>2015</v>
      </c>
      <c r="Z38" s="52" t="str">
        <f t="shared" si="7"/>
        <v>1</v>
      </c>
      <c r="AA38" s="52">
        <f t="shared" ca="1" si="8"/>
        <v>1</v>
      </c>
      <c r="AB38" s="52">
        <f t="shared" si="9"/>
        <v>5</v>
      </c>
      <c r="AC38" s="52" t="s">
        <v>324</v>
      </c>
      <c r="AD38" s="52" t="str">
        <f t="shared" si="10"/>
        <v>2</v>
      </c>
      <c r="AE38" s="52" t="str">
        <f t="shared" si="11"/>
        <v>12013r1</v>
      </c>
      <c r="AF38" s="52" t="str">
        <f t="shared" si="12"/>
        <v>520152</v>
      </c>
      <c r="AG38" s="52" t="str">
        <f t="shared" si="13"/>
        <v>T</v>
      </c>
      <c r="AH38" s="52" t="str">
        <f t="shared" si="13"/>
        <v>T</v>
      </c>
    </row>
    <row r="39" spans="1:34" x14ac:dyDescent="0.25">
      <c r="B39" s="52">
        <v>36</v>
      </c>
      <c r="C39" s="52">
        <v>1</v>
      </c>
      <c r="D39" s="52" t="s">
        <v>91</v>
      </c>
      <c r="E39" s="52" t="s">
        <v>93</v>
      </c>
      <c r="H39" s="54">
        <f t="shared" ca="1" si="0"/>
        <v>41640</v>
      </c>
      <c r="I39" s="52" t="s">
        <v>294</v>
      </c>
      <c r="K39" s="55">
        <f t="shared" ca="1" si="1"/>
        <v>42186</v>
      </c>
      <c r="L39" s="52">
        <v>20142</v>
      </c>
      <c r="M39" s="30">
        <f>INDEX(barèmes!$D$2:$E$311,MATCH(T39,barèmes!$D$2:$D$311,0),2)</f>
        <v>367.94</v>
      </c>
      <c r="N39" s="61">
        <v>20151</v>
      </c>
      <c r="O39" s="30">
        <f>INDEX(barèmes!$D$2:$E$311,MATCH(U39,barèmes!$D$2:$D$311,0),2)</f>
        <v>301.22000000000003</v>
      </c>
      <c r="P39" s="52">
        <v>1</v>
      </c>
      <c r="Q39" s="52">
        <v>7</v>
      </c>
      <c r="R39" s="52">
        <f t="shared" ca="1" si="2"/>
        <v>2016</v>
      </c>
      <c r="S39" s="52">
        <v>1</v>
      </c>
      <c r="T39" s="59" t="s">
        <v>327</v>
      </c>
      <c r="U39" s="59" t="s">
        <v>318</v>
      </c>
      <c r="V39" s="52" t="str">
        <f t="shared" si="3"/>
        <v>2014</v>
      </c>
      <c r="W39" s="52" t="str">
        <f t="shared" si="4"/>
        <v>2</v>
      </c>
      <c r="X39" s="52">
        <f t="shared" ca="1" si="5"/>
        <v>2</v>
      </c>
      <c r="Y39" s="52" t="str">
        <f t="shared" si="6"/>
        <v>2015</v>
      </c>
      <c r="Z39" s="52" t="str">
        <f t="shared" si="7"/>
        <v>1</v>
      </c>
      <c r="AA39" s="52">
        <f t="shared" ca="1" si="8"/>
        <v>1</v>
      </c>
      <c r="AB39" s="52">
        <f t="shared" si="9"/>
        <v>5</v>
      </c>
      <c r="AC39" s="52" t="s">
        <v>325</v>
      </c>
      <c r="AD39" s="52" t="str">
        <f t="shared" si="10"/>
        <v>1</v>
      </c>
      <c r="AE39" s="52" t="str">
        <f t="shared" si="11"/>
        <v>12014r2</v>
      </c>
      <c r="AF39" s="52" t="str">
        <f t="shared" si="12"/>
        <v>520151</v>
      </c>
      <c r="AG39" s="52" t="str">
        <f t="shared" si="13"/>
        <v>T</v>
      </c>
      <c r="AH39" s="52" t="str">
        <f t="shared" si="13"/>
        <v>T</v>
      </c>
    </row>
    <row r="40" spans="1:34" x14ac:dyDescent="0.25">
      <c r="B40" s="52">
        <v>37</v>
      </c>
      <c r="C40" s="52">
        <v>1</v>
      </c>
      <c r="D40" s="52" t="s">
        <v>91</v>
      </c>
      <c r="E40" s="52" t="s">
        <v>93</v>
      </c>
      <c r="H40" s="54">
        <f t="shared" ca="1" si="0"/>
        <v>41640</v>
      </c>
      <c r="I40" s="52" t="s">
        <v>294</v>
      </c>
      <c r="K40" s="55">
        <f t="shared" ca="1" si="1"/>
        <v>42370</v>
      </c>
      <c r="L40" s="52">
        <v>20144</v>
      </c>
      <c r="M40" s="30">
        <f>INDEX(barèmes!$D$2:$E$311,MATCH(T40,barèmes!$D$2:$D$311,0),2)</f>
        <v>367.94</v>
      </c>
      <c r="N40" s="61">
        <v>20151</v>
      </c>
      <c r="O40" s="30">
        <f>INDEX(barèmes!$D$2:$E$311,MATCH(U40,barèmes!$D$2:$D$311,0),2)</f>
        <v>315.89999999999998</v>
      </c>
      <c r="P40" s="52">
        <v>1</v>
      </c>
      <c r="Q40" s="52">
        <v>1</v>
      </c>
      <c r="R40" s="52">
        <f t="shared" ca="1" si="2"/>
        <v>2016</v>
      </c>
      <c r="S40" s="52">
        <v>0</v>
      </c>
      <c r="T40" s="59" t="s">
        <v>327</v>
      </c>
      <c r="U40" s="59" t="s">
        <v>319</v>
      </c>
      <c r="V40" s="52" t="str">
        <f t="shared" si="3"/>
        <v>2014</v>
      </c>
      <c r="W40" s="52" t="str">
        <f t="shared" si="4"/>
        <v>4</v>
      </c>
      <c r="X40" s="52">
        <f t="shared" ca="1" si="5"/>
        <v>2</v>
      </c>
      <c r="Y40" s="52" t="str">
        <f t="shared" si="6"/>
        <v>2015</v>
      </c>
      <c r="Z40" s="52" t="str">
        <f t="shared" si="7"/>
        <v>1</v>
      </c>
      <c r="AA40" s="52">
        <f t="shared" ca="1" si="8"/>
        <v>1</v>
      </c>
      <c r="AB40" s="52">
        <f t="shared" si="9"/>
        <v>5</v>
      </c>
      <c r="AC40" s="52" t="s">
        <v>325</v>
      </c>
      <c r="AD40" s="52" t="str">
        <f t="shared" si="10"/>
        <v>3</v>
      </c>
      <c r="AE40" s="52" t="str">
        <f t="shared" si="11"/>
        <v>12014r2</v>
      </c>
      <c r="AF40" s="52" t="str">
        <f t="shared" si="12"/>
        <v>520153</v>
      </c>
      <c r="AG40" s="52" t="str">
        <f t="shared" si="13"/>
        <v>T</v>
      </c>
      <c r="AH40" s="52" t="str">
        <f t="shared" si="13"/>
        <v>T</v>
      </c>
    </row>
    <row r="41" spans="1:34" x14ac:dyDescent="0.25">
      <c r="B41" s="52">
        <v>38</v>
      </c>
      <c r="C41" s="52">
        <v>1</v>
      </c>
      <c r="D41" s="52" t="s">
        <v>91</v>
      </c>
      <c r="E41" s="52" t="s">
        <v>93</v>
      </c>
      <c r="H41" s="54">
        <f t="shared" ca="1" si="0"/>
        <v>41640</v>
      </c>
      <c r="I41" s="52" t="s">
        <v>294</v>
      </c>
      <c r="K41" s="55">
        <f t="shared" ca="1" si="1"/>
        <v>42716</v>
      </c>
      <c r="L41" s="52">
        <v>20153</v>
      </c>
      <c r="M41" s="30">
        <f>INDEX(barèmes!$D$2:$E$311,MATCH(T41,barèmes!$D$2:$D$311,0),2)</f>
        <v>376.7</v>
      </c>
      <c r="N41" s="61">
        <v>20154</v>
      </c>
      <c r="O41" s="30">
        <f>INDEX(barèmes!$D$2:$E$311,MATCH(U41,barèmes!$D$2:$D$311,0),2)</f>
        <v>315.89999999999998</v>
      </c>
      <c r="P41" s="52">
        <v>12</v>
      </c>
      <c r="Q41" s="52">
        <v>12</v>
      </c>
      <c r="R41" s="52">
        <f t="shared" ca="1" si="2"/>
        <v>2016</v>
      </c>
      <c r="S41" s="52">
        <v>0</v>
      </c>
      <c r="T41" s="59" t="s">
        <v>329</v>
      </c>
      <c r="U41" s="59" t="s">
        <v>319</v>
      </c>
      <c r="V41" s="52" t="str">
        <f t="shared" si="3"/>
        <v>2015</v>
      </c>
      <c r="W41" s="52" t="str">
        <f t="shared" si="4"/>
        <v>3</v>
      </c>
      <c r="X41" s="52">
        <f t="shared" ca="1" si="5"/>
        <v>1</v>
      </c>
      <c r="Y41" s="52" t="str">
        <f t="shared" si="6"/>
        <v>2015</v>
      </c>
      <c r="Z41" s="52" t="str">
        <f t="shared" si="7"/>
        <v>4</v>
      </c>
      <c r="AA41" s="52">
        <f t="shared" ca="1" si="8"/>
        <v>1</v>
      </c>
      <c r="AB41" s="52">
        <f t="shared" si="9"/>
        <v>5</v>
      </c>
      <c r="AC41" s="52" t="s">
        <v>326</v>
      </c>
      <c r="AD41" s="52" t="str">
        <f t="shared" si="10"/>
        <v>3</v>
      </c>
      <c r="AE41" s="52" t="str">
        <f t="shared" si="11"/>
        <v>12015r3</v>
      </c>
      <c r="AF41" s="52" t="str">
        <f t="shared" si="12"/>
        <v>520153</v>
      </c>
      <c r="AG41" s="52" t="str">
        <f t="shared" si="13"/>
        <v>T</v>
      </c>
      <c r="AH41" s="52" t="str">
        <f t="shared" si="13"/>
        <v>T</v>
      </c>
    </row>
    <row r="42" spans="1:34" x14ac:dyDescent="0.25">
      <c r="B42" s="52">
        <v>39</v>
      </c>
      <c r="C42" s="52">
        <v>1</v>
      </c>
      <c r="D42" s="52" t="s">
        <v>91</v>
      </c>
      <c r="E42" s="52" t="s">
        <v>93</v>
      </c>
      <c r="H42" s="54">
        <f t="shared" ca="1" si="0"/>
        <v>41640</v>
      </c>
      <c r="I42" s="52" t="s">
        <v>294</v>
      </c>
      <c r="J42" s="52" t="s">
        <v>90</v>
      </c>
      <c r="K42" s="55">
        <f t="shared" ca="1" si="1"/>
        <v>42005</v>
      </c>
      <c r="L42" s="52">
        <v>20134</v>
      </c>
      <c r="M42" s="30">
        <f>INDEX(barèmes!$D$2:$E$311,MATCH(T42,barèmes!$D$2:$D$311,0),2)</f>
        <v>357.89</v>
      </c>
      <c r="N42" s="61">
        <v>20151</v>
      </c>
      <c r="O42" s="30">
        <f>INDEX(barèmes!$D$2:$E$311,MATCH(U42,barèmes!$D$2:$D$311,0),2)</f>
        <v>0</v>
      </c>
      <c r="P42" s="52">
        <v>1</v>
      </c>
      <c r="Q42" s="52">
        <v>1</v>
      </c>
      <c r="R42" s="52">
        <f t="shared" ca="1" si="2"/>
        <v>2016</v>
      </c>
      <c r="S42" s="52">
        <v>1</v>
      </c>
      <c r="T42" s="59" t="s">
        <v>336</v>
      </c>
      <c r="U42" s="59" t="s">
        <v>317</v>
      </c>
      <c r="V42" s="52" t="str">
        <f t="shared" si="3"/>
        <v>2013</v>
      </c>
      <c r="W42" s="52" t="str">
        <f t="shared" si="4"/>
        <v>4</v>
      </c>
      <c r="X42" s="52">
        <f t="shared" ca="1" si="5"/>
        <v>3</v>
      </c>
      <c r="Y42" s="52" t="str">
        <f t="shared" si="6"/>
        <v>2015</v>
      </c>
      <c r="Z42" s="52" t="str">
        <f t="shared" si="7"/>
        <v>1</v>
      </c>
      <c r="AA42" s="52">
        <f t="shared" ca="1" si="8"/>
        <v>1</v>
      </c>
      <c r="AB42" s="52">
        <f t="shared" si="9"/>
        <v>5</v>
      </c>
      <c r="AC42" s="52" t="s">
        <v>324</v>
      </c>
      <c r="AD42" s="52" t="str">
        <f t="shared" si="10"/>
        <v>9</v>
      </c>
      <c r="AE42" s="52" t="str">
        <f t="shared" si="11"/>
        <v>12013r1</v>
      </c>
      <c r="AF42" s="52" t="str">
        <f t="shared" si="12"/>
        <v>999999</v>
      </c>
      <c r="AG42" s="52" t="str">
        <f t="shared" si="13"/>
        <v>T</v>
      </c>
      <c r="AH42" s="52" t="str">
        <f t="shared" si="13"/>
        <v>T</v>
      </c>
    </row>
    <row r="43" spans="1:34" x14ac:dyDescent="0.25">
      <c r="B43" s="52">
        <v>40</v>
      </c>
      <c r="C43" s="52">
        <v>1</v>
      </c>
      <c r="D43" s="52" t="s">
        <v>91</v>
      </c>
      <c r="E43" s="52" t="s">
        <v>93</v>
      </c>
      <c r="H43" s="54">
        <f t="shared" ca="1" si="0"/>
        <v>41640</v>
      </c>
      <c r="I43" s="52" t="s">
        <v>294</v>
      </c>
      <c r="J43" s="52" t="s">
        <v>90</v>
      </c>
      <c r="K43" s="55">
        <f t="shared" ca="1" si="1"/>
        <v>42186</v>
      </c>
      <c r="L43" s="52">
        <v>20142</v>
      </c>
      <c r="M43" s="30">
        <f>INDEX(barèmes!$D$2:$E$311,MATCH(T43,barèmes!$D$2:$D$311,0),2)</f>
        <v>367.94</v>
      </c>
      <c r="N43" s="61">
        <v>20151</v>
      </c>
      <c r="O43" s="30">
        <v>0</v>
      </c>
      <c r="P43" s="52">
        <v>1</v>
      </c>
      <c r="Q43" s="52">
        <v>7</v>
      </c>
      <c r="R43" s="52">
        <f t="shared" ca="1" si="2"/>
        <v>2016</v>
      </c>
      <c r="S43" s="52">
        <v>1</v>
      </c>
      <c r="T43" s="59" t="s">
        <v>327</v>
      </c>
      <c r="U43" s="59" t="s">
        <v>317</v>
      </c>
      <c r="V43" s="52" t="str">
        <f t="shared" si="3"/>
        <v>2014</v>
      </c>
      <c r="W43" s="52" t="str">
        <f t="shared" si="4"/>
        <v>2</v>
      </c>
      <c r="X43" s="52">
        <f t="shared" ca="1" si="5"/>
        <v>2</v>
      </c>
      <c r="Y43" s="52" t="str">
        <f t="shared" si="6"/>
        <v>2015</v>
      </c>
      <c r="Z43" s="52" t="str">
        <f t="shared" si="7"/>
        <v>1</v>
      </c>
      <c r="AA43" s="52">
        <f t="shared" ca="1" si="8"/>
        <v>1</v>
      </c>
      <c r="AB43" s="52">
        <f t="shared" si="9"/>
        <v>5</v>
      </c>
      <c r="AC43" s="52" t="s">
        <v>325</v>
      </c>
      <c r="AD43" s="52" t="str">
        <f t="shared" si="10"/>
        <v>9</v>
      </c>
      <c r="AE43" s="52" t="str">
        <f t="shared" si="11"/>
        <v>12014r2</v>
      </c>
      <c r="AF43" s="52" t="str">
        <f t="shared" si="12"/>
        <v>999999</v>
      </c>
      <c r="AG43" s="52" t="str">
        <f t="shared" si="13"/>
        <v>T</v>
      </c>
      <c r="AH43" s="52" t="str">
        <f t="shared" si="13"/>
        <v>T</v>
      </c>
    </row>
    <row r="44" spans="1:34" x14ac:dyDescent="0.25">
      <c r="B44" s="52">
        <v>41</v>
      </c>
      <c r="C44" s="52">
        <v>1</v>
      </c>
      <c r="D44" s="52" t="s">
        <v>91</v>
      </c>
      <c r="E44" s="52" t="s">
        <v>93</v>
      </c>
      <c r="H44" s="54">
        <f t="shared" ca="1" si="0"/>
        <v>41640</v>
      </c>
      <c r="I44" s="52" t="s">
        <v>294</v>
      </c>
      <c r="J44" s="52" t="s">
        <v>90</v>
      </c>
      <c r="K44" s="55">
        <f t="shared" ca="1" si="1"/>
        <v>42370</v>
      </c>
      <c r="L44" s="52">
        <v>20144</v>
      </c>
      <c r="M44" s="30">
        <f>INDEX(barèmes!$D$2:$E$311,MATCH(T44,barèmes!$D$2:$D$311,0),2)</f>
        <v>367.94</v>
      </c>
      <c r="N44" s="61">
        <v>20151</v>
      </c>
      <c r="O44" s="30">
        <f>INDEX(barèmes!$D$2:$E$311,MATCH(U44,barèmes!$D$2:$D$311,0),2)</f>
        <v>0</v>
      </c>
      <c r="P44" s="52">
        <v>1</v>
      </c>
      <c r="Q44" s="52">
        <v>1</v>
      </c>
      <c r="R44" s="52">
        <f t="shared" ca="1" si="2"/>
        <v>2016</v>
      </c>
      <c r="S44" s="52">
        <v>0</v>
      </c>
      <c r="T44" s="59" t="s">
        <v>327</v>
      </c>
      <c r="U44" s="59" t="s">
        <v>317</v>
      </c>
      <c r="V44" s="52" t="str">
        <f t="shared" si="3"/>
        <v>2014</v>
      </c>
      <c r="W44" s="52" t="str">
        <f t="shared" si="4"/>
        <v>4</v>
      </c>
      <c r="X44" s="52">
        <f t="shared" ca="1" si="5"/>
        <v>2</v>
      </c>
      <c r="Y44" s="52" t="str">
        <f t="shared" si="6"/>
        <v>2015</v>
      </c>
      <c r="Z44" s="52" t="str">
        <f t="shared" si="7"/>
        <v>1</v>
      </c>
      <c r="AA44" s="52">
        <f t="shared" ca="1" si="8"/>
        <v>1</v>
      </c>
      <c r="AB44" s="52">
        <f t="shared" si="9"/>
        <v>5</v>
      </c>
      <c r="AC44" s="52" t="s">
        <v>325</v>
      </c>
      <c r="AD44" s="52" t="str">
        <f t="shared" si="10"/>
        <v>9</v>
      </c>
      <c r="AE44" s="52" t="str">
        <f t="shared" si="11"/>
        <v>12014r2</v>
      </c>
      <c r="AF44" s="52" t="str">
        <f t="shared" si="12"/>
        <v>999999</v>
      </c>
      <c r="AG44" s="52" t="str">
        <f t="shared" si="13"/>
        <v>T</v>
      </c>
      <c r="AH44" s="52" t="str">
        <f t="shared" si="13"/>
        <v>T</v>
      </c>
    </row>
    <row r="45" spans="1:34" x14ac:dyDescent="0.25">
      <c r="B45" s="52">
        <v>42</v>
      </c>
      <c r="C45" s="52">
        <v>1</v>
      </c>
      <c r="D45" s="52" t="s">
        <v>91</v>
      </c>
      <c r="E45" s="52" t="s">
        <v>93</v>
      </c>
      <c r="H45" s="54">
        <f t="shared" ca="1" si="0"/>
        <v>41640</v>
      </c>
      <c r="I45" s="52" t="s">
        <v>294</v>
      </c>
      <c r="J45" s="52" t="s">
        <v>90</v>
      </c>
      <c r="K45" s="55">
        <f t="shared" ca="1" si="1"/>
        <v>42716</v>
      </c>
      <c r="L45" s="52">
        <v>20153</v>
      </c>
      <c r="M45" s="30">
        <f>INDEX(barèmes!$D$2:$E$311,MATCH(T45,barèmes!$D$2:$D$311,0),2)</f>
        <v>376.7</v>
      </c>
      <c r="N45" s="61">
        <v>20154</v>
      </c>
      <c r="O45" s="30">
        <f>INDEX(barèmes!$D$2:$E$311,MATCH(U45,barèmes!$D$2:$D$311,0),2)</f>
        <v>0</v>
      </c>
      <c r="P45" s="52">
        <v>12</v>
      </c>
      <c r="Q45" s="52">
        <v>12</v>
      </c>
      <c r="R45" s="52">
        <f t="shared" ca="1" si="2"/>
        <v>2016</v>
      </c>
      <c r="S45" s="52">
        <v>0</v>
      </c>
      <c r="T45" s="59" t="s">
        <v>329</v>
      </c>
      <c r="U45" s="59" t="s">
        <v>317</v>
      </c>
      <c r="V45" s="52" t="str">
        <f t="shared" si="3"/>
        <v>2015</v>
      </c>
      <c r="W45" s="52" t="str">
        <f t="shared" si="4"/>
        <v>3</v>
      </c>
      <c r="X45" s="52">
        <f t="shared" ca="1" si="5"/>
        <v>1</v>
      </c>
      <c r="Y45" s="52" t="str">
        <f t="shared" si="6"/>
        <v>2015</v>
      </c>
      <c r="Z45" s="52" t="str">
        <f t="shared" si="7"/>
        <v>4</v>
      </c>
      <c r="AA45" s="52">
        <f t="shared" ca="1" si="8"/>
        <v>1</v>
      </c>
      <c r="AB45" s="52">
        <f t="shared" si="9"/>
        <v>5</v>
      </c>
      <c r="AC45" s="52" t="s">
        <v>326</v>
      </c>
      <c r="AD45" s="52" t="str">
        <f t="shared" si="10"/>
        <v>9</v>
      </c>
      <c r="AE45" s="52" t="str">
        <f t="shared" si="11"/>
        <v>12015r3</v>
      </c>
      <c r="AF45" s="52" t="str">
        <f t="shared" si="12"/>
        <v>999999</v>
      </c>
      <c r="AG45" s="52" t="str">
        <f t="shared" si="13"/>
        <v>T</v>
      </c>
      <c r="AH45" s="52" t="str">
        <f t="shared" si="13"/>
        <v>T</v>
      </c>
    </row>
    <row r="46" spans="1:34" x14ac:dyDescent="0.25">
      <c r="A46" s="52" t="s">
        <v>293</v>
      </c>
      <c r="B46" s="52" t="s">
        <v>399</v>
      </c>
      <c r="C46" s="52" t="s">
        <v>290</v>
      </c>
      <c r="D46" s="52" t="s">
        <v>92</v>
      </c>
      <c r="E46" s="52" t="s">
        <v>285</v>
      </c>
      <c r="F46" s="52" t="s">
        <v>292</v>
      </c>
      <c r="G46" s="52" t="s">
        <v>286</v>
      </c>
      <c r="H46" s="54" t="s">
        <v>296</v>
      </c>
      <c r="I46" s="52" t="s">
        <v>298</v>
      </c>
      <c r="J46" s="52" t="s">
        <v>299</v>
      </c>
      <c r="K46" s="55" t="s">
        <v>297</v>
      </c>
      <c r="L46" s="52" t="s">
        <v>305</v>
      </c>
      <c r="M46" s="30" t="s">
        <v>306</v>
      </c>
      <c r="N46" s="61" t="s">
        <v>307</v>
      </c>
      <c r="O46" s="30" t="s">
        <v>308</v>
      </c>
      <c r="P46" s="52" t="s">
        <v>287</v>
      </c>
      <c r="Q46" s="52" t="s">
        <v>288</v>
      </c>
      <c r="R46" s="52" t="s">
        <v>289</v>
      </c>
      <c r="S46" s="52" t="s">
        <v>295</v>
      </c>
      <c r="T46" s="59" t="s">
        <v>309</v>
      </c>
      <c r="U46" s="59" t="s">
        <v>310</v>
      </c>
      <c r="AE46" s="59" t="s">
        <v>309</v>
      </c>
      <c r="AF46" s="59" t="s">
        <v>310</v>
      </c>
    </row>
    <row r="47" spans="1:34" x14ac:dyDescent="0.25">
      <c r="B47" s="52">
        <v>1</v>
      </c>
      <c r="C47" s="52">
        <v>4</v>
      </c>
      <c r="D47" s="52" t="s">
        <v>91</v>
      </c>
      <c r="H47" s="54">
        <f ca="1">DATE($R47-2,1,1)</f>
        <v>41640</v>
      </c>
      <c r="I47" s="52" t="s">
        <v>291</v>
      </c>
      <c r="K47" s="55">
        <f ca="1">DATE($R47-$S47,$Q47,$P47)</f>
        <v>42005</v>
      </c>
      <c r="L47" s="52">
        <v>20134</v>
      </c>
      <c r="M47" s="30">
        <f>INDEX(barèmes!$D$2:$E$311,MATCH(T47,barèmes!$D$2:$D$311,0),2)</f>
        <v>75.59</v>
      </c>
      <c r="N47" s="61">
        <v>20151</v>
      </c>
      <c r="O47" s="30">
        <f>INDEX(barèmes!$D$2:$E$311,MATCH(U47,barèmes!$D$2:$D$311,0),2)</f>
        <v>702.39</v>
      </c>
      <c r="P47" s="52">
        <v>1</v>
      </c>
      <c r="Q47" s="52">
        <v>1</v>
      </c>
      <c r="R47" s="52">
        <f ca="1">YEAR(NOW())-1</f>
        <v>2016</v>
      </c>
      <c r="S47" s="52">
        <v>1</v>
      </c>
      <c r="T47" s="59" t="s">
        <v>337</v>
      </c>
      <c r="U47" s="59" t="s">
        <v>331</v>
      </c>
      <c r="V47" s="52" t="str">
        <f t="shared" si="3"/>
        <v>2013</v>
      </c>
      <c r="W47" s="52" t="str">
        <f t="shared" si="4"/>
        <v>4</v>
      </c>
      <c r="X47" s="52">
        <f t="shared" ca="1" si="5"/>
        <v>3</v>
      </c>
      <c r="Y47" s="52" t="str">
        <f t="shared" si="6"/>
        <v>2015</v>
      </c>
      <c r="Z47" s="52" t="str">
        <f t="shared" si="7"/>
        <v>1</v>
      </c>
      <c r="AA47" s="52">
        <f t="shared" ca="1" si="8"/>
        <v>1</v>
      </c>
      <c r="AB47" s="52">
        <f t="shared" si="9"/>
        <v>1</v>
      </c>
      <c r="AC47" s="52" t="str">
        <f t="shared" si="10"/>
        <v>1</v>
      </c>
      <c r="AD47" s="52" t="str">
        <f t="shared" si="10"/>
        <v>2</v>
      </c>
      <c r="AE47" s="52" t="str">
        <f t="shared" si="11"/>
        <v>420131</v>
      </c>
      <c r="AF47" s="52" t="str">
        <f t="shared" si="12"/>
        <v>120152</v>
      </c>
      <c r="AG47" s="52" t="str">
        <f t="shared" si="13"/>
        <v>T</v>
      </c>
      <c r="AH47" s="52" t="str">
        <f t="shared" si="13"/>
        <v>T</v>
      </c>
    </row>
    <row r="48" spans="1:34" x14ac:dyDescent="0.25">
      <c r="B48" s="52">
        <v>2</v>
      </c>
      <c r="C48" s="52">
        <v>4</v>
      </c>
      <c r="D48" s="52" t="s">
        <v>91</v>
      </c>
      <c r="H48" s="54">
        <f t="shared" ref="H48:H50" ca="1" si="14">DATE($R48-2,1,1)</f>
        <v>41640</v>
      </c>
      <c r="I48" s="52" t="s">
        <v>291</v>
      </c>
      <c r="K48" s="55">
        <f t="shared" ref="K48:K50" ca="1" si="15">DATE($R48-$S48,$Q48,$P48)</f>
        <v>42186</v>
      </c>
      <c r="L48" s="52">
        <v>20142</v>
      </c>
      <c r="M48" s="30">
        <f>INDEX(barèmes!$D$2:$E$311,MATCH(T48,barèmes!$D$2:$D$311,0),2)</f>
        <v>77.7</v>
      </c>
      <c r="N48" s="61">
        <v>20151</v>
      </c>
      <c r="O48" s="30">
        <f>INDEX(barèmes!$D$2:$E$311,MATCH(U48,barèmes!$D$2:$D$311,0),2)</f>
        <v>685.66</v>
      </c>
      <c r="P48" s="52">
        <v>1</v>
      </c>
      <c r="Q48" s="52">
        <v>7</v>
      </c>
      <c r="R48" s="52">
        <f t="shared" ref="R48:R111" ca="1" si="16">YEAR(NOW())-1</f>
        <v>2016</v>
      </c>
      <c r="S48" s="52">
        <v>1</v>
      </c>
      <c r="T48" s="59" t="s">
        <v>330</v>
      </c>
      <c r="U48" s="59" t="s">
        <v>332</v>
      </c>
      <c r="V48" s="52" t="str">
        <f t="shared" si="3"/>
        <v>2014</v>
      </c>
      <c r="W48" s="52" t="str">
        <f t="shared" si="4"/>
        <v>2</v>
      </c>
      <c r="X48" s="52">
        <f t="shared" ca="1" si="5"/>
        <v>2</v>
      </c>
      <c r="Y48" s="52" t="str">
        <f t="shared" si="6"/>
        <v>2015</v>
      </c>
      <c r="Z48" s="52" t="str">
        <f t="shared" si="7"/>
        <v>1</v>
      </c>
      <c r="AA48" s="52">
        <f t="shared" ca="1" si="8"/>
        <v>1</v>
      </c>
      <c r="AB48" s="52">
        <f t="shared" si="9"/>
        <v>1</v>
      </c>
      <c r="AC48" s="52" t="str">
        <f t="shared" si="10"/>
        <v>2</v>
      </c>
      <c r="AD48" s="52" t="str">
        <f t="shared" si="10"/>
        <v>1</v>
      </c>
      <c r="AE48" s="52" t="str">
        <f t="shared" si="11"/>
        <v>420142</v>
      </c>
      <c r="AF48" s="52" t="str">
        <f t="shared" si="12"/>
        <v>120151</v>
      </c>
      <c r="AG48" s="52" t="str">
        <f t="shared" si="13"/>
        <v>T</v>
      </c>
      <c r="AH48" s="52" t="str">
        <f t="shared" si="13"/>
        <v>T</v>
      </c>
    </row>
    <row r="49" spans="2:34" x14ac:dyDescent="0.25">
      <c r="B49" s="52">
        <v>3</v>
      </c>
      <c r="C49" s="52">
        <v>4</v>
      </c>
      <c r="D49" s="52" t="s">
        <v>91</v>
      </c>
      <c r="H49" s="54">
        <f t="shared" ca="1" si="14"/>
        <v>41640</v>
      </c>
      <c r="I49" s="52" t="s">
        <v>291</v>
      </c>
      <c r="K49" s="55">
        <f t="shared" ca="1" si="15"/>
        <v>42370</v>
      </c>
      <c r="L49" s="52">
        <v>20144</v>
      </c>
      <c r="M49" s="30">
        <f>INDEX(barèmes!$D$2:$E$311,MATCH(T49,barèmes!$D$2:$D$311,0),2)</f>
        <v>77.7</v>
      </c>
      <c r="N49" s="61">
        <v>20151</v>
      </c>
      <c r="O49" s="30">
        <f>INDEX(barèmes!$D$2:$E$311,MATCH(U49,barèmes!$D$2:$D$311,0),2)</f>
        <v>719.12</v>
      </c>
      <c r="P49" s="52">
        <v>1</v>
      </c>
      <c r="Q49" s="52">
        <v>1</v>
      </c>
      <c r="R49" s="52">
        <f t="shared" ca="1" si="16"/>
        <v>2016</v>
      </c>
      <c r="S49" s="52">
        <v>0</v>
      </c>
      <c r="T49" s="59" t="s">
        <v>330</v>
      </c>
      <c r="U49" s="59" t="s">
        <v>304</v>
      </c>
      <c r="V49" s="52" t="str">
        <f t="shared" si="3"/>
        <v>2014</v>
      </c>
      <c r="W49" s="52" t="str">
        <f t="shared" si="4"/>
        <v>4</v>
      </c>
      <c r="X49" s="52">
        <f t="shared" ca="1" si="5"/>
        <v>2</v>
      </c>
      <c r="Y49" s="52" t="str">
        <f t="shared" si="6"/>
        <v>2015</v>
      </c>
      <c r="Z49" s="52" t="str">
        <f t="shared" si="7"/>
        <v>1</v>
      </c>
      <c r="AA49" s="52">
        <f t="shared" ca="1" si="8"/>
        <v>1</v>
      </c>
      <c r="AB49" s="52">
        <f t="shared" si="9"/>
        <v>1</v>
      </c>
      <c r="AC49" s="52" t="str">
        <f t="shared" si="10"/>
        <v>2</v>
      </c>
      <c r="AD49" s="52" t="str">
        <f t="shared" si="10"/>
        <v>3</v>
      </c>
      <c r="AE49" s="52" t="str">
        <f t="shared" si="11"/>
        <v>420142</v>
      </c>
      <c r="AF49" s="52" t="str">
        <f t="shared" si="12"/>
        <v>120153</v>
      </c>
      <c r="AG49" s="52" t="str">
        <f t="shared" si="13"/>
        <v>T</v>
      </c>
      <c r="AH49" s="52" t="str">
        <f t="shared" si="13"/>
        <v>T</v>
      </c>
    </row>
    <row r="50" spans="2:34" x14ac:dyDescent="0.25">
      <c r="B50" s="52">
        <v>4</v>
      </c>
      <c r="C50" s="52">
        <v>4</v>
      </c>
      <c r="D50" s="52" t="s">
        <v>91</v>
      </c>
      <c r="H50" s="54">
        <f t="shared" ca="1" si="14"/>
        <v>41640</v>
      </c>
      <c r="I50" s="52" t="s">
        <v>291</v>
      </c>
      <c r="K50" s="55">
        <f t="shared" ca="1" si="15"/>
        <v>42716</v>
      </c>
      <c r="L50" s="52">
        <v>20153</v>
      </c>
      <c r="M50" s="30">
        <f>INDEX(barèmes!$D$2:$E$311,MATCH(T50,barèmes!$D$2:$D$311,0),2)</f>
        <v>79.55</v>
      </c>
      <c r="N50" s="61">
        <v>20154</v>
      </c>
      <c r="O50" s="30">
        <f>INDEX(barèmes!$D$2:$E$311,MATCH(U50,barèmes!$D$2:$D$311,0),2)</f>
        <v>719.12</v>
      </c>
      <c r="P50" s="52">
        <v>12</v>
      </c>
      <c r="Q50" s="52">
        <v>12</v>
      </c>
      <c r="R50" s="52">
        <f t="shared" ca="1" si="16"/>
        <v>2016</v>
      </c>
      <c r="S50" s="52">
        <v>0</v>
      </c>
      <c r="T50" s="59" t="s">
        <v>316</v>
      </c>
      <c r="U50" s="59" t="s">
        <v>304</v>
      </c>
      <c r="V50" s="52" t="str">
        <f t="shared" si="3"/>
        <v>2015</v>
      </c>
      <c r="W50" s="52" t="str">
        <f t="shared" si="4"/>
        <v>3</v>
      </c>
      <c r="X50" s="52">
        <f t="shared" ca="1" si="5"/>
        <v>1</v>
      </c>
      <c r="Y50" s="52" t="str">
        <f t="shared" si="6"/>
        <v>2015</v>
      </c>
      <c r="Z50" s="52" t="str">
        <f t="shared" si="7"/>
        <v>4</v>
      </c>
      <c r="AA50" s="52">
        <f t="shared" ca="1" si="8"/>
        <v>1</v>
      </c>
      <c r="AB50" s="52">
        <f t="shared" si="9"/>
        <v>1</v>
      </c>
      <c r="AC50" s="52" t="str">
        <f t="shared" si="10"/>
        <v>3</v>
      </c>
      <c r="AD50" s="52" t="str">
        <f t="shared" si="10"/>
        <v>3</v>
      </c>
      <c r="AE50" s="52" t="str">
        <f t="shared" si="11"/>
        <v>420153</v>
      </c>
      <c r="AF50" s="52" t="str">
        <f t="shared" si="12"/>
        <v>120153</v>
      </c>
      <c r="AG50" s="52" t="str">
        <f t="shared" si="13"/>
        <v>T</v>
      </c>
      <c r="AH50" s="52" t="str">
        <f t="shared" si="13"/>
        <v>T</v>
      </c>
    </row>
    <row r="51" spans="2:34" x14ac:dyDescent="0.25">
      <c r="B51" s="52">
        <v>5</v>
      </c>
      <c r="C51" s="52">
        <v>4</v>
      </c>
      <c r="D51" s="52" t="s">
        <v>91</v>
      </c>
      <c r="H51" s="54">
        <f ca="1">DATE($R51-2,1,1)</f>
        <v>41640</v>
      </c>
      <c r="I51" s="52" t="s">
        <v>291</v>
      </c>
      <c r="J51" s="52" t="s">
        <v>90</v>
      </c>
      <c r="K51" s="55">
        <f ca="1">DATE($R51-$S51,$Q51,$P51)</f>
        <v>42005</v>
      </c>
      <c r="L51" s="52">
        <v>20134</v>
      </c>
      <c r="M51" s="30">
        <f>INDEX(barèmes!$D$2:$E$311,MATCH(T51,barèmes!$D$2:$D$311,0),2)</f>
        <v>75.59</v>
      </c>
      <c r="N51" s="61">
        <v>20151</v>
      </c>
      <c r="O51" s="30">
        <f>INDEX(barèmes!$D$2:$E$311,MATCH(U51,barèmes!$D$2:$D$311,0),2)</f>
        <v>0</v>
      </c>
      <c r="P51" s="52">
        <v>1</v>
      </c>
      <c r="Q51" s="52">
        <v>1</v>
      </c>
      <c r="R51" s="52">
        <f t="shared" ca="1" si="16"/>
        <v>2016</v>
      </c>
      <c r="S51" s="52">
        <v>1</v>
      </c>
      <c r="T51" s="59" t="s">
        <v>337</v>
      </c>
      <c r="U51" s="59" t="s">
        <v>317</v>
      </c>
      <c r="V51" s="52" t="str">
        <f t="shared" si="3"/>
        <v>2013</v>
      </c>
      <c r="W51" s="52" t="str">
        <f t="shared" si="4"/>
        <v>4</v>
      </c>
      <c r="X51" s="52">
        <f t="shared" ca="1" si="5"/>
        <v>3</v>
      </c>
      <c r="Y51" s="52" t="str">
        <f t="shared" si="6"/>
        <v>2015</v>
      </c>
      <c r="Z51" s="52" t="str">
        <f t="shared" si="7"/>
        <v>1</v>
      </c>
      <c r="AA51" s="52">
        <f t="shared" ca="1" si="8"/>
        <v>1</v>
      </c>
      <c r="AB51" s="52">
        <f t="shared" si="9"/>
        <v>1</v>
      </c>
      <c r="AC51" s="52" t="str">
        <f t="shared" si="10"/>
        <v>1</v>
      </c>
      <c r="AD51" s="52" t="str">
        <f t="shared" si="10"/>
        <v>9</v>
      </c>
      <c r="AE51" s="52" t="str">
        <f t="shared" si="11"/>
        <v>420131</v>
      </c>
      <c r="AF51" s="52" t="str">
        <f t="shared" si="12"/>
        <v>999999</v>
      </c>
      <c r="AG51" s="52" t="str">
        <f t="shared" si="13"/>
        <v>T</v>
      </c>
      <c r="AH51" s="52" t="str">
        <f t="shared" si="13"/>
        <v>T</v>
      </c>
    </row>
    <row r="52" spans="2:34" x14ac:dyDescent="0.25">
      <c r="B52" s="52">
        <v>6</v>
      </c>
      <c r="C52" s="52">
        <v>4</v>
      </c>
      <c r="D52" s="52" t="s">
        <v>91</v>
      </c>
      <c r="H52" s="54">
        <f t="shared" ref="H52:H54" ca="1" si="17">DATE($R52-2,1,1)</f>
        <v>41640</v>
      </c>
      <c r="I52" s="52" t="s">
        <v>291</v>
      </c>
      <c r="J52" s="52" t="s">
        <v>90</v>
      </c>
      <c r="K52" s="55">
        <f t="shared" ref="K52:K54" ca="1" si="18">DATE($R52-$S52,$Q52,$P52)</f>
        <v>42186</v>
      </c>
      <c r="L52" s="52">
        <v>20142</v>
      </c>
      <c r="M52" s="30">
        <f>INDEX(barèmes!$D$2:$E$311,MATCH(T52,barèmes!$D$2:$D$311,0),2)</f>
        <v>77.7</v>
      </c>
      <c r="N52" s="61">
        <v>20151</v>
      </c>
      <c r="O52" s="30">
        <f>INDEX(barèmes!$D$2:$E$311,MATCH(U52,barèmes!$D$2:$D$311,0),2)</f>
        <v>0</v>
      </c>
      <c r="P52" s="52">
        <v>1</v>
      </c>
      <c r="Q52" s="52">
        <v>7</v>
      </c>
      <c r="R52" s="52">
        <f t="shared" ca="1" si="16"/>
        <v>2016</v>
      </c>
      <c r="S52" s="52">
        <v>1</v>
      </c>
      <c r="T52" s="59" t="s">
        <v>330</v>
      </c>
      <c r="U52" s="59" t="s">
        <v>317</v>
      </c>
      <c r="V52" s="52" t="str">
        <f t="shared" si="3"/>
        <v>2014</v>
      </c>
      <c r="W52" s="52" t="str">
        <f t="shared" si="4"/>
        <v>2</v>
      </c>
      <c r="X52" s="52">
        <f t="shared" ca="1" si="5"/>
        <v>2</v>
      </c>
      <c r="Y52" s="52" t="str">
        <f t="shared" si="6"/>
        <v>2015</v>
      </c>
      <c r="Z52" s="52" t="str">
        <f t="shared" si="7"/>
        <v>1</v>
      </c>
      <c r="AA52" s="52">
        <f t="shared" ca="1" si="8"/>
        <v>1</v>
      </c>
      <c r="AB52" s="52">
        <f t="shared" si="9"/>
        <v>1</v>
      </c>
      <c r="AC52" s="52" t="str">
        <f t="shared" si="10"/>
        <v>2</v>
      </c>
      <c r="AD52" s="52" t="str">
        <f t="shared" si="10"/>
        <v>9</v>
      </c>
      <c r="AE52" s="52" t="str">
        <f t="shared" si="11"/>
        <v>420142</v>
      </c>
      <c r="AF52" s="52" t="str">
        <f t="shared" si="12"/>
        <v>999999</v>
      </c>
      <c r="AG52" s="52" t="str">
        <f t="shared" si="13"/>
        <v>T</v>
      </c>
      <c r="AH52" s="52" t="str">
        <f t="shared" si="13"/>
        <v>T</v>
      </c>
    </row>
    <row r="53" spans="2:34" x14ac:dyDescent="0.25">
      <c r="B53" s="52">
        <v>7</v>
      </c>
      <c r="C53" s="52">
        <v>4</v>
      </c>
      <c r="D53" s="52" t="s">
        <v>91</v>
      </c>
      <c r="H53" s="54">
        <f t="shared" ca="1" si="17"/>
        <v>41640</v>
      </c>
      <c r="I53" s="52" t="s">
        <v>291</v>
      </c>
      <c r="J53" s="52" t="s">
        <v>90</v>
      </c>
      <c r="K53" s="55">
        <f t="shared" ca="1" si="18"/>
        <v>42370</v>
      </c>
      <c r="L53" s="52">
        <v>20144</v>
      </c>
      <c r="M53" s="30">
        <f>INDEX(barèmes!$D$2:$E$311,MATCH(T53,barèmes!$D$2:$D$311,0),2)</f>
        <v>77.7</v>
      </c>
      <c r="N53" s="61">
        <v>20151</v>
      </c>
      <c r="O53" s="30">
        <f>INDEX(barèmes!$D$2:$E$311,MATCH(U53,barèmes!$D$2:$D$311,0),2)</f>
        <v>0</v>
      </c>
      <c r="P53" s="52">
        <v>1</v>
      </c>
      <c r="Q53" s="52">
        <v>1</v>
      </c>
      <c r="R53" s="52">
        <f t="shared" ca="1" si="16"/>
        <v>2016</v>
      </c>
      <c r="S53" s="52">
        <v>0</v>
      </c>
      <c r="T53" s="59" t="s">
        <v>330</v>
      </c>
      <c r="U53" s="59" t="s">
        <v>317</v>
      </c>
      <c r="V53" s="52" t="str">
        <f t="shared" si="3"/>
        <v>2014</v>
      </c>
      <c r="W53" s="52" t="str">
        <f t="shared" si="4"/>
        <v>4</v>
      </c>
      <c r="X53" s="52">
        <f t="shared" ca="1" si="5"/>
        <v>2</v>
      </c>
      <c r="Y53" s="52" t="str">
        <f t="shared" si="6"/>
        <v>2015</v>
      </c>
      <c r="Z53" s="52" t="str">
        <f t="shared" si="7"/>
        <v>1</v>
      </c>
      <c r="AA53" s="52">
        <f t="shared" ca="1" si="8"/>
        <v>1</v>
      </c>
      <c r="AB53" s="52">
        <f t="shared" si="9"/>
        <v>1</v>
      </c>
      <c r="AC53" s="52" t="str">
        <f t="shared" si="10"/>
        <v>2</v>
      </c>
      <c r="AD53" s="52" t="str">
        <f t="shared" si="10"/>
        <v>9</v>
      </c>
      <c r="AE53" s="52" t="str">
        <f t="shared" si="11"/>
        <v>420142</v>
      </c>
      <c r="AF53" s="52" t="str">
        <f t="shared" si="12"/>
        <v>999999</v>
      </c>
      <c r="AG53" s="52" t="str">
        <f t="shared" si="13"/>
        <v>T</v>
      </c>
      <c r="AH53" s="52" t="str">
        <f t="shared" si="13"/>
        <v>T</v>
      </c>
    </row>
    <row r="54" spans="2:34" x14ac:dyDescent="0.25">
      <c r="B54" s="52">
        <v>8</v>
      </c>
      <c r="C54" s="52">
        <v>4</v>
      </c>
      <c r="D54" s="52" t="s">
        <v>91</v>
      </c>
      <c r="H54" s="54">
        <f t="shared" ca="1" si="17"/>
        <v>41640</v>
      </c>
      <c r="I54" s="52" t="s">
        <v>291</v>
      </c>
      <c r="J54" s="52" t="s">
        <v>90</v>
      </c>
      <c r="K54" s="55">
        <f t="shared" ca="1" si="18"/>
        <v>42716</v>
      </c>
      <c r="L54" s="52">
        <v>20153</v>
      </c>
      <c r="M54" s="30">
        <f>INDEX(barèmes!$D$2:$E$311,MATCH(T54,barèmes!$D$2:$D$311,0),2)</f>
        <v>79.55</v>
      </c>
      <c r="N54" s="61">
        <v>20154</v>
      </c>
      <c r="O54" s="30">
        <f>INDEX(barèmes!$D$2:$E$311,MATCH(U54,barèmes!$D$2:$D$311,0),2)</f>
        <v>0</v>
      </c>
      <c r="P54" s="52">
        <v>12</v>
      </c>
      <c r="Q54" s="52">
        <v>12</v>
      </c>
      <c r="R54" s="52">
        <f t="shared" ca="1" si="16"/>
        <v>2016</v>
      </c>
      <c r="S54" s="52">
        <v>0</v>
      </c>
      <c r="T54" s="59" t="s">
        <v>316</v>
      </c>
      <c r="U54" s="59" t="s">
        <v>317</v>
      </c>
      <c r="V54" s="52" t="str">
        <f t="shared" si="3"/>
        <v>2015</v>
      </c>
      <c r="W54" s="52" t="str">
        <f t="shared" si="4"/>
        <v>3</v>
      </c>
      <c r="X54" s="52">
        <f t="shared" ca="1" si="5"/>
        <v>1</v>
      </c>
      <c r="Y54" s="52" t="str">
        <f t="shared" si="6"/>
        <v>2015</v>
      </c>
      <c r="Z54" s="52" t="str">
        <f t="shared" si="7"/>
        <v>4</v>
      </c>
      <c r="AA54" s="52">
        <f t="shared" ca="1" si="8"/>
        <v>1</v>
      </c>
      <c r="AB54" s="52">
        <f t="shared" si="9"/>
        <v>1</v>
      </c>
      <c r="AC54" s="52" t="str">
        <f t="shared" si="10"/>
        <v>3</v>
      </c>
      <c r="AD54" s="52" t="str">
        <f t="shared" si="10"/>
        <v>9</v>
      </c>
      <c r="AE54" s="52" t="str">
        <f t="shared" si="11"/>
        <v>420153</v>
      </c>
      <c r="AF54" s="52" t="str">
        <f t="shared" si="12"/>
        <v>999999</v>
      </c>
      <c r="AG54" s="52" t="str">
        <f t="shared" si="13"/>
        <v>T</v>
      </c>
      <c r="AH54" s="52" t="str">
        <f t="shared" si="13"/>
        <v>T</v>
      </c>
    </row>
    <row r="55" spans="2:34" x14ac:dyDescent="0.25">
      <c r="B55" s="52">
        <v>9</v>
      </c>
      <c r="C55" s="52">
        <v>4</v>
      </c>
      <c r="D55" s="52" t="s">
        <v>91</v>
      </c>
      <c r="H55" s="54">
        <f ca="1">DATE($R55-2,1,1)</f>
        <v>41640</v>
      </c>
      <c r="I55" s="52" t="s">
        <v>291</v>
      </c>
      <c r="J55" s="52" t="s">
        <v>93</v>
      </c>
      <c r="K55" s="55">
        <f ca="1">DATE($R55-$S55,$Q55,$P55)</f>
        <v>42005</v>
      </c>
      <c r="L55" s="52">
        <v>20141</v>
      </c>
      <c r="M55" s="30">
        <f>INDEX(barèmes!$D$2:$E$311,MATCH(T55,barèmes!$D$2:$D$311,0),2)</f>
        <v>77.7</v>
      </c>
      <c r="N55" s="61">
        <v>20151</v>
      </c>
      <c r="O55" s="30">
        <f>INDEX(barèmes!$D$2:$E$311,MATCH(U55,barèmes!$D$2:$D$311,0),2)</f>
        <v>367.94</v>
      </c>
      <c r="P55" s="52">
        <v>1</v>
      </c>
      <c r="Q55" s="52">
        <v>1</v>
      </c>
      <c r="R55" s="52">
        <f t="shared" ca="1" si="16"/>
        <v>2016</v>
      </c>
      <c r="S55" s="52">
        <v>1</v>
      </c>
      <c r="T55" s="59" t="s">
        <v>330</v>
      </c>
      <c r="U55" s="59" t="s">
        <v>333</v>
      </c>
      <c r="V55" s="52" t="str">
        <f t="shared" si="3"/>
        <v>2014</v>
      </c>
      <c r="W55" s="52" t="str">
        <f t="shared" si="4"/>
        <v>1</v>
      </c>
      <c r="X55" s="52">
        <f t="shared" ca="1" si="5"/>
        <v>2</v>
      </c>
      <c r="Y55" s="52" t="str">
        <f t="shared" si="6"/>
        <v>2015</v>
      </c>
      <c r="Z55" s="52" t="str">
        <f t="shared" si="7"/>
        <v>1</v>
      </c>
      <c r="AA55" s="52">
        <f t="shared" ca="1" si="8"/>
        <v>1</v>
      </c>
      <c r="AB55" s="52">
        <f t="shared" si="9"/>
        <v>1</v>
      </c>
      <c r="AC55" s="52" t="str">
        <f t="shared" si="10"/>
        <v>2</v>
      </c>
      <c r="AD55" s="52" t="s">
        <v>325</v>
      </c>
      <c r="AE55" s="52" t="str">
        <f t="shared" si="11"/>
        <v>420142</v>
      </c>
      <c r="AF55" s="52" t="str">
        <f t="shared" si="12"/>
        <v>12015r2</v>
      </c>
      <c r="AG55" s="52" t="str">
        <f t="shared" si="13"/>
        <v>T</v>
      </c>
      <c r="AH55" s="52" t="str">
        <f t="shared" si="13"/>
        <v>T</v>
      </c>
    </row>
    <row r="56" spans="2:34" x14ac:dyDescent="0.25">
      <c r="B56" s="52">
        <v>10</v>
      </c>
      <c r="C56" s="52">
        <v>4</v>
      </c>
      <c r="D56" s="52" t="s">
        <v>91</v>
      </c>
      <c r="H56" s="54">
        <f t="shared" ref="H56:H66" ca="1" si="19">DATE($R56-2,1,1)</f>
        <v>41640</v>
      </c>
      <c r="I56" s="52" t="s">
        <v>291</v>
      </c>
      <c r="J56" s="52" t="s">
        <v>93</v>
      </c>
      <c r="K56" s="55">
        <f t="shared" ref="K56:K66" ca="1" si="20">DATE($R56-$S56,$Q56,$P56)</f>
        <v>42186</v>
      </c>
      <c r="L56" s="52">
        <v>20142</v>
      </c>
      <c r="M56" s="30">
        <f>INDEX(barèmes!$D$2:$E$311,MATCH(T56,barèmes!$D$2:$D$311,0),2)</f>
        <v>77.7</v>
      </c>
      <c r="N56" s="61">
        <v>20151</v>
      </c>
      <c r="O56" s="30">
        <f>INDEX(barèmes!$D$2:$E$311,MATCH(U56,barèmes!$D$2:$D$311,0),2)</f>
        <v>359.18</v>
      </c>
      <c r="P56" s="52">
        <v>1</v>
      </c>
      <c r="Q56" s="52">
        <v>7</v>
      </c>
      <c r="R56" s="52">
        <f t="shared" ca="1" si="16"/>
        <v>2016</v>
      </c>
      <c r="S56" s="52">
        <v>1</v>
      </c>
      <c r="T56" s="59" t="s">
        <v>330</v>
      </c>
      <c r="U56" s="59" t="s">
        <v>334</v>
      </c>
      <c r="V56" s="52" t="str">
        <f t="shared" si="3"/>
        <v>2014</v>
      </c>
      <c r="W56" s="52" t="str">
        <f t="shared" si="4"/>
        <v>2</v>
      </c>
      <c r="X56" s="52">
        <f t="shared" ca="1" si="5"/>
        <v>2</v>
      </c>
      <c r="Y56" s="52" t="str">
        <f t="shared" si="6"/>
        <v>2015</v>
      </c>
      <c r="Z56" s="52" t="str">
        <f t="shared" si="7"/>
        <v>1</v>
      </c>
      <c r="AA56" s="52">
        <f t="shared" ca="1" si="8"/>
        <v>1</v>
      </c>
      <c r="AB56" s="52">
        <f t="shared" si="9"/>
        <v>1</v>
      </c>
      <c r="AC56" s="52" t="str">
        <f t="shared" si="10"/>
        <v>2</v>
      </c>
      <c r="AD56" s="52" t="s">
        <v>324</v>
      </c>
      <c r="AE56" s="52" t="str">
        <f t="shared" si="11"/>
        <v>420142</v>
      </c>
      <c r="AF56" s="52" t="str">
        <f t="shared" si="12"/>
        <v>12015r1</v>
      </c>
      <c r="AG56" s="52" t="str">
        <f t="shared" si="13"/>
        <v>T</v>
      </c>
      <c r="AH56" s="52" t="str">
        <f t="shared" si="13"/>
        <v>T</v>
      </c>
    </row>
    <row r="57" spans="2:34" x14ac:dyDescent="0.25">
      <c r="B57" s="52">
        <v>11</v>
      </c>
      <c r="C57" s="52">
        <v>4</v>
      </c>
      <c r="D57" s="52" t="s">
        <v>91</v>
      </c>
      <c r="H57" s="54">
        <f t="shared" ca="1" si="19"/>
        <v>41640</v>
      </c>
      <c r="I57" s="52" t="s">
        <v>291</v>
      </c>
      <c r="J57" s="52" t="s">
        <v>93</v>
      </c>
      <c r="K57" s="55">
        <f t="shared" ca="1" si="20"/>
        <v>42370</v>
      </c>
      <c r="L57" s="52">
        <v>20144</v>
      </c>
      <c r="M57" s="30">
        <f>INDEX(barèmes!$D$2:$E$311,MATCH(T57,barèmes!$D$2:$D$311,0),2)</f>
        <v>77.7</v>
      </c>
      <c r="N57" s="61">
        <v>20151</v>
      </c>
      <c r="O57" s="30">
        <f>INDEX(barèmes!$D$2:$E$311,MATCH(U57,barèmes!$D$2:$D$311,0),2)</f>
        <v>376.7</v>
      </c>
      <c r="P57" s="52">
        <v>1</v>
      </c>
      <c r="Q57" s="52">
        <v>1</v>
      </c>
      <c r="R57" s="52">
        <f t="shared" ca="1" si="16"/>
        <v>2016</v>
      </c>
      <c r="S57" s="52">
        <v>0</v>
      </c>
      <c r="T57" s="59" t="s">
        <v>330</v>
      </c>
      <c r="U57" s="59" t="s">
        <v>329</v>
      </c>
      <c r="V57" s="52" t="str">
        <f t="shared" si="3"/>
        <v>2014</v>
      </c>
      <c r="W57" s="52" t="str">
        <f t="shared" si="4"/>
        <v>4</v>
      </c>
      <c r="X57" s="52">
        <f t="shared" ca="1" si="5"/>
        <v>2</v>
      </c>
      <c r="Y57" s="52" t="str">
        <f t="shared" si="6"/>
        <v>2015</v>
      </c>
      <c r="Z57" s="52" t="str">
        <f t="shared" si="7"/>
        <v>1</v>
      </c>
      <c r="AA57" s="52">
        <f t="shared" ca="1" si="8"/>
        <v>1</v>
      </c>
      <c r="AB57" s="52">
        <f t="shared" si="9"/>
        <v>1</v>
      </c>
      <c r="AC57" s="52" t="str">
        <f t="shared" si="10"/>
        <v>2</v>
      </c>
      <c r="AD57" s="52" t="s">
        <v>326</v>
      </c>
      <c r="AE57" s="52" t="str">
        <f t="shared" si="11"/>
        <v>420142</v>
      </c>
      <c r="AF57" s="52" t="str">
        <f t="shared" si="12"/>
        <v>12015r3</v>
      </c>
      <c r="AG57" s="52" t="str">
        <f t="shared" si="13"/>
        <v>T</v>
      </c>
      <c r="AH57" s="52" t="str">
        <f t="shared" si="13"/>
        <v>T</v>
      </c>
    </row>
    <row r="58" spans="2:34" x14ac:dyDescent="0.25">
      <c r="B58" s="52">
        <v>12</v>
      </c>
      <c r="C58" s="52">
        <v>4</v>
      </c>
      <c r="D58" s="52" t="s">
        <v>91</v>
      </c>
      <c r="H58" s="54">
        <f t="shared" ca="1" si="19"/>
        <v>41640</v>
      </c>
      <c r="I58" s="52" t="s">
        <v>291</v>
      </c>
      <c r="J58" s="52" t="s">
        <v>93</v>
      </c>
      <c r="K58" s="55">
        <f t="shared" ca="1" si="20"/>
        <v>42716</v>
      </c>
      <c r="L58" s="52">
        <v>20153</v>
      </c>
      <c r="M58" s="30">
        <f>INDEX(barèmes!$D$2:$E$311,MATCH(T58,barèmes!$D$2:$D$311,0),2)</f>
        <v>79.55</v>
      </c>
      <c r="N58" s="61">
        <v>20154</v>
      </c>
      <c r="O58" s="30">
        <f>INDEX(barèmes!$D$2:$E$311,MATCH(U58,barèmes!$D$2:$D$311,0),2)</f>
        <v>376.7</v>
      </c>
      <c r="P58" s="52">
        <v>12</v>
      </c>
      <c r="Q58" s="52">
        <v>12</v>
      </c>
      <c r="R58" s="52">
        <f t="shared" ca="1" si="16"/>
        <v>2016</v>
      </c>
      <c r="S58" s="52">
        <v>0</v>
      </c>
      <c r="T58" s="59" t="s">
        <v>316</v>
      </c>
      <c r="U58" s="59" t="s">
        <v>329</v>
      </c>
      <c r="V58" s="52" t="str">
        <f t="shared" si="3"/>
        <v>2015</v>
      </c>
      <c r="W58" s="52" t="str">
        <f t="shared" si="4"/>
        <v>3</v>
      </c>
      <c r="X58" s="52">
        <f t="shared" ca="1" si="5"/>
        <v>1</v>
      </c>
      <c r="Y58" s="52" t="str">
        <f t="shared" si="6"/>
        <v>2015</v>
      </c>
      <c r="Z58" s="52" t="str">
        <f t="shared" si="7"/>
        <v>4</v>
      </c>
      <c r="AA58" s="52">
        <f t="shared" ca="1" si="8"/>
        <v>1</v>
      </c>
      <c r="AB58" s="52">
        <f t="shared" si="9"/>
        <v>1</v>
      </c>
      <c r="AC58" s="52" t="str">
        <f t="shared" si="10"/>
        <v>3</v>
      </c>
      <c r="AD58" s="52" t="s">
        <v>326</v>
      </c>
      <c r="AE58" s="52" t="str">
        <f t="shared" si="11"/>
        <v>420153</v>
      </c>
      <c r="AF58" s="52" t="str">
        <f t="shared" si="12"/>
        <v>12015r3</v>
      </c>
      <c r="AG58" s="52" t="str">
        <f t="shared" si="13"/>
        <v>T</v>
      </c>
      <c r="AH58" s="52" t="str">
        <f t="shared" si="13"/>
        <v>T</v>
      </c>
    </row>
    <row r="59" spans="2:34" x14ac:dyDescent="0.25">
      <c r="B59" s="52">
        <v>13</v>
      </c>
      <c r="C59" s="52">
        <v>4</v>
      </c>
      <c r="D59" s="52" t="s">
        <v>91</v>
      </c>
      <c r="H59" s="54">
        <f t="shared" ca="1" si="19"/>
        <v>41640</v>
      </c>
      <c r="I59" s="52" t="s">
        <v>294</v>
      </c>
      <c r="K59" s="55">
        <f t="shared" ca="1" si="20"/>
        <v>42005</v>
      </c>
      <c r="L59" s="52">
        <v>20134</v>
      </c>
      <c r="M59" s="30">
        <f>INDEX(barèmes!$D$2:$E$311,MATCH(T59,barèmes!$D$2:$D$311,0),2)</f>
        <v>75.59</v>
      </c>
      <c r="N59" s="61">
        <v>20151</v>
      </c>
      <c r="O59" s="30">
        <f>INDEX(barèmes!$D$2:$E$311,MATCH(U59,barèmes!$D$2:$D$311,0),2)</f>
        <v>308.55</v>
      </c>
      <c r="P59" s="52">
        <v>1</v>
      </c>
      <c r="Q59" s="52">
        <v>1</v>
      </c>
      <c r="R59" s="52">
        <f t="shared" ca="1" si="16"/>
        <v>2016</v>
      </c>
      <c r="S59" s="52">
        <v>1</v>
      </c>
      <c r="T59" s="59" t="s">
        <v>337</v>
      </c>
      <c r="U59" s="59" t="s">
        <v>321</v>
      </c>
      <c r="V59" s="52" t="str">
        <f t="shared" si="3"/>
        <v>2013</v>
      </c>
      <c r="W59" s="52" t="str">
        <f t="shared" si="4"/>
        <v>4</v>
      </c>
      <c r="X59" s="52">
        <f t="shared" ca="1" si="5"/>
        <v>3</v>
      </c>
      <c r="Y59" s="52" t="str">
        <f t="shared" si="6"/>
        <v>2015</v>
      </c>
      <c r="Z59" s="52" t="str">
        <f t="shared" si="7"/>
        <v>1</v>
      </c>
      <c r="AA59" s="52">
        <f t="shared" ca="1" si="8"/>
        <v>1</v>
      </c>
      <c r="AB59" s="52">
        <f t="shared" si="9"/>
        <v>5</v>
      </c>
      <c r="AC59" s="52" t="str">
        <f t="shared" si="10"/>
        <v>1</v>
      </c>
      <c r="AD59" s="52" t="str">
        <f t="shared" si="10"/>
        <v>2</v>
      </c>
      <c r="AE59" s="52" t="str">
        <f t="shared" si="11"/>
        <v>420131</v>
      </c>
      <c r="AF59" s="52" t="str">
        <f t="shared" si="12"/>
        <v>520152</v>
      </c>
      <c r="AG59" s="52" t="str">
        <f t="shared" si="13"/>
        <v>T</v>
      </c>
      <c r="AH59" s="52" t="str">
        <f t="shared" si="13"/>
        <v>T</v>
      </c>
    </row>
    <row r="60" spans="2:34" x14ac:dyDescent="0.25">
      <c r="B60" s="52">
        <v>14</v>
      </c>
      <c r="C60" s="52">
        <v>4</v>
      </c>
      <c r="D60" s="52" t="s">
        <v>91</v>
      </c>
      <c r="H60" s="54">
        <f t="shared" ca="1" si="19"/>
        <v>41640</v>
      </c>
      <c r="I60" s="52" t="s">
        <v>294</v>
      </c>
      <c r="K60" s="55">
        <f t="shared" ca="1" si="20"/>
        <v>42186</v>
      </c>
      <c r="L60" s="52">
        <v>20142</v>
      </c>
      <c r="M60" s="30">
        <f>INDEX(barèmes!$D$2:$E$311,MATCH(T60,barèmes!$D$2:$D$311,0),2)</f>
        <v>77.7</v>
      </c>
      <c r="N60" s="61">
        <v>20151</v>
      </c>
      <c r="O60" s="30">
        <f>INDEX(barèmes!$D$2:$E$311,MATCH(U60,barèmes!$D$2:$D$311,0),2)</f>
        <v>301.22000000000003</v>
      </c>
      <c r="P60" s="52">
        <v>1</v>
      </c>
      <c r="Q60" s="52">
        <v>7</v>
      </c>
      <c r="R60" s="52">
        <f t="shared" ca="1" si="16"/>
        <v>2016</v>
      </c>
      <c r="S60" s="52">
        <v>1</v>
      </c>
      <c r="T60" s="59" t="s">
        <v>330</v>
      </c>
      <c r="U60" s="59" t="s">
        <v>318</v>
      </c>
      <c r="V60" s="52" t="str">
        <f t="shared" si="3"/>
        <v>2014</v>
      </c>
      <c r="W60" s="52" t="str">
        <f t="shared" si="4"/>
        <v>2</v>
      </c>
      <c r="X60" s="52">
        <f t="shared" ca="1" si="5"/>
        <v>2</v>
      </c>
      <c r="Y60" s="52" t="str">
        <f t="shared" si="6"/>
        <v>2015</v>
      </c>
      <c r="Z60" s="52" t="str">
        <f t="shared" si="7"/>
        <v>1</v>
      </c>
      <c r="AA60" s="52">
        <f t="shared" ca="1" si="8"/>
        <v>1</v>
      </c>
      <c r="AB60" s="52">
        <f t="shared" si="9"/>
        <v>5</v>
      </c>
      <c r="AC60" s="52" t="str">
        <f t="shared" si="10"/>
        <v>2</v>
      </c>
      <c r="AD60" s="52" t="str">
        <f t="shared" si="10"/>
        <v>1</v>
      </c>
      <c r="AE60" s="52" t="str">
        <f t="shared" si="11"/>
        <v>420142</v>
      </c>
      <c r="AF60" s="52" t="str">
        <f t="shared" si="12"/>
        <v>520151</v>
      </c>
      <c r="AG60" s="52" t="str">
        <f t="shared" si="13"/>
        <v>T</v>
      </c>
      <c r="AH60" s="52" t="str">
        <f t="shared" si="13"/>
        <v>T</v>
      </c>
    </row>
    <row r="61" spans="2:34" x14ac:dyDescent="0.25">
      <c r="B61" s="52">
        <v>15</v>
      </c>
      <c r="C61" s="52">
        <v>4</v>
      </c>
      <c r="D61" s="52" t="s">
        <v>91</v>
      </c>
      <c r="H61" s="54">
        <f t="shared" ca="1" si="19"/>
        <v>41640</v>
      </c>
      <c r="I61" s="52" t="s">
        <v>294</v>
      </c>
      <c r="K61" s="55">
        <f t="shared" ca="1" si="20"/>
        <v>42370</v>
      </c>
      <c r="L61" s="52">
        <v>20144</v>
      </c>
      <c r="M61" s="30">
        <f>INDEX(barèmes!$D$2:$E$311,MATCH(T61,barèmes!$D$2:$D$311,0),2)</f>
        <v>77.7</v>
      </c>
      <c r="N61" s="61">
        <v>20151</v>
      </c>
      <c r="O61" s="30">
        <f>INDEX(barèmes!$D$2:$E$311,MATCH(U61,barèmes!$D$2:$D$311,0),2)</f>
        <v>315.89999999999998</v>
      </c>
      <c r="P61" s="52">
        <v>1</v>
      </c>
      <c r="Q61" s="52">
        <v>1</v>
      </c>
      <c r="R61" s="52">
        <f t="shared" ca="1" si="16"/>
        <v>2016</v>
      </c>
      <c r="S61" s="52">
        <v>0</v>
      </c>
      <c r="T61" s="59" t="s">
        <v>330</v>
      </c>
      <c r="U61" s="59" t="s">
        <v>319</v>
      </c>
      <c r="V61" s="52" t="str">
        <f t="shared" si="3"/>
        <v>2014</v>
      </c>
      <c r="W61" s="52" t="str">
        <f t="shared" si="4"/>
        <v>4</v>
      </c>
      <c r="X61" s="52">
        <f t="shared" ca="1" si="5"/>
        <v>2</v>
      </c>
      <c r="Y61" s="52" t="str">
        <f t="shared" si="6"/>
        <v>2015</v>
      </c>
      <c r="Z61" s="52" t="str">
        <f t="shared" si="7"/>
        <v>1</v>
      </c>
      <c r="AA61" s="52">
        <f t="shared" ca="1" si="8"/>
        <v>1</v>
      </c>
      <c r="AB61" s="52">
        <f t="shared" si="9"/>
        <v>5</v>
      </c>
      <c r="AC61" s="52" t="str">
        <f t="shared" si="10"/>
        <v>2</v>
      </c>
      <c r="AD61" s="52" t="str">
        <f t="shared" si="10"/>
        <v>3</v>
      </c>
      <c r="AE61" s="52" t="str">
        <f t="shared" si="11"/>
        <v>420142</v>
      </c>
      <c r="AF61" s="52" t="str">
        <f t="shared" si="12"/>
        <v>520153</v>
      </c>
      <c r="AG61" s="52" t="str">
        <f t="shared" si="13"/>
        <v>T</v>
      </c>
      <c r="AH61" s="52" t="str">
        <f t="shared" si="13"/>
        <v>T</v>
      </c>
    </row>
    <row r="62" spans="2:34" x14ac:dyDescent="0.25">
      <c r="B62" s="52">
        <v>16</v>
      </c>
      <c r="C62" s="52">
        <v>4</v>
      </c>
      <c r="D62" s="52" t="s">
        <v>91</v>
      </c>
      <c r="H62" s="54">
        <f t="shared" ca="1" si="19"/>
        <v>41640</v>
      </c>
      <c r="I62" s="52" t="s">
        <v>294</v>
      </c>
      <c r="K62" s="55">
        <f t="shared" ca="1" si="20"/>
        <v>42716</v>
      </c>
      <c r="L62" s="52">
        <v>20153</v>
      </c>
      <c r="M62" s="30">
        <f>INDEX(barèmes!$D$2:$E$311,MATCH(T62,barèmes!$D$2:$D$311,0),2)</f>
        <v>79.55</v>
      </c>
      <c r="N62" s="61">
        <v>20154</v>
      </c>
      <c r="O62" s="30">
        <f>INDEX(barèmes!$D$2:$E$311,MATCH(U62,barèmes!$D$2:$D$311,0),2)</f>
        <v>315.89999999999998</v>
      </c>
      <c r="P62" s="52">
        <v>12</v>
      </c>
      <c r="Q62" s="52">
        <v>12</v>
      </c>
      <c r="R62" s="52">
        <f t="shared" ca="1" si="16"/>
        <v>2016</v>
      </c>
      <c r="S62" s="52">
        <v>0</v>
      </c>
      <c r="T62" s="59" t="s">
        <v>316</v>
      </c>
      <c r="U62" s="59" t="s">
        <v>319</v>
      </c>
      <c r="V62" s="52" t="str">
        <f t="shared" si="3"/>
        <v>2015</v>
      </c>
      <c r="W62" s="52" t="str">
        <f t="shared" si="4"/>
        <v>3</v>
      </c>
      <c r="X62" s="52">
        <f t="shared" ca="1" si="5"/>
        <v>1</v>
      </c>
      <c r="Y62" s="52" t="str">
        <f t="shared" si="6"/>
        <v>2015</v>
      </c>
      <c r="Z62" s="52" t="str">
        <f t="shared" si="7"/>
        <v>4</v>
      </c>
      <c r="AA62" s="52">
        <f t="shared" ca="1" si="8"/>
        <v>1</v>
      </c>
      <c r="AB62" s="52">
        <f t="shared" si="9"/>
        <v>5</v>
      </c>
      <c r="AC62" s="52" t="str">
        <f t="shared" si="10"/>
        <v>3</v>
      </c>
      <c r="AD62" s="52" t="str">
        <f t="shared" si="10"/>
        <v>3</v>
      </c>
      <c r="AE62" s="52" t="str">
        <f t="shared" si="11"/>
        <v>420153</v>
      </c>
      <c r="AF62" s="52" t="str">
        <f t="shared" si="12"/>
        <v>520153</v>
      </c>
      <c r="AG62" s="52" t="str">
        <f t="shared" si="13"/>
        <v>T</v>
      </c>
      <c r="AH62" s="52" t="str">
        <f t="shared" si="13"/>
        <v>T</v>
      </c>
    </row>
    <row r="63" spans="2:34" x14ac:dyDescent="0.25">
      <c r="B63" s="52">
        <v>17</v>
      </c>
      <c r="C63" s="52">
        <v>4</v>
      </c>
      <c r="D63" s="52" t="s">
        <v>91</v>
      </c>
      <c r="H63" s="54">
        <f t="shared" ca="1" si="19"/>
        <v>41640</v>
      </c>
      <c r="I63" s="52" t="s">
        <v>294</v>
      </c>
      <c r="J63" s="52" t="s">
        <v>90</v>
      </c>
      <c r="K63" s="55">
        <f t="shared" ca="1" si="20"/>
        <v>42005</v>
      </c>
      <c r="L63" s="52">
        <v>20134</v>
      </c>
      <c r="M63" s="30">
        <f>INDEX(barèmes!$D$2:$E$311,MATCH(T63,barèmes!$D$2:$D$311,0),2)</f>
        <v>75.59</v>
      </c>
      <c r="N63" s="61">
        <v>20151</v>
      </c>
      <c r="O63" s="30">
        <f>INDEX(barèmes!$D$2:$E$311,MATCH(U63,barèmes!$D$2:$D$311,0),2)</f>
        <v>0</v>
      </c>
      <c r="P63" s="52">
        <v>1</v>
      </c>
      <c r="Q63" s="52">
        <v>1</v>
      </c>
      <c r="R63" s="52">
        <f t="shared" ca="1" si="16"/>
        <v>2016</v>
      </c>
      <c r="S63" s="52">
        <v>1</v>
      </c>
      <c r="T63" s="59" t="s">
        <v>337</v>
      </c>
      <c r="U63" s="59" t="s">
        <v>317</v>
      </c>
      <c r="V63" s="52" t="str">
        <f t="shared" si="3"/>
        <v>2013</v>
      </c>
      <c r="W63" s="52" t="str">
        <f t="shared" si="4"/>
        <v>4</v>
      </c>
      <c r="X63" s="52">
        <f t="shared" ca="1" si="5"/>
        <v>3</v>
      </c>
      <c r="Y63" s="52" t="str">
        <f t="shared" si="6"/>
        <v>2015</v>
      </c>
      <c r="Z63" s="52" t="str">
        <f t="shared" si="7"/>
        <v>1</v>
      </c>
      <c r="AA63" s="52">
        <f t="shared" ca="1" si="8"/>
        <v>1</v>
      </c>
      <c r="AB63" s="52">
        <f t="shared" si="9"/>
        <v>5</v>
      </c>
      <c r="AC63" s="52" t="str">
        <f t="shared" si="10"/>
        <v>1</v>
      </c>
      <c r="AD63" s="52" t="str">
        <f t="shared" si="10"/>
        <v>9</v>
      </c>
      <c r="AE63" s="52" t="str">
        <f t="shared" si="11"/>
        <v>420131</v>
      </c>
      <c r="AF63" s="52" t="str">
        <f t="shared" si="12"/>
        <v>999999</v>
      </c>
      <c r="AG63" s="52" t="str">
        <f t="shared" si="13"/>
        <v>T</v>
      </c>
      <c r="AH63" s="52" t="str">
        <f t="shared" si="13"/>
        <v>T</v>
      </c>
    </row>
    <row r="64" spans="2:34" x14ac:dyDescent="0.25">
      <c r="B64" s="52">
        <v>18</v>
      </c>
      <c r="C64" s="52">
        <v>4</v>
      </c>
      <c r="D64" s="52" t="s">
        <v>91</v>
      </c>
      <c r="H64" s="54">
        <f t="shared" ca="1" si="19"/>
        <v>41640</v>
      </c>
      <c r="I64" s="52" t="s">
        <v>294</v>
      </c>
      <c r="J64" s="52" t="s">
        <v>90</v>
      </c>
      <c r="K64" s="55">
        <f t="shared" ca="1" si="20"/>
        <v>42186</v>
      </c>
      <c r="L64" s="52">
        <v>20142</v>
      </c>
      <c r="M64" s="30">
        <f>INDEX(barèmes!$D$2:$E$311,MATCH(T64,barèmes!$D$2:$D$311,0),2)</f>
        <v>77.7</v>
      </c>
      <c r="N64" s="61">
        <v>20151</v>
      </c>
      <c r="O64" s="30">
        <f>INDEX(barèmes!$D$2:$E$311,MATCH(U64,barèmes!$D$2:$D$311,0),2)</f>
        <v>0</v>
      </c>
      <c r="P64" s="52">
        <v>1</v>
      </c>
      <c r="Q64" s="52">
        <v>7</v>
      </c>
      <c r="R64" s="52">
        <f t="shared" ca="1" si="16"/>
        <v>2016</v>
      </c>
      <c r="S64" s="52">
        <v>1</v>
      </c>
      <c r="T64" s="59" t="s">
        <v>330</v>
      </c>
      <c r="U64" s="59" t="s">
        <v>317</v>
      </c>
      <c r="V64" s="52" t="str">
        <f t="shared" si="3"/>
        <v>2014</v>
      </c>
      <c r="W64" s="52" t="str">
        <f t="shared" si="4"/>
        <v>2</v>
      </c>
      <c r="X64" s="52">
        <f t="shared" ca="1" si="5"/>
        <v>2</v>
      </c>
      <c r="Y64" s="52" t="str">
        <f t="shared" si="6"/>
        <v>2015</v>
      </c>
      <c r="Z64" s="52" t="str">
        <f t="shared" si="7"/>
        <v>1</v>
      </c>
      <c r="AA64" s="52">
        <f t="shared" ca="1" si="8"/>
        <v>1</v>
      </c>
      <c r="AB64" s="52">
        <f t="shared" si="9"/>
        <v>5</v>
      </c>
      <c r="AC64" s="52" t="str">
        <f t="shared" si="10"/>
        <v>2</v>
      </c>
      <c r="AD64" s="52" t="str">
        <f t="shared" si="10"/>
        <v>9</v>
      </c>
      <c r="AE64" s="52" t="str">
        <f t="shared" si="11"/>
        <v>420142</v>
      </c>
      <c r="AF64" s="52" t="str">
        <f t="shared" si="12"/>
        <v>999999</v>
      </c>
      <c r="AG64" s="52" t="str">
        <f t="shared" si="13"/>
        <v>T</v>
      </c>
      <c r="AH64" s="52" t="str">
        <f t="shared" si="13"/>
        <v>T</v>
      </c>
    </row>
    <row r="65" spans="2:34" x14ac:dyDescent="0.25">
      <c r="B65" s="52">
        <v>19</v>
      </c>
      <c r="C65" s="52">
        <v>4</v>
      </c>
      <c r="D65" s="52" t="s">
        <v>91</v>
      </c>
      <c r="H65" s="54">
        <f t="shared" ca="1" si="19"/>
        <v>41640</v>
      </c>
      <c r="I65" s="52" t="s">
        <v>294</v>
      </c>
      <c r="J65" s="52" t="s">
        <v>90</v>
      </c>
      <c r="K65" s="55">
        <f t="shared" ca="1" si="20"/>
        <v>42370</v>
      </c>
      <c r="L65" s="52">
        <v>20144</v>
      </c>
      <c r="M65" s="30">
        <f>INDEX(barèmes!$D$2:$E$311,MATCH(T65,barèmes!$D$2:$D$311,0),2)</f>
        <v>77.7</v>
      </c>
      <c r="N65" s="61">
        <v>20151</v>
      </c>
      <c r="O65" s="30">
        <f>INDEX(barèmes!$D$2:$E$311,MATCH(U65,barèmes!$D$2:$D$311,0),2)</f>
        <v>0</v>
      </c>
      <c r="P65" s="52">
        <v>1</v>
      </c>
      <c r="Q65" s="52">
        <v>1</v>
      </c>
      <c r="R65" s="52">
        <f t="shared" ca="1" si="16"/>
        <v>2016</v>
      </c>
      <c r="S65" s="52">
        <v>0</v>
      </c>
      <c r="T65" s="59" t="s">
        <v>330</v>
      </c>
      <c r="U65" s="59" t="s">
        <v>317</v>
      </c>
      <c r="V65" s="52" t="str">
        <f t="shared" si="3"/>
        <v>2014</v>
      </c>
      <c r="W65" s="52" t="str">
        <f t="shared" si="4"/>
        <v>4</v>
      </c>
      <c r="X65" s="52">
        <f t="shared" ca="1" si="5"/>
        <v>2</v>
      </c>
      <c r="Y65" s="52" t="str">
        <f t="shared" si="6"/>
        <v>2015</v>
      </c>
      <c r="Z65" s="52" t="str">
        <f t="shared" si="7"/>
        <v>1</v>
      </c>
      <c r="AA65" s="52">
        <f t="shared" ca="1" si="8"/>
        <v>1</v>
      </c>
      <c r="AB65" s="52">
        <f t="shared" si="9"/>
        <v>5</v>
      </c>
      <c r="AC65" s="52" t="str">
        <f t="shared" si="10"/>
        <v>2</v>
      </c>
      <c r="AD65" s="52" t="str">
        <f t="shared" si="10"/>
        <v>9</v>
      </c>
      <c r="AE65" s="52" t="str">
        <f t="shared" si="11"/>
        <v>420142</v>
      </c>
      <c r="AF65" s="52" t="str">
        <f t="shared" si="12"/>
        <v>999999</v>
      </c>
      <c r="AG65" s="52" t="str">
        <f t="shared" si="13"/>
        <v>T</v>
      </c>
      <c r="AH65" s="52" t="str">
        <f t="shared" si="13"/>
        <v>T</v>
      </c>
    </row>
    <row r="66" spans="2:34" x14ac:dyDescent="0.25">
      <c r="B66" s="52">
        <v>20</v>
      </c>
      <c r="C66" s="52">
        <v>4</v>
      </c>
      <c r="D66" s="52" t="s">
        <v>91</v>
      </c>
      <c r="H66" s="54">
        <f t="shared" ca="1" si="19"/>
        <v>41640</v>
      </c>
      <c r="I66" s="52" t="s">
        <v>294</v>
      </c>
      <c r="J66" s="52" t="s">
        <v>90</v>
      </c>
      <c r="K66" s="55">
        <f t="shared" ca="1" si="20"/>
        <v>42716</v>
      </c>
      <c r="L66" s="52">
        <v>20153</v>
      </c>
      <c r="M66" s="30">
        <f>INDEX(barèmes!$D$2:$E$311,MATCH(T66,barèmes!$D$2:$D$311,0),2)</f>
        <v>79.55</v>
      </c>
      <c r="N66" s="61">
        <v>20154</v>
      </c>
      <c r="O66" s="30">
        <f>INDEX(barèmes!$D$2:$E$311,MATCH(U66,barèmes!$D$2:$D$311,0),2)</f>
        <v>0</v>
      </c>
      <c r="P66" s="52">
        <v>12</v>
      </c>
      <c r="Q66" s="52">
        <v>12</v>
      </c>
      <c r="R66" s="52">
        <f t="shared" ca="1" si="16"/>
        <v>2016</v>
      </c>
      <c r="S66" s="52">
        <v>0</v>
      </c>
      <c r="T66" s="59" t="s">
        <v>316</v>
      </c>
      <c r="U66" s="59" t="s">
        <v>317</v>
      </c>
      <c r="V66" s="52" t="str">
        <f t="shared" si="3"/>
        <v>2015</v>
      </c>
      <c r="W66" s="52" t="str">
        <f t="shared" si="4"/>
        <v>3</v>
      </c>
      <c r="X66" s="52">
        <f t="shared" ca="1" si="5"/>
        <v>1</v>
      </c>
      <c r="Y66" s="52" t="str">
        <f t="shared" si="6"/>
        <v>2015</v>
      </c>
      <c r="Z66" s="52" t="str">
        <f t="shared" si="7"/>
        <v>4</v>
      </c>
      <c r="AA66" s="52">
        <f t="shared" ca="1" si="8"/>
        <v>1</v>
      </c>
      <c r="AB66" s="52">
        <f t="shared" si="9"/>
        <v>5</v>
      </c>
      <c r="AC66" s="52" t="str">
        <f t="shared" si="10"/>
        <v>3</v>
      </c>
      <c r="AD66" s="52" t="str">
        <f t="shared" si="10"/>
        <v>9</v>
      </c>
      <c r="AE66" s="52" t="str">
        <f t="shared" si="11"/>
        <v>420153</v>
      </c>
      <c r="AF66" s="52" t="str">
        <f t="shared" si="12"/>
        <v>999999</v>
      </c>
      <c r="AG66" s="52" t="str">
        <f t="shared" si="13"/>
        <v>T</v>
      </c>
      <c r="AH66" s="52" t="str">
        <f t="shared" si="13"/>
        <v>T</v>
      </c>
    </row>
    <row r="67" spans="2:34" x14ac:dyDescent="0.25">
      <c r="B67" s="52">
        <v>21</v>
      </c>
      <c r="C67" s="52">
        <v>4</v>
      </c>
      <c r="D67" s="52" t="s">
        <v>91</v>
      </c>
      <c r="E67" s="52" t="s">
        <v>90</v>
      </c>
      <c r="H67" s="54">
        <f ca="1">DATE($R67-2,1,1)</f>
        <v>41640</v>
      </c>
      <c r="I67" s="52" t="s">
        <v>291</v>
      </c>
      <c r="K67" s="55">
        <f ca="1">DATE($R67-$S67,$Q67,$P67)</f>
        <v>42005</v>
      </c>
      <c r="L67" s="52">
        <v>20134</v>
      </c>
      <c r="M67" s="30">
        <f>INDEX(barèmes!$D$2:$E$311,MATCH(T67,barèmes!$D$2:$D$311,0),2)</f>
        <v>0</v>
      </c>
      <c r="N67" s="61">
        <v>20151</v>
      </c>
      <c r="O67" s="30">
        <f>INDEX(barèmes!$D$2:$E$311,MATCH(U67,barèmes!$D$2:$D$311,0),2)</f>
        <v>702.39</v>
      </c>
      <c r="P67" s="52">
        <v>1</v>
      </c>
      <c r="Q67" s="52">
        <v>1</v>
      </c>
      <c r="R67" s="52">
        <f t="shared" ca="1" si="16"/>
        <v>2016</v>
      </c>
      <c r="S67" s="52">
        <v>1</v>
      </c>
      <c r="T67" s="59" t="s">
        <v>317</v>
      </c>
      <c r="U67" s="59" t="s">
        <v>331</v>
      </c>
      <c r="V67" s="52" t="str">
        <f t="shared" si="3"/>
        <v>2013</v>
      </c>
      <c r="W67" s="52" t="str">
        <f t="shared" si="4"/>
        <v>4</v>
      </c>
      <c r="X67" s="52">
        <f t="shared" ca="1" si="5"/>
        <v>3</v>
      </c>
      <c r="Y67" s="52" t="str">
        <f t="shared" si="6"/>
        <v>2015</v>
      </c>
      <c r="Z67" s="52" t="str">
        <f t="shared" si="7"/>
        <v>1</v>
      </c>
      <c r="AA67" s="52">
        <f t="shared" ca="1" si="8"/>
        <v>1</v>
      </c>
      <c r="AB67" s="52">
        <f t="shared" si="9"/>
        <v>1</v>
      </c>
      <c r="AC67" s="52" t="str">
        <f t="shared" si="10"/>
        <v>9</v>
      </c>
      <c r="AD67" s="52" t="str">
        <f t="shared" si="10"/>
        <v>2</v>
      </c>
      <c r="AE67" s="52" t="str">
        <f t="shared" si="11"/>
        <v>999999</v>
      </c>
      <c r="AF67" s="52" t="str">
        <f t="shared" si="12"/>
        <v>120152</v>
      </c>
      <c r="AG67" s="52" t="str">
        <f t="shared" si="13"/>
        <v>T</v>
      </c>
      <c r="AH67" s="52" t="str">
        <f t="shared" si="13"/>
        <v>T</v>
      </c>
    </row>
    <row r="68" spans="2:34" x14ac:dyDescent="0.25">
      <c r="B68" s="52">
        <v>22</v>
      </c>
      <c r="C68" s="52">
        <v>4</v>
      </c>
      <c r="D68" s="52" t="s">
        <v>91</v>
      </c>
      <c r="E68" s="52" t="s">
        <v>90</v>
      </c>
      <c r="H68" s="54">
        <f t="shared" ref="H68:H70" ca="1" si="21">DATE($R68-2,1,1)</f>
        <v>41640</v>
      </c>
      <c r="I68" s="52" t="s">
        <v>291</v>
      </c>
      <c r="K68" s="55">
        <f t="shared" ref="K68:K70" ca="1" si="22">DATE($R68-$S68,$Q68,$P68)</f>
        <v>42186</v>
      </c>
      <c r="L68" s="52">
        <v>20142</v>
      </c>
      <c r="M68" s="30">
        <f>INDEX(barèmes!$D$2:$E$311,MATCH(T68,barèmes!$D$2:$D$311,0),2)</f>
        <v>0</v>
      </c>
      <c r="N68" s="61">
        <v>20151</v>
      </c>
      <c r="O68" s="30">
        <f>INDEX(barèmes!$D$2:$E$311,MATCH(U68,barèmes!$D$2:$D$311,0),2)</f>
        <v>685.66</v>
      </c>
      <c r="P68" s="52">
        <v>1</v>
      </c>
      <c r="Q68" s="52">
        <v>7</v>
      </c>
      <c r="R68" s="52">
        <f t="shared" ca="1" si="16"/>
        <v>2016</v>
      </c>
      <c r="S68" s="52">
        <v>1</v>
      </c>
      <c r="T68" s="59" t="s">
        <v>317</v>
      </c>
      <c r="U68" s="59" t="s">
        <v>332</v>
      </c>
      <c r="V68" s="52" t="str">
        <f t="shared" si="3"/>
        <v>2014</v>
      </c>
      <c r="W68" s="52" t="str">
        <f t="shared" si="4"/>
        <v>2</v>
      </c>
      <c r="X68" s="52">
        <f t="shared" ca="1" si="5"/>
        <v>2</v>
      </c>
      <c r="Y68" s="52" t="str">
        <f t="shared" si="6"/>
        <v>2015</v>
      </c>
      <c r="Z68" s="52" t="str">
        <f t="shared" si="7"/>
        <v>1</v>
      </c>
      <c r="AA68" s="52">
        <f t="shared" ca="1" si="8"/>
        <v>1</v>
      </c>
      <c r="AB68" s="52">
        <f t="shared" si="9"/>
        <v>1</v>
      </c>
      <c r="AC68" s="52" t="str">
        <f t="shared" si="10"/>
        <v>9</v>
      </c>
      <c r="AD68" s="52" t="str">
        <f t="shared" si="10"/>
        <v>1</v>
      </c>
      <c r="AE68" s="52" t="str">
        <f t="shared" si="11"/>
        <v>999999</v>
      </c>
      <c r="AF68" s="52" t="str">
        <f t="shared" si="12"/>
        <v>120151</v>
      </c>
      <c r="AG68" s="52" t="str">
        <f t="shared" si="13"/>
        <v>T</v>
      </c>
      <c r="AH68" s="52" t="str">
        <f t="shared" si="13"/>
        <v>T</v>
      </c>
    </row>
    <row r="69" spans="2:34" x14ac:dyDescent="0.25">
      <c r="B69" s="52">
        <v>23</v>
      </c>
      <c r="C69" s="52">
        <v>4</v>
      </c>
      <c r="D69" s="52" t="s">
        <v>91</v>
      </c>
      <c r="E69" s="52" t="s">
        <v>90</v>
      </c>
      <c r="H69" s="54">
        <f t="shared" ca="1" si="21"/>
        <v>41640</v>
      </c>
      <c r="I69" s="52" t="s">
        <v>291</v>
      </c>
      <c r="K69" s="55">
        <f t="shared" ca="1" si="22"/>
        <v>42370</v>
      </c>
      <c r="L69" s="52">
        <v>20144</v>
      </c>
      <c r="M69" s="30">
        <f>INDEX(barèmes!$D$2:$E$311,MATCH(T69,barèmes!$D$2:$D$311,0),2)</f>
        <v>0</v>
      </c>
      <c r="N69" s="61">
        <v>20151</v>
      </c>
      <c r="O69" s="30">
        <f>INDEX(barèmes!$D$2:$E$311,MATCH(U69,barèmes!$D$2:$D$311,0),2)</f>
        <v>719.12</v>
      </c>
      <c r="P69" s="52">
        <v>1</v>
      </c>
      <c r="Q69" s="52">
        <v>1</v>
      </c>
      <c r="R69" s="52">
        <f t="shared" ca="1" si="16"/>
        <v>2016</v>
      </c>
      <c r="S69" s="52">
        <v>0</v>
      </c>
      <c r="T69" s="59" t="s">
        <v>317</v>
      </c>
      <c r="U69" s="59" t="s">
        <v>304</v>
      </c>
      <c r="V69" s="52" t="str">
        <f t="shared" ref="V69:V123" si="23">LEFT(L69,4)</f>
        <v>2014</v>
      </c>
      <c r="W69" s="52" t="str">
        <f t="shared" ref="W69:W123" si="24">RIGHT(L69,1)</f>
        <v>4</v>
      </c>
      <c r="X69" s="52">
        <f t="shared" ref="X69:X123" ca="1" si="25">R69-V69</f>
        <v>2</v>
      </c>
      <c r="Y69" s="52" t="str">
        <f t="shared" ref="Y69:Y123" si="26">LEFT(N69,4)</f>
        <v>2015</v>
      </c>
      <c r="Z69" s="52" t="str">
        <f t="shared" ref="Z69:Z123" si="27">RIGHT(N69,1)</f>
        <v>1</v>
      </c>
      <c r="AA69" s="52">
        <f t="shared" ref="AA69:AA123" ca="1" si="28">R69-Y69</f>
        <v>1</v>
      </c>
      <c r="AB69" s="52">
        <f t="shared" ref="AB69:AB123" si="29">IF(I69="Complémentaire",4,IF(I69="Principal",1,5))</f>
        <v>1</v>
      </c>
      <c r="AC69" s="52" t="str">
        <f t="shared" ref="AC69:AD123" si="30">RIGHT(T69,1)</f>
        <v>9</v>
      </c>
      <c r="AD69" s="52" t="str">
        <f t="shared" si="30"/>
        <v>3</v>
      </c>
      <c r="AE69" s="52" t="str">
        <f t="shared" ref="AE69:AE123" si="31">IF($AC69="9","999999",$C69&amp;$V69&amp;$AC69)</f>
        <v>999999</v>
      </c>
      <c r="AF69" s="52" t="str">
        <f t="shared" ref="AF69:AF123" si="32">IF($AD69="9","999999",$AB69&amp;$Y69&amp;$AD69)</f>
        <v>120153</v>
      </c>
      <c r="AG69" s="52" t="str">
        <f t="shared" ref="AG69:AH123" si="33">IF(AE69=T69,"T","F")</f>
        <v>T</v>
      </c>
      <c r="AH69" s="52" t="str">
        <f t="shared" si="33"/>
        <v>T</v>
      </c>
    </row>
    <row r="70" spans="2:34" x14ac:dyDescent="0.25">
      <c r="B70" s="52">
        <v>24</v>
      </c>
      <c r="C70" s="52">
        <v>4</v>
      </c>
      <c r="D70" s="52" t="s">
        <v>91</v>
      </c>
      <c r="E70" s="52" t="s">
        <v>90</v>
      </c>
      <c r="H70" s="54">
        <f t="shared" ca="1" si="21"/>
        <v>41640</v>
      </c>
      <c r="I70" s="52" t="s">
        <v>291</v>
      </c>
      <c r="K70" s="55">
        <f t="shared" ca="1" si="22"/>
        <v>42716</v>
      </c>
      <c r="L70" s="52">
        <v>20153</v>
      </c>
      <c r="M70" s="30">
        <f>INDEX(barèmes!$D$2:$E$311,MATCH(T70,barèmes!$D$2:$D$311,0),2)</f>
        <v>0</v>
      </c>
      <c r="N70" s="61">
        <v>20154</v>
      </c>
      <c r="O70" s="30">
        <f>INDEX(barèmes!$D$2:$E$311,MATCH(U70,barèmes!$D$2:$D$311,0),2)</f>
        <v>719.12</v>
      </c>
      <c r="P70" s="52">
        <v>12</v>
      </c>
      <c r="Q70" s="52">
        <v>12</v>
      </c>
      <c r="R70" s="52">
        <f t="shared" ca="1" si="16"/>
        <v>2016</v>
      </c>
      <c r="S70" s="52">
        <v>0</v>
      </c>
      <c r="T70" s="59" t="s">
        <v>317</v>
      </c>
      <c r="U70" s="59" t="s">
        <v>304</v>
      </c>
      <c r="V70" s="52" t="str">
        <f t="shared" si="23"/>
        <v>2015</v>
      </c>
      <c r="W70" s="52" t="str">
        <f t="shared" si="24"/>
        <v>3</v>
      </c>
      <c r="X70" s="52">
        <f t="shared" ca="1" si="25"/>
        <v>1</v>
      </c>
      <c r="Y70" s="52" t="str">
        <f t="shared" si="26"/>
        <v>2015</v>
      </c>
      <c r="Z70" s="52" t="str">
        <f t="shared" si="27"/>
        <v>4</v>
      </c>
      <c r="AA70" s="52">
        <f t="shared" ca="1" si="28"/>
        <v>1</v>
      </c>
      <c r="AB70" s="52">
        <f t="shared" si="29"/>
        <v>1</v>
      </c>
      <c r="AC70" s="52" t="str">
        <f t="shared" si="30"/>
        <v>9</v>
      </c>
      <c r="AD70" s="52" t="str">
        <f t="shared" si="30"/>
        <v>3</v>
      </c>
      <c r="AE70" s="52" t="str">
        <f t="shared" si="31"/>
        <v>999999</v>
      </c>
      <c r="AF70" s="52" t="str">
        <f t="shared" si="32"/>
        <v>120153</v>
      </c>
      <c r="AG70" s="52" t="str">
        <f t="shared" si="33"/>
        <v>T</v>
      </c>
      <c r="AH70" s="52" t="str">
        <f t="shared" si="33"/>
        <v>T</v>
      </c>
    </row>
    <row r="71" spans="2:34" x14ac:dyDescent="0.25">
      <c r="B71" s="52">
        <v>25</v>
      </c>
      <c r="C71" s="52">
        <v>4</v>
      </c>
      <c r="D71" s="52" t="s">
        <v>91</v>
      </c>
      <c r="E71" s="52" t="s">
        <v>90</v>
      </c>
      <c r="H71" s="54">
        <f ca="1">DATE($R71-2,1,1)</f>
        <v>41640</v>
      </c>
      <c r="I71" s="52" t="s">
        <v>291</v>
      </c>
      <c r="J71" s="52" t="s">
        <v>90</v>
      </c>
      <c r="K71" s="55">
        <f ca="1">DATE($R71-$S71,$Q71,$P71)</f>
        <v>42005</v>
      </c>
      <c r="L71" s="52">
        <v>20134</v>
      </c>
      <c r="M71" s="30">
        <f>INDEX(barèmes!$D$2:$E$311,MATCH(T71,barèmes!$D$2:$D$311,0),2)</f>
        <v>0</v>
      </c>
      <c r="N71" s="61">
        <v>20151</v>
      </c>
      <c r="O71" s="30">
        <f>INDEX(barèmes!$D$2:$E$311,MATCH(U71,barèmes!$D$2:$D$311,0),2)</f>
        <v>0</v>
      </c>
      <c r="P71" s="52">
        <v>1</v>
      </c>
      <c r="Q71" s="52">
        <v>1</v>
      </c>
      <c r="R71" s="52">
        <f t="shared" ca="1" si="16"/>
        <v>2016</v>
      </c>
      <c r="S71" s="52">
        <v>1</v>
      </c>
      <c r="T71" s="59" t="s">
        <v>317</v>
      </c>
      <c r="U71" s="59" t="s">
        <v>317</v>
      </c>
      <c r="V71" s="52" t="str">
        <f t="shared" si="23"/>
        <v>2013</v>
      </c>
      <c r="W71" s="52" t="str">
        <f t="shared" si="24"/>
        <v>4</v>
      </c>
      <c r="X71" s="52">
        <f t="shared" ca="1" si="25"/>
        <v>3</v>
      </c>
      <c r="Y71" s="52" t="str">
        <f t="shared" si="26"/>
        <v>2015</v>
      </c>
      <c r="Z71" s="52" t="str">
        <f t="shared" si="27"/>
        <v>1</v>
      </c>
      <c r="AA71" s="52">
        <f t="shared" ca="1" si="28"/>
        <v>1</v>
      </c>
      <c r="AB71" s="52">
        <f t="shared" si="29"/>
        <v>1</v>
      </c>
      <c r="AC71" s="52" t="str">
        <f t="shared" si="30"/>
        <v>9</v>
      </c>
      <c r="AD71" s="52" t="str">
        <f t="shared" si="30"/>
        <v>9</v>
      </c>
      <c r="AE71" s="52" t="str">
        <f t="shared" si="31"/>
        <v>999999</v>
      </c>
      <c r="AF71" s="52" t="str">
        <f t="shared" si="32"/>
        <v>999999</v>
      </c>
      <c r="AG71" s="52" t="str">
        <f t="shared" si="33"/>
        <v>T</v>
      </c>
      <c r="AH71" s="52" t="str">
        <f t="shared" si="33"/>
        <v>T</v>
      </c>
    </row>
    <row r="72" spans="2:34" x14ac:dyDescent="0.25">
      <c r="B72" s="52">
        <v>26</v>
      </c>
      <c r="C72" s="52">
        <v>4</v>
      </c>
      <c r="D72" s="52" t="s">
        <v>91</v>
      </c>
      <c r="E72" s="52" t="s">
        <v>90</v>
      </c>
      <c r="H72" s="54">
        <f t="shared" ref="H72:H74" ca="1" si="34">DATE($R72-2,1,1)</f>
        <v>41640</v>
      </c>
      <c r="I72" s="52" t="s">
        <v>291</v>
      </c>
      <c r="J72" s="52" t="s">
        <v>90</v>
      </c>
      <c r="K72" s="55">
        <f t="shared" ref="K72:K74" ca="1" si="35">DATE($R72-$S72,$Q72,$P72)</f>
        <v>42186</v>
      </c>
      <c r="L72" s="52">
        <v>20142</v>
      </c>
      <c r="M72" s="30">
        <f>INDEX(barèmes!$D$2:$E$311,MATCH(T72,barèmes!$D$2:$D$311,0),2)</f>
        <v>0</v>
      </c>
      <c r="N72" s="61">
        <v>20151</v>
      </c>
      <c r="O72" s="30">
        <f>INDEX(barèmes!$D$2:$E$311,MATCH(U72,barèmes!$D$2:$D$311,0),2)</f>
        <v>0</v>
      </c>
      <c r="P72" s="52">
        <v>1</v>
      </c>
      <c r="Q72" s="52">
        <v>7</v>
      </c>
      <c r="R72" s="52">
        <f t="shared" ca="1" si="16"/>
        <v>2016</v>
      </c>
      <c r="S72" s="52">
        <v>1</v>
      </c>
      <c r="T72" s="59" t="s">
        <v>317</v>
      </c>
      <c r="U72" s="59" t="s">
        <v>317</v>
      </c>
      <c r="V72" s="52" t="str">
        <f t="shared" si="23"/>
        <v>2014</v>
      </c>
      <c r="W72" s="52" t="str">
        <f t="shared" si="24"/>
        <v>2</v>
      </c>
      <c r="X72" s="52">
        <f t="shared" ca="1" si="25"/>
        <v>2</v>
      </c>
      <c r="Y72" s="52" t="str">
        <f t="shared" si="26"/>
        <v>2015</v>
      </c>
      <c r="Z72" s="52" t="str">
        <f t="shared" si="27"/>
        <v>1</v>
      </c>
      <c r="AA72" s="52">
        <f t="shared" ca="1" si="28"/>
        <v>1</v>
      </c>
      <c r="AB72" s="52">
        <f t="shared" si="29"/>
        <v>1</v>
      </c>
      <c r="AC72" s="52" t="str">
        <f t="shared" si="30"/>
        <v>9</v>
      </c>
      <c r="AD72" s="52" t="str">
        <f t="shared" si="30"/>
        <v>9</v>
      </c>
      <c r="AE72" s="52" t="str">
        <f t="shared" si="31"/>
        <v>999999</v>
      </c>
      <c r="AF72" s="52" t="str">
        <f t="shared" si="32"/>
        <v>999999</v>
      </c>
      <c r="AG72" s="52" t="str">
        <f t="shared" si="33"/>
        <v>T</v>
      </c>
      <c r="AH72" s="52" t="str">
        <f t="shared" si="33"/>
        <v>T</v>
      </c>
    </row>
    <row r="73" spans="2:34" x14ac:dyDescent="0.25">
      <c r="B73" s="52">
        <v>27</v>
      </c>
      <c r="C73" s="52">
        <v>4</v>
      </c>
      <c r="D73" s="52" t="s">
        <v>91</v>
      </c>
      <c r="E73" s="52" t="s">
        <v>90</v>
      </c>
      <c r="H73" s="54">
        <f t="shared" ca="1" si="34"/>
        <v>41640</v>
      </c>
      <c r="I73" s="52" t="s">
        <v>291</v>
      </c>
      <c r="J73" s="52" t="s">
        <v>90</v>
      </c>
      <c r="K73" s="55">
        <f t="shared" ca="1" si="35"/>
        <v>42370</v>
      </c>
      <c r="L73" s="52">
        <v>20144</v>
      </c>
      <c r="M73" s="30">
        <f>INDEX(barèmes!$D$2:$E$311,MATCH(T73,barèmes!$D$2:$D$311,0),2)</f>
        <v>0</v>
      </c>
      <c r="N73" s="61">
        <v>20151</v>
      </c>
      <c r="O73" s="30">
        <f>INDEX(barèmes!$D$2:$E$311,MATCH(U73,barèmes!$D$2:$D$311,0),2)</f>
        <v>0</v>
      </c>
      <c r="P73" s="52">
        <v>1</v>
      </c>
      <c r="Q73" s="52">
        <v>1</v>
      </c>
      <c r="R73" s="52">
        <f t="shared" ca="1" si="16"/>
        <v>2016</v>
      </c>
      <c r="S73" s="52">
        <v>0</v>
      </c>
      <c r="T73" s="59" t="s">
        <v>317</v>
      </c>
      <c r="U73" s="59" t="s">
        <v>317</v>
      </c>
      <c r="V73" s="52" t="str">
        <f t="shared" si="23"/>
        <v>2014</v>
      </c>
      <c r="W73" s="52" t="str">
        <f t="shared" si="24"/>
        <v>4</v>
      </c>
      <c r="X73" s="52">
        <f t="shared" ca="1" si="25"/>
        <v>2</v>
      </c>
      <c r="Y73" s="52" t="str">
        <f t="shared" si="26"/>
        <v>2015</v>
      </c>
      <c r="Z73" s="52" t="str">
        <f t="shared" si="27"/>
        <v>1</v>
      </c>
      <c r="AA73" s="52">
        <f t="shared" ca="1" si="28"/>
        <v>1</v>
      </c>
      <c r="AB73" s="52">
        <f t="shared" si="29"/>
        <v>1</v>
      </c>
      <c r="AC73" s="52" t="str">
        <f t="shared" si="30"/>
        <v>9</v>
      </c>
      <c r="AD73" s="52" t="str">
        <f t="shared" si="30"/>
        <v>9</v>
      </c>
      <c r="AE73" s="52" t="str">
        <f t="shared" si="31"/>
        <v>999999</v>
      </c>
      <c r="AF73" s="52" t="str">
        <f t="shared" si="32"/>
        <v>999999</v>
      </c>
      <c r="AG73" s="52" t="str">
        <f t="shared" si="33"/>
        <v>T</v>
      </c>
      <c r="AH73" s="52" t="str">
        <f t="shared" si="33"/>
        <v>T</v>
      </c>
    </row>
    <row r="74" spans="2:34" x14ac:dyDescent="0.25">
      <c r="B74" s="52">
        <v>28</v>
      </c>
      <c r="C74" s="52">
        <v>4</v>
      </c>
      <c r="D74" s="52" t="s">
        <v>91</v>
      </c>
      <c r="E74" s="52" t="s">
        <v>90</v>
      </c>
      <c r="H74" s="54">
        <f t="shared" ca="1" si="34"/>
        <v>41640</v>
      </c>
      <c r="I74" s="52" t="s">
        <v>291</v>
      </c>
      <c r="J74" s="52" t="s">
        <v>90</v>
      </c>
      <c r="K74" s="55">
        <f t="shared" ca="1" si="35"/>
        <v>42716</v>
      </c>
      <c r="L74" s="52">
        <v>20153</v>
      </c>
      <c r="M74" s="30">
        <f>INDEX(barèmes!$D$2:$E$311,MATCH(T74,barèmes!$D$2:$D$311,0),2)</f>
        <v>0</v>
      </c>
      <c r="N74" s="61">
        <v>20154</v>
      </c>
      <c r="O74" s="30">
        <f>INDEX(barèmes!$D$2:$E$311,MATCH(U74,barèmes!$D$2:$D$311,0),2)</f>
        <v>0</v>
      </c>
      <c r="P74" s="52">
        <v>12</v>
      </c>
      <c r="Q74" s="52">
        <v>12</v>
      </c>
      <c r="R74" s="52">
        <f t="shared" ca="1" si="16"/>
        <v>2016</v>
      </c>
      <c r="S74" s="52">
        <v>0</v>
      </c>
      <c r="T74" s="59" t="s">
        <v>317</v>
      </c>
      <c r="U74" s="59" t="s">
        <v>317</v>
      </c>
      <c r="V74" s="52" t="str">
        <f t="shared" si="23"/>
        <v>2015</v>
      </c>
      <c r="W74" s="52" t="str">
        <f t="shared" si="24"/>
        <v>3</v>
      </c>
      <c r="X74" s="52">
        <f t="shared" ca="1" si="25"/>
        <v>1</v>
      </c>
      <c r="Y74" s="52" t="str">
        <f t="shared" si="26"/>
        <v>2015</v>
      </c>
      <c r="Z74" s="52" t="str">
        <f t="shared" si="27"/>
        <v>4</v>
      </c>
      <c r="AA74" s="52">
        <f t="shared" ca="1" si="28"/>
        <v>1</v>
      </c>
      <c r="AB74" s="52">
        <f t="shared" si="29"/>
        <v>1</v>
      </c>
      <c r="AC74" s="52" t="str">
        <f t="shared" si="30"/>
        <v>9</v>
      </c>
      <c r="AD74" s="52" t="str">
        <f t="shared" si="30"/>
        <v>9</v>
      </c>
      <c r="AE74" s="52" t="str">
        <f t="shared" si="31"/>
        <v>999999</v>
      </c>
      <c r="AF74" s="52" t="str">
        <f t="shared" si="32"/>
        <v>999999</v>
      </c>
      <c r="AG74" s="52" t="str">
        <f t="shared" si="33"/>
        <v>T</v>
      </c>
      <c r="AH74" s="52" t="str">
        <f t="shared" si="33"/>
        <v>T</v>
      </c>
    </row>
    <row r="75" spans="2:34" x14ac:dyDescent="0.25">
      <c r="B75" s="52">
        <v>29</v>
      </c>
      <c r="C75" s="52">
        <v>4</v>
      </c>
      <c r="D75" s="52" t="s">
        <v>91</v>
      </c>
      <c r="E75" s="52" t="s">
        <v>90</v>
      </c>
      <c r="H75" s="54">
        <f ca="1">DATE($R75-2,1,1)</f>
        <v>41640</v>
      </c>
      <c r="I75" s="52" t="s">
        <v>291</v>
      </c>
      <c r="J75" s="52" t="s">
        <v>93</v>
      </c>
      <c r="K75" s="55">
        <f ca="1">DATE($R75-$S75,$Q75,$P75)</f>
        <v>42005</v>
      </c>
      <c r="L75" s="52">
        <v>20134</v>
      </c>
      <c r="M75" s="30">
        <f>INDEX(barèmes!$D$2:$E$311,MATCH(T75,barèmes!$D$2:$D$311,0),2)</f>
        <v>0</v>
      </c>
      <c r="N75" s="61">
        <v>20151</v>
      </c>
      <c r="O75" s="30">
        <f>INDEX(barèmes!$D$2:$E$311,MATCH(U75,barèmes!$D$2:$D$311,0),2)</f>
        <v>367.94</v>
      </c>
      <c r="P75" s="52">
        <v>1</v>
      </c>
      <c r="Q75" s="52">
        <v>1</v>
      </c>
      <c r="R75" s="52">
        <f t="shared" ca="1" si="16"/>
        <v>2016</v>
      </c>
      <c r="S75" s="52">
        <v>1</v>
      </c>
      <c r="T75" s="59" t="s">
        <v>317</v>
      </c>
      <c r="U75" s="59" t="s">
        <v>333</v>
      </c>
      <c r="V75" s="52" t="str">
        <f t="shared" si="23"/>
        <v>2013</v>
      </c>
      <c r="W75" s="52" t="str">
        <f t="shared" si="24"/>
        <v>4</v>
      </c>
      <c r="X75" s="52">
        <f t="shared" ca="1" si="25"/>
        <v>3</v>
      </c>
      <c r="Y75" s="52" t="str">
        <f t="shared" si="26"/>
        <v>2015</v>
      </c>
      <c r="Z75" s="52" t="str">
        <f t="shared" si="27"/>
        <v>1</v>
      </c>
      <c r="AA75" s="52">
        <f t="shared" ca="1" si="28"/>
        <v>1</v>
      </c>
      <c r="AB75" s="52">
        <f t="shared" si="29"/>
        <v>1</v>
      </c>
      <c r="AC75" s="52" t="str">
        <f t="shared" si="30"/>
        <v>9</v>
      </c>
      <c r="AD75" s="52" t="s">
        <v>325</v>
      </c>
      <c r="AE75" s="52" t="str">
        <f t="shared" si="31"/>
        <v>999999</v>
      </c>
      <c r="AF75" s="52" t="str">
        <f t="shared" si="32"/>
        <v>12015r2</v>
      </c>
      <c r="AG75" s="52" t="str">
        <f t="shared" si="33"/>
        <v>T</v>
      </c>
      <c r="AH75" s="52" t="str">
        <f t="shared" si="33"/>
        <v>T</v>
      </c>
    </row>
    <row r="76" spans="2:34" x14ac:dyDescent="0.25">
      <c r="B76" s="52">
        <v>30</v>
      </c>
      <c r="C76" s="52">
        <v>4</v>
      </c>
      <c r="D76" s="52" t="s">
        <v>91</v>
      </c>
      <c r="E76" s="52" t="s">
        <v>90</v>
      </c>
      <c r="H76" s="54">
        <f t="shared" ref="H76:H86" ca="1" si="36">DATE($R76-2,1,1)</f>
        <v>41640</v>
      </c>
      <c r="I76" s="52" t="s">
        <v>291</v>
      </c>
      <c r="J76" s="52" t="s">
        <v>93</v>
      </c>
      <c r="K76" s="55">
        <f t="shared" ref="K76:K86" ca="1" si="37">DATE($R76-$S76,$Q76,$P76)</f>
        <v>42186</v>
      </c>
      <c r="L76" s="52">
        <v>20142</v>
      </c>
      <c r="M76" s="30">
        <f>INDEX(barèmes!$D$2:$E$311,MATCH(T76,barèmes!$D$2:$D$311,0),2)</f>
        <v>0</v>
      </c>
      <c r="N76" s="61">
        <v>20151</v>
      </c>
      <c r="O76" s="30">
        <f>INDEX(barèmes!$D$2:$E$311,MATCH(U76,barèmes!$D$2:$D$311,0),2)</f>
        <v>359.18</v>
      </c>
      <c r="P76" s="52">
        <v>1</v>
      </c>
      <c r="Q76" s="52">
        <v>7</v>
      </c>
      <c r="R76" s="52">
        <f t="shared" ca="1" si="16"/>
        <v>2016</v>
      </c>
      <c r="S76" s="52">
        <v>1</v>
      </c>
      <c r="T76" s="59" t="s">
        <v>317</v>
      </c>
      <c r="U76" s="59" t="s">
        <v>334</v>
      </c>
      <c r="V76" s="52" t="str">
        <f t="shared" si="23"/>
        <v>2014</v>
      </c>
      <c r="W76" s="52" t="str">
        <f t="shared" si="24"/>
        <v>2</v>
      </c>
      <c r="X76" s="52">
        <f t="shared" ca="1" si="25"/>
        <v>2</v>
      </c>
      <c r="Y76" s="52" t="str">
        <f t="shared" si="26"/>
        <v>2015</v>
      </c>
      <c r="Z76" s="52" t="str">
        <f t="shared" si="27"/>
        <v>1</v>
      </c>
      <c r="AA76" s="52">
        <f t="shared" ca="1" si="28"/>
        <v>1</v>
      </c>
      <c r="AB76" s="52">
        <f t="shared" si="29"/>
        <v>1</v>
      </c>
      <c r="AC76" s="52" t="str">
        <f t="shared" si="30"/>
        <v>9</v>
      </c>
      <c r="AD76" s="52" t="s">
        <v>324</v>
      </c>
      <c r="AE76" s="52" t="str">
        <f t="shared" si="31"/>
        <v>999999</v>
      </c>
      <c r="AF76" s="52" t="str">
        <f t="shared" si="32"/>
        <v>12015r1</v>
      </c>
      <c r="AG76" s="52" t="str">
        <f t="shared" si="33"/>
        <v>T</v>
      </c>
      <c r="AH76" s="52" t="str">
        <f t="shared" si="33"/>
        <v>T</v>
      </c>
    </row>
    <row r="77" spans="2:34" x14ac:dyDescent="0.25">
      <c r="B77" s="52">
        <v>31</v>
      </c>
      <c r="C77" s="52">
        <v>4</v>
      </c>
      <c r="D77" s="52" t="s">
        <v>91</v>
      </c>
      <c r="E77" s="52" t="s">
        <v>90</v>
      </c>
      <c r="H77" s="54">
        <f t="shared" ca="1" si="36"/>
        <v>41640</v>
      </c>
      <c r="I77" s="52" t="s">
        <v>291</v>
      </c>
      <c r="J77" s="52" t="s">
        <v>93</v>
      </c>
      <c r="K77" s="55">
        <f t="shared" ca="1" si="37"/>
        <v>42370</v>
      </c>
      <c r="L77" s="52">
        <v>20144</v>
      </c>
      <c r="M77" s="30">
        <f>INDEX(barèmes!$D$2:$E$311,MATCH(T77,barèmes!$D$2:$D$311,0),2)</f>
        <v>0</v>
      </c>
      <c r="N77" s="61">
        <v>20151</v>
      </c>
      <c r="O77" s="30">
        <f>INDEX(barèmes!$D$2:$E$311,MATCH(U77,barèmes!$D$2:$D$311,0),2)</f>
        <v>376.7</v>
      </c>
      <c r="P77" s="52">
        <v>1</v>
      </c>
      <c r="Q77" s="52">
        <v>1</v>
      </c>
      <c r="R77" s="52">
        <f t="shared" ca="1" si="16"/>
        <v>2016</v>
      </c>
      <c r="S77" s="52">
        <v>0</v>
      </c>
      <c r="T77" s="59" t="s">
        <v>317</v>
      </c>
      <c r="U77" s="59" t="s">
        <v>329</v>
      </c>
      <c r="V77" s="52" t="str">
        <f t="shared" si="23"/>
        <v>2014</v>
      </c>
      <c r="W77" s="52" t="str">
        <f t="shared" si="24"/>
        <v>4</v>
      </c>
      <c r="X77" s="52">
        <f t="shared" ca="1" si="25"/>
        <v>2</v>
      </c>
      <c r="Y77" s="52" t="str">
        <f t="shared" si="26"/>
        <v>2015</v>
      </c>
      <c r="Z77" s="52" t="str">
        <f t="shared" si="27"/>
        <v>1</v>
      </c>
      <c r="AA77" s="52">
        <f t="shared" ca="1" si="28"/>
        <v>1</v>
      </c>
      <c r="AB77" s="52">
        <f t="shared" si="29"/>
        <v>1</v>
      </c>
      <c r="AC77" s="52" t="str">
        <f t="shared" si="30"/>
        <v>9</v>
      </c>
      <c r="AD77" s="52" t="s">
        <v>326</v>
      </c>
      <c r="AE77" s="52" t="str">
        <f t="shared" si="31"/>
        <v>999999</v>
      </c>
      <c r="AF77" s="52" t="str">
        <f t="shared" si="32"/>
        <v>12015r3</v>
      </c>
      <c r="AG77" s="52" t="str">
        <f t="shared" si="33"/>
        <v>T</v>
      </c>
      <c r="AH77" s="52" t="str">
        <f t="shared" si="33"/>
        <v>T</v>
      </c>
    </row>
    <row r="78" spans="2:34" x14ac:dyDescent="0.25">
      <c r="B78" s="52">
        <v>32</v>
      </c>
      <c r="C78" s="52">
        <v>4</v>
      </c>
      <c r="D78" s="52" t="s">
        <v>91</v>
      </c>
      <c r="E78" s="52" t="s">
        <v>90</v>
      </c>
      <c r="H78" s="54">
        <f t="shared" ca="1" si="36"/>
        <v>41640</v>
      </c>
      <c r="I78" s="52" t="s">
        <v>291</v>
      </c>
      <c r="J78" s="52" t="s">
        <v>93</v>
      </c>
      <c r="K78" s="55">
        <f t="shared" ca="1" si="37"/>
        <v>42716</v>
      </c>
      <c r="L78" s="52">
        <v>20153</v>
      </c>
      <c r="M78" s="30">
        <f>INDEX(barèmes!$D$2:$E$311,MATCH(T78,barèmes!$D$2:$D$311,0),2)</f>
        <v>0</v>
      </c>
      <c r="N78" s="61">
        <v>20154</v>
      </c>
      <c r="O78" s="30">
        <f>INDEX(barèmes!$D$2:$E$311,MATCH(U78,barèmes!$D$2:$D$311,0),2)</f>
        <v>376.7</v>
      </c>
      <c r="P78" s="52">
        <v>12</v>
      </c>
      <c r="Q78" s="52">
        <v>12</v>
      </c>
      <c r="R78" s="52">
        <f t="shared" ca="1" si="16"/>
        <v>2016</v>
      </c>
      <c r="S78" s="52">
        <v>0</v>
      </c>
      <c r="T78" s="59" t="s">
        <v>317</v>
      </c>
      <c r="U78" s="59" t="s">
        <v>329</v>
      </c>
      <c r="V78" s="52" t="str">
        <f t="shared" si="23"/>
        <v>2015</v>
      </c>
      <c r="W78" s="52" t="str">
        <f t="shared" si="24"/>
        <v>3</v>
      </c>
      <c r="X78" s="52">
        <f t="shared" ca="1" si="25"/>
        <v>1</v>
      </c>
      <c r="Y78" s="52" t="str">
        <f t="shared" si="26"/>
        <v>2015</v>
      </c>
      <c r="Z78" s="52" t="str">
        <f t="shared" si="27"/>
        <v>4</v>
      </c>
      <c r="AA78" s="52">
        <f t="shared" ca="1" si="28"/>
        <v>1</v>
      </c>
      <c r="AB78" s="52">
        <f t="shared" si="29"/>
        <v>1</v>
      </c>
      <c r="AC78" s="52" t="str">
        <f t="shared" si="30"/>
        <v>9</v>
      </c>
      <c r="AD78" s="52" t="s">
        <v>326</v>
      </c>
      <c r="AE78" s="52" t="str">
        <f t="shared" si="31"/>
        <v>999999</v>
      </c>
      <c r="AF78" s="52" t="str">
        <f t="shared" si="32"/>
        <v>12015r3</v>
      </c>
      <c r="AG78" s="52" t="str">
        <f t="shared" si="33"/>
        <v>T</v>
      </c>
      <c r="AH78" s="52" t="str">
        <f t="shared" si="33"/>
        <v>T</v>
      </c>
    </row>
    <row r="79" spans="2:34" x14ac:dyDescent="0.25">
      <c r="B79" s="52">
        <v>33</v>
      </c>
      <c r="C79" s="52">
        <v>4</v>
      </c>
      <c r="D79" s="52" t="s">
        <v>91</v>
      </c>
      <c r="E79" s="52" t="s">
        <v>90</v>
      </c>
      <c r="H79" s="54">
        <f t="shared" ca="1" si="36"/>
        <v>41640</v>
      </c>
      <c r="I79" s="52" t="s">
        <v>294</v>
      </c>
      <c r="K79" s="55">
        <f t="shared" ca="1" si="37"/>
        <v>42005</v>
      </c>
      <c r="L79" s="52">
        <v>20134</v>
      </c>
      <c r="M79" s="30">
        <f>INDEX(barèmes!$D$2:$E$311,MATCH(T79,barèmes!$D$2:$D$311,0),2)</f>
        <v>0</v>
      </c>
      <c r="N79" s="61">
        <v>20151</v>
      </c>
      <c r="O79" s="30">
        <f>INDEX(barèmes!$D$2:$E$311,MATCH(U79,barèmes!$D$2:$D$311,0),2)</f>
        <v>308.55</v>
      </c>
      <c r="P79" s="52">
        <v>1</v>
      </c>
      <c r="Q79" s="52">
        <v>1</v>
      </c>
      <c r="R79" s="52">
        <f t="shared" ca="1" si="16"/>
        <v>2016</v>
      </c>
      <c r="S79" s="52">
        <v>1</v>
      </c>
      <c r="T79" s="59" t="s">
        <v>317</v>
      </c>
      <c r="U79" s="59" t="s">
        <v>321</v>
      </c>
      <c r="V79" s="52" t="str">
        <f t="shared" si="23"/>
        <v>2013</v>
      </c>
      <c r="W79" s="52" t="str">
        <f t="shared" si="24"/>
        <v>4</v>
      </c>
      <c r="X79" s="52">
        <f t="shared" ca="1" si="25"/>
        <v>3</v>
      </c>
      <c r="Y79" s="52" t="str">
        <f t="shared" si="26"/>
        <v>2015</v>
      </c>
      <c r="Z79" s="52" t="str">
        <f t="shared" si="27"/>
        <v>1</v>
      </c>
      <c r="AA79" s="52">
        <f t="shared" ca="1" si="28"/>
        <v>1</v>
      </c>
      <c r="AB79" s="52">
        <f t="shared" si="29"/>
        <v>5</v>
      </c>
      <c r="AC79" s="52" t="str">
        <f t="shared" si="30"/>
        <v>9</v>
      </c>
      <c r="AD79" s="52" t="str">
        <f t="shared" si="30"/>
        <v>2</v>
      </c>
      <c r="AE79" s="52" t="str">
        <f t="shared" si="31"/>
        <v>999999</v>
      </c>
      <c r="AF79" s="52" t="str">
        <f t="shared" si="32"/>
        <v>520152</v>
      </c>
      <c r="AG79" s="52" t="str">
        <f t="shared" si="33"/>
        <v>T</v>
      </c>
      <c r="AH79" s="52" t="str">
        <f t="shared" si="33"/>
        <v>T</v>
      </c>
    </row>
    <row r="80" spans="2:34" x14ac:dyDescent="0.25">
      <c r="B80" s="52">
        <v>34</v>
      </c>
      <c r="C80" s="52">
        <v>4</v>
      </c>
      <c r="D80" s="52" t="s">
        <v>91</v>
      </c>
      <c r="E80" s="52" t="s">
        <v>90</v>
      </c>
      <c r="H80" s="54">
        <f t="shared" ca="1" si="36"/>
        <v>41640</v>
      </c>
      <c r="I80" s="52" t="s">
        <v>294</v>
      </c>
      <c r="K80" s="55">
        <f t="shared" ca="1" si="37"/>
        <v>42186</v>
      </c>
      <c r="L80" s="52">
        <v>20142</v>
      </c>
      <c r="M80" s="30">
        <f>INDEX(barèmes!$D$2:$E$311,MATCH(T80,barèmes!$D$2:$D$311,0),2)</f>
        <v>0</v>
      </c>
      <c r="N80" s="61">
        <v>20151</v>
      </c>
      <c r="O80" s="30">
        <f>INDEX(barèmes!$D$2:$E$311,MATCH(U80,barèmes!$D$2:$D$311,0),2)</f>
        <v>301.22000000000003</v>
      </c>
      <c r="P80" s="52">
        <v>1</v>
      </c>
      <c r="Q80" s="52">
        <v>7</v>
      </c>
      <c r="R80" s="52">
        <f t="shared" ca="1" si="16"/>
        <v>2016</v>
      </c>
      <c r="S80" s="52">
        <v>1</v>
      </c>
      <c r="T80" s="59" t="s">
        <v>317</v>
      </c>
      <c r="U80" s="59" t="s">
        <v>318</v>
      </c>
      <c r="V80" s="52" t="str">
        <f t="shared" si="23"/>
        <v>2014</v>
      </c>
      <c r="W80" s="52" t="str">
        <f t="shared" si="24"/>
        <v>2</v>
      </c>
      <c r="X80" s="52">
        <f t="shared" ca="1" si="25"/>
        <v>2</v>
      </c>
      <c r="Y80" s="52" t="str">
        <f t="shared" si="26"/>
        <v>2015</v>
      </c>
      <c r="Z80" s="52" t="str">
        <f t="shared" si="27"/>
        <v>1</v>
      </c>
      <c r="AA80" s="52">
        <f t="shared" ca="1" si="28"/>
        <v>1</v>
      </c>
      <c r="AB80" s="52">
        <f t="shared" si="29"/>
        <v>5</v>
      </c>
      <c r="AC80" s="52" t="str">
        <f t="shared" si="30"/>
        <v>9</v>
      </c>
      <c r="AD80" s="52" t="str">
        <f t="shared" si="30"/>
        <v>1</v>
      </c>
      <c r="AE80" s="52" t="str">
        <f t="shared" si="31"/>
        <v>999999</v>
      </c>
      <c r="AF80" s="52" t="str">
        <f t="shared" si="32"/>
        <v>520151</v>
      </c>
      <c r="AG80" s="52" t="str">
        <f t="shared" si="33"/>
        <v>T</v>
      </c>
      <c r="AH80" s="52" t="str">
        <f t="shared" si="33"/>
        <v>T</v>
      </c>
    </row>
    <row r="81" spans="1:34" x14ac:dyDescent="0.25">
      <c r="B81" s="52">
        <v>35</v>
      </c>
      <c r="C81" s="52">
        <v>4</v>
      </c>
      <c r="D81" s="52" t="s">
        <v>91</v>
      </c>
      <c r="E81" s="52" t="s">
        <v>90</v>
      </c>
      <c r="H81" s="54">
        <f t="shared" ca="1" si="36"/>
        <v>41640</v>
      </c>
      <c r="I81" s="52" t="s">
        <v>294</v>
      </c>
      <c r="K81" s="55">
        <f t="shared" ca="1" si="37"/>
        <v>42370</v>
      </c>
      <c r="L81" s="52">
        <v>20144</v>
      </c>
      <c r="M81" s="30">
        <f>INDEX(barèmes!$D$2:$E$311,MATCH(T81,barèmes!$D$2:$D$311,0),2)</f>
        <v>0</v>
      </c>
      <c r="N81" s="61">
        <v>20151</v>
      </c>
      <c r="O81" s="30">
        <f>INDEX(barèmes!$D$2:$E$311,MATCH(U81,barèmes!$D$2:$D$311,0),2)</f>
        <v>315.89999999999998</v>
      </c>
      <c r="P81" s="52">
        <v>1</v>
      </c>
      <c r="Q81" s="52">
        <v>1</v>
      </c>
      <c r="R81" s="52">
        <f t="shared" ca="1" si="16"/>
        <v>2016</v>
      </c>
      <c r="S81" s="52">
        <v>0</v>
      </c>
      <c r="T81" s="59" t="s">
        <v>317</v>
      </c>
      <c r="U81" s="59" t="s">
        <v>319</v>
      </c>
      <c r="V81" s="52" t="str">
        <f t="shared" si="23"/>
        <v>2014</v>
      </c>
      <c r="W81" s="52" t="str">
        <f t="shared" si="24"/>
        <v>4</v>
      </c>
      <c r="X81" s="52">
        <f t="shared" ca="1" si="25"/>
        <v>2</v>
      </c>
      <c r="Y81" s="52" t="str">
        <f t="shared" si="26"/>
        <v>2015</v>
      </c>
      <c r="Z81" s="52" t="str">
        <f t="shared" si="27"/>
        <v>1</v>
      </c>
      <c r="AA81" s="52">
        <f t="shared" ca="1" si="28"/>
        <v>1</v>
      </c>
      <c r="AB81" s="52">
        <f t="shared" si="29"/>
        <v>5</v>
      </c>
      <c r="AC81" s="52" t="str">
        <f t="shared" si="30"/>
        <v>9</v>
      </c>
      <c r="AD81" s="52" t="str">
        <f t="shared" si="30"/>
        <v>3</v>
      </c>
      <c r="AE81" s="52" t="str">
        <f t="shared" si="31"/>
        <v>999999</v>
      </c>
      <c r="AF81" s="52" t="str">
        <f t="shared" si="32"/>
        <v>520153</v>
      </c>
      <c r="AG81" s="52" t="str">
        <f t="shared" si="33"/>
        <v>T</v>
      </c>
      <c r="AH81" s="52" t="str">
        <f t="shared" si="33"/>
        <v>T</v>
      </c>
    </row>
    <row r="82" spans="1:34" x14ac:dyDescent="0.25">
      <c r="B82" s="52">
        <v>36</v>
      </c>
      <c r="C82" s="52">
        <v>4</v>
      </c>
      <c r="D82" s="52" t="s">
        <v>91</v>
      </c>
      <c r="E82" s="52" t="s">
        <v>90</v>
      </c>
      <c r="H82" s="54">
        <f t="shared" ca="1" si="36"/>
        <v>41640</v>
      </c>
      <c r="I82" s="52" t="s">
        <v>294</v>
      </c>
      <c r="K82" s="55">
        <f t="shared" ca="1" si="37"/>
        <v>42716</v>
      </c>
      <c r="L82" s="52">
        <v>20153</v>
      </c>
      <c r="M82" s="30">
        <f>INDEX(barèmes!$D$2:$E$311,MATCH(T82,barèmes!$D$2:$D$311,0),2)</f>
        <v>0</v>
      </c>
      <c r="N82" s="61">
        <v>20154</v>
      </c>
      <c r="O82" s="30">
        <f>INDEX(barèmes!$D$2:$E$311,MATCH(U82,barèmes!$D$2:$D$311,0),2)</f>
        <v>315.89999999999998</v>
      </c>
      <c r="P82" s="52">
        <v>12</v>
      </c>
      <c r="Q82" s="52">
        <v>12</v>
      </c>
      <c r="R82" s="52">
        <f t="shared" ca="1" si="16"/>
        <v>2016</v>
      </c>
      <c r="S82" s="52">
        <v>0</v>
      </c>
      <c r="T82" s="59" t="s">
        <v>317</v>
      </c>
      <c r="U82" s="59" t="s">
        <v>319</v>
      </c>
      <c r="V82" s="52" t="str">
        <f t="shared" si="23"/>
        <v>2015</v>
      </c>
      <c r="W82" s="52" t="str">
        <f t="shared" si="24"/>
        <v>3</v>
      </c>
      <c r="X82" s="52">
        <f t="shared" ca="1" si="25"/>
        <v>1</v>
      </c>
      <c r="Y82" s="52" t="str">
        <f t="shared" si="26"/>
        <v>2015</v>
      </c>
      <c r="Z82" s="52" t="str">
        <f t="shared" si="27"/>
        <v>4</v>
      </c>
      <c r="AA82" s="52">
        <f t="shared" ca="1" si="28"/>
        <v>1</v>
      </c>
      <c r="AB82" s="52">
        <f t="shared" si="29"/>
        <v>5</v>
      </c>
      <c r="AC82" s="52" t="str">
        <f t="shared" si="30"/>
        <v>9</v>
      </c>
      <c r="AD82" s="52" t="str">
        <f t="shared" si="30"/>
        <v>3</v>
      </c>
      <c r="AE82" s="52" t="str">
        <f t="shared" si="31"/>
        <v>999999</v>
      </c>
      <c r="AF82" s="52" t="str">
        <f t="shared" si="32"/>
        <v>520153</v>
      </c>
      <c r="AG82" s="52" t="str">
        <f t="shared" si="33"/>
        <v>T</v>
      </c>
      <c r="AH82" s="52" t="str">
        <f t="shared" si="33"/>
        <v>T</v>
      </c>
    </row>
    <row r="83" spans="1:34" x14ac:dyDescent="0.25">
      <c r="B83" s="52">
        <v>37</v>
      </c>
      <c r="C83" s="52">
        <v>4</v>
      </c>
      <c r="D83" s="52" t="s">
        <v>91</v>
      </c>
      <c r="E83" s="52" t="s">
        <v>90</v>
      </c>
      <c r="H83" s="54">
        <f t="shared" ca="1" si="36"/>
        <v>41640</v>
      </c>
      <c r="I83" s="52" t="s">
        <v>294</v>
      </c>
      <c r="J83" s="52" t="s">
        <v>90</v>
      </c>
      <c r="K83" s="55">
        <f t="shared" ca="1" si="37"/>
        <v>42005</v>
      </c>
      <c r="L83" s="52">
        <v>20134</v>
      </c>
      <c r="M83" s="30">
        <f>INDEX(barèmes!$D$2:$E$311,MATCH(T83,barèmes!$D$2:$D$311,0),2)</f>
        <v>0</v>
      </c>
      <c r="N83" s="61">
        <v>20151</v>
      </c>
      <c r="O83" s="30">
        <f>INDEX(barèmes!$D$2:$E$311,MATCH(U83,barèmes!$D$2:$D$311,0),2)</f>
        <v>0</v>
      </c>
      <c r="P83" s="52">
        <v>1</v>
      </c>
      <c r="Q83" s="52">
        <v>1</v>
      </c>
      <c r="R83" s="52">
        <f t="shared" ca="1" si="16"/>
        <v>2016</v>
      </c>
      <c r="S83" s="52">
        <v>1</v>
      </c>
      <c r="T83" s="59" t="s">
        <v>317</v>
      </c>
      <c r="U83" s="59" t="s">
        <v>317</v>
      </c>
      <c r="V83" s="52" t="str">
        <f t="shared" si="23"/>
        <v>2013</v>
      </c>
      <c r="W83" s="52" t="str">
        <f t="shared" si="24"/>
        <v>4</v>
      </c>
      <c r="X83" s="52">
        <f t="shared" ca="1" si="25"/>
        <v>3</v>
      </c>
      <c r="Y83" s="52" t="str">
        <f t="shared" si="26"/>
        <v>2015</v>
      </c>
      <c r="Z83" s="52" t="str">
        <f t="shared" si="27"/>
        <v>1</v>
      </c>
      <c r="AA83" s="52">
        <f t="shared" ca="1" si="28"/>
        <v>1</v>
      </c>
      <c r="AB83" s="52">
        <f t="shared" si="29"/>
        <v>5</v>
      </c>
      <c r="AC83" s="52" t="str">
        <f t="shared" si="30"/>
        <v>9</v>
      </c>
      <c r="AD83" s="52" t="str">
        <f t="shared" si="30"/>
        <v>9</v>
      </c>
      <c r="AE83" s="52" t="str">
        <f t="shared" si="31"/>
        <v>999999</v>
      </c>
      <c r="AF83" s="52" t="str">
        <f t="shared" si="32"/>
        <v>999999</v>
      </c>
      <c r="AG83" s="52" t="str">
        <f t="shared" si="33"/>
        <v>T</v>
      </c>
      <c r="AH83" s="52" t="str">
        <f t="shared" si="33"/>
        <v>T</v>
      </c>
    </row>
    <row r="84" spans="1:34" x14ac:dyDescent="0.25">
      <c r="B84" s="52">
        <v>38</v>
      </c>
      <c r="C84" s="52">
        <v>4</v>
      </c>
      <c r="D84" s="52" t="s">
        <v>91</v>
      </c>
      <c r="E84" s="52" t="s">
        <v>90</v>
      </c>
      <c r="H84" s="54">
        <f t="shared" ca="1" si="36"/>
        <v>41640</v>
      </c>
      <c r="I84" s="52" t="s">
        <v>294</v>
      </c>
      <c r="J84" s="52" t="s">
        <v>90</v>
      </c>
      <c r="K84" s="55">
        <f t="shared" ca="1" si="37"/>
        <v>42186</v>
      </c>
      <c r="L84" s="52">
        <v>20142</v>
      </c>
      <c r="M84" s="30">
        <f>INDEX(barèmes!$D$2:$E$311,MATCH(T84,barèmes!$D$2:$D$311,0),2)</f>
        <v>0</v>
      </c>
      <c r="N84" s="61">
        <v>20151</v>
      </c>
      <c r="O84" s="30">
        <f>INDEX(barèmes!$D$2:$E$311,MATCH(U84,barèmes!$D$2:$D$311,0),2)</f>
        <v>0</v>
      </c>
      <c r="P84" s="52">
        <v>1</v>
      </c>
      <c r="Q84" s="52">
        <v>7</v>
      </c>
      <c r="R84" s="52">
        <f t="shared" ca="1" si="16"/>
        <v>2016</v>
      </c>
      <c r="S84" s="52">
        <v>1</v>
      </c>
      <c r="T84" s="59" t="s">
        <v>317</v>
      </c>
      <c r="U84" s="59" t="s">
        <v>317</v>
      </c>
      <c r="V84" s="52" t="str">
        <f t="shared" si="23"/>
        <v>2014</v>
      </c>
      <c r="W84" s="52" t="str">
        <f t="shared" si="24"/>
        <v>2</v>
      </c>
      <c r="X84" s="52">
        <f t="shared" ca="1" si="25"/>
        <v>2</v>
      </c>
      <c r="Y84" s="52" t="str">
        <f t="shared" si="26"/>
        <v>2015</v>
      </c>
      <c r="Z84" s="52" t="str">
        <f t="shared" si="27"/>
        <v>1</v>
      </c>
      <c r="AA84" s="52">
        <f t="shared" ca="1" si="28"/>
        <v>1</v>
      </c>
      <c r="AB84" s="52">
        <f t="shared" si="29"/>
        <v>5</v>
      </c>
      <c r="AC84" s="52" t="str">
        <f t="shared" si="30"/>
        <v>9</v>
      </c>
      <c r="AD84" s="52" t="str">
        <f t="shared" si="30"/>
        <v>9</v>
      </c>
      <c r="AE84" s="52" t="str">
        <f t="shared" si="31"/>
        <v>999999</v>
      </c>
      <c r="AF84" s="52" t="str">
        <f t="shared" si="32"/>
        <v>999999</v>
      </c>
      <c r="AG84" s="52" t="str">
        <f t="shared" si="33"/>
        <v>T</v>
      </c>
      <c r="AH84" s="52" t="str">
        <f t="shared" si="33"/>
        <v>T</v>
      </c>
    </row>
    <row r="85" spans="1:34" x14ac:dyDescent="0.25">
      <c r="B85" s="52">
        <v>39</v>
      </c>
      <c r="C85" s="52">
        <v>4</v>
      </c>
      <c r="D85" s="52" t="s">
        <v>91</v>
      </c>
      <c r="E85" s="52" t="s">
        <v>90</v>
      </c>
      <c r="H85" s="54">
        <f t="shared" ca="1" si="36"/>
        <v>41640</v>
      </c>
      <c r="I85" s="52" t="s">
        <v>294</v>
      </c>
      <c r="J85" s="52" t="s">
        <v>90</v>
      </c>
      <c r="K85" s="55">
        <f t="shared" ca="1" si="37"/>
        <v>42370</v>
      </c>
      <c r="L85" s="52">
        <v>20144</v>
      </c>
      <c r="M85" s="30">
        <f>INDEX(barèmes!$D$2:$E$311,MATCH(T85,barèmes!$D$2:$D$311,0),2)</f>
        <v>0</v>
      </c>
      <c r="N85" s="61">
        <v>20151</v>
      </c>
      <c r="O85" s="30">
        <f>INDEX(barèmes!$D$2:$E$311,MATCH(U85,barèmes!$D$2:$D$311,0),2)</f>
        <v>0</v>
      </c>
      <c r="P85" s="52">
        <v>1</v>
      </c>
      <c r="Q85" s="52">
        <v>1</v>
      </c>
      <c r="R85" s="52">
        <f t="shared" ca="1" si="16"/>
        <v>2016</v>
      </c>
      <c r="S85" s="52">
        <v>0</v>
      </c>
      <c r="T85" s="59" t="s">
        <v>317</v>
      </c>
      <c r="U85" s="59" t="s">
        <v>317</v>
      </c>
      <c r="V85" s="52" t="str">
        <f t="shared" si="23"/>
        <v>2014</v>
      </c>
      <c r="W85" s="52" t="str">
        <f t="shared" si="24"/>
        <v>4</v>
      </c>
      <c r="X85" s="52">
        <f t="shared" ca="1" si="25"/>
        <v>2</v>
      </c>
      <c r="Y85" s="52" t="str">
        <f t="shared" si="26"/>
        <v>2015</v>
      </c>
      <c r="Z85" s="52" t="str">
        <f t="shared" si="27"/>
        <v>1</v>
      </c>
      <c r="AA85" s="52">
        <f t="shared" ca="1" si="28"/>
        <v>1</v>
      </c>
      <c r="AB85" s="52">
        <f t="shared" si="29"/>
        <v>5</v>
      </c>
      <c r="AC85" s="52" t="str">
        <f t="shared" si="30"/>
        <v>9</v>
      </c>
      <c r="AD85" s="52" t="str">
        <f t="shared" si="30"/>
        <v>9</v>
      </c>
      <c r="AE85" s="52" t="str">
        <f t="shared" si="31"/>
        <v>999999</v>
      </c>
      <c r="AF85" s="52" t="str">
        <f t="shared" si="32"/>
        <v>999999</v>
      </c>
      <c r="AG85" s="52" t="str">
        <f t="shared" si="33"/>
        <v>T</v>
      </c>
      <c r="AH85" s="52" t="str">
        <f t="shared" si="33"/>
        <v>T</v>
      </c>
    </row>
    <row r="86" spans="1:34" x14ac:dyDescent="0.25">
      <c r="B86" s="52">
        <v>40</v>
      </c>
      <c r="C86" s="52">
        <v>4</v>
      </c>
      <c r="D86" s="52" t="s">
        <v>91</v>
      </c>
      <c r="E86" s="52" t="s">
        <v>90</v>
      </c>
      <c r="H86" s="54">
        <f t="shared" ca="1" si="36"/>
        <v>41640</v>
      </c>
      <c r="I86" s="52" t="s">
        <v>294</v>
      </c>
      <c r="J86" s="52" t="s">
        <v>90</v>
      </c>
      <c r="K86" s="55">
        <f t="shared" ca="1" si="37"/>
        <v>42716</v>
      </c>
      <c r="L86" s="52">
        <v>20153</v>
      </c>
      <c r="M86" s="30">
        <f>INDEX(barèmes!$D$2:$E$311,MATCH(T86,barèmes!$D$2:$D$311,0),2)</f>
        <v>0</v>
      </c>
      <c r="N86" s="61">
        <v>20154</v>
      </c>
      <c r="O86" s="30">
        <f>INDEX(barèmes!$D$2:$E$311,MATCH(U86,barèmes!$D$2:$D$311,0),2)</f>
        <v>0</v>
      </c>
      <c r="P86" s="52">
        <v>12</v>
      </c>
      <c r="Q86" s="52">
        <v>12</v>
      </c>
      <c r="R86" s="52">
        <f t="shared" ca="1" si="16"/>
        <v>2016</v>
      </c>
      <c r="S86" s="52">
        <v>0</v>
      </c>
      <c r="T86" s="59" t="s">
        <v>317</v>
      </c>
      <c r="U86" s="59" t="s">
        <v>317</v>
      </c>
      <c r="V86" s="52" t="str">
        <f t="shared" si="23"/>
        <v>2015</v>
      </c>
      <c r="W86" s="52" t="str">
        <f t="shared" si="24"/>
        <v>3</v>
      </c>
      <c r="X86" s="52">
        <f t="shared" ca="1" si="25"/>
        <v>1</v>
      </c>
      <c r="Y86" s="52" t="str">
        <f t="shared" si="26"/>
        <v>2015</v>
      </c>
      <c r="Z86" s="52" t="str">
        <f t="shared" si="27"/>
        <v>4</v>
      </c>
      <c r="AA86" s="52">
        <f t="shared" ca="1" si="28"/>
        <v>1</v>
      </c>
      <c r="AB86" s="52">
        <f t="shared" si="29"/>
        <v>5</v>
      </c>
      <c r="AC86" s="52" t="str">
        <f t="shared" si="30"/>
        <v>9</v>
      </c>
      <c r="AD86" s="52" t="str">
        <f t="shared" si="30"/>
        <v>9</v>
      </c>
      <c r="AE86" s="52" t="str">
        <f t="shared" si="31"/>
        <v>999999</v>
      </c>
      <c r="AF86" s="52" t="str">
        <f t="shared" si="32"/>
        <v>999999</v>
      </c>
      <c r="AG86" s="52" t="str">
        <f t="shared" si="33"/>
        <v>T</v>
      </c>
      <c r="AH86" s="52" t="str">
        <f t="shared" si="33"/>
        <v>T</v>
      </c>
    </row>
    <row r="87" spans="1:34" x14ac:dyDescent="0.25">
      <c r="A87" s="52" t="s">
        <v>294</v>
      </c>
      <c r="B87" s="52" t="s">
        <v>399</v>
      </c>
      <c r="C87" s="52" t="s">
        <v>290</v>
      </c>
      <c r="D87" s="52" t="s">
        <v>92</v>
      </c>
      <c r="E87" s="52" t="s">
        <v>285</v>
      </c>
      <c r="F87" s="52" t="s">
        <v>292</v>
      </c>
      <c r="G87" s="52" t="s">
        <v>286</v>
      </c>
      <c r="H87" s="54" t="s">
        <v>296</v>
      </c>
      <c r="I87" s="52" t="s">
        <v>298</v>
      </c>
      <c r="J87" s="52" t="s">
        <v>299</v>
      </c>
      <c r="K87" s="55" t="s">
        <v>297</v>
      </c>
      <c r="L87" s="52" t="s">
        <v>305</v>
      </c>
      <c r="M87" s="30" t="s">
        <v>306</v>
      </c>
      <c r="N87" s="61" t="s">
        <v>307</v>
      </c>
      <c r="O87" s="30" t="s">
        <v>308</v>
      </c>
      <c r="P87" s="52" t="s">
        <v>287</v>
      </c>
      <c r="Q87" s="52" t="s">
        <v>288</v>
      </c>
      <c r="R87" s="52" t="s">
        <v>289</v>
      </c>
      <c r="S87" s="52" t="s">
        <v>295</v>
      </c>
      <c r="T87" s="59" t="s">
        <v>309</v>
      </c>
      <c r="U87" s="59" t="s">
        <v>310</v>
      </c>
      <c r="AE87" s="59" t="s">
        <v>309</v>
      </c>
      <c r="AF87" s="59" t="s">
        <v>310</v>
      </c>
    </row>
    <row r="88" spans="1:34" x14ac:dyDescent="0.25">
      <c r="B88" s="52">
        <v>1</v>
      </c>
      <c r="C88" s="52">
        <v>5</v>
      </c>
      <c r="D88" s="52" t="s">
        <v>91</v>
      </c>
      <c r="H88" s="54">
        <f ca="1">DATE($R88-2,1,1)</f>
        <v>41640</v>
      </c>
      <c r="I88" s="52" t="s">
        <v>291</v>
      </c>
      <c r="K88" s="55">
        <f ca="1">DATE($R88-$S88,$Q88,$P88)</f>
        <v>42005</v>
      </c>
      <c r="L88" s="52">
        <v>20134</v>
      </c>
      <c r="M88" s="30">
        <f>INDEX(barèmes!$D$2:$E$311,MATCH(T88,barèmes!$D$2:$D$311,0),2)</f>
        <v>300.14</v>
      </c>
      <c r="N88" s="61">
        <v>20151</v>
      </c>
      <c r="O88" s="30">
        <f>INDEX(barèmes!$D$2:$E$311,MATCH(U88,barèmes!$D$2:$D$311,0),2)</f>
        <v>702.39</v>
      </c>
      <c r="P88" s="52">
        <v>1</v>
      </c>
      <c r="Q88" s="52">
        <v>1</v>
      </c>
      <c r="R88" s="52">
        <f t="shared" ca="1" si="16"/>
        <v>2016</v>
      </c>
      <c r="S88" s="52">
        <v>1</v>
      </c>
      <c r="T88" s="59" t="s">
        <v>335</v>
      </c>
      <c r="U88" s="59" t="s">
        <v>331</v>
      </c>
      <c r="V88" s="52" t="str">
        <f t="shared" si="23"/>
        <v>2013</v>
      </c>
      <c r="W88" s="52" t="str">
        <f t="shared" si="24"/>
        <v>4</v>
      </c>
      <c r="X88" s="52">
        <f t="shared" ca="1" si="25"/>
        <v>3</v>
      </c>
      <c r="Y88" s="52" t="str">
        <f t="shared" si="26"/>
        <v>2015</v>
      </c>
      <c r="Z88" s="52" t="str">
        <f t="shared" si="27"/>
        <v>1</v>
      </c>
      <c r="AA88" s="52">
        <f t="shared" ca="1" si="28"/>
        <v>1</v>
      </c>
      <c r="AB88" s="52">
        <f t="shared" si="29"/>
        <v>1</v>
      </c>
      <c r="AC88" s="52" t="str">
        <f t="shared" si="30"/>
        <v>1</v>
      </c>
      <c r="AD88" s="52" t="str">
        <f t="shared" si="30"/>
        <v>2</v>
      </c>
      <c r="AE88" s="52" t="str">
        <f t="shared" si="31"/>
        <v>520131</v>
      </c>
      <c r="AF88" s="52" t="str">
        <f t="shared" si="32"/>
        <v>120152</v>
      </c>
      <c r="AG88" s="52" t="str">
        <f t="shared" si="33"/>
        <v>T</v>
      </c>
      <c r="AH88" s="52" t="str">
        <f t="shared" si="33"/>
        <v>T</v>
      </c>
    </row>
    <row r="89" spans="1:34" x14ac:dyDescent="0.25">
      <c r="B89" s="52">
        <v>2</v>
      </c>
      <c r="C89" s="52">
        <v>5</v>
      </c>
      <c r="D89" s="52" t="s">
        <v>91</v>
      </c>
      <c r="H89" s="54">
        <f t="shared" ref="H89:H91" ca="1" si="38">DATE($R89-2,1,1)</f>
        <v>41640</v>
      </c>
      <c r="I89" s="52" t="s">
        <v>291</v>
      </c>
      <c r="K89" s="55">
        <f t="shared" ref="K89:K91" ca="1" si="39">DATE($R89-$S89,$Q89,$P89)</f>
        <v>42186</v>
      </c>
      <c r="L89" s="52">
        <v>20142</v>
      </c>
      <c r="M89" s="30">
        <f>INDEX(barèmes!$D$2:$E$311,MATCH(T89,barèmes!$D$2:$D$311,0),2)</f>
        <v>308.55</v>
      </c>
      <c r="N89" s="61">
        <v>20151</v>
      </c>
      <c r="O89" s="30">
        <f>INDEX(barèmes!$D$2:$E$311,MATCH(U89,barèmes!$D$2:$D$311,0),2)</f>
        <v>685.66</v>
      </c>
      <c r="P89" s="52">
        <v>1</v>
      </c>
      <c r="Q89" s="52">
        <v>7</v>
      </c>
      <c r="R89" s="52">
        <f t="shared" ca="1" si="16"/>
        <v>2016</v>
      </c>
      <c r="S89" s="52">
        <v>1</v>
      </c>
      <c r="T89" s="59" t="s">
        <v>323</v>
      </c>
      <c r="U89" s="59" t="s">
        <v>332</v>
      </c>
      <c r="V89" s="52" t="str">
        <f t="shared" si="23"/>
        <v>2014</v>
      </c>
      <c r="W89" s="52" t="str">
        <f t="shared" si="24"/>
        <v>2</v>
      </c>
      <c r="X89" s="52">
        <f t="shared" ca="1" si="25"/>
        <v>2</v>
      </c>
      <c r="Y89" s="52" t="str">
        <f t="shared" si="26"/>
        <v>2015</v>
      </c>
      <c r="Z89" s="52" t="str">
        <f t="shared" si="27"/>
        <v>1</v>
      </c>
      <c r="AA89" s="52">
        <f t="shared" ca="1" si="28"/>
        <v>1</v>
      </c>
      <c r="AB89" s="52">
        <f t="shared" si="29"/>
        <v>1</v>
      </c>
      <c r="AC89" s="52" t="str">
        <f t="shared" si="30"/>
        <v>2</v>
      </c>
      <c r="AD89" s="52" t="str">
        <f t="shared" si="30"/>
        <v>1</v>
      </c>
      <c r="AE89" s="52" t="str">
        <f t="shared" si="31"/>
        <v>520142</v>
      </c>
      <c r="AF89" s="52" t="str">
        <f t="shared" si="32"/>
        <v>120151</v>
      </c>
      <c r="AG89" s="52" t="str">
        <f t="shared" si="33"/>
        <v>T</v>
      </c>
      <c r="AH89" s="52" t="str">
        <f t="shared" si="33"/>
        <v>T</v>
      </c>
    </row>
    <row r="90" spans="1:34" x14ac:dyDescent="0.25">
      <c r="B90" s="52">
        <v>3</v>
      </c>
      <c r="C90" s="52">
        <v>5</v>
      </c>
      <c r="D90" s="52" t="s">
        <v>91</v>
      </c>
      <c r="H90" s="54">
        <f t="shared" ca="1" si="38"/>
        <v>41640</v>
      </c>
      <c r="I90" s="52" t="s">
        <v>291</v>
      </c>
      <c r="K90" s="55">
        <f t="shared" ca="1" si="39"/>
        <v>42370</v>
      </c>
      <c r="L90" s="52">
        <v>20144</v>
      </c>
      <c r="M90" s="30">
        <f>INDEX(barèmes!$D$2:$E$311,MATCH(T90,barèmes!$D$2:$D$311,0),2)</f>
        <v>308.55</v>
      </c>
      <c r="N90" s="61">
        <v>20151</v>
      </c>
      <c r="O90" s="30">
        <f>INDEX(barèmes!$D$2:$E$311,MATCH(U90,barèmes!$D$2:$D$311,0),2)</f>
        <v>719.12</v>
      </c>
      <c r="P90" s="52">
        <v>1</v>
      </c>
      <c r="Q90" s="52">
        <v>1</v>
      </c>
      <c r="R90" s="52">
        <f t="shared" ca="1" si="16"/>
        <v>2016</v>
      </c>
      <c r="S90" s="52">
        <v>0</v>
      </c>
      <c r="T90" s="59" t="s">
        <v>323</v>
      </c>
      <c r="U90" s="59" t="s">
        <v>304</v>
      </c>
      <c r="V90" s="52" t="str">
        <f t="shared" si="23"/>
        <v>2014</v>
      </c>
      <c r="W90" s="52" t="str">
        <f t="shared" si="24"/>
        <v>4</v>
      </c>
      <c r="X90" s="52">
        <f t="shared" ca="1" si="25"/>
        <v>2</v>
      </c>
      <c r="Y90" s="52" t="str">
        <f t="shared" si="26"/>
        <v>2015</v>
      </c>
      <c r="Z90" s="52" t="str">
        <f t="shared" si="27"/>
        <v>1</v>
      </c>
      <c r="AA90" s="52">
        <f t="shared" ca="1" si="28"/>
        <v>1</v>
      </c>
      <c r="AB90" s="52">
        <f t="shared" si="29"/>
        <v>1</v>
      </c>
      <c r="AC90" s="52" t="str">
        <f t="shared" si="30"/>
        <v>2</v>
      </c>
      <c r="AD90" s="52" t="str">
        <f t="shared" si="30"/>
        <v>3</v>
      </c>
      <c r="AE90" s="52" t="str">
        <f t="shared" si="31"/>
        <v>520142</v>
      </c>
      <c r="AF90" s="52" t="str">
        <f t="shared" si="32"/>
        <v>120153</v>
      </c>
      <c r="AG90" s="52" t="str">
        <f t="shared" si="33"/>
        <v>T</v>
      </c>
      <c r="AH90" s="52" t="str">
        <f t="shared" si="33"/>
        <v>T</v>
      </c>
    </row>
    <row r="91" spans="1:34" x14ac:dyDescent="0.25">
      <c r="B91" s="52">
        <v>4</v>
      </c>
      <c r="C91" s="52">
        <v>5</v>
      </c>
      <c r="D91" s="52" t="s">
        <v>91</v>
      </c>
      <c r="H91" s="54">
        <f t="shared" ca="1" si="38"/>
        <v>41640</v>
      </c>
      <c r="I91" s="52" t="s">
        <v>291</v>
      </c>
      <c r="K91" s="55">
        <f t="shared" ca="1" si="39"/>
        <v>42716</v>
      </c>
      <c r="L91" s="52">
        <v>20153</v>
      </c>
      <c r="M91" s="30">
        <f>INDEX(barèmes!$D$2:$E$311,MATCH(T91,barèmes!$D$2:$D$311,0),2)</f>
        <v>315.89999999999998</v>
      </c>
      <c r="N91" s="61">
        <v>20154</v>
      </c>
      <c r="O91" s="30">
        <f>INDEX(barèmes!$D$2:$E$311,MATCH(U91,barèmes!$D$2:$D$311,0),2)</f>
        <v>719.12</v>
      </c>
      <c r="P91" s="52">
        <v>12</v>
      </c>
      <c r="Q91" s="52">
        <v>12</v>
      </c>
      <c r="R91" s="52">
        <f t="shared" ca="1" si="16"/>
        <v>2016</v>
      </c>
      <c r="S91" s="52">
        <v>0</v>
      </c>
      <c r="T91" s="59" t="s">
        <v>319</v>
      </c>
      <c r="U91" s="59" t="s">
        <v>304</v>
      </c>
      <c r="V91" s="52" t="str">
        <f t="shared" si="23"/>
        <v>2015</v>
      </c>
      <c r="W91" s="52" t="str">
        <f t="shared" si="24"/>
        <v>3</v>
      </c>
      <c r="X91" s="52">
        <f t="shared" ca="1" si="25"/>
        <v>1</v>
      </c>
      <c r="Y91" s="52" t="str">
        <f t="shared" si="26"/>
        <v>2015</v>
      </c>
      <c r="Z91" s="52" t="str">
        <f t="shared" si="27"/>
        <v>4</v>
      </c>
      <c r="AA91" s="52">
        <f t="shared" ca="1" si="28"/>
        <v>1</v>
      </c>
      <c r="AB91" s="52">
        <f t="shared" si="29"/>
        <v>1</v>
      </c>
      <c r="AC91" s="52" t="str">
        <f t="shared" si="30"/>
        <v>3</v>
      </c>
      <c r="AD91" s="52" t="str">
        <f t="shared" si="30"/>
        <v>3</v>
      </c>
      <c r="AE91" s="52" t="str">
        <f t="shared" si="31"/>
        <v>520153</v>
      </c>
      <c r="AF91" s="52" t="str">
        <f t="shared" si="32"/>
        <v>120153</v>
      </c>
      <c r="AG91" s="52" t="str">
        <f t="shared" si="33"/>
        <v>T</v>
      </c>
      <c r="AH91" s="52" t="str">
        <f t="shared" si="33"/>
        <v>T</v>
      </c>
    </row>
    <row r="92" spans="1:34" x14ac:dyDescent="0.25">
      <c r="B92" s="52">
        <v>5</v>
      </c>
      <c r="C92" s="52">
        <v>5</v>
      </c>
      <c r="D92" s="52" t="s">
        <v>91</v>
      </c>
      <c r="H92" s="54">
        <f ca="1">DATE($R92-2,1,1)</f>
        <v>41640</v>
      </c>
      <c r="I92" s="52" t="s">
        <v>291</v>
      </c>
      <c r="J92" s="52" t="s">
        <v>90</v>
      </c>
      <c r="K92" s="55">
        <f ca="1">DATE($R92-$S92,$Q92,$P92)</f>
        <v>42005</v>
      </c>
      <c r="L92" s="52">
        <v>20134</v>
      </c>
      <c r="M92" s="30">
        <f>INDEX(barèmes!$D$2:$E$311,MATCH(T92,barèmes!$D$2:$D$311,0),2)</f>
        <v>300.14</v>
      </c>
      <c r="N92" s="61">
        <v>20151</v>
      </c>
      <c r="O92" s="30">
        <f>INDEX(barèmes!$D$2:$E$311,MATCH(U92,barèmes!$D$2:$D$311,0),2)</f>
        <v>0</v>
      </c>
      <c r="P92" s="52">
        <v>1</v>
      </c>
      <c r="Q92" s="52">
        <v>1</v>
      </c>
      <c r="R92" s="52">
        <f t="shared" ca="1" si="16"/>
        <v>2016</v>
      </c>
      <c r="S92" s="52">
        <v>1</v>
      </c>
      <c r="T92" s="59" t="s">
        <v>335</v>
      </c>
      <c r="U92" s="59" t="s">
        <v>317</v>
      </c>
      <c r="V92" s="52" t="str">
        <f t="shared" si="23"/>
        <v>2013</v>
      </c>
      <c r="W92" s="52" t="str">
        <f t="shared" si="24"/>
        <v>4</v>
      </c>
      <c r="X92" s="52">
        <f t="shared" ca="1" si="25"/>
        <v>3</v>
      </c>
      <c r="Y92" s="52" t="str">
        <f t="shared" si="26"/>
        <v>2015</v>
      </c>
      <c r="Z92" s="52" t="str">
        <f t="shared" si="27"/>
        <v>1</v>
      </c>
      <c r="AA92" s="52">
        <f t="shared" ca="1" si="28"/>
        <v>1</v>
      </c>
      <c r="AB92" s="52">
        <f t="shared" si="29"/>
        <v>1</v>
      </c>
      <c r="AC92" s="52" t="str">
        <f t="shared" si="30"/>
        <v>1</v>
      </c>
      <c r="AD92" s="52" t="str">
        <f t="shared" si="30"/>
        <v>9</v>
      </c>
      <c r="AE92" s="52" t="str">
        <f t="shared" si="31"/>
        <v>520131</v>
      </c>
      <c r="AF92" s="52" t="str">
        <f t="shared" si="32"/>
        <v>999999</v>
      </c>
      <c r="AG92" s="52" t="str">
        <f t="shared" si="33"/>
        <v>T</v>
      </c>
      <c r="AH92" s="52" t="str">
        <f t="shared" si="33"/>
        <v>T</v>
      </c>
    </row>
    <row r="93" spans="1:34" x14ac:dyDescent="0.25">
      <c r="B93" s="52">
        <v>6</v>
      </c>
      <c r="C93" s="52">
        <v>5</v>
      </c>
      <c r="D93" s="52" t="s">
        <v>91</v>
      </c>
      <c r="H93" s="54">
        <f t="shared" ref="H93:H95" ca="1" si="40">DATE($R93-2,1,1)</f>
        <v>41640</v>
      </c>
      <c r="I93" s="52" t="s">
        <v>291</v>
      </c>
      <c r="J93" s="52" t="s">
        <v>90</v>
      </c>
      <c r="K93" s="55">
        <f t="shared" ref="K93:K95" ca="1" si="41">DATE($R93-$S93,$Q93,$P93)</f>
        <v>42186</v>
      </c>
      <c r="L93" s="52">
        <v>20142</v>
      </c>
      <c r="M93" s="30">
        <f>INDEX(barèmes!$D$2:$E$311,MATCH(T93,barèmes!$D$2:$D$311,0),2)</f>
        <v>308.55</v>
      </c>
      <c r="N93" s="61">
        <v>20151</v>
      </c>
      <c r="O93" s="30">
        <f>INDEX(barèmes!$D$2:$E$311,MATCH(U93,barèmes!$D$2:$D$311,0),2)</f>
        <v>0</v>
      </c>
      <c r="P93" s="52">
        <v>1</v>
      </c>
      <c r="Q93" s="52">
        <v>7</v>
      </c>
      <c r="R93" s="52">
        <f t="shared" ca="1" si="16"/>
        <v>2016</v>
      </c>
      <c r="S93" s="52">
        <v>1</v>
      </c>
      <c r="T93" s="59" t="s">
        <v>323</v>
      </c>
      <c r="U93" s="59" t="s">
        <v>317</v>
      </c>
      <c r="V93" s="52" t="str">
        <f t="shared" si="23"/>
        <v>2014</v>
      </c>
      <c r="W93" s="52" t="str">
        <f t="shared" si="24"/>
        <v>2</v>
      </c>
      <c r="X93" s="52">
        <f t="shared" ca="1" si="25"/>
        <v>2</v>
      </c>
      <c r="Y93" s="52" t="str">
        <f t="shared" si="26"/>
        <v>2015</v>
      </c>
      <c r="Z93" s="52" t="str">
        <f t="shared" si="27"/>
        <v>1</v>
      </c>
      <c r="AA93" s="52">
        <f t="shared" ca="1" si="28"/>
        <v>1</v>
      </c>
      <c r="AB93" s="52">
        <f t="shared" si="29"/>
        <v>1</v>
      </c>
      <c r="AC93" s="52" t="str">
        <f t="shared" si="30"/>
        <v>2</v>
      </c>
      <c r="AD93" s="52" t="str">
        <f t="shared" si="30"/>
        <v>9</v>
      </c>
      <c r="AE93" s="52" t="str">
        <f t="shared" si="31"/>
        <v>520142</v>
      </c>
      <c r="AF93" s="52" t="str">
        <f t="shared" si="32"/>
        <v>999999</v>
      </c>
      <c r="AG93" s="52" t="str">
        <f t="shared" si="33"/>
        <v>T</v>
      </c>
      <c r="AH93" s="52" t="str">
        <f t="shared" si="33"/>
        <v>T</v>
      </c>
    </row>
    <row r="94" spans="1:34" x14ac:dyDescent="0.25">
      <c r="B94" s="52">
        <v>7</v>
      </c>
      <c r="C94" s="52">
        <v>5</v>
      </c>
      <c r="D94" s="52" t="s">
        <v>91</v>
      </c>
      <c r="H94" s="54">
        <f t="shared" ca="1" si="40"/>
        <v>41640</v>
      </c>
      <c r="I94" s="52" t="s">
        <v>291</v>
      </c>
      <c r="J94" s="52" t="s">
        <v>90</v>
      </c>
      <c r="K94" s="55">
        <f t="shared" ca="1" si="41"/>
        <v>42370</v>
      </c>
      <c r="L94" s="52">
        <v>20144</v>
      </c>
      <c r="M94" s="30">
        <f>INDEX(barèmes!$D$2:$E$311,MATCH(T94,barèmes!$D$2:$D$311,0),2)</f>
        <v>308.55</v>
      </c>
      <c r="N94" s="61">
        <v>20151</v>
      </c>
      <c r="O94" s="30">
        <f>INDEX(barèmes!$D$2:$E$311,MATCH(U94,barèmes!$D$2:$D$311,0),2)</f>
        <v>0</v>
      </c>
      <c r="P94" s="52">
        <v>1</v>
      </c>
      <c r="Q94" s="52">
        <v>1</v>
      </c>
      <c r="R94" s="52">
        <f t="shared" ca="1" si="16"/>
        <v>2016</v>
      </c>
      <c r="S94" s="52">
        <v>0</v>
      </c>
      <c r="T94" s="59" t="s">
        <v>323</v>
      </c>
      <c r="U94" s="59" t="s">
        <v>317</v>
      </c>
      <c r="V94" s="52" t="str">
        <f t="shared" si="23"/>
        <v>2014</v>
      </c>
      <c r="W94" s="52" t="str">
        <f t="shared" si="24"/>
        <v>4</v>
      </c>
      <c r="X94" s="52">
        <f t="shared" ca="1" si="25"/>
        <v>2</v>
      </c>
      <c r="Y94" s="52" t="str">
        <f t="shared" si="26"/>
        <v>2015</v>
      </c>
      <c r="Z94" s="52" t="str">
        <f t="shared" si="27"/>
        <v>1</v>
      </c>
      <c r="AA94" s="52">
        <f t="shared" ca="1" si="28"/>
        <v>1</v>
      </c>
      <c r="AB94" s="52">
        <f t="shared" si="29"/>
        <v>1</v>
      </c>
      <c r="AC94" s="52" t="str">
        <f t="shared" si="30"/>
        <v>2</v>
      </c>
      <c r="AD94" s="52" t="str">
        <f t="shared" si="30"/>
        <v>9</v>
      </c>
      <c r="AE94" s="52" t="str">
        <f t="shared" si="31"/>
        <v>520142</v>
      </c>
      <c r="AF94" s="52" t="str">
        <f t="shared" si="32"/>
        <v>999999</v>
      </c>
      <c r="AG94" s="52" t="str">
        <f t="shared" si="33"/>
        <v>T</v>
      </c>
      <c r="AH94" s="52" t="str">
        <f t="shared" si="33"/>
        <v>T</v>
      </c>
    </row>
    <row r="95" spans="1:34" x14ac:dyDescent="0.25">
      <c r="B95" s="52">
        <v>8</v>
      </c>
      <c r="C95" s="52">
        <v>5</v>
      </c>
      <c r="D95" s="52" t="s">
        <v>91</v>
      </c>
      <c r="H95" s="54">
        <f t="shared" ca="1" si="40"/>
        <v>41640</v>
      </c>
      <c r="I95" s="52" t="s">
        <v>291</v>
      </c>
      <c r="J95" s="52" t="s">
        <v>90</v>
      </c>
      <c r="K95" s="55">
        <f t="shared" ca="1" si="41"/>
        <v>42716</v>
      </c>
      <c r="L95" s="52">
        <v>20153</v>
      </c>
      <c r="M95" s="30">
        <f>INDEX(barèmes!$D$2:$E$311,MATCH(T95,barèmes!$D$2:$D$311,0),2)</f>
        <v>315.89999999999998</v>
      </c>
      <c r="N95" s="61">
        <v>20154</v>
      </c>
      <c r="O95" s="30">
        <f>INDEX(barèmes!$D$2:$E$311,MATCH(U95,barèmes!$D$2:$D$311,0),2)</f>
        <v>0</v>
      </c>
      <c r="P95" s="52">
        <v>12</v>
      </c>
      <c r="Q95" s="52">
        <v>12</v>
      </c>
      <c r="R95" s="52">
        <f t="shared" ca="1" si="16"/>
        <v>2016</v>
      </c>
      <c r="S95" s="52">
        <v>0</v>
      </c>
      <c r="T95" s="59" t="s">
        <v>319</v>
      </c>
      <c r="U95" s="59" t="s">
        <v>317</v>
      </c>
      <c r="V95" s="52" t="str">
        <f t="shared" si="23"/>
        <v>2015</v>
      </c>
      <c r="W95" s="52" t="str">
        <f t="shared" si="24"/>
        <v>3</v>
      </c>
      <c r="X95" s="52">
        <f t="shared" ca="1" si="25"/>
        <v>1</v>
      </c>
      <c r="Y95" s="52" t="str">
        <f t="shared" si="26"/>
        <v>2015</v>
      </c>
      <c r="Z95" s="52" t="str">
        <f t="shared" si="27"/>
        <v>4</v>
      </c>
      <c r="AA95" s="52">
        <f t="shared" ca="1" si="28"/>
        <v>1</v>
      </c>
      <c r="AB95" s="52">
        <f t="shared" si="29"/>
        <v>1</v>
      </c>
      <c r="AC95" s="52" t="str">
        <f t="shared" si="30"/>
        <v>3</v>
      </c>
      <c r="AD95" s="52" t="str">
        <f t="shared" si="30"/>
        <v>9</v>
      </c>
      <c r="AE95" s="52" t="str">
        <f t="shared" si="31"/>
        <v>520153</v>
      </c>
      <c r="AF95" s="52" t="str">
        <f t="shared" si="32"/>
        <v>999999</v>
      </c>
      <c r="AG95" s="52" t="str">
        <f t="shared" si="33"/>
        <v>T</v>
      </c>
      <c r="AH95" s="52" t="str">
        <f t="shared" si="33"/>
        <v>T</v>
      </c>
    </row>
    <row r="96" spans="1:34" x14ac:dyDescent="0.25">
      <c r="B96" s="52">
        <v>9</v>
      </c>
      <c r="C96" s="52">
        <v>5</v>
      </c>
      <c r="D96" s="52" t="s">
        <v>91</v>
      </c>
      <c r="H96" s="54">
        <f ca="1">DATE($R96-2,1,1)</f>
        <v>41640</v>
      </c>
      <c r="I96" s="52" t="s">
        <v>291</v>
      </c>
      <c r="J96" s="52" t="s">
        <v>93</v>
      </c>
      <c r="K96" s="55">
        <f ca="1">DATE($R96-$S96,$Q96,$P96)</f>
        <v>42005</v>
      </c>
      <c r="L96" s="52">
        <v>20134</v>
      </c>
      <c r="M96" s="30">
        <f>INDEX(barèmes!$D$2:$E$311,MATCH(T96,barèmes!$D$2:$D$311,0),2)</f>
        <v>300.14</v>
      </c>
      <c r="N96" s="61">
        <v>20151</v>
      </c>
      <c r="O96" s="30">
        <f>INDEX(barèmes!$D$2:$E$311,MATCH(U96,barèmes!$D$2:$D$311,0),2)</f>
        <v>367.94</v>
      </c>
      <c r="P96" s="52">
        <v>1</v>
      </c>
      <c r="Q96" s="52">
        <v>1</v>
      </c>
      <c r="R96" s="52">
        <f t="shared" ca="1" si="16"/>
        <v>2016</v>
      </c>
      <c r="S96" s="52">
        <v>1</v>
      </c>
      <c r="T96" s="59" t="s">
        <v>335</v>
      </c>
      <c r="U96" s="59" t="s">
        <v>333</v>
      </c>
      <c r="V96" s="52" t="str">
        <f t="shared" si="23"/>
        <v>2013</v>
      </c>
      <c r="W96" s="52" t="str">
        <f t="shared" si="24"/>
        <v>4</v>
      </c>
      <c r="X96" s="52">
        <f t="shared" ca="1" si="25"/>
        <v>3</v>
      </c>
      <c r="Y96" s="52" t="str">
        <f t="shared" si="26"/>
        <v>2015</v>
      </c>
      <c r="Z96" s="52" t="str">
        <f t="shared" si="27"/>
        <v>1</v>
      </c>
      <c r="AA96" s="52">
        <f t="shared" ca="1" si="28"/>
        <v>1</v>
      </c>
      <c r="AB96" s="52">
        <f t="shared" si="29"/>
        <v>1</v>
      </c>
      <c r="AC96" s="52" t="str">
        <f t="shared" si="30"/>
        <v>1</v>
      </c>
      <c r="AD96" s="52" t="s">
        <v>325</v>
      </c>
      <c r="AE96" s="52" t="str">
        <f t="shared" si="31"/>
        <v>520131</v>
      </c>
      <c r="AF96" s="52" t="str">
        <f t="shared" si="32"/>
        <v>12015r2</v>
      </c>
      <c r="AG96" s="52" t="str">
        <f t="shared" si="33"/>
        <v>T</v>
      </c>
      <c r="AH96" s="52" t="str">
        <f t="shared" si="33"/>
        <v>T</v>
      </c>
    </row>
    <row r="97" spans="2:34" x14ac:dyDescent="0.25">
      <c r="B97" s="52">
        <v>10</v>
      </c>
      <c r="C97" s="52">
        <v>5</v>
      </c>
      <c r="D97" s="52" t="s">
        <v>91</v>
      </c>
      <c r="H97" s="54">
        <f t="shared" ref="H97:H105" ca="1" si="42">DATE($R97-2,1,1)</f>
        <v>41640</v>
      </c>
      <c r="I97" s="52" t="s">
        <v>291</v>
      </c>
      <c r="J97" s="52" t="s">
        <v>93</v>
      </c>
      <c r="K97" s="55">
        <f t="shared" ref="K97:K105" ca="1" si="43">DATE($R97-$S97,$Q97,$P97)</f>
        <v>42186</v>
      </c>
      <c r="L97" s="52">
        <v>20142</v>
      </c>
      <c r="M97" s="30">
        <f>INDEX(barèmes!$D$2:$E$311,MATCH(T97,barèmes!$D$2:$D$311,0),2)</f>
        <v>308.55</v>
      </c>
      <c r="N97" s="61">
        <v>20151</v>
      </c>
      <c r="O97" s="30">
        <f>INDEX(barèmes!$D$2:$E$311,MATCH(U97,barèmes!$D$2:$D$311,0),2)</f>
        <v>359.18</v>
      </c>
      <c r="P97" s="52">
        <v>1</v>
      </c>
      <c r="Q97" s="52">
        <v>7</v>
      </c>
      <c r="R97" s="52">
        <f t="shared" ca="1" si="16"/>
        <v>2016</v>
      </c>
      <c r="S97" s="52">
        <v>1</v>
      </c>
      <c r="T97" s="59" t="s">
        <v>323</v>
      </c>
      <c r="U97" s="59" t="s">
        <v>334</v>
      </c>
      <c r="V97" s="52" t="str">
        <f t="shared" si="23"/>
        <v>2014</v>
      </c>
      <c r="W97" s="52" t="str">
        <f t="shared" si="24"/>
        <v>2</v>
      </c>
      <c r="X97" s="52">
        <f t="shared" ca="1" si="25"/>
        <v>2</v>
      </c>
      <c r="Y97" s="52" t="str">
        <f t="shared" si="26"/>
        <v>2015</v>
      </c>
      <c r="Z97" s="52" t="str">
        <f t="shared" si="27"/>
        <v>1</v>
      </c>
      <c r="AA97" s="52">
        <f t="shared" ca="1" si="28"/>
        <v>1</v>
      </c>
      <c r="AB97" s="52">
        <f t="shared" si="29"/>
        <v>1</v>
      </c>
      <c r="AC97" s="52" t="str">
        <f t="shared" si="30"/>
        <v>2</v>
      </c>
      <c r="AD97" s="52" t="s">
        <v>324</v>
      </c>
      <c r="AE97" s="52" t="str">
        <f t="shared" si="31"/>
        <v>520142</v>
      </c>
      <c r="AF97" s="52" t="str">
        <f t="shared" si="32"/>
        <v>12015r1</v>
      </c>
      <c r="AG97" s="52" t="str">
        <f t="shared" si="33"/>
        <v>T</v>
      </c>
      <c r="AH97" s="52" t="str">
        <f t="shared" si="33"/>
        <v>T</v>
      </c>
    </row>
    <row r="98" spans="2:34" x14ac:dyDescent="0.25">
      <c r="B98" s="52">
        <v>11</v>
      </c>
      <c r="C98" s="52">
        <v>5</v>
      </c>
      <c r="D98" s="52" t="s">
        <v>91</v>
      </c>
      <c r="H98" s="54">
        <f t="shared" ca="1" si="42"/>
        <v>41640</v>
      </c>
      <c r="I98" s="52" t="s">
        <v>291</v>
      </c>
      <c r="J98" s="52" t="s">
        <v>93</v>
      </c>
      <c r="K98" s="55">
        <f t="shared" ca="1" si="43"/>
        <v>42370</v>
      </c>
      <c r="L98" s="52">
        <v>20144</v>
      </c>
      <c r="M98" s="30">
        <f>INDEX(barèmes!$D$2:$E$311,MATCH(T98,barèmes!$D$2:$D$311,0),2)</f>
        <v>308.55</v>
      </c>
      <c r="N98" s="61">
        <v>20151</v>
      </c>
      <c r="O98" s="30">
        <f>INDEX(barèmes!$D$2:$E$311,MATCH(U98,barèmes!$D$2:$D$311,0),2)</f>
        <v>376.7</v>
      </c>
      <c r="P98" s="52">
        <v>1</v>
      </c>
      <c r="Q98" s="52">
        <v>1</v>
      </c>
      <c r="R98" s="52">
        <f t="shared" ca="1" si="16"/>
        <v>2016</v>
      </c>
      <c r="S98" s="52">
        <v>0</v>
      </c>
      <c r="T98" s="59" t="s">
        <v>323</v>
      </c>
      <c r="U98" s="59" t="s">
        <v>329</v>
      </c>
      <c r="V98" s="52" t="str">
        <f t="shared" si="23"/>
        <v>2014</v>
      </c>
      <c r="W98" s="52" t="str">
        <f t="shared" si="24"/>
        <v>4</v>
      </c>
      <c r="X98" s="52">
        <f t="shared" ca="1" si="25"/>
        <v>2</v>
      </c>
      <c r="Y98" s="52" t="str">
        <f t="shared" si="26"/>
        <v>2015</v>
      </c>
      <c r="Z98" s="52" t="str">
        <f t="shared" si="27"/>
        <v>1</v>
      </c>
      <c r="AA98" s="52">
        <f t="shared" ca="1" si="28"/>
        <v>1</v>
      </c>
      <c r="AB98" s="52">
        <f t="shared" si="29"/>
        <v>1</v>
      </c>
      <c r="AC98" s="52" t="str">
        <f t="shared" si="30"/>
        <v>2</v>
      </c>
      <c r="AD98" s="52" t="s">
        <v>326</v>
      </c>
      <c r="AE98" s="52" t="str">
        <f t="shared" si="31"/>
        <v>520142</v>
      </c>
      <c r="AF98" s="52" t="str">
        <f t="shared" si="32"/>
        <v>12015r3</v>
      </c>
      <c r="AG98" s="52" t="str">
        <f t="shared" si="33"/>
        <v>T</v>
      </c>
      <c r="AH98" s="52" t="str">
        <f t="shared" si="33"/>
        <v>T</v>
      </c>
    </row>
    <row r="99" spans="2:34" x14ac:dyDescent="0.25">
      <c r="B99" s="52">
        <v>12</v>
      </c>
      <c r="C99" s="52">
        <v>5</v>
      </c>
      <c r="D99" s="52" t="s">
        <v>91</v>
      </c>
      <c r="H99" s="54">
        <f t="shared" ca="1" si="42"/>
        <v>41640</v>
      </c>
      <c r="I99" s="52" t="s">
        <v>291</v>
      </c>
      <c r="J99" s="52" t="s">
        <v>93</v>
      </c>
      <c r="K99" s="55">
        <f t="shared" ca="1" si="43"/>
        <v>42716</v>
      </c>
      <c r="L99" s="52">
        <v>20144</v>
      </c>
      <c r="M99" s="30">
        <f>INDEX(barèmes!$D$2:$E$311,MATCH(T99,barèmes!$D$2:$D$311,0),2)</f>
        <v>308.55</v>
      </c>
      <c r="N99" s="61">
        <v>20151</v>
      </c>
      <c r="O99" s="30">
        <f>INDEX(barèmes!$D$2:$E$311,MATCH(U99,barèmes!$D$2:$D$311,0),2)</f>
        <v>376.7</v>
      </c>
      <c r="P99" s="52">
        <v>12</v>
      </c>
      <c r="Q99" s="52">
        <v>12</v>
      </c>
      <c r="R99" s="52">
        <f t="shared" ca="1" si="16"/>
        <v>2016</v>
      </c>
      <c r="S99" s="52">
        <v>0</v>
      </c>
      <c r="T99" s="59" t="s">
        <v>323</v>
      </c>
      <c r="U99" s="59" t="s">
        <v>329</v>
      </c>
      <c r="V99" s="52" t="str">
        <f t="shared" si="23"/>
        <v>2014</v>
      </c>
      <c r="W99" s="52" t="str">
        <f t="shared" si="24"/>
        <v>4</v>
      </c>
      <c r="X99" s="52">
        <f t="shared" ca="1" si="25"/>
        <v>2</v>
      </c>
      <c r="Y99" s="52" t="str">
        <f t="shared" si="26"/>
        <v>2015</v>
      </c>
      <c r="Z99" s="52" t="str">
        <f t="shared" si="27"/>
        <v>1</v>
      </c>
      <c r="AA99" s="52">
        <f t="shared" ca="1" si="28"/>
        <v>1</v>
      </c>
      <c r="AB99" s="52">
        <f t="shared" si="29"/>
        <v>1</v>
      </c>
      <c r="AC99" s="52" t="str">
        <f t="shared" si="30"/>
        <v>2</v>
      </c>
      <c r="AD99" s="52" t="s">
        <v>326</v>
      </c>
      <c r="AE99" s="52" t="str">
        <f t="shared" si="31"/>
        <v>520142</v>
      </c>
      <c r="AF99" s="52" t="str">
        <f t="shared" si="32"/>
        <v>12015r3</v>
      </c>
      <c r="AG99" s="52" t="str">
        <f t="shared" si="33"/>
        <v>T</v>
      </c>
      <c r="AH99" s="52" t="str">
        <f t="shared" si="33"/>
        <v>T</v>
      </c>
    </row>
    <row r="100" spans="2:34" x14ac:dyDescent="0.25">
      <c r="B100" s="52">
        <v>13</v>
      </c>
      <c r="C100" s="52">
        <v>5</v>
      </c>
      <c r="D100" s="52" t="s">
        <v>91</v>
      </c>
      <c r="H100" s="54">
        <f t="shared" ca="1" si="42"/>
        <v>41640</v>
      </c>
      <c r="I100" s="52" t="s">
        <v>293</v>
      </c>
      <c r="K100" s="55">
        <f t="shared" ca="1" si="43"/>
        <v>42005</v>
      </c>
      <c r="L100" s="52">
        <v>20134</v>
      </c>
      <c r="M100" s="30">
        <f>INDEX(barèmes!$D$2:$E$311,MATCH(T100,barèmes!$D$2:$D$311,0),2)</f>
        <v>300.14</v>
      </c>
      <c r="N100" s="61">
        <v>20151</v>
      </c>
      <c r="O100" s="30">
        <f>INDEX(barèmes!$D$2:$E$311,MATCH(U100,barèmes!$D$2:$D$311,0),2)</f>
        <v>77.7</v>
      </c>
      <c r="P100" s="52">
        <v>1</v>
      </c>
      <c r="Q100" s="52">
        <v>1</v>
      </c>
      <c r="R100" s="52">
        <f t="shared" ca="1" si="16"/>
        <v>2016</v>
      </c>
      <c r="S100" s="52">
        <v>1</v>
      </c>
      <c r="T100" s="59" t="s">
        <v>335</v>
      </c>
      <c r="U100" s="59" t="s">
        <v>315</v>
      </c>
      <c r="V100" s="52" t="str">
        <f t="shared" si="23"/>
        <v>2013</v>
      </c>
      <c r="W100" s="52" t="str">
        <f t="shared" si="24"/>
        <v>4</v>
      </c>
      <c r="X100" s="52">
        <f t="shared" ca="1" si="25"/>
        <v>3</v>
      </c>
      <c r="Y100" s="52" t="str">
        <f t="shared" si="26"/>
        <v>2015</v>
      </c>
      <c r="Z100" s="52" t="str">
        <f t="shared" si="27"/>
        <v>1</v>
      </c>
      <c r="AA100" s="52">
        <f t="shared" ca="1" si="28"/>
        <v>1</v>
      </c>
      <c r="AB100" s="52">
        <f t="shared" si="29"/>
        <v>4</v>
      </c>
      <c r="AC100" s="52" t="str">
        <f t="shared" si="30"/>
        <v>1</v>
      </c>
      <c r="AD100" s="52" t="str">
        <f t="shared" si="30"/>
        <v>2</v>
      </c>
      <c r="AE100" s="52" t="str">
        <f t="shared" si="31"/>
        <v>520131</v>
      </c>
      <c r="AF100" s="52" t="str">
        <f t="shared" si="32"/>
        <v>420152</v>
      </c>
      <c r="AG100" s="52" t="str">
        <f t="shared" si="33"/>
        <v>T</v>
      </c>
      <c r="AH100" s="52" t="str">
        <f t="shared" si="33"/>
        <v>T</v>
      </c>
    </row>
    <row r="101" spans="2:34" x14ac:dyDescent="0.25">
      <c r="B101" s="52">
        <v>14</v>
      </c>
      <c r="C101" s="52">
        <v>5</v>
      </c>
      <c r="D101" s="52" t="s">
        <v>91</v>
      </c>
      <c r="H101" s="54">
        <f t="shared" ca="1" si="42"/>
        <v>41640</v>
      </c>
      <c r="I101" s="52" t="s">
        <v>293</v>
      </c>
      <c r="K101" s="55">
        <f t="shared" ca="1" si="43"/>
        <v>42186</v>
      </c>
      <c r="L101" s="52">
        <v>20142</v>
      </c>
      <c r="M101" s="30">
        <f>INDEX(barèmes!$D$2:$E$311,MATCH(T101,barèmes!$D$2:$D$311,0),2)</f>
        <v>308.55</v>
      </c>
      <c r="N101" s="61">
        <v>20151</v>
      </c>
      <c r="O101" s="30">
        <f>INDEX(barèmes!$D$2:$E$311,MATCH(U101,barèmes!$D$2:$D$311,0),2)</f>
        <v>75.849999999999994</v>
      </c>
      <c r="P101" s="52">
        <v>1</v>
      </c>
      <c r="Q101" s="52">
        <v>7</v>
      </c>
      <c r="R101" s="52">
        <f t="shared" ca="1" si="16"/>
        <v>2016</v>
      </c>
      <c r="S101" s="52">
        <v>1</v>
      </c>
      <c r="T101" s="59" t="s">
        <v>323</v>
      </c>
      <c r="U101" s="59" t="s">
        <v>313</v>
      </c>
      <c r="V101" s="52" t="str">
        <f t="shared" si="23"/>
        <v>2014</v>
      </c>
      <c r="W101" s="52" t="str">
        <f t="shared" si="24"/>
        <v>2</v>
      </c>
      <c r="X101" s="52">
        <f t="shared" ca="1" si="25"/>
        <v>2</v>
      </c>
      <c r="Y101" s="52" t="str">
        <f t="shared" si="26"/>
        <v>2015</v>
      </c>
      <c r="Z101" s="52" t="str">
        <f t="shared" si="27"/>
        <v>1</v>
      </c>
      <c r="AA101" s="52">
        <f t="shared" ca="1" si="28"/>
        <v>1</v>
      </c>
      <c r="AB101" s="52">
        <f t="shared" si="29"/>
        <v>4</v>
      </c>
      <c r="AC101" s="52" t="str">
        <f t="shared" si="30"/>
        <v>2</v>
      </c>
      <c r="AD101" s="52" t="str">
        <f t="shared" si="30"/>
        <v>1</v>
      </c>
      <c r="AE101" s="52" t="str">
        <f t="shared" si="31"/>
        <v>520142</v>
      </c>
      <c r="AF101" s="52" t="str">
        <f t="shared" si="32"/>
        <v>420151</v>
      </c>
      <c r="AG101" s="52" t="str">
        <f t="shared" si="33"/>
        <v>T</v>
      </c>
      <c r="AH101" s="52" t="str">
        <f t="shared" si="33"/>
        <v>T</v>
      </c>
    </row>
    <row r="102" spans="2:34" x14ac:dyDescent="0.25">
      <c r="B102" s="52">
        <v>15</v>
      </c>
      <c r="C102" s="52">
        <v>5</v>
      </c>
      <c r="D102" s="52" t="s">
        <v>91</v>
      </c>
      <c r="H102" s="54">
        <f t="shared" ca="1" si="42"/>
        <v>41640</v>
      </c>
      <c r="I102" s="52" t="s">
        <v>293</v>
      </c>
      <c r="K102" s="55">
        <f t="shared" ca="1" si="43"/>
        <v>42370</v>
      </c>
      <c r="L102" s="52">
        <v>20144</v>
      </c>
      <c r="M102" s="30">
        <f>INDEX(barèmes!$D$2:$E$311,MATCH(T102,barèmes!$D$2:$D$311,0),2)</f>
        <v>308.55</v>
      </c>
      <c r="N102" s="61">
        <v>20151</v>
      </c>
      <c r="O102" s="30">
        <f>INDEX(barèmes!$D$2:$E$311,MATCH(U102,barèmes!$D$2:$D$311,0),2)</f>
        <v>79.55</v>
      </c>
      <c r="P102" s="52">
        <v>1</v>
      </c>
      <c r="Q102" s="52">
        <v>1</v>
      </c>
      <c r="R102" s="52">
        <f t="shared" ca="1" si="16"/>
        <v>2016</v>
      </c>
      <c r="S102" s="52">
        <v>0</v>
      </c>
      <c r="T102" s="59" t="s">
        <v>323</v>
      </c>
      <c r="U102" s="59" t="s">
        <v>316</v>
      </c>
      <c r="V102" s="52" t="str">
        <f t="shared" si="23"/>
        <v>2014</v>
      </c>
      <c r="W102" s="52" t="str">
        <f t="shared" si="24"/>
        <v>4</v>
      </c>
      <c r="X102" s="52">
        <f t="shared" ca="1" si="25"/>
        <v>2</v>
      </c>
      <c r="Y102" s="52" t="str">
        <f t="shared" si="26"/>
        <v>2015</v>
      </c>
      <c r="Z102" s="52" t="str">
        <f t="shared" si="27"/>
        <v>1</v>
      </c>
      <c r="AA102" s="52">
        <f t="shared" ca="1" si="28"/>
        <v>1</v>
      </c>
      <c r="AB102" s="52">
        <f t="shared" si="29"/>
        <v>4</v>
      </c>
      <c r="AC102" s="52" t="str">
        <f t="shared" si="30"/>
        <v>2</v>
      </c>
      <c r="AD102" s="52" t="str">
        <f t="shared" si="30"/>
        <v>3</v>
      </c>
      <c r="AE102" s="52" t="str">
        <f t="shared" si="31"/>
        <v>520142</v>
      </c>
      <c r="AF102" s="52" t="str">
        <f t="shared" si="32"/>
        <v>420153</v>
      </c>
      <c r="AG102" s="52" t="str">
        <f t="shared" si="33"/>
        <v>T</v>
      </c>
      <c r="AH102" s="52" t="str">
        <f t="shared" si="33"/>
        <v>T</v>
      </c>
    </row>
    <row r="103" spans="2:34" x14ac:dyDescent="0.25">
      <c r="B103" s="52">
        <v>16</v>
      </c>
      <c r="C103" s="52">
        <v>5</v>
      </c>
      <c r="D103" s="52" t="s">
        <v>91</v>
      </c>
      <c r="H103" s="54">
        <f t="shared" ca="1" si="42"/>
        <v>41640</v>
      </c>
      <c r="I103" s="52" t="s">
        <v>293</v>
      </c>
      <c r="J103" s="52" t="s">
        <v>90</v>
      </c>
      <c r="K103" s="55">
        <f t="shared" ca="1" si="43"/>
        <v>42005</v>
      </c>
      <c r="L103" s="52">
        <v>20134</v>
      </c>
      <c r="M103" s="30">
        <f>INDEX(barèmes!$D$2:$E$311,MATCH(T103,barèmes!$D$2:$D$311,0),2)</f>
        <v>300.14</v>
      </c>
      <c r="N103" s="61">
        <v>20151</v>
      </c>
      <c r="O103" s="30">
        <f>INDEX(barèmes!$D$2:$E$311,MATCH(U103,barèmes!$D$2:$D$311,0),2)</f>
        <v>0</v>
      </c>
      <c r="P103" s="52">
        <v>1</v>
      </c>
      <c r="Q103" s="52">
        <v>1</v>
      </c>
      <c r="R103" s="52">
        <f t="shared" ca="1" si="16"/>
        <v>2016</v>
      </c>
      <c r="S103" s="52">
        <v>1</v>
      </c>
      <c r="T103" s="59" t="s">
        <v>335</v>
      </c>
      <c r="U103" s="59" t="s">
        <v>317</v>
      </c>
      <c r="V103" s="52" t="str">
        <f t="shared" si="23"/>
        <v>2013</v>
      </c>
      <c r="W103" s="52" t="str">
        <f t="shared" si="24"/>
        <v>4</v>
      </c>
      <c r="X103" s="52">
        <f t="shared" ca="1" si="25"/>
        <v>3</v>
      </c>
      <c r="Y103" s="52" t="str">
        <f t="shared" si="26"/>
        <v>2015</v>
      </c>
      <c r="Z103" s="52" t="str">
        <f t="shared" si="27"/>
        <v>1</v>
      </c>
      <c r="AA103" s="52">
        <f t="shared" ca="1" si="28"/>
        <v>1</v>
      </c>
      <c r="AB103" s="52">
        <f t="shared" si="29"/>
        <v>4</v>
      </c>
      <c r="AC103" s="52" t="str">
        <f t="shared" si="30"/>
        <v>1</v>
      </c>
      <c r="AD103" s="52" t="str">
        <f t="shared" si="30"/>
        <v>9</v>
      </c>
      <c r="AE103" s="52" t="str">
        <f t="shared" si="31"/>
        <v>520131</v>
      </c>
      <c r="AF103" s="52" t="str">
        <f t="shared" si="32"/>
        <v>999999</v>
      </c>
      <c r="AG103" s="52" t="str">
        <f t="shared" si="33"/>
        <v>T</v>
      </c>
      <c r="AH103" s="52" t="str">
        <f t="shared" si="33"/>
        <v>T</v>
      </c>
    </row>
    <row r="104" spans="2:34" x14ac:dyDescent="0.25">
      <c r="B104" s="52">
        <v>17</v>
      </c>
      <c r="C104" s="52">
        <v>5</v>
      </c>
      <c r="D104" s="52" t="s">
        <v>91</v>
      </c>
      <c r="H104" s="54">
        <f t="shared" ca="1" si="42"/>
        <v>41640</v>
      </c>
      <c r="I104" s="52" t="s">
        <v>293</v>
      </c>
      <c r="J104" s="52" t="s">
        <v>90</v>
      </c>
      <c r="K104" s="55">
        <f t="shared" ca="1" si="43"/>
        <v>42186</v>
      </c>
      <c r="L104" s="52">
        <v>20142</v>
      </c>
      <c r="M104" s="30">
        <f>INDEX(barèmes!$D$2:$E$311,MATCH(T104,barèmes!$D$2:$D$311,0),2)</f>
        <v>308.55</v>
      </c>
      <c r="N104" s="61">
        <v>20143</v>
      </c>
      <c r="O104" s="30">
        <f>INDEX(barèmes!$D$2:$E$311,MATCH(U104,barèmes!$D$2:$D$311,0),2)</f>
        <v>0</v>
      </c>
      <c r="P104" s="52">
        <v>1</v>
      </c>
      <c r="Q104" s="52">
        <v>7</v>
      </c>
      <c r="R104" s="52">
        <f t="shared" ca="1" si="16"/>
        <v>2016</v>
      </c>
      <c r="S104" s="52">
        <v>1</v>
      </c>
      <c r="T104" s="59" t="s">
        <v>323</v>
      </c>
      <c r="U104" s="59" t="s">
        <v>317</v>
      </c>
      <c r="V104" s="52" t="str">
        <f t="shared" si="23"/>
        <v>2014</v>
      </c>
      <c r="W104" s="52" t="str">
        <f t="shared" si="24"/>
        <v>2</v>
      </c>
      <c r="X104" s="52">
        <f t="shared" ca="1" si="25"/>
        <v>2</v>
      </c>
      <c r="Y104" s="52" t="str">
        <f t="shared" si="26"/>
        <v>2014</v>
      </c>
      <c r="Z104" s="52" t="str">
        <f t="shared" si="27"/>
        <v>3</v>
      </c>
      <c r="AA104" s="52">
        <f t="shared" ca="1" si="28"/>
        <v>2</v>
      </c>
      <c r="AB104" s="52">
        <f t="shared" si="29"/>
        <v>4</v>
      </c>
      <c r="AC104" s="52" t="str">
        <f t="shared" si="30"/>
        <v>2</v>
      </c>
      <c r="AD104" s="52" t="str">
        <f t="shared" si="30"/>
        <v>9</v>
      </c>
      <c r="AE104" s="52" t="str">
        <f t="shared" si="31"/>
        <v>520142</v>
      </c>
      <c r="AF104" s="52" t="str">
        <f t="shared" si="32"/>
        <v>999999</v>
      </c>
      <c r="AG104" s="52" t="str">
        <f t="shared" si="33"/>
        <v>T</v>
      </c>
      <c r="AH104" s="52" t="str">
        <f t="shared" si="33"/>
        <v>T</v>
      </c>
    </row>
    <row r="105" spans="2:34" x14ac:dyDescent="0.25">
      <c r="B105" s="52">
        <v>18</v>
      </c>
      <c r="C105" s="52">
        <v>5</v>
      </c>
      <c r="D105" s="52" t="s">
        <v>91</v>
      </c>
      <c r="H105" s="54">
        <f t="shared" ca="1" si="42"/>
        <v>41640</v>
      </c>
      <c r="I105" s="52" t="s">
        <v>293</v>
      </c>
      <c r="J105" s="52" t="s">
        <v>90</v>
      </c>
      <c r="K105" s="55">
        <f t="shared" ca="1" si="43"/>
        <v>42370</v>
      </c>
      <c r="L105" s="52">
        <v>20144</v>
      </c>
      <c r="M105" s="30">
        <f>INDEX(barèmes!$D$2:$E$311,MATCH(T105,barèmes!$D$2:$D$311,0),2)</f>
        <v>308.55</v>
      </c>
      <c r="N105" s="61">
        <v>20151</v>
      </c>
      <c r="O105" s="30">
        <f>INDEX(barèmes!$D$2:$E$311,MATCH(U105,barèmes!$D$2:$D$311,0),2)</f>
        <v>0</v>
      </c>
      <c r="P105" s="52">
        <v>1</v>
      </c>
      <c r="Q105" s="52">
        <v>1</v>
      </c>
      <c r="R105" s="52">
        <f t="shared" ca="1" si="16"/>
        <v>2016</v>
      </c>
      <c r="S105" s="52">
        <v>0</v>
      </c>
      <c r="T105" s="59" t="s">
        <v>323</v>
      </c>
      <c r="U105" s="59" t="s">
        <v>317</v>
      </c>
      <c r="V105" s="52" t="str">
        <f t="shared" si="23"/>
        <v>2014</v>
      </c>
      <c r="W105" s="52" t="str">
        <f t="shared" si="24"/>
        <v>4</v>
      </c>
      <c r="X105" s="52">
        <f t="shared" ca="1" si="25"/>
        <v>2</v>
      </c>
      <c r="Y105" s="52" t="str">
        <f t="shared" si="26"/>
        <v>2015</v>
      </c>
      <c r="Z105" s="52" t="str">
        <f t="shared" si="27"/>
        <v>1</v>
      </c>
      <c r="AA105" s="52">
        <f t="shared" ca="1" si="28"/>
        <v>1</v>
      </c>
      <c r="AB105" s="52">
        <f t="shared" si="29"/>
        <v>4</v>
      </c>
      <c r="AC105" s="52" t="str">
        <f t="shared" si="30"/>
        <v>2</v>
      </c>
      <c r="AD105" s="52" t="str">
        <f t="shared" si="30"/>
        <v>9</v>
      </c>
      <c r="AE105" s="52" t="str">
        <f t="shared" si="31"/>
        <v>520142</v>
      </c>
      <c r="AF105" s="52" t="str">
        <f t="shared" si="32"/>
        <v>999999</v>
      </c>
      <c r="AG105" s="52" t="str">
        <f t="shared" si="33"/>
        <v>T</v>
      </c>
      <c r="AH105" s="52" t="str">
        <f t="shared" si="33"/>
        <v>T</v>
      </c>
    </row>
    <row r="106" spans="2:34" x14ac:dyDescent="0.25">
      <c r="B106" s="52">
        <v>19</v>
      </c>
      <c r="C106" s="52">
        <v>5</v>
      </c>
      <c r="D106" s="52" t="s">
        <v>91</v>
      </c>
      <c r="E106" s="52" t="s">
        <v>90</v>
      </c>
      <c r="H106" s="54">
        <f ca="1">DATE($R106-2,1,1)</f>
        <v>41640</v>
      </c>
      <c r="I106" s="52" t="s">
        <v>291</v>
      </c>
      <c r="K106" s="55">
        <f ca="1">DATE($R106-$S106,$Q106,$P106)</f>
        <v>42005</v>
      </c>
      <c r="L106" s="52">
        <v>20134</v>
      </c>
      <c r="M106" s="30">
        <f>INDEX(barèmes!$D$2:$E$311,MATCH(T106,barèmes!$D$2:$D$311,0),2)</f>
        <v>300.14</v>
      </c>
      <c r="N106" s="61">
        <v>20151</v>
      </c>
      <c r="O106" s="30">
        <f>INDEX(barèmes!$D$2:$E$311,MATCH(U106,barèmes!$D$2:$D$311,0),2)</f>
        <v>702.39</v>
      </c>
      <c r="P106" s="52">
        <v>1</v>
      </c>
      <c r="Q106" s="52">
        <v>1</v>
      </c>
      <c r="R106" s="52">
        <f t="shared" ca="1" si="16"/>
        <v>2016</v>
      </c>
      <c r="S106" s="52">
        <v>1</v>
      </c>
      <c r="T106" s="59" t="s">
        <v>335</v>
      </c>
      <c r="U106" s="59" t="s">
        <v>331</v>
      </c>
      <c r="V106" s="52" t="str">
        <f t="shared" si="23"/>
        <v>2013</v>
      </c>
      <c r="W106" s="52" t="str">
        <f t="shared" si="24"/>
        <v>4</v>
      </c>
      <c r="X106" s="52">
        <f t="shared" ca="1" si="25"/>
        <v>3</v>
      </c>
      <c r="Y106" s="52" t="str">
        <f t="shared" si="26"/>
        <v>2015</v>
      </c>
      <c r="Z106" s="52" t="str">
        <f t="shared" si="27"/>
        <v>1</v>
      </c>
      <c r="AA106" s="52">
        <f t="shared" ca="1" si="28"/>
        <v>1</v>
      </c>
      <c r="AB106" s="52">
        <f t="shared" si="29"/>
        <v>1</v>
      </c>
      <c r="AC106" s="52" t="str">
        <f t="shared" si="30"/>
        <v>1</v>
      </c>
      <c r="AD106" s="52" t="str">
        <f t="shared" si="30"/>
        <v>2</v>
      </c>
      <c r="AE106" s="52" t="str">
        <f t="shared" si="31"/>
        <v>520131</v>
      </c>
      <c r="AF106" s="52" t="str">
        <f t="shared" si="32"/>
        <v>120152</v>
      </c>
      <c r="AG106" s="52" t="str">
        <f t="shared" si="33"/>
        <v>T</v>
      </c>
      <c r="AH106" s="52" t="str">
        <f t="shared" si="33"/>
        <v>T</v>
      </c>
    </row>
    <row r="107" spans="2:34" x14ac:dyDescent="0.25">
      <c r="B107" s="52">
        <v>20</v>
      </c>
      <c r="C107" s="52">
        <v>5</v>
      </c>
      <c r="D107" s="52" t="s">
        <v>91</v>
      </c>
      <c r="E107" s="52" t="s">
        <v>90</v>
      </c>
      <c r="H107" s="54">
        <f t="shared" ref="H107:H109" ca="1" si="44">DATE($R107-2,1,1)</f>
        <v>41640</v>
      </c>
      <c r="I107" s="52" t="s">
        <v>291</v>
      </c>
      <c r="K107" s="55">
        <f t="shared" ref="K107:K109" ca="1" si="45">DATE($R107-$S107,$Q107,$P107)</f>
        <v>42186</v>
      </c>
      <c r="L107" s="52">
        <v>20142</v>
      </c>
      <c r="M107" s="30">
        <f>INDEX(barèmes!$D$2:$E$311,MATCH(T107,barèmes!$D$2:$D$311,0),2)</f>
        <v>0</v>
      </c>
      <c r="N107" s="61">
        <v>20151</v>
      </c>
      <c r="O107" s="30">
        <f>INDEX(barèmes!$D$2:$E$311,MATCH(U107,barèmes!$D$2:$D$311,0),2)</f>
        <v>685.66</v>
      </c>
      <c r="P107" s="52">
        <v>1</v>
      </c>
      <c r="Q107" s="52">
        <v>7</v>
      </c>
      <c r="R107" s="52">
        <f t="shared" ca="1" si="16"/>
        <v>2016</v>
      </c>
      <c r="S107" s="52">
        <v>1</v>
      </c>
      <c r="T107" s="59" t="s">
        <v>317</v>
      </c>
      <c r="U107" s="59" t="s">
        <v>332</v>
      </c>
      <c r="V107" s="52" t="str">
        <f t="shared" si="23"/>
        <v>2014</v>
      </c>
      <c r="W107" s="52" t="str">
        <f t="shared" si="24"/>
        <v>2</v>
      </c>
      <c r="X107" s="52">
        <f t="shared" ca="1" si="25"/>
        <v>2</v>
      </c>
      <c r="Y107" s="52" t="str">
        <f t="shared" si="26"/>
        <v>2015</v>
      </c>
      <c r="Z107" s="52" t="str">
        <f t="shared" si="27"/>
        <v>1</v>
      </c>
      <c r="AA107" s="52">
        <f t="shared" ca="1" si="28"/>
        <v>1</v>
      </c>
      <c r="AB107" s="52">
        <f t="shared" si="29"/>
        <v>1</v>
      </c>
      <c r="AC107" s="52" t="str">
        <f t="shared" si="30"/>
        <v>9</v>
      </c>
      <c r="AD107" s="52" t="str">
        <f t="shared" si="30"/>
        <v>1</v>
      </c>
      <c r="AE107" s="52" t="str">
        <f t="shared" si="31"/>
        <v>999999</v>
      </c>
      <c r="AF107" s="52" t="str">
        <f t="shared" si="32"/>
        <v>120151</v>
      </c>
      <c r="AG107" s="52" t="str">
        <f t="shared" si="33"/>
        <v>T</v>
      </c>
      <c r="AH107" s="52" t="str">
        <f t="shared" si="33"/>
        <v>T</v>
      </c>
    </row>
    <row r="108" spans="2:34" x14ac:dyDescent="0.25">
      <c r="B108" s="52">
        <v>21</v>
      </c>
      <c r="C108" s="52">
        <v>5</v>
      </c>
      <c r="D108" s="52" t="s">
        <v>91</v>
      </c>
      <c r="E108" s="52" t="s">
        <v>90</v>
      </c>
      <c r="H108" s="54">
        <f t="shared" ca="1" si="44"/>
        <v>41640</v>
      </c>
      <c r="I108" s="52" t="s">
        <v>291</v>
      </c>
      <c r="K108" s="55">
        <f t="shared" ca="1" si="45"/>
        <v>42370</v>
      </c>
      <c r="L108" s="52">
        <v>20144</v>
      </c>
      <c r="M108" s="30">
        <f>INDEX(barèmes!$D$2:$E$311,MATCH(T108,barèmes!$D$2:$D$311,0),2)</f>
        <v>0</v>
      </c>
      <c r="N108" s="61">
        <v>20151</v>
      </c>
      <c r="O108" s="30">
        <f>INDEX(barèmes!$D$2:$E$311,MATCH(U108,barèmes!$D$2:$D$311,0),2)</f>
        <v>719.12</v>
      </c>
      <c r="P108" s="52">
        <v>1</v>
      </c>
      <c r="Q108" s="52">
        <v>1</v>
      </c>
      <c r="R108" s="52">
        <f t="shared" ca="1" si="16"/>
        <v>2016</v>
      </c>
      <c r="S108" s="52">
        <v>0</v>
      </c>
      <c r="T108" s="59" t="s">
        <v>317</v>
      </c>
      <c r="U108" s="59" t="s">
        <v>304</v>
      </c>
      <c r="V108" s="52" t="str">
        <f t="shared" si="23"/>
        <v>2014</v>
      </c>
      <c r="W108" s="52" t="str">
        <f t="shared" si="24"/>
        <v>4</v>
      </c>
      <c r="X108" s="52">
        <f t="shared" ca="1" si="25"/>
        <v>2</v>
      </c>
      <c r="Y108" s="52" t="str">
        <f t="shared" si="26"/>
        <v>2015</v>
      </c>
      <c r="Z108" s="52" t="str">
        <f t="shared" si="27"/>
        <v>1</v>
      </c>
      <c r="AA108" s="52">
        <f t="shared" ca="1" si="28"/>
        <v>1</v>
      </c>
      <c r="AB108" s="52">
        <f t="shared" si="29"/>
        <v>1</v>
      </c>
      <c r="AC108" s="52" t="str">
        <f t="shared" si="30"/>
        <v>9</v>
      </c>
      <c r="AD108" s="52" t="str">
        <f t="shared" si="30"/>
        <v>3</v>
      </c>
      <c r="AE108" s="52" t="str">
        <f t="shared" si="31"/>
        <v>999999</v>
      </c>
      <c r="AF108" s="52" t="str">
        <f t="shared" si="32"/>
        <v>120153</v>
      </c>
      <c r="AG108" s="52" t="str">
        <f t="shared" si="33"/>
        <v>T</v>
      </c>
      <c r="AH108" s="52" t="str">
        <f t="shared" si="33"/>
        <v>T</v>
      </c>
    </row>
    <row r="109" spans="2:34" x14ac:dyDescent="0.25">
      <c r="B109" s="52">
        <v>22</v>
      </c>
      <c r="C109" s="52">
        <v>5</v>
      </c>
      <c r="D109" s="52" t="s">
        <v>91</v>
      </c>
      <c r="E109" s="52" t="s">
        <v>90</v>
      </c>
      <c r="H109" s="54">
        <f t="shared" ca="1" si="44"/>
        <v>41640</v>
      </c>
      <c r="I109" s="52" t="s">
        <v>291</v>
      </c>
      <c r="K109" s="55">
        <f t="shared" ca="1" si="45"/>
        <v>42716</v>
      </c>
      <c r="L109" s="52">
        <v>20153</v>
      </c>
      <c r="M109" s="30">
        <f>INDEX(barèmes!$D$2:$E$311,MATCH(T109,barèmes!$D$2:$D$311,0),2)</f>
        <v>0</v>
      </c>
      <c r="N109" s="61">
        <v>20154</v>
      </c>
      <c r="O109" s="30">
        <f>INDEX(barèmes!$D$2:$E$311,MATCH(U109,barèmes!$D$2:$D$311,0),2)</f>
        <v>719.12</v>
      </c>
      <c r="P109" s="52">
        <v>12</v>
      </c>
      <c r="Q109" s="52">
        <v>12</v>
      </c>
      <c r="R109" s="52">
        <f t="shared" ca="1" si="16"/>
        <v>2016</v>
      </c>
      <c r="S109" s="52">
        <v>0</v>
      </c>
      <c r="T109" s="59" t="s">
        <v>317</v>
      </c>
      <c r="U109" s="59" t="s">
        <v>304</v>
      </c>
      <c r="V109" s="52" t="str">
        <f t="shared" si="23"/>
        <v>2015</v>
      </c>
      <c r="W109" s="52" t="str">
        <f t="shared" si="24"/>
        <v>3</v>
      </c>
      <c r="X109" s="52">
        <f t="shared" ca="1" si="25"/>
        <v>1</v>
      </c>
      <c r="Y109" s="52" t="str">
        <f t="shared" si="26"/>
        <v>2015</v>
      </c>
      <c r="Z109" s="52" t="str">
        <f t="shared" si="27"/>
        <v>4</v>
      </c>
      <c r="AA109" s="52">
        <f t="shared" ca="1" si="28"/>
        <v>1</v>
      </c>
      <c r="AB109" s="52">
        <f t="shared" si="29"/>
        <v>1</v>
      </c>
      <c r="AC109" s="52" t="str">
        <f t="shared" si="30"/>
        <v>9</v>
      </c>
      <c r="AD109" s="52" t="str">
        <f t="shared" si="30"/>
        <v>3</v>
      </c>
      <c r="AE109" s="52" t="str">
        <f t="shared" si="31"/>
        <v>999999</v>
      </c>
      <c r="AF109" s="52" t="str">
        <f t="shared" si="32"/>
        <v>120153</v>
      </c>
      <c r="AG109" s="52" t="str">
        <f t="shared" si="33"/>
        <v>T</v>
      </c>
      <c r="AH109" s="52" t="str">
        <f t="shared" si="33"/>
        <v>T</v>
      </c>
    </row>
    <row r="110" spans="2:34" x14ac:dyDescent="0.25">
      <c r="B110" s="52">
        <v>23</v>
      </c>
      <c r="C110" s="52">
        <v>5</v>
      </c>
      <c r="D110" s="52" t="s">
        <v>91</v>
      </c>
      <c r="E110" s="52" t="s">
        <v>90</v>
      </c>
      <c r="H110" s="54">
        <f ca="1">DATE($R110-2,1,1)</f>
        <v>41640</v>
      </c>
      <c r="I110" s="52" t="s">
        <v>291</v>
      </c>
      <c r="J110" s="52" t="s">
        <v>90</v>
      </c>
      <c r="K110" s="55">
        <f ca="1">DATE($R110-$S110,$Q110,$P110)</f>
        <v>42005</v>
      </c>
      <c r="L110" s="52">
        <v>20134</v>
      </c>
      <c r="M110" s="30">
        <f>INDEX(barèmes!$D$2:$E$311,MATCH(T110,barèmes!$D$2:$D$311,0),2)</f>
        <v>300.14</v>
      </c>
      <c r="N110" s="61">
        <v>20151</v>
      </c>
      <c r="O110" s="30">
        <f>INDEX(barèmes!$D$2:$E$311,MATCH(U110,barèmes!$D$2:$D$311,0),2)</f>
        <v>0</v>
      </c>
      <c r="P110" s="52">
        <v>1</v>
      </c>
      <c r="Q110" s="52">
        <v>1</v>
      </c>
      <c r="R110" s="52">
        <f t="shared" ca="1" si="16"/>
        <v>2016</v>
      </c>
      <c r="S110" s="52">
        <v>1</v>
      </c>
      <c r="T110" s="59" t="s">
        <v>335</v>
      </c>
      <c r="U110" s="59" t="s">
        <v>317</v>
      </c>
      <c r="V110" s="52" t="str">
        <f t="shared" si="23"/>
        <v>2013</v>
      </c>
      <c r="W110" s="52" t="str">
        <f t="shared" si="24"/>
        <v>4</v>
      </c>
      <c r="X110" s="52">
        <f t="shared" ca="1" si="25"/>
        <v>3</v>
      </c>
      <c r="Y110" s="52" t="str">
        <f t="shared" si="26"/>
        <v>2015</v>
      </c>
      <c r="Z110" s="52" t="str">
        <f t="shared" si="27"/>
        <v>1</v>
      </c>
      <c r="AA110" s="52">
        <f t="shared" ca="1" si="28"/>
        <v>1</v>
      </c>
      <c r="AB110" s="52">
        <f t="shared" si="29"/>
        <v>1</v>
      </c>
      <c r="AC110" s="52" t="str">
        <f t="shared" si="30"/>
        <v>1</v>
      </c>
      <c r="AD110" s="52" t="str">
        <f t="shared" si="30"/>
        <v>9</v>
      </c>
      <c r="AE110" s="52" t="str">
        <f t="shared" si="31"/>
        <v>520131</v>
      </c>
      <c r="AF110" s="52" t="str">
        <f t="shared" si="32"/>
        <v>999999</v>
      </c>
      <c r="AG110" s="52" t="str">
        <f t="shared" si="33"/>
        <v>T</v>
      </c>
      <c r="AH110" s="52" t="str">
        <f t="shared" si="33"/>
        <v>T</v>
      </c>
    </row>
    <row r="111" spans="2:34" x14ac:dyDescent="0.25">
      <c r="B111" s="52">
        <v>24</v>
      </c>
      <c r="C111" s="52">
        <v>5</v>
      </c>
      <c r="D111" s="52" t="s">
        <v>91</v>
      </c>
      <c r="E111" s="52" t="s">
        <v>90</v>
      </c>
      <c r="H111" s="54">
        <f t="shared" ref="H111:H113" ca="1" si="46">DATE($R111-2,1,1)</f>
        <v>41640</v>
      </c>
      <c r="I111" s="52" t="s">
        <v>291</v>
      </c>
      <c r="J111" s="52" t="s">
        <v>90</v>
      </c>
      <c r="K111" s="55">
        <f t="shared" ref="K111:K113" ca="1" si="47">DATE($R111-$S111,$Q111,$P111)</f>
        <v>42186</v>
      </c>
      <c r="L111" s="52">
        <v>20142</v>
      </c>
      <c r="M111" s="30">
        <f>INDEX(barèmes!$D$2:$E$311,MATCH(T111,barèmes!$D$2:$D$311,0),2)</f>
        <v>0</v>
      </c>
      <c r="N111" s="61">
        <v>20151</v>
      </c>
      <c r="O111" s="30">
        <f>INDEX(barèmes!$D$2:$E$311,MATCH(U111,barèmes!$D$2:$D$311,0),2)</f>
        <v>0</v>
      </c>
      <c r="P111" s="52">
        <v>1</v>
      </c>
      <c r="Q111" s="52">
        <v>7</v>
      </c>
      <c r="R111" s="52">
        <f t="shared" ca="1" si="16"/>
        <v>2016</v>
      </c>
      <c r="S111" s="52">
        <v>1</v>
      </c>
      <c r="T111" s="59" t="s">
        <v>317</v>
      </c>
      <c r="U111" s="59" t="s">
        <v>317</v>
      </c>
      <c r="V111" s="52" t="str">
        <f t="shared" si="23"/>
        <v>2014</v>
      </c>
      <c r="W111" s="52" t="str">
        <f t="shared" si="24"/>
        <v>2</v>
      </c>
      <c r="X111" s="52">
        <f t="shared" ca="1" si="25"/>
        <v>2</v>
      </c>
      <c r="Y111" s="52" t="str">
        <f t="shared" si="26"/>
        <v>2015</v>
      </c>
      <c r="Z111" s="52" t="str">
        <f t="shared" si="27"/>
        <v>1</v>
      </c>
      <c r="AA111" s="52">
        <f t="shared" ca="1" si="28"/>
        <v>1</v>
      </c>
      <c r="AB111" s="52">
        <f t="shared" si="29"/>
        <v>1</v>
      </c>
      <c r="AC111" s="52" t="str">
        <f t="shared" si="30"/>
        <v>9</v>
      </c>
      <c r="AD111" s="52" t="str">
        <f t="shared" si="30"/>
        <v>9</v>
      </c>
      <c r="AE111" s="52" t="str">
        <f t="shared" si="31"/>
        <v>999999</v>
      </c>
      <c r="AF111" s="52" t="str">
        <f t="shared" si="32"/>
        <v>999999</v>
      </c>
      <c r="AG111" s="52" t="str">
        <f t="shared" si="33"/>
        <v>T</v>
      </c>
      <c r="AH111" s="52" t="str">
        <f t="shared" si="33"/>
        <v>T</v>
      </c>
    </row>
    <row r="112" spans="2:34" x14ac:dyDescent="0.25">
      <c r="B112" s="52">
        <v>25</v>
      </c>
      <c r="C112" s="52">
        <v>5</v>
      </c>
      <c r="D112" s="52" t="s">
        <v>91</v>
      </c>
      <c r="E112" s="52" t="s">
        <v>90</v>
      </c>
      <c r="H112" s="54">
        <f t="shared" ca="1" si="46"/>
        <v>41640</v>
      </c>
      <c r="I112" s="52" t="s">
        <v>291</v>
      </c>
      <c r="J112" s="52" t="s">
        <v>90</v>
      </c>
      <c r="K112" s="55">
        <f t="shared" ca="1" si="47"/>
        <v>42370</v>
      </c>
      <c r="L112" s="52">
        <v>20144</v>
      </c>
      <c r="M112" s="30">
        <f>INDEX(barèmes!$D$2:$E$311,MATCH(T112,barèmes!$D$2:$D$311,0),2)</f>
        <v>0</v>
      </c>
      <c r="N112" s="61">
        <v>20151</v>
      </c>
      <c r="O112" s="30">
        <f>INDEX(barèmes!$D$2:$E$311,MATCH(U112,barèmes!$D$2:$D$311,0),2)</f>
        <v>0</v>
      </c>
      <c r="P112" s="52">
        <v>1</v>
      </c>
      <c r="Q112" s="52">
        <v>1</v>
      </c>
      <c r="R112" s="52">
        <f t="shared" ref="R112:R123" ca="1" si="48">YEAR(NOW())-1</f>
        <v>2016</v>
      </c>
      <c r="S112" s="52">
        <v>0</v>
      </c>
      <c r="T112" s="59" t="s">
        <v>317</v>
      </c>
      <c r="U112" s="59" t="s">
        <v>317</v>
      </c>
      <c r="V112" s="52" t="str">
        <f t="shared" si="23"/>
        <v>2014</v>
      </c>
      <c r="W112" s="52" t="str">
        <f t="shared" si="24"/>
        <v>4</v>
      </c>
      <c r="X112" s="52">
        <f t="shared" ca="1" si="25"/>
        <v>2</v>
      </c>
      <c r="Y112" s="52" t="str">
        <f t="shared" si="26"/>
        <v>2015</v>
      </c>
      <c r="Z112" s="52" t="str">
        <f t="shared" si="27"/>
        <v>1</v>
      </c>
      <c r="AA112" s="52">
        <f t="shared" ca="1" si="28"/>
        <v>1</v>
      </c>
      <c r="AB112" s="52">
        <f t="shared" si="29"/>
        <v>1</v>
      </c>
      <c r="AC112" s="52" t="str">
        <f t="shared" si="30"/>
        <v>9</v>
      </c>
      <c r="AD112" s="52" t="str">
        <f t="shared" si="30"/>
        <v>9</v>
      </c>
      <c r="AE112" s="52" t="str">
        <f t="shared" si="31"/>
        <v>999999</v>
      </c>
      <c r="AF112" s="52" t="str">
        <f t="shared" si="32"/>
        <v>999999</v>
      </c>
      <c r="AG112" s="52" t="str">
        <f t="shared" si="33"/>
        <v>T</v>
      </c>
      <c r="AH112" s="52" t="str">
        <f t="shared" si="33"/>
        <v>T</v>
      </c>
    </row>
    <row r="113" spans="2:34" x14ac:dyDescent="0.25">
      <c r="B113" s="52">
        <v>26</v>
      </c>
      <c r="C113" s="52">
        <v>5</v>
      </c>
      <c r="D113" s="52" t="s">
        <v>91</v>
      </c>
      <c r="E113" s="52" t="s">
        <v>90</v>
      </c>
      <c r="H113" s="54">
        <f t="shared" ca="1" si="46"/>
        <v>41640</v>
      </c>
      <c r="I113" s="52" t="s">
        <v>291</v>
      </c>
      <c r="J113" s="52" t="s">
        <v>90</v>
      </c>
      <c r="K113" s="55">
        <f t="shared" ca="1" si="47"/>
        <v>42716</v>
      </c>
      <c r="L113" s="52">
        <v>20153</v>
      </c>
      <c r="M113" s="30">
        <f>INDEX(barèmes!$D$2:$E$311,MATCH(T113,barèmes!$D$2:$D$311,0),2)</f>
        <v>0</v>
      </c>
      <c r="N113" s="61">
        <v>20154</v>
      </c>
      <c r="O113" s="30">
        <f>INDEX(barèmes!$D$2:$E$311,MATCH(U113,barèmes!$D$2:$D$311,0),2)</f>
        <v>0</v>
      </c>
      <c r="P113" s="52">
        <v>12</v>
      </c>
      <c r="Q113" s="52">
        <v>12</v>
      </c>
      <c r="R113" s="52">
        <f t="shared" ca="1" si="48"/>
        <v>2016</v>
      </c>
      <c r="S113" s="52">
        <v>0</v>
      </c>
      <c r="T113" s="59" t="s">
        <v>317</v>
      </c>
      <c r="U113" s="59" t="s">
        <v>317</v>
      </c>
      <c r="V113" s="52" t="str">
        <f t="shared" si="23"/>
        <v>2015</v>
      </c>
      <c r="W113" s="52" t="str">
        <f t="shared" si="24"/>
        <v>3</v>
      </c>
      <c r="X113" s="52">
        <f t="shared" ca="1" si="25"/>
        <v>1</v>
      </c>
      <c r="Y113" s="52" t="str">
        <f t="shared" si="26"/>
        <v>2015</v>
      </c>
      <c r="Z113" s="52" t="str">
        <f t="shared" si="27"/>
        <v>4</v>
      </c>
      <c r="AA113" s="52">
        <f t="shared" ca="1" si="28"/>
        <v>1</v>
      </c>
      <c r="AB113" s="52">
        <f t="shared" si="29"/>
        <v>1</v>
      </c>
      <c r="AC113" s="52" t="str">
        <f t="shared" si="30"/>
        <v>9</v>
      </c>
      <c r="AD113" s="52" t="str">
        <f t="shared" si="30"/>
        <v>9</v>
      </c>
      <c r="AE113" s="52" t="str">
        <f t="shared" si="31"/>
        <v>999999</v>
      </c>
      <c r="AF113" s="52" t="str">
        <f t="shared" si="32"/>
        <v>999999</v>
      </c>
      <c r="AG113" s="52" t="str">
        <f t="shared" si="33"/>
        <v>T</v>
      </c>
      <c r="AH113" s="52" t="str">
        <f t="shared" si="33"/>
        <v>T</v>
      </c>
    </row>
    <row r="114" spans="2:34" x14ac:dyDescent="0.25">
      <c r="B114" s="52">
        <v>27</v>
      </c>
      <c r="C114" s="52">
        <v>5</v>
      </c>
      <c r="D114" s="52" t="s">
        <v>91</v>
      </c>
      <c r="E114" s="52" t="s">
        <v>90</v>
      </c>
      <c r="H114" s="54">
        <f ca="1">DATE($R114-2,1,1)</f>
        <v>41640</v>
      </c>
      <c r="I114" s="52" t="s">
        <v>291</v>
      </c>
      <c r="J114" s="52" t="s">
        <v>93</v>
      </c>
      <c r="K114" s="55">
        <f ca="1">DATE($R114-$S114,$Q114,$P114)</f>
        <v>42005</v>
      </c>
      <c r="L114" s="52">
        <v>20134</v>
      </c>
      <c r="M114" s="30">
        <f>INDEX(barèmes!$D$2:$E$311,MATCH(T114,barèmes!$D$2:$D$311,0),2)</f>
        <v>300.14</v>
      </c>
      <c r="N114" s="61">
        <v>20151</v>
      </c>
      <c r="O114" s="30">
        <f>INDEX(barèmes!$D$2:$E$311,MATCH(U114,barèmes!$D$2:$D$311,0),2)</f>
        <v>367.94</v>
      </c>
      <c r="P114" s="52">
        <v>1</v>
      </c>
      <c r="Q114" s="52">
        <v>1</v>
      </c>
      <c r="R114" s="52">
        <f t="shared" ca="1" si="48"/>
        <v>2016</v>
      </c>
      <c r="S114" s="52">
        <v>1</v>
      </c>
      <c r="T114" s="59" t="s">
        <v>335</v>
      </c>
      <c r="U114" s="59" t="s">
        <v>333</v>
      </c>
      <c r="V114" s="52" t="str">
        <f t="shared" si="23"/>
        <v>2013</v>
      </c>
      <c r="W114" s="52" t="str">
        <f t="shared" si="24"/>
        <v>4</v>
      </c>
      <c r="X114" s="52">
        <f t="shared" ca="1" si="25"/>
        <v>3</v>
      </c>
      <c r="Y114" s="52" t="str">
        <f t="shared" si="26"/>
        <v>2015</v>
      </c>
      <c r="Z114" s="52" t="str">
        <f t="shared" si="27"/>
        <v>1</v>
      </c>
      <c r="AA114" s="52">
        <f t="shared" ca="1" si="28"/>
        <v>1</v>
      </c>
      <c r="AB114" s="52">
        <f t="shared" si="29"/>
        <v>1</v>
      </c>
      <c r="AC114" s="52" t="str">
        <f t="shared" si="30"/>
        <v>1</v>
      </c>
      <c r="AD114" s="52" t="s">
        <v>325</v>
      </c>
      <c r="AE114" s="52" t="str">
        <f t="shared" si="31"/>
        <v>520131</v>
      </c>
      <c r="AF114" s="52" t="str">
        <f t="shared" si="32"/>
        <v>12015r2</v>
      </c>
      <c r="AG114" s="52" t="str">
        <f t="shared" si="33"/>
        <v>T</v>
      </c>
      <c r="AH114" s="52" t="str">
        <f t="shared" si="33"/>
        <v>T</v>
      </c>
    </row>
    <row r="115" spans="2:34" x14ac:dyDescent="0.25">
      <c r="B115" s="52">
        <v>28</v>
      </c>
      <c r="C115" s="52">
        <v>5</v>
      </c>
      <c r="D115" s="52" t="s">
        <v>91</v>
      </c>
      <c r="E115" s="52" t="s">
        <v>90</v>
      </c>
      <c r="H115" s="54">
        <f t="shared" ref="H115:H123" ca="1" si="49">DATE($R115-2,1,1)</f>
        <v>41640</v>
      </c>
      <c r="I115" s="52" t="s">
        <v>291</v>
      </c>
      <c r="J115" s="52" t="s">
        <v>93</v>
      </c>
      <c r="K115" s="55">
        <f t="shared" ref="K115:K123" ca="1" si="50">DATE($R115-$S115,$Q115,$P115)</f>
        <v>42186</v>
      </c>
      <c r="L115" s="52">
        <v>20142</v>
      </c>
      <c r="M115" s="30">
        <f>INDEX(barèmes!$D$2:$E$311,MATCH(T115,barèmes!$D$2:$D$311,0),2)</f>
        <v>0</v>
      </c>
      <c r="N115" s="61">
        <v>20151</v>
      </c>
      <c r="O115" s="30">
        <f>INDEX(barèmes!$D$2:$E$311,MATCH(U115,barèmes!$D$2:$D$311,0),2)</f>
        <v>359.18</v>
      </c>
      <c r="P115" s="52">
        <v>1</v>
      </c>
      <c r="Q115" s="52">
        <v>7</v>
      </c>
      <c r="R115" s="52">
        <f t="shared" ca="1" si="48"/>
        <v>2016</v>
      </c>
      <c r="S115" s="52">
        <v>1</v>
      </c>
      <c r="T115" s="59" t="s">
        <v>317</v>
      </c>
      <c r="U115" s="59" t="s">
        <v>334</v>
      </c>
      <c r="V115" s="52" t="str">
        <f t="shared" si="23"/>
        <v>2014</v>
      </c>
      <c r="W115" s="52" t="str">
        <f t="shared" si="24"/>
        <v>2</v>
      </c>
      <c r="X115" s="52">
        <f t="shared" ca="1" si="25"/>
        <v>2</v>
      </c>
      <c r="Y115" s="52" t="str">
        <f t="shared" si="26"/>
        <v>2015</v>
      </c>
      <c r="Z115" s="52" t="str">
        <f t="shared" si="27"/>
        <v>1</v>
      </c>
      <c r="AA115" s="52">
        <f t="shared" ca="1" si="28"/>
        <v>1</v>
      </c>
      <c r="AB115" s="52">
        <f t="shared" si="29"/>
        <v>1</v>
      </c>
      <c r="AC115" s="52" t="str">
        <f t="shared" si="30"/>
        <v>9</v>
      </c>
      <c r="AD115" s="52" t="s">
        <v>324</v>
      </c>
      <c r="AE115" s="52" t="str">
        <f t="shared" si="31"/>
        <v>999999</v>
      </c>
      <c r="AF115" s="52" t="str">
        <f t="shared" si="32"/>
        <v>12015r1</v>
      </c>
      <c r="AG115" s="52" t="str">
        <f t="shared" si="33"/>
        <v>T</v>
      </c>
      <c r="AH115" s="52" t="str">
        <f t="shared" si="33"/>
        <v>T</v>
      </c>
    </row>
    <row r="116" spans="2:34" x14ac:dyDescent="0.25">
      <c r="B116" s="52">
        <v>29</v>
      </c>
      <c r="C116" s="52">
        <v>5</v>
      </c>
      <c r="D116" s="52" t="s">
        <v>91</v>
      </c>
      <c r="E116" s="52" t="s">
        <v>90</v>
      </c>
      <c r="H116" s="54">
        <f t="shared" ca="1" si="49"/>
        <v>41640</v>
      </c>
      <c r="I116" s="52" t="s">
        <v>291</v>
      </c>
      <c r="J116" s="52" t="s">
        <v>93</v>
      </c>
      <c r="K116" s="55">
        <f t="shared" ca="1" si="50"/>
        <v>42370</v>
      </c>
      <c r="L116" s="52">
        <v>20144</v>
      </c>
      <c r="M116" s="30">
        <f>INDEX(barèmes!$D$2:$E$311,MATCH(T116,barèmes!$D$2:$D$311,0),2)</f>
        <v>0</v>
      </c>
      <c r="N116" s="61">
        <v>20151</v>
      </c>
      <c r="O116" s="30">
        <f>INDEX(barèmes!$D$2:$E$311,MATCH(U116,barèmes!$D$2:$D$311,0),2)</f>
        <v>376.7</v>
      </c>
      <c r="P116" s="52">
        <v>1</v>
      </c>
      <c r="Q116" s="52">
        <v>1</v>
      </c>
      <c r="R116" s="52">
        <f t="shared" ca="1" si="48"/>
        <v>2016</v>
      </c>
      <c r="S116" s="52">
        <v>0</v>
      </c>
      <c r="T116" s="59" t="s">
        <v>317</v>
      </c>
      <c r="U116" s="59" t="s">
        <v>329</v>
      </c>
      <c r="V116" s="52" t="str">
        <f t="shared" si="23"/>
        <v>2014</v>
      </c>
      <c r="W116" s="52" t="str">
        <f t="shared" si="24"/>
        <v>4</v>
      </c>
      <c r="X116" s="52">
        <f t="shared" ca="1" si="25"/>
        <v>2</v>
      </c>
      <c r="Y116" s="52" t="str">
        <f t="shared" si="26"/>
        <v>2015</v>
      </c>
      <c r="Z116" s="52" t="str">
        <f t="shared" si="27"/>
        <v>1</v>
      </c>
      <c r="AA116" s="52">
        <f t="shared" ca="1" si="28"/>
        <v>1</v>
      </c>
      <c r="AB116" s="52">
        <f t="shared" si="29"/>
        <v>1</v>
      </c>
      <c r="AC116" s="52" t="str">
        <f t="shared" si="30"/>
        <v>9</v>
      </c>
      <c r="AD116" s="52" t="s">
        <v>326</v>
      </c>
      <c r="AE116" s="52" t="str">
        <f t="shared" si="31"/>
        <v>999999</v>
      </c>
      <c r="AF116" s="52" t="str">
        <f t="shared" si="32"/>
        <v>12015r3</v>
      </c>
      <c r="AG116" s="52" t="str">
        <f t="shared" si="33"/>
        <v>T</v>
      </c>
      <c r="AH116" s="52" t="str">
        <f t="shared" si="33"/>
        <v>T</v>
      </c>
    </row>
    <row r="117" spans="2:34" x14ac:dyDescent="0.25">
      <c r="B117" s="52">
        <v>30</v>
      </c>
      <c r="C117" s="52">
        <v>5</v>
      </c>
      <c r="D117" s="52" t="s">
        <v>91</v>
      </c>
      <c r="E117" s="52" t="s">
        <v>90</v>
      </c>
      <c r="H117" s="54">
        <f t="shared" ca="1" si="49"/>
        <v>41640</v>
      </c>
      <c r="I117" s="52" t="s">
        <v>291</v>
      </c>
      <c r="J117" s="52" t="s">
        <v>93</v>
      </c>
      <c r="K117" s="55">
        <f t="shared" ca="1" si="50"/>
        <v>42716</v>
      </c>
      <c r="L117" s="52">
        <v>20144</v>
      </c>
      <c r="M117" s="30">
        <f>INDEX(barèmes!$D$2:$E$311,MATCH(T117,barèmes!$D$2:$D$311,0),2)</f>
        <v>0</v>
      </c>
      <c r="N117" s="61">
        <v>20151</v>
      </c>
      <c r="O117" s="30">
        <f>INDEX(barèmes!$D$2:$E$311,MATCH(U117,barèmes!$D$2:$D$311,0),2)</f>
        <v>376.7</v>
      </c>
      <c r="P117" s="52">
        <v>12</v>
      </c>
      <c r="Q117" s="52">
        <v>12</v>
      </c>
      <c r="R117" s="52">
        <f t="shared" ca="1" si="48"/>
        <v>2016</v>
      </c>
      <c r="S117" s="52">
        <v>0</v>
      </c>
      <c r="T117" s="59" t="s">
        <v>317</v>
      </c>
      <c r="U117" s="59" t="s">
        <v>329</v>
      </c>
      <c r="V117" s="52" t="str">
        <f t="shared" si="23"/>
        <v>2014</v>
      </c>
      <c r="W117" s="52" t="str">
        <f t="shared" si="24"/>
        <v>4</v>
      </c>
      <c r="X117" s="52">
        <f t="shared" ca="1" si="25"/>
        <v>2</v>
      </c>
      <c r="Y117" s="52" t="str">
        <f t="shared" si="26"/>
        <v>2015</v>
      </c>
      <c r="Z117" s="52" t="str">
        <f t="shared" si="27"/>
        <v>1</v>
      </c>
      <c r="AA117" s="52">
        <f t="shared" ca="1" si="28"/>
        <v>1</v>
      </c>
      <c r="AB117" s="52">
        <f t="shared" si="29"/>
        <v>1</v>
      </c>
      <c r="AC117" s="52" t="str">
        <f t="shared" si="30"/>
        <v>9</v>
      </c>
      <c r="AD117" s="52" t="s">
        <v>326</v>
      </c>
      <c r="AE117" s="52" t="str">
        <f t="shared" si="31"/>
        <v>999999</v>
      </c>
      <c r="AF117" s="52" t="str">
        <f t="shared" si="32"/>
        <v>12015r3</v>
      </c>
      <c r="AG117" s="52" t="str">
        <f t="shared" si="33"/>
        <v>T</v>
      </c>
      <c r="AH117" s="52" t="str">
        <f t="shared" si="33"/>
        <v>T</v>
      </c>
    </row>
    <row r="118" spans="2:34" x14ac:dyDescent="0.25">
      <c r="B118" s="52">
        <v>31</v>
      </c>
      <c r="C118" s="52">
        <v>5</v>
      </c>
      <c r="D118" s="52" t="s">
        <v>91</v>
      </c>
      <c r="E118" s="52" t="s">
        <v>90</v>
      </c>
      <c r="H118" s="54">
        <f t="shared" ca="1" si="49"/>
        <v>41640</v>
      </c>
      <c r="I118" s="52" t="s">
        <v>293</v>
      </c>
      <c r="K118" s="55">
        <f t="shared" ca="1" si="50"/>
        <v>42005</v>
      </c>
      <c r="L118" s="52">
        <v>20134</v>
      </c>
      <c r="M118" s="30">
        <f>INDEX(barèmes!$D$2:$E$311,MATCH(T118,barèmes!$D$2:$D$311,0),2)</f>
        <v>0</v>
      </c>
      <c r="N118" s="61">
        <v>20151</v>
      </c>
      <c r="O118" s="30">
        <f>INDEX(barèmes!$D$2:$E$311,MATCH(U118,barèmes!$D$2:$D$311,0),2)</f>
        <v>77.7</v>
      </c>
      <c r="P118" s="52">
        <v>1</v>
      </c>
      <c r="Q118" s="52">
        <v>1</v>
      </c>
      <c r="R118" s="52">
        <f t="shared" ca="1" si="48"/>
        <v>2016</v>
      </c>
      <c r="S118" s="52">
        <v>1</v>
      </c>
      <c r="T118" s="59" t="s">
        <v>317</v>
      </c>
      <c r="U118" s="59" t="s">
        <v>315</v>
      </c>
      <c r="V118" s="52" t="str">
        <f t="shared" si="23"/>
        <v>2013</v>
      </c>
      <c r="W118" s="52" t="str">
        <f t="shared" si="24"/>
        <v>4</v>
      </c>
      <c r="X118" s="52">
        <f t="shared" ca="1" si="25"/>
        <v>3</v>
      </c>
      <c r="Y118" s="52" t="str">
        <f t="shared" si="26"/>
        <v>2015</v>
      </c>
      <c r="Z118" s="52" t="str">
        <f t="shared" si="27"/>
        <v>1</v>
      </c>
      <c r="AA118" s="52">
        <f t="shared" ca="1" si="28"/>
        <v>1</v>
      </c>
      <c r="AB118" s="52">
        <f t="shared" si="29"/>
        <v>4</v>
      </c>
      <c r="AC118" s="52" t="str">
        <f t="shared" si="30"/>
        <v>9</v>
      </c>
      <c r="AD118" s="52" t="str">
        <f t="shared" si="30"/>
        <v>2</v>
      </c>
      <c r="AE118" s="52" t="str">
        <f t="shared" si="31"/>
        <v>999999</v>
      </c>
      <c r="AF118" s="52" t="str">
        <f t="shared" si="32"/>
        <v>420152</v>
      </c>
      <c r="AG118" s="52" t="str">
        <f t="shared" si="33"/>
        <v>T</v>
      </c>
      <c r="AH118" s="52" t="str">
        <f t="shared" si="33"/>
        <v>T</v>
      </c>
    </row>
    <row r="119" spans="2:34" x14ac:dyDescent="0.25">
      <c r="B119" s="52">
        <v>32</v>
      </c>
      <c r="C119" s="52">
        <v>5</v>
      </c>
      <c r="D119" s="52" t="s">
        <v>91</v>
      </c>
      <c r="E119" s="52" t="s">
        <v>90</v>
      </c>
      <c r="H119" s="54">
        <f t="shared" ca="1" si="49"/>
        <v>41640</v>
      </c>
      <c r="I119" s="52" t="s">
        <v>293</v>
      </c>
      <c r="K119" s="55">
        <f t="shared" ca="1" si="50"/>
        <v>42186</v>
      </c>
      <c r="L119" s="52">
        <v>20142</v>
      </c>
      <c r="M119" s="30">
        <f>INDEX(barèmes!$D$2:$E$311,MATCH(T119,barèmes!$D$2:$D$311,0),2)</f>
        <v>0</v>
      </c>
      <c r="N119" s="61">
        <v>20151</v>
      </c>
      <c r="O119" s="30">
        <f>INDEX(barèmes!$D$2:$E$311,MATCH(U119,barèmes!$D$2:$D$311,0),2)</f>
        <v>75.849999999999994</v>
      </c>
      <c r="P119" s="52">
        <v>1</v>
      </c>
      <c r="Q119" s="52">
        <v>7</v>
      </c>
      <c r="R119" s="52">
        <f t="shared" ca="1" si="48"/>
        <v>2016</v>
      </c>
      <c r="S119" s="52">
        <v>1</v>
      </c>
      <c r="T119" s="59" t="s">
        <v>317</v>
      </c>
      <c r="U119" s="59" t="s">
        <v>313</v>
      </c>
      <c r="V119" s="52" t="str">
        <f t="shared" si="23"/>
        <v>2014</v>
      </c>
      <c r="W119" s="52" t="str">
        <f t="shared" si="24"/>
        <v>2</v>
      </c>
      <c r="X119" s="52">
        <f t="shared" ca="1" si="25"/>
        <v>2</v>
      </c>
      <c r="Y119" s="52" t="str">
        <f t="shared" si="26"/>
        <v>2015</v>
      </c>
      <c r="Z119" s="52" t="str">
        <f t="shared" si="27"/>
        <v>1</v>
      </c>
      <c r="AA119" s="52">
        <f t="shared" ca="1" si="28"/>
        <v>1</v>
      </c>
      <c r="AB119" s="52">
        <f t="shared" si="29"/>
        <v>4</v>
      </c>
      <c r="AC119" s="52" t="str">
        <f t="shared" si="30"/>
        <v>9</v>
      </c>
      <c r="AD119" s="52" t="str">
        <f t="shared" si="30"/>
        <v>1</v>
      </c>
      <c r="AE119" s="52" t="str">
        <f t="shared" si="31"/>
        <v>999999</v>
      </c>
      <c r="AF119" s="52" t="str">
        <f t="shared" si="32"/>
        <v>420151</v>
      </c>
      <c r="AG119" s="52" t="str">
        <f t="shared" si="33"/>
        <v>T</v>
      </c>
      <c r="AH119" s="52" t="str">
        <f t="shared" si="33"/>
        <v>T</v>
      </c>
    </row>
    <row r="120" spans="2:34" x14ac:dyDescent="0.25">
      <c r="B120" s="52">
        <v>33</v>
      </c>
      <c r="C120" s="52">
        <v>5</v>
      </c>
      <c r="D120" s="52" t="s">
        <v>91</v>
      </c>
      <c r="E120" s="52" t="s">
        <v>90</v>
      </c>
      <c r="H120" s="54">
        <f t="shared" ca="1" si="49"/>
        <v>41640</v>
      </c>
      <c r="I120" s="52" t="s">
        <v>293</v>
      </c>
      <c r="K120" s="55">
        <f t="shared" ca="1" si="50"/>
        <v>42370</v>
      </c>
      <c r="L120" s="52">
        <v>20144</v>
      </c>
      <c r="M120" s="30">
        <f>INDEX(barèmes!$D$2:$E$311,MATCH(T120,barèmes!$D$2:$D$311,0),2)</f>
        <v>0</v>
      </c>
      <c r="N120" s="61">
        <v>20151</v>
      </c>
      <c r="O120" s="30">
        <f>INDEX(barèmes!$D$2:$E$311,MATCH(U120,barèmes!$D$2:$D$311,0),2)</f>
        <v>79.55</v>
      </c>
      <c r="P120" s="52">
        <v>1</v>
      </c>
      <c r="Q120" s="52">
        <v>1</v>
      </c>
      <c r="R120" s="52">
        <f t="shared" ca="1" si="48"/>
        <v>2016</v>
      </c>
      <c r="S120" s="52">
        <v>0</v>
      </c>
      <c r="T120" s="59" t="s">
        <v>317</v>
      </c>
      <c r="U120" s="59" t="s">
        <v>316</v>
      </c>
      <c r="V120" s="52" t="str">
        <f t="shared" si="23"/>
        <v>2014</v>
      </c>
      <c r="W120" s="52" t="str">
        <f t="shared" si="24"/>
        <v>4</v>
      </c>
      <c r="X120" s="52">
        <f t="shared" ca="1" si="25"/>
        <v>2</v>
      </c>
      <c r="Y120" s="52" t="str">
        <f t="shared" si="26"/>
        <v>2015</v>
      </c>
      <c r="Z120" s="52" t="str">
        <f t="shared" si="27"/>
        <v>1</v>
      </c>
      <c r="AA120" s="52">
        <f t="shared" ca="1" si="28"/>
        <v>1</v>
      </c>
      <c r="AB120" s="52">
        <f t="shared" si="29"/>
        <v>4</v>
      </c>
      <c r="AC120" s="52" t="str">
        <f t="shared" si="30"/>
        <v>9</v>
      </c>
      <c r="AD120" s="52" t="str">
        <f t="shared" si="30"/>
        <v>3</v>
      </c>
      <c r="AE120" s="52" t="str">
        <f t="shared" si="31"/>
        <v>999999</v>
      </c>
      <c r="AF120" s="52" t="str">
        <f t="shared" si="32"/>
        <v>420153</v>
      </c>
      <c r="AG120" s="52" t="str">
        <f t="shared" si="33"/>
        <v>T</v>
      </c>
      <c r="AH120" s="52" t="str">
        <f t="shared" si="33"/>
        <v>T</v>
      </c>
    </row>
    <row r="121" spans="2:34" x14ac:dyDescent="0.25">
      <c r="B121" s="52">
        <v>34</v>
      </c>
      <c r="C121" s="52">
        <v>5</v>
      </c>
      <c r="D121" s="52" t="s">
        <v>91</v>
      </c>
      <c r="E121" s="52" t="s">
        <v>90</v>
      </c>
      <c r="H121" s="54">
        <f t="shared" ca="1" si="49"/>
        <v>41640</v>
      </c>
      <c r="I121" s="52" t="s">
        <v>293</v>
      </c>
      <c r="J121" s="52" t="s">
        <v>90</v>
      </c>
      <c r="K121" s="55">
        <f t="shared" ca="1" si="50"/>
        <v>42005</v>
      </c>
      <c r="L121" s="52">
        <v>20134</v>
      </c>
      <c r="M121" s="30">
        <f>INDEX(barèmes!$D$2:$E$311,MATCH(T121,barèmes!$D$2:$D$311,0),2)</f>
        <v>0</v>
      </c>
      <c r="N121" s="61">
        <v>20151</v>
      </c>
      <c r="O121" s="30">
        <f>INDEX(barèmes!$D$2:$E$311,MATCH(U121,barèmes!$D$2:$D$311,0),2)</f>
        <v>0</v>
      </c>
      <c r="P121" s="52">
        <v>1</v>
      </c>
      <c r="Q121" s="52">
        <v>1</v>
      </c>
      <c r="R121" s="52">
        <f t="shared" ca="1" si="48"/>
        <v>2016</v>
      </c>
      <c r="S121" s="52">
        <v>1</v>
      </c>
      <c r="T121" s="59" t="s">
        <v>317</v>
      </c>
      <c r="U121" s="59" t="s">
        <v>317</v>
      </c>
      <c r="V121" s="52" t="str">
        <f t="shared" si="23"/>
        <v>2013</v>
      </c>
      <c r="W121" s="52" t="str">
        <f t="shared" si="24"/>
        <v>4</v>
      </c>
      <c r="X121" s="52">
        <f t="shared" ca="1" si="25"/>
        <v>3</v>
      </c>
      <c r="Y121" s="52" t="str">
        <f t="shared" si="26"/>
        <v>2015</v>
      </c>
      <c r="Z121" s="52" t="str">
        <f t="shared" si="27"/>
        <v>1</v>
      </c>
      <c r="AA121" s="52">
        <f t="shared" ca="1" si="28"/>
        <v>1</v>
      </c>
      <c r="AB121" s="52">
        <f t="shared" si="29"/>
        <v>4</v>
      </c>
      <c r="AC121" s="52" t="str">
        <f t="shared" si="30"/>
        <v>9</v>
      </c>
      <c r="AD121" s="52" t="str">
        <f t="shared" si="30"/>
        <v>9</v>
      </c>
      <c r="AE121" s="52" t="str">
        <f t="shared" si="31"/>
        <v>999999</v>
      </c>
      <c r="AF121" s="52" t="str">
        <f t="shared" si="32"/>
        <v>999999</v>
      </c>
      <c r="AG121" s="52" t="str">
        <f t="shared" si="33"/>
        <v>T</v>
      </c>
      <c r="AH121" s="52" t="str">
        <f t="shared" si="33"/>
        <v>T</v>
      </c>
    </row>
    <row r="122" spans="2:34" x14ac:dyDescent="0.25">
      <c r="B122" s="52">
        <v>35</v>
      </c>
      <c r="C122" s="52">
        <v>5</v>
      </c>
      <c r="D122" s="52" t="s">
        <v>91</v>
      </c>
      <c r="E122" s="52" t="s">
        <v>90</v>
      </c>
      <c r="H122" s="54">
        <f t="shared" ca="1" si="49"/>
        <v>41640</v>
      </c>
      <c r="I122" s="52" t="s">
        <v>293</v>
      </c>
      <c r="J122" s="52" t="s">
        <v>90</v>
      </c>
      <c r="K122" s="55">
        <f t="shared" ca="1" si="50"/>
        <v>42186</v>
      </c>
      <c r="L122" s="52">
        <v>20142</v>
      </c>
      <c r="M122" s="30">
        <f>INDEX(barèmes!$D$2:$E$311,MATCH(T122,barèmes!$D$2:$D$311,0),2)</f>
        <v>0</v>
      </c>
      <c r="N122" s="61">
        <v>20143</v>
      </c>
      <c r="O122" s="30">
        <f>INDEX(barèmes!$D$2:$E$311,MATCH(U122,barèmes!$D$2:$D$311,0),2)</f>
        <v>0</v>
      </c>
      <c r="P122" s="52">
        <v>1</v>
      </c>
      <c r="Q122" s="52">
        <v>7</v>
      </c>
      <c r="R122" s="52">
        <f t="shared" ca="1" si="48"/>
        <v>2016</v>
      </c>
      <c r="S122" s="52">
        <v>1</v>
      </c>
      <c r="T122" s="59" t="s">
        <v>317</v>
      </c>
      <c r="U122" s="59" t="s">
        <v>317</v>
      </c>
      <c r="V122" s="52" t="str">
        <f t="shared" si="23"/>
        <v>2014</v>
      </c>
      <c r="W122" s="52" t="str">
        <f t="shared" si="24"/>
        <v>2</v>
      </c>
      <c r="X122" s="52">
        <f t="shared" ca="1" si="25"/>
        <v>2</v>
      </c>
      <c r="Y122" s="52" t="str">
        <f t="shared" si="26"/>
        <v>2014</v>
      </c>
      <c r="Z122" s="52" t="str">
        <f t="shared" si="27"/>
        <v>3</v>
      </c>
      <c r="AA122" s="52">
        <f t="shared" ca="1" si="28"/>
        <v>2</v>
      </c>
      <c r="AB122" s="52">
        <f t="shared" si="29"/>
        <v>4</v>
      </c>
      <c r="AC122" s="52" t="str">
        <f t="shared" si="30"/>
        <v>9</v>
      </c>
      <c r="AD122" s="52" t="str">
        <f t="shared" si="30"/>
        <v>9</v>
      </c>
      <c r="AE122" s="52" t="str">
        <f t="shared" si="31"/>
        <v>999999</v>
      </c>
      <c r="AF122" s="52" t="str">
        <f t="shared" si="32"/>
        <v>999999</v>
      </c>
      <c r="AG122" s="52" t="str">
        <f t="shared" si="33"/>
        <v>T</v>
      </c>
      <c r="AH122" s="52" t="str">
        <f t="shared" si="33"/>
        <v>T</v>
      </c>
    </row>
    <row r="123" spans="2:34" x14ac:dyDescent="0.25">
      <c r="B123" s="52">
        <v>36</v>
      </c>
      <c r="C123" s="52">
        <v>5</v>
      </c>
      <c r="D123" s="52" t="s">
        <v>91</v>
      </c>
      <c r="E123" s="52" t="s">
        <v>90</v>
      </c>
      <c r="H123" s="54">
        <f t="shared" ca="1" si="49"/>
        <v>41640</v>
      </c>
      <c r="I123" s="52" t="s">
        <v>293</v>
      </c>
      <c r="J123" s="52" t="s">
        <v>90</v>
      </c>
      <c r="K123" s="55">
        <f t="shared" ca="1" si="50"/>
        <v>42370</v>
      </c>
      <c r="L123" s="52">
        <v>20144</v>
      </c>
      <c r="M123" s="30">
        <f>INDEX(barèmes!$D$2:$E$311,MATCH(T123,barèmes!$D$2:$D$311,0),2)</f>
        <v>0</v>
      </c>
      <c r="N123" s="61">
        <v>20151</v>
      </c>
      <c r="O123" s="30">
        <f>INDEX(barèmes!$D$2:$E$311,MATCH(U123,barèmes!$D$2:$D$311,0),2)</f>
        <v>0</v>
      </c>
      <c r="P123" s="52">
        <v>1</v>
      </c>
      <c r="Q123" s="52">
        <v>1</v>
      </c>
      <c r="R123" s="52">
        <f t="shared" ca="1" si="48"/>
        <v>2016</v>
      </c>
      <c r="S123" s="52">
        <v>0</v>
      </c>
      <c r="T123" s="59" t="s">
        <v>317</v>
      </c>
      <c r="U123" s="59" t="s">
        <v>317</v>
      </c>
      <c r="V123" s="52" t="str">
        <f t="shared" si="23"/>
        <v>2014</v>
      </c>
      <c r="W123" s="52" t="str">
        <f t="shared" si="24"/>
        <v>4</v>
      </c>
      <c r="X123" s="52">
        <f t="shared" ca="1" si="25"/>
        <v>2</v>
      </c>
      <c r="Y123" s="52" t="str">
        <f t="shared" si="26"/>
        <v>2015</v>
      </c>
      <c r="Z123" s="52" t="str">
        <f t="shared" si="27"/>
        <v>1</v>
      </c>
      <c r="AA123" s="52">
        <f t="shared" ca="1" si="28"/>
        <v>1</v>
      </c>
      <c r="AB123" s="52">
        <f t="shared" si="29"/>
        <v>4</v>
      </c>
      <c r="AC123" s="52" t="str">
        <f t="shared" si="30"/>
        <v>9</v>
      </c>
      <c r="AD123" s="52" t="str">
        <f t="shared" si="30"/>
        <v>9</v>
      </c>
      <c r="AE123" s="52" t="str">
        <f t="shared" si="31"/>
        <v>999999</v>
      </c>
      <c r="AF123" s="52" t="str">
        <f t="shared" si="32"/>
        <v>999999</v>
      </c>
      <c r="AG123" s="52" t="str">
        <f t="shared" si="33"/>
        <v>T</v>
      </c>
      <c r="AH123" s="52" t="str">
        <f t="shared" si="33"/>
        <v>T</v>
      </c>
    </row>
  </sheetData>
  <conditionalFormatting sqref="AG3:AH123">
    <cfRule type="containsText" dxfId="3" priority="1" operator="containsText" text="F">
      <formula>NOT(ISERROR(SEARCH("F",AG3)))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K7" sqref="K7"/>
    </sheetView>
  </sheetViews>
  <sheetFormatPr baseColWidth="10" defaultColWidth="11.42578125" defaultRowHeight="15" x14ac:dyDescent="0.25"/>
  <cols>
    <col min="1" max="1" width="13.28515625" customWidth="1"/>
    <col min="10" max="11" width="22.28515625" customWidth="1"/>
    <col min="12" max="12" width="15.5703125" customWidth="1"/>
    <col min="13" max="13" width="20.42578125" customWidth="1"/>
    <col min="14" max="14" width="20" customWidth="1"/>
    <col min="16" max="17" width="11.42578125" style="36"/>
    <col min="18" max="18" width="20.85546875" customWidth="1"/>
  </cols>
  <sheetData>
    <row r="1" spans="1:21" x14ac:dyDescent="0.25">
      <c r="A1" t="s">
        <v>300</v>
      </c>
      <c r="B1" t="s">
        <v>286</v>
      </c>
      <c r="C1" t="s">
        <v>378</v>
      </c>
      <c r="D1" t="s">
        <v>377</v>
      </c>
      <c r="E1" t="s">
        <v>379</v>
      </c>
      <c r="F1" t="s">
        <v>380</v>
      </c>
      <c r="G1" t="s">
        <v>370</v>
      </c>
      <c r="H1" t="s">
        <v>381</v>
      </c>
      <c r="I1" t="s">
        <v>382</v>
      </c>
      <c r="J1" t="s">
        <v>365</v>
      </c>
      <c r="K1" t="s">
        <v>367</v>
      </c>
      <c r="L1" t="s">
        <v>366</v>
      </c>
      <c r="M1" t="s">
        <v>368</v>
      </c>
      <c r="N1" t="s">
        <v>369</v>
      </c>
      <c r="O1" t="s">
        <v>370</v>
      </c>
      <c r="P1" s="36" t="s">
        <v>371</v>
      </c>
      <c r="Q1" s="36" t="s">
        <v>375</v>
      </c>
      <c r="R1" t="s">
        <v>373</v>
      </c>
      <c r="S1" t="s">
        <v>372</v>
      </c>
      <c r="T1" t="s">
        <v>376</v>
      </c>
      <c r="U1" t="s">
        <v>374</v>
      </c>
    </row>
    <row r="2" spans="1:21" x14ac:dyDescent="0.25">
      <c r="A2">
        <v>2011</v>
      </c>
      <c r="B2">
        <v>37809.61</v>
      </c>
      <c r="J2">
        <v>2015</v>
      </c>
      <c r="K2">
        <v>501.14</v>
      </c>
      <c r="L2">
        <v>2011</v>
      </c>
      <c r="M2">
        <v>473.90989999999999</v>
      </c>
      <c r="N2">
        <f>B2*K2/M2</f>
        <v>39982.089328372334</v>
      </c>
      <c r="O2">
        <v>5.5E-2</v>
      </c>
      <c r="P2" s="36">
        <f>N2*O2</f>
        <v>2199.0149130604782</v>
      </c>
      <c r="Q2" s="36">
        <f>ROUND(P2,2)</f>
        <v>2199.0100000000002</v>
      </c>
      <c r="R2">
        <v>3.95E-2</v>
      </c>
      <c r="S2">
        <f>P2*R2</f>
        <v>86.861089065888891</v>
      </c>
      <c r="T2">
        <f>ROUND(S2,2)</f>
        <v>86.86</v>
      </c>
      <c r="U2">
        <f>Q2+T2</f>
        <v>2285.8700000000003</v>
      </c>
    </row>
    <row r="3" spans="1:21" x14ac:dyDescent="0.25">
      <c r="A3">
        <v>2015</v>
      </c>
      <c r="B3">
        <v>56000</v>
      </c>
      <c r="C3">
        <v>2015</v>
      </c>
      <c r="D3">
        <v>3177.47</v>
      </c>
      <c r="E3">
        <f>55576.94</f>
        <v>55576.94</v>
      </c>
      <c r="F3">
        <f>B3-E3</f>
        <v>423.05999999999767</v>
      </c>
      <c r="G3">
        <v>3.5400000000000001E-2</v>
      </c>
      <c r="H3">
        <f>F3*G3</f>
        <v>14.976323999999918</v>
      </c>
      <c r="I3">
        <f>ROUND(H3,2)</f>
        <v>14.98</v>
      </c>
      <c r="P3" s="36">
        <f>N3*O3</f>
        <v>0</v>
      </c>
      <c r="Q3" s="36">
        <f>ROUND(P3,2)</f>
        <v>0</v>
      </c>
      <c r="R3">
        <v>3.95E-2</v>
      </c>
      <c r="S3">
        <f>P3*R3</f>
        <v>0</v>
      </c>
      <c r="T3">
        <f>ROUND(S3,2)</f>
        <v>0</v>
      </c>
      <c r="U3">
        <f>D3+I3</f>
        <v>3192.45</v>
      </c>
    </row>
    <row r="7" spans="1:21" x14ac:dyDescent="0.25">
      <c r="K7">
        <f>K2/M2</f>
        <v>1.0574583902973962</v>
      </c>
    </row>
  </sheetData>
  <pageMargins left="0.7" right="0.7" top="0.75" bottom="0.75" header="0.3" footer="0.3"/>
  <pageSetup paperSize="9"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1"/>
  <sheetViews>
    <sheetView tabSelected="1" topLeftCell="A37" zoomScale="55" zoomScaleNormal="55" workbookViewId="0">
      <selection activeCell="N84" sqref="N83:N84"/>
    </sheetView>
  </sheetViews>
  <sheetFormatPr baseColWidth="10" defaultColWidth="11.42578125" defaultRowHeight="15" x14ac:dyDescent="0.25"/>
  <cols>
    <col min="1" max="1" width="24.5703125" style="52" customWidth="1"/>
    <col min="2" max="2" width="20" style="52" customWidth="1"/>
    <col min="3" max="7" width="11.42578125" style="52"/>
    <col min="8" max="8" width="12.140625" style="54" bestFit="1" customWidth="1"/>
    <col min="9" max="9" width="19.7109375" style="52" customWidth="1"/>
    <col min="10" max="10" width="16.140625" style="52" bestFit="1" customWidth="1"/>
    <col min="11" max="11" width="11.42578125" style="55"/>
    <col min="12" max="12" width="11.42578125" style="19"/>
    <col min="13" max="13" width="11.42578125" style="30"/>
    <col min="14" max="14" width="12.5703125" style="30" bestFit="1" customWidth="1"/>
    <col min="15" max="15" width="11.42578125" style="20"/>
    <col min="16" max="16" width="12.7109375" style="30" bestFit="1" customWidth="1"/>
    <col min="17" max="17" width="13.7109375" style="30" bestFit="1" customWidth="1"/>
    <col min="18" max="18" width="11.42578125" style="52"/>
    <col min="19" max="19" width="15.28515625" style="52" bestFit="1" customWidth="1"/>
    <col min="20" max="21" width="11.42578125" style="52" customWidth="1"/>
    <col min="22" max="22" width="14.140625" style="21" bestFit="1" customWidth="1"/>
    <col min="23" max="23" width="15.42578125" style="21" bestFit="1" customWidth="1"/>
    <col min="24" max="24" width="14.7109375" style="21" bestFit="1" customWidth="1"/>
    <col min="25" max="25" width="16" style="21" bestFit="1" customWidth="1"/>
    <col min="26" max="26" width="101.5703125" style="52" customWidth="1"/>
    <col min="27" max="16384" width="11.42578125" style="52"/>
  </cols>
  <sheetData>
    <row r="1" spans="1:26" x14ac:dyDescent="0.25">
      <c r="A1" s="52" t="s">
        <v>409</v>
      </c>
      <c r="D1" s="60"/>
      <c r="G1" s="60"/>
    </row>
    <row r="3" spans="1:26" x14ac:dyDescent="0.25">
      <c r="A3" s="52" t="s">
        <v>472</v>
      </c>
      <c r="B3" s="52" t="s">
        <v>399</v>
      </c>
      <c r="C3" s="52" t="s">
        <v>290</v>
      </c>
      <c r="D3" s="52" t="s">
        <v>92</v>
      </c>
      <c r="E3" s="52" t="s">
        <v>285</v>
      </c>
      <c r="F3" s="52" t="s">
        <v>292</v>
      </c>
      <c r="G3" s="52" t="s">
        <v>286</v>
      </c>
      <c r="H3" s="54" t="s">
        <v>296</v>
      </c>
      <c r="I3" s="52" t="s">
        <v>298</v>
      </c>
      <c r="J3" s="52" t="s">
        <v>299</v>
      </c>
      <c r="K3" s="55" t="s">
        <v>297</v>
      </c>
      <c r="L3" s="19" t="s">
        <v>305</v>
      </c>
      <c r="M3" s="30" t="s">
        <v>306</v>
      </c>
      <c r="N3" s="30" t="s">
        <v>484</v>
      </c>
      <c r="O3" s="20" t="s">
        <v>307</v>
      </c>
      <c r="P3" s="30" t="s">
        <v>308</v>
      </c>
      <c r="Q3" s="30" t="s">
        <v>485</v>
      </c>
      <c r="R3" s="52" t="s">
        <v>287</v>
      </c>
      <c r="S3" s="52" t="s">
        <v>288</v>
      </c>
      <c r="T3" s="52" t="s">
        <v>289</v>
      </c>
      <c r="U3" s="52" t="s">
        <v>295</v>
      </c>
      <c r="V3" s="21" t="s">
        <v>309</v>
      </c>
      <c r="W3" s="21" t="s">
        <v>486</v>
      </c>
      <c r="X3" s="21" t="s">
        <v>310</v>
      </c>
      <c r="Y3" s="21" t="s">
        <v>487</v>
      </c>
      <c r="Z3" s="52" t="s">
        <v>457</v>
      </c>
    </row>
    <row r="4" spans="1:26" x14ac:dyDescent="0.25">
      <c r="B4" s="52">
        <v>1</v>
      </c>
      <c r="C4" s="52">
        <v>1</v>
      </c>
      <c r="D4" s="52" t="s">
        <v>91</v>
      </c>
      <c r="H4" s="54">
        <f t="shared" ref="H4:H48" si="0">DATE($T4-2,1,1)</f>
        <v>41275</v>
      </c>
      <c r="I4" s="52" t="s">
        <v>293</v>
      </c>
      <c r="K4" s="55">
        <f t="shared" ref="K4:K48" si="1">DATE($T4-$U4,$S4,$R4)</f>
        <v>41640</v>
      </c>
      <c r="L4" s="19">
        <v>20141</v>
      </c>
      <c r="M4" s="30">
        <f>INDEX(barèmes!$D$2:$E$311,MATCH(V4,barèmes!$D$2:$D$311,0),2)</f>
        <v>75.849999999999994</v>
      </c>
      <c r="O4" s="20">
        <v>20151</v>
      </c>
      <c r="P4" s="30">
        <f>INDEX(barèmes!$D$2:$E$311,MATCH(X4,barèmes!$D$2:$D$311,0),2)</f>
        <v>77.7</v>
      </c>
      <c r="R4" s="52">
        <v>1</v>
      </c>
      <c r="S4" s="52">
        <v>1</v>
      </c>
      <c r="T4" s="52">
        <v>2015</v>
      </c>
      <c r="U4" s="52">
        <v>1</v>
      </c>
      <c r="V4" s="21" t="s">
        <v>314</v>
      </c>
      <c r="X4" s="21" t="s">
        <v>315</v>
      </c>
      <c r="Z4" s="52" t="str">
        <f>TRIM($A$1&amp;" - revenu minimum "&amp; " - "&amp;$A$3&amp;" "&amp;E4&amp;" vers "&amp;I4&amp;" "&amp;J4&amp;" - Scénario id "&amp;B4)</f>
        <v>Changement nature RDA - revenu minimum - Principal1 vers Complémentaire - Scénario id 1</v>
      </c>
    </row>
    <row r="5" spans="1:26" x14ac:dyDescent="0.25">
      <c r="B5" s="52">
        <v>2</v>
      </c>
      <c r="C5" s="52">
        <v>1</v>
      </c>
      <c r="D5" s="52" t="s">
        <v>91</v>
      </c>
      <c r="H5" s="54">
        <f t="shared" si="0"/>
        <v>41275</v>
      </c>
      <c r="I5" s="52" t="s">
        <v>293</v>
      </c>
      <c r="K5" s="55">
        <f t="shared" si="1"/>
        <v>41821</v>
      </c>
      <c r="L5" s="19">
        <v>20143</v>
      </c>
      <c r="M5" s="30">
        <f>INDEX(barèmes!$D$2:$E$311,MATCH(V5,barèmes!$D$2:$D$311,0),2)</f>
        <v>75.849999999999994</v>
      </c>
      <c r="O5" s="20">
        <v>20151</v>
      </c>
      <c r="P5" s="30">
        <f>INDEX(barèmes!$D$2:$E$311,MATCH(X5,barèmes!$D$2:$D$311,0),2)</f>
        <v>75.849999999999994</v>
      </c>
      <c r="R5" s="52">
        <v>1</v>
      </c>
      <c r="S5" s="52">
        <v>7</v>
      </c>
      <c r="T5" s="52">
        <v>2015</v>
      </c>
      <c r="U5" s="52">
        <v>1</v>
      </c>
      <c r="V5" s="21" t="s">
        <v>314</v>
      </c>
      <c r="X5" s="21" t="s">
        <v>313</v>
      </c>
      <c r="Z5" s="52" t="str">
        <f t="shared" ref="Z5:Z48" si="2">TRIM($A$1&amp;" - revenu minimum "&amp; " - "&amp;$A$3&amp;" "&amp;E5&amp;" vers "&amp;I5&amp;" "&amp;J5&amp;" - Scénario id "&amp;B5)</f>
        <v>Changement nature RDA - revenu minimum - Principal1 vers Complémentaire - Scénario id 2</v>
      </c>
    </row>
    <row r="6" spans="1:26" x14ac:dyDescent="0.25">
      <c r="B6" s="52">
        <v>3</v>
      </c>
      <c r="C6" s="52">
        <v>1</v>
      </c>
      <c r="D6" s="52" t="s">
        <v>91</v>
      </c>
      <c r="H6" s="54">
        <f t="shared" si="0"/>
        <v>41275</v>
      </c>
      <c r="I6" s="52" t="s">
        <v>293</v>
      </c>
      <c r="K6" s="55">
        <f t="shared" si="1"/>
        <v>42005</v>
      </c>
      <c r="L6" s="19">
        <v>20151</v>
      </c>
      <c r="M6" s="30">
        <f>INDEX(barèmes!$D$2:$E$311,MATCH(V6,barèmes!$D$2:$D$311,0),2)</f>
        <v>79.55</v>
      </c>
      <c r="R6" s="52">
        <v>1</v>
      </c>
      <c r="S6" s="52">
        <v>1</v>
      </c>
      <c r="T6" s="52">
        <v>2015</v>
      </c>
      <c r="U6" s="52">
        <v>0</v>
      </c>
      <c r="V6" s="21" t="s">
        <v>316</v>
      </c>
      <c r="X6" s="21" t="s">
        <v>316</v>
      </c>
      <c r="Z6" s="52" t="str">
        <f t="shared" si="2"/>
        <v>Changement nature RDA - revenu minimum - Principal1 vers Complémentaire - Scénario id 3</v>
      </c>
    </row>
    <row r="7" spans="1:26" x14ac:dyDescent="0.25">
      <c r="B7" s="52">
        <v>4</v>
      </c>
      <c r="C7" s="52">
        <v>1</v>
      </c>
      <c r="D7" s="52" t="s">
        <v>91</v>
      </c>
      <c r="H7" s="54">
        <f t="shared" si="0"/>
        <v>41275</v>
      </c>
      <c r="I7" s="52" t="s">
        <v>293</v>
      </c>
      <c r="J7" s="52" t="s">
        <v>90</v>
      </c>
      <c r="K7" s="55">
        <f t="shared" si="1"/>
        <v>41640</v>
      </c>
      <c r="L7" s="19">
        <v>20141</v>
      </c>
      <c r="M7" s="30">
        <f>INDEX(barèmes!$D$2:$E$311,MATCH(V7,barèmes!$D$2:$D$311,0),2)</f>
        <v>0</v>
      </c>
      <c r="R7" s="52">
        <v>1</v>
      </c>
      <c r="S7" s="52">
        <v>1</v>
      </c>
      <c r="T7" s="52">
        <v>2015</v>
      </c>
      <c r="U7" s="52">
        <v>1</v>
      </c>
      <c r="V7" s="21" t="s">
        <v>317</v>
      </c>
      <c r="Z7" s="52" t="str">
        <f t="shared" si="2"/>
        <v>Changement nature RDA - revenu minimum - Principal1 vers Complémentaire EXO - Scénario id 4</v>
      </c>
    </row>
    <row r="8" spans="1:26" x14ac:dyDescent="0.25">
      <c r="B8" s="52">
        <v>5</v>
      </c>
      <c r="C8" s="52">
        <v>1</v>
      </c>
      <c r="D8" s="52" t="s">
        <v>91</v>
      </c>
      <c r="H8" s="54">
        <f t="shared" si="0"/>
        <v>41275</v>
      </c>
      <c r="I8" s="52" t="s">
        <v>293</v>
      </c>
      <c r="J8" s="52" t="s">
        <v>90</v>
      </c>
      <c r="K8" s="55">
        <f t="shared" si="1"/>
        <v>41821</v>
      </c>
      <c r="L8" s="19">
        <v>20143</v>
      </c>
      <c r="M8" s="30">
        <f>INDEX(barèmes!$D$2:$E$311,MATCH(V8,barèmes!$D$2:$D$311,0),2)</f>
        <v>0</v>
      </c>
      <c r="R8" s="52">
        <v>1</v>
      </c>
      <c r="S8" s="52">
        <v>7</v>
      </c>
      <c r="T8" s="52">
        <v>2015</v>
      </c>
      <c r="U8" s="52">
        <v>1</v>
      </c>
      <c r="V8" s="21" t="s">
        <v>317</v>
      </c>
      <c r="Z8" s="52" t="str">
        <f t="shared" si="2"/>
        <v>Changement nature RDA - revenu minimum - Principal1 vers Complémentaire EXO - Scénario id 5</v>
      </c>
    </row>
    <row r="9" spans="1:26" x14ac:dyDescent="0.25">
      <c r="B9" s="52">
        <v>6</v>
      </c>
      <c r="C9" s="52">
        <v>1</v>
      </c>
      <c r="D9" s="52" t="s">
        <v>91</v>
      </c>
      <c r="H9" s="54">
        <f t="shared" si="0"/>
        <v>41275</v>
      </c>
      <c r="I9" s="52" t="s">
        <v>293</v>
      </c>
      <c r="J9" s="52" t="s">
        <v>90</v>
      </c>
      <c r="K9" s="55">
        <f t="shared" si="1"/>
        <v>42005</v>
      </c>
      <c r="L9" s="19">
        <v>20151</v>
      </c>
      <c r="M9" s="30">
        <f>INDEX(barèmes!$D$2:$E$311,MATCH(V9,barèmes!$D$2:$D$311,0),2)</f>
        <v>0</v>
      </c>
      <c r="R9" s="52">
        <v>1</v>
      </c>
      <c r="S9" s="52">
        <v>1</v>
      </c>
      <c r="T9" s="52">
        <v>2015</v>
      </c>
      <c r="U9" s="52">
        <v>0</v>
      </c>
      <c r="V9" s="21" t="s">
        <v>317</v>
      </c>
      <c r="Z9" s="52" t="str">
        <f t="shared" si="2"/>
        <v>Changement nature RDA - revenu minimum - Principal1 vers Complémentaire EXO - Scénario id 6</v>
      </c>
    </row>
    <row r="10" spans="1:26" x14ac:dyDescent="0.25">
      <c r="B10" s="52">
        <v>7</v>
      </c>
      <c r="C10" s="52">
        <v>1</v>
      </c>
      <c r="D10" s="52" t="s">
        <v>91</v>
      </c>
      <c r="H10" s="54">
        <f t="shared" si="0"/>
        <v>41275</v>
      </c>
      <c r="I10" s="52" t="s">
        <v>294</v>
      </c>
      <c r="K10" s="55">
        <f t="shared" si="1"/>
        <v>42005</v>
      </c>
      <c r="L10" s="19">
        <v>20151</v>
      </c>
      <c r="M10" s="30">
        <f>INDEX(barèmes!$D$2:$E$311,MATCH(V10,barèmes!$D$2:$D$311,0),2)</f>
        <v>315.89999999999998</v>
      </c>
      <c r="R10" s="52">
        <v>1</v>
      </c>
      <c r="S10" s="52">
        <v>1</v>
      </c>
      <c r="T10" s="52">
        <v>2015</v>
      </c>
      <c r="U10" s="52">
        <v>0</v>
      </c>
      <c r="V10" s="21" t="s">
        <v>319</v>
      </c>
      <c r="Z10" s="52" t="str">
        <f t="shared" si="2"/>
        <v>Changement nature RDA - revenu minimum - Principal1 vers Maxi-statut - Scénario id 7</v>
      </c>
    </row>
    <row r="11" spans="1:26" x14ac:dyDescent="0.25">
      <c r="B11" s="52">
        <v>8</v>
      </c>
      <c r="C11" s="52">
        <v>1</v>
      </c>
      <c r="D11" s="52" t="s">
        <v>91</v>
      </c>
      <c r="H11" s="54">
        <f t="shared" si="0"/>
        <v>41275</v>
      </c>
      <c r="I11" s="52" t="s">
        <v>294</v>
      </c>
      <c r="K11" s="55">
        <f t="shared" si="1"/>
        <v>42186</v>
      </c>
      <c r="L11" s="19">
        <v>20153</v>
      </c>
      <c r="M11" s="30">
        <f>INDEX(barèmes!$D$2:$E$311,MATCH(V11,barèmes!$D$2:$D$311,0),2)</f>
        <v>315.89999999999998</v>
      </c>
      <c r="R11" s="52">
        <v>1</v>
      </c>
      <c r="S11" s="52">
        <v>7</v>
      </c>
      <c r="T11" s="52">
        <v>2015</v>
      </c>
      <c r="U11" s="52">
        <v>0</v>
      </c>
      <c r="V11" s="21" t="s">
        <v>319</v>
      </c>
      <c r="Z11" s="52" t="str">
        <f t="shared" si="2"/>
        <v>Changement nature RDA - revenu minimum - Principal1 vers Maxi-statut - Scénario id 8</v>
      </c>
    </row>
    <row r="12" spans="1:26" x14ac:dyDescent="0.25">
      <c r="B12" s="52">
        <v>9</v>
      </c>
      <c r="C12" s="52">
        <v>1</v>
      </c>
      <c r="D12" s="52" t="s">
        <v>91</v>
      </c>
      <c r="H12" s="54">
        <f t="shared" si="0"/>
        <v>41275</v>
      </c>
      <c r="I12" s="52" t="s">
        <v>294</v>
      </c>
      <c r="K12" s="55">
        <f t="shared" si="1"/>
        <v>42005</v>
      </c>
      <c r="L12" s="19">
        <v>20151</v>
      </c>
      <c r="M12" s="30">
        <f>INDEX(barèmes!$D$2:$E$311,MATCH(V12,barèmes!$D$2:$D$311,0),2)</f>
        <v>315.89999999999998</v>
      </c>
      <c r="R12" s="52">
        <v>1</v>
      </c>
      <c r="S12" s="52">
        <v>1</v>
      </c>
      <c r="T12" s="52">
        <v>2015</v>
      </c>
      <c r="U12" s="52">
        <v>0</v>
      </c>
      <c r="V12" s="21" t="s">
        <v>319</v>
      </c>
      <c r="X12" s="21" t="s">
        <v>319</v>
      </c>
      <c r="Z12" s="52" t="str">
        <f t="shared" si="2"/>
        <v>Changement nature RDA - revenu minimum - Principal1 vers Maxi-statut - Scénario id 9</v>
      </c>
    </row>
    <row r="13" spans="1:26" x14ac:dyDescent="0.25">
      <c r="B13" s="52">
        <v>10</v>
      </c>
      <c r="C13" s="52">
        <v>1</v>
      </c>
      <c r="D13" s="52" t="s">
        <v>91</v>
      </c>
      <c r="H13" s="54">
        <f t="shared" si="0"/>
        <v>41275</v>
      </c>
      <c r="I13" s="52" t="s">
        <v>294</v>
      </c>
      <c r="K13" s="55">
        <f t="shared" si="1"/>
        <v>42350</v>
      </c>
      <c r="L13" s="19">
        <v>20154</v>
      </c>
      <c r="M13" s="30">
        <f>INDEX(barèmes!$D$2:$E$311,MATCH(V13,barèmes!$D$2:$D$311,0),2)</f>
        <v>315.89999999999998</v>
      </c>
      <c r="R13" s="52">
        <v>12</v>
      </c>
      <c r="S13" s="52">
        <v>12</v>
      </c>
      <c r="T13" s="52">
        <v>2015</v>
      </c>
      <c r="U13" s="52">
        <v>0</v>
      </c>
      <c r="V13" s="21" t="s">
        <v>319</v>
      </c>
      <c r="Z13" s="52" t="str">
        <f t="shared" si="2"/>
        <v>Changement nature RDA - revenu minimum - Principal1 vers Maxi-statut - Scénario id 10</v>
      </c>
    </row>
    <row r="14" spans="1:26" x14ac:dyDescent="0.25">
      <c r="B14" s="52">
        <v>11</v>
      </c>
      <c r="C14" s="52">
        <v>1</v>
      </c>
      <c r="D14" s="52" t="s">
        <v>91</v>
      </c>
      <c r="H14" s="54">
        <f t="shared" si="0"/>
        <v>41275</v>
      </c>
      <c r="I14" s="52" t="s">
        <v>294</v>
      </c>
      <c r="J14" s="52" t="s">
        <v>90</v>
      </c>
      <c r="K14" s="55">
        <f t="shared" si="1"/>
        <v>42005</v>
      </c>
      <c r="L14" s="19">
        <v>20151</v>
      </c>
      <c r="M14" s="30">
        <f>INDEX(barèmes!$D$2:$E$311,MATCH(V14,barèmes!$D$2:$D$311,0),2)</f>
        <v>0</v>
      </c>
      <c r="R14" s="52">
        <v>1</v>
      </c>
      <c r="S14" s="52">
        <v>1</v>
      </c>
      <c r="T14" s="52">
        <v>2015</v>
      </c>
      <c r="U14" s="52">
        <v>0</v>
      </c>
      <c r="V14" s="21" t="s">
        <v>317</v>
      </c>
      <c r="X14" s="21" t="s">
        <v>317</v>
      </c>
      <c r="Z14" s="52" t="str">
        <f t="shared" si="2"/>
        <v>Changement nature RDA - revenu minimum - Principal1 vers Maxi-statut EXO - Scénario id 11</v>
      </c>
    </row>
    <row r="15" spans="1:26" x14ac:dyDescent="0.25">
      <c r="A15" s="52" t="s">
        <v>473</v>
      </c>
      <c r="B15" s="52" t="s">
        <v>399</v>
      </c>
      <c r="C15" s="52" t="s">
        <v>290</v>
      </c>
      <c r="D15" s="52" t="s">
        <v>92</v>
      </c>
      <c r="E15" s="52" t="s">
        <v>285</v>
      </c>
      <c r="F15" s="52" t="s">
        <v>292</v>
      </c>
      <c r="G15" s="52" t="s">
        <v>286</v>
      </c>
      <c r="H15" s="54" t="s">
        <v>296</v>
      </c>
      <c r="I15" s="52" t="s">
        <v>298</v>
      </c>
      <c r="J15" s="52" t="s">
        <v>299</v>
      </c>
      <c r="K15" s="55" t="s">
        <v>297</v>
      </c>
      <c r="L15" s="19" t="s">
        <v>305</v>
      </c>
      <c r="M15" s="30" t="s">
        <v>306</v>
      </c>
      <c r="N15" s="30" t="s">
        <v>484</v>
      </c>
      <c r="O15" s="20" t="s">
        <v>307</v>
      </c>
      <c r="P15" s="30" t="s">
        <v>308</v>
      </c>
      <c r="Q15" s="30" t="s">
        <v>485</v>
      </c>
      <c r="R15" s="52" t="s">
        <v>287</v>
      </c>
      <c r="S15" s="52" t="s">
        <v>288</v>
      </c>
      <c r="T15" s="52" t="s">
        <v>289</v>
      </c>
      <c r="U15" s="52" t="s">
        <v>295</v>
      </c>
      <c r="V15" s="21" t="s">
        <v>309</v>
      </c>
      <c r="W15" s="21" t="s">
        <v>486</v>
      </c>
      <c r="X15" s="21" t="s">
        <v>310</v>
      </c>
      <c r="Y15" s="21" t="s">
        <v>487</v>
      </c>
      <c r="Z15" s="52" t="s">
        <v>457</v>
      </c>
    </row>
    <row r="16" spans="1:26" x14ac:dyDescent="0.25">
      <c r="B16" s="52">
        <v>1</v>
      </c>
      <c r="C16" s="52">
        <v>1</v>
      </c>
      <c r="D16" s="52" t="s">
        <v>91</v>
      </c>
      <c r="H16" s="54">
        <f>DATE($T16-2,1,1)</f>
        <v>41275</v>
      </c>
      <c r="I16" s="52" t="s">
        <v>294</v>
      </c>
      <c r="J16" s="52" t="s">
        <v>90</v>
      </c>
      <c r="K16" s="55">
        <f>DATE($T16-$U16,$S16,$R16)</f>
        <v>42186</v>
      </c>
      <c r="L16" s="19">
        <v>20153</v>
      </c>
      <c r="M16" s="30">
        <f>INDEX(barèmes!$D$2:$E$311,MATCH(V16,barèmes!$D$2:$D$311,0),2)</f>
        <v>0</v>
      </c>
      <c r="N16" s="30">
        <f>INDEX(barèmes!$D$2:$E$311,MATCH(W16,barèmes!$D$2:$D$311,0),2)</f>
        <v>315.89999999999998</v>
      </c>
      <c r="R16" s="52">
        <v>1</v>
      </c>
      <c r="S16" s="52">
        <v>7</v>
      </c>
      <c r="T16" s="52">
        <v>2015</v>
      </c>
      <c r="U16" s="52">
        <v>0</v>
      </c>
      <c r="V16" s="21" t="s">
        <v>317</v>
      </c>
      <c r="W16" s="21" t="s">
        <v>319</v>
      </c>
      <c r="X16" s="21" t="s">
        <v>317</v>
      </c>
      <c r="Z16" s="52" t="str">
        <f>TRIM($A$1&amp;" - revenu minimum "&amp; " - "&amp;$A$3&amp;" "&amp;E16&amp;" vers "&amp;I16&amp;" "&amp;J16&amp;" - Scénario id "&amp;B16)</f>
        <v>Changement nature RDA - revenu minimum - Principal1 vers Maxi-statut EXO - Scénario id 1</v>
      </c>
    </row>
    <row r="17" spans="1:26" x14ac:dyDescent="0.25">
      <c r="B17" s="52">
        <v>2</v>
      </c>
      <c r="C17" s="52">
        <v>1</v>
      </c>
      <c r="D17" s="52" t="s">
        <v>91</v>
      </c>
      <c r="H17" s="54">
        <f>DATE($T17-2,1,1)</f>
        <v>41275</v>
      </c>
      <c r="I17" s="52" t="s">
        <v>294</v>
      </c>
      <c r="J17" s="52" t="s">
        <v>90</v>
      </c>
      <c r="K17" s="55">
        <f>DATE($T17-$U17,$S17,$R17)</f>
        <v>42005</v>
      </c>
      <c r="L17" s="19">
        <v>20151</v>
      </c>
      <c r="M17" s="30">
        <f>INDEX(barèmes!$D$2:$E$311,MATCH(V17,barèmes!$D$2:$D$311,0),2)</f>
        <v>0</v>
      </c>
      <c r="R17" s="52">
        <v>1</v>
      </c>
      <c r="S17" s="52">
        <v>1</v>
      </c>
      <c r="T17" s="52">
        <v>2015</v>
      </c>
      <c r="U17" s="52">
        <v>0</v>
      </c>
      <c r="V17" s="21" t="s">
        <v>317</v>
      </c>
      <c r="X17" s="21" t="s">
        <v>317</v>
      </c>
      <c r="Z17" s="52" t="str">
        <f>TRIM($A$1&amp;" - revenu minimum "&amp; " - "&amp;$A$3&amp;" "&amp;E17&amp;" vers "&amp;I17&amp;" "&amp;J17&amp;" - Scénario id "&amp;B17)</f>
        <v>Changement nature RDA - revenu minimum - Principal1 vers Maxi-statut EXO - Scénario id 2</v>
      </c>
    </row>
    <row r="18" spans="1:26" x14ac:dyDescent="0.25">
      <c r="B18" s="52">
        <v>3</v>
      </c>
      <c r="C18" s="52">
        <v>1</v>
      </c>
      <c r="D18" s="52" t="s">
        <v>91</v>
      </c>
      <c r="H18" s="54">
        <f>DATE($T18-2,1,1)</f>
        <v>41275</v>
      </c>
      <c r="I18" s="52" t="s">
        <v>294</v>
      </c>
      <c r="J18" s="52" t="s">
        <v>90</v>
      </c>
      <c r="K18" s="55">
        <f>DATE($T18-$U18,$S18,$R18)</f>
        <v>42350</v>
      </c>
      <c r="L18" s="19">
        <v>20154</v>
      </c>
      <c r="M18" s="30">
        <f>INDEX(barèmes!$D$2:$E$311,MATCH(V18,barèmes!$D$2:$D$311,0),2)</f>
        <v>0</v>
      </c>
      <c r="R18" s="52">
        <v>12</v>
      </c>
      <c r="S18" s="52">
        <v>12</v>
      </c>
      <c r="T18" s="52">
        <v>2015</v>
      </c>
      <c r="U18" s="52">
        <v>0</v>
      </c>
      <c r="V18" s="21" t="s">
        <v>317</v>
      </c>
      <c r="Z18" s="52" t="str">
        <f>TRIM($A$1&amp;" - revenu minimum "&amp; " - "&amp;$A$3&amp;" "&amp;E18&amp;" vers "&amp;I18&amp;" "&amp;J18&amp;" - Scénario id "&amp;B18)</f>
        <v>Changement nature RDA - revenu minimum - Principal1 vers Maxi-statut EXO - Scénario id 3</v>
      </c>
    </row>
    <row r="19" spans="1:26" x14ac:dyDescent="0.25">
      <c r="B19" s="52">
        <v>4</v>
      </c>
      <c r="C19" s="52">
        <v>1</v>
      </c>
      <c r="D19" s="52" t="s">
        <v>91</v>
      </c>
      <c r="E19" s="52" t="s">
        <v>90</v>
      </c>
      <c r="H19" s="54">
        <f t="shared" si="0"/>
        <v>41275</v>
      </c>
      <c r="I19" s="52" t="s">
        <v>293</v>
      </c>
      <c r="K19" s="55">
        <f t="shared" si="1"/>
        <v>41640</v>
      </c>
      <c r="L19" s="19">
        <v>20141</v>
      </c>
      <c r="M19" s="30">
        <f>INDEX(barèmes!$D$2:$E$311,MATCH(V19,barèmes!$D$2:$D$311,0),2)</f>
        <v>75.849999999999994</v>
      </c>
      <c r="O19" s="20">
        <v>20151</v>
      </c>
      <c r="P19" s="30">
        <f>INDEX(barèmes!$D$2:$E$311,MATCH(X19,barèmes!$D$2:$D$311,0),2)</f>
        <v>77.7</v>
      </c>
      <c r="R19" s="52">
        <v>1</v>
      </c>
      <c r="S19" s="52">
        <v>1</v>
      </c>
      <c r="T19" s="52">
        <v>2015</v>
      </c>
      <c r="U19" s="52">
        <v>1</v>
      </c>
      <c r="V19" s="21" t="s">
        <v>314</v>
      </c>
      <c r="X19" s="21" t="s">
        <v>315</v>
      </c>
      <c r="Z19" s="52" t="str">
        <f t="shared" si="2"/>
        <v>Changement nature RDA - revenu minimum - Principal1 EXO vers Complémentaire - Scénario id 4</v>
      </c>
    </row>
    <row r="20" spans="1:26" x14ac:dyDescent="0.25">
      <c r="B20" s="52">
        <v>5</v>
      </c>
      <c r="C20" s="52">
        <v>1</v>
      </c>
      <c r="D20" s="52" t="s">
        <v>91</v>
      </c>
      <c r="E20" s="52" t="s">
        <v>90</v>
      </c>
      <c r="H20" s="54">
        <f t="shared" si="0"/>
        <v>41275</v>
      </c>
      <c r="I20" s="52" t="s">
        <v>293</v>
      </c>
      <c r="K20" s="55">
        <f t="shared" si="1"/>
        <v>41821</v>
      </c>
      <c r="L20" s="19">
        <v>20143</v>
      </c>
      <c r="M20" s="30">
        <f>INDEX(barèmes!$D$2:$E$311,MATCH(V20,barèmes!$D$2:$D$311,0),2)</f>
        <v>75.849999999999994</v>
      </c>
      <c r="O20" s="20">
        <v>20151</v>
      </c>
      <c r="P20" s="30">
        <f>INDEX(barèmes!$D$2:$E$311,MATCH(X20,barèmes!$D$2:$D$311,0),2)</f>
        <v>75.849999999999994</v>
      </c>
      <c r="R20" s="52">
        <v>1</v>
      </c>
      <c r="S20" s="52">
        <v>7</v>
      </c>
      <c r="T20" s="52">
        <v>2015</v>
      </c>
      <c r="U20" s="52">
        <v>1</v>
      </c>
      <c r="V20" s="21" t="s">
        <v>314</v>
      </c>
      <c r="X20" s="21" t="s">
        <v>313</v>
      </c>
      <c r="Z20" s="52" t="str">
        <f t="shared" si="2"/>
        <v>Changement nature RDA - revenu minimum - Principal1 EXO vers Complémentaire - Scénario id 5</v>
      </c>
    </row>
    <row r="21" spans="1:26" x14ac:dyDescent="0.25">
      <c r="B21" s="52">
        <v>6</v>
      </c>
      <c r="C21" s="52">
        <v>1</v>
      </c>
      <c r="D21" s="52" t="s">
        <v>91</v>
      </c>
      <c r="E21" s="52" t="s">
        <v>90</v>
      </c>
      <c r="H21" s="54">
        <f t="shared" si="0"/>
        <v>41275</v>
      </c>
      <c r="I21" s="52" t="s">
        <v>293</v>
      </c>
      <c r="K21" s="55">
        <f t="shared" si="1"/>
        <v>42005</v>
      </c>
      <c r="L21" s="19">
        <v>20151</v>
      </c>
      <c r="M21" s="30">
        <f>INDEX(barèmes!$D$2:$E$311,MATCH(V21,barèmes!$D$2:$D$311,0),2)</f>
        <v>79.55</v>
      </c>
      <c r="O21" s="20">
        <v>20154</v>
      </c>
      <c r="P21" s="30">
        <f>INDEX(barèmes!$D$2:$E$311,MATCH(X21,barèmes!$D$2:$D$311,0),2)</f>
        <v>79.55</v>
      </c>
      <c r="R21" s="52">
        <v>1</v>
      </c>
      <c r="S21" s="52">
        <v>1</v>
      </c>
      <c r="T21" s="52">
        <v>2015</v>
      </c>
      <c r="U21" s="52">
        <v>0</v>
      </c>
      <c r="V21" s="21" t="s">
        <v>316</v>
      </c>
      <c r="X21" s="21" t="s">
        <v>316</v>
      </c>
      <c r="Z21" s="52" t="str">
        <f t="shared" si="2"/>
        <v>Changement nature RDA - revenu minimum - Principal1 EXO vers Complémentaire - Scénario id 6</v>
      </c>
    </row>
    <row r="22" spans="1:26" x14ac:dyDescent="0.25">
      <c r="B22" s="52">
        <v>7</v>
      </c>
      <c r="C22" s="52">
        <v>1</v>
      </c>
      <c r="D22" s="52" t="s">
        <v>91</v>
      </c>
      <c r="E22" s="52" t="s">
        <v>90</v>
      </c>
      <c r="H22" s="54">
        <f t="shared" si="0"/>
        <v>41275</v>
      </c>
      <c r="I22" s="52" t="s">
        <v>293</v>
      </c>
      <c r="J22" s="52" t="s">
        <v>90</v>
      </c>
      <c r="K22" s="55">
        <f t="shared" si="1"/>
        <v>41640</v>
      </c>
      <c r="L22" s="19">
        <v>20141</v>
      </c>
      <c r="M22" s="30">
        <f>INDEX(barèmes!$D$2:$E$311,MATCH(V22,barèmes!$D$2:$D$311,0),2)</f>
        <v>0</v>
      </c>
      <c r="O22" s="20">
        <v>20151</v>
      </c>
      <c r="P22" s="30">
        <v>0</v>
      </c>
      <c r="R22" s="52">
        <v>1</v>
      </c>
      <c r="S22" s="52">
        <v>1</v>
      </c>
      <c r="T22" s="52">
        <v>2015</v>
      </c>
      <c r="U22" s="52">
        <v>1</v>
      </c>
      <c r="V22" s="21" t="s">
        <v>317</v>
      </c>
      <c r="X22" s="21" t="s">
        <v>317</v>
      </c>
      <c r="Z22" s="52" t="str">
        <f t="shared" si="2"/>
        <v>Changement nature RDA - revenu minimum - Principal1 EXO vers Complémentaire EXO - Scénario id 7</v>
      </c>
    </row>
    <row r="23" spans="1:26" x14ac:dyDescent="0.25">
      <c r="B23" s="52">
        <v>8</v>
      </c>
      <c r="C23" s="52">
        <v>1</v>
      </c>
      <c r="D23" s="52" t="s">
        <v>91</v>
      </c>
      <c r="E23" s="52" t="s">
        <v>90</v>
      </c>
      <c r="H23" s="54">
        <f t="shared" si="0"/>
        <v>41275</v>
      </c>
      <c r="I23" s="52" t="s">
        <v>293</v>
      </c>
      <c r="J23" s="52" t="s">
        <v>90</v>
      </c>
      <c r="K23" s="55">
        <f t="shared" si="1"/>
        <v>41821</v>
      </c>
      <c r="L23" s="19">
        <v>20143</v>
      </c>
      <c r="M23" s="30">
        <f>INDEX(barèmes!$D$2:$E$311,MATCH(V23,barèmes!$D$2:$D$311,0),2)</f>
        <v>0</v>
      </c>
      <c r="O23" s="20">
        <v>20151</v>
      </c>
      <c r="P23" s="30">
        <v>0</v>
      </c>
      <c r="R23" s="52">
        <v>1</v>
      </c>
      <c r="S23" s="52">
        <v>7</v>
      </c>
      <c r="T23" s="52">
        <v>2015</v>
      </c>
      <c r="U23" s="52">
        <v>1</v>
      </c>
      <c r="V23" s="21" t="s">
        <v>317</v>
      </c>
      <c r="X23" s="21" t="s">
        <v>317</v>
      </c>
      <c r="Z23" s="52" t="str">
        <f t="shared" si="2"/>
        <v>Changement nature RDA - revenu minimum - Principal1 EXO vers Complémentaire EXO - Scénario id 8</v>
      </c>
    </row>
    <row r="24" spans="1:26" x14ac:dyDescent="0.25">
      <c r="B24" s="52">
        <v>9</v>
      </c>
      <c r="C24" s="52">
        <v>1</v>
      </c>
      <c r="D24" s="52" t="s">
        <v>91</v>
      </c>
      <c r="E24" s="52" t="s">
        <v>90</v>
      </c>
      <c r="H24" s="54">
        <f t="shared" si="0"/>
        <v>41275</v>
      </c>
      <c r="I24" s="52" t="s">
        <v>293</v>
      </c>
      <c r="J24" s="52" t="s">
        <v>90</v>
      </c>
      <c r="K24" s="55">
        <f t="shared" si="1"/>
        <v>42005</v>
      </c>
      <c r="L24" s="19">
        <v>20151</v>
      </c>
      <c r="M24" s="30">
        <f>INDEX(barèmes!$D$2:$E$311,MATCH(V24,barèmes!$D$2:$D$311,0),2)</f>
        <v>0</v>
      </c>
      <c r="O24" s="20">
        <v>20151</v>
      </c>
      <c r="P24" s="30">
        <v>0</v>
      </c>
      <c r="R24" s="52">
        <v>1</v>
      </c>
      <c r="S24" s="52">
        <v>1</v>
      </c>
      <c r="T24" s="52">
        <v>2015</v>
      </c>
      <c r="U24" s="52">
        <v>0</v>
      </c>
      <c r="V24" s="21" t="s">
        <v>317</v>
      </c>
      <c r="X24" s="21" t="s">
        <v>317</v>
      </c>
      <c r="Z24" s="52" t="str">
        <f t="shared" si="2"/>
        <v>Changement nature RDA - revenu minimum - Principal1 EXO vers Complémentaire EXO - Scénario id 9</v>
      </c>
    </row>
    <row r="25" spans="1:26" x14ac:dyDescent="0.25">
      <c r="B25" s="52">
        <v>10</v>
      </c>
      <c r="C25" s="52">
        <v>1</v>
      </c>
      <c r="D25" s="52" t="s">
        <v>91</v>
      </c>
      <c r="E25" s="52" t="s">
        <v>90</v>
      </c>
      <c r="H25" s="54">
        <f t="shared" si="0"/>
        <v>41275</v>
      </c>
      <c r="I25" s="52" t="s">
        <v>294</v>
      </c>
      <c r="K25" s="55">
        <f t="shared" si="1"/>
        <v>42005</v>
      </c>
      <c r="L25" s="19">
        <v>20151</v>
      </c>
      <c r="M25" s="30">
        <f>INDEX(barèmes!$D$2:$E$311,MATCH(V25,barèmes!$D$2:$D$311,0),2)</f>
        <v>315.89999999999998</v>
      </c>
      <c r="O25" s="20">
        <v>20161</v>
      </c>
      <c r="P25" s="30">
        <f>INDEX(barèmes!$D$2:$E$311,MATCH(X25,barèmes!$D$2:$D$311,0),2)</f>
        <v>319.64999999999998</v>
      </c>
      <c r="R25" s="52">
        <v>1</v>
      </c>
      <c r="S25" s="52">
        <v>1</v>
      </c>
      <c r="T25" s="52">
        <v>2015</v>
      </c>
      <c r="U25" s="52">
        <v>0</v>
      </c>
      <c r="V25" s="21" t="s">
        <v>319</v>
      </c>
      <c r="X25" s="21" t="s">
        <v>483</v>
      </c>
      <c r="Z25" s="52" t="str">
        <f t="shared" si="2"/>
        <v>Changement nature RDA - revenu minimum - Principal1 EXO vers Maxi-statut - Scénario id 10</v>
      </c>
    </row>
    <row r="26" spans="1:26" x14ac:dyDescent="0.25">
      <c r="B26" s="52">
        <v>11</v>
      </c>
      <c r="C26" s="52">
        <v>1</v>
      </c>
      <c r="D26" s="52" t="s">
        <v>91</v>
      </c>
      <c r="E26" s="52" t="s">
        <v>90</v>
      </c>
      <c r="H26" s="54">
        <f t="shared" si="0"/>
        <v>41275</v>
      </c>
      <c r="I26" s="52" t="s">
        <v>294</v>
      </c>
      <c r="K26" s="55">
        <f t="shared" si="1"/>
        <v>42186</v>
      </c>
      <c r="L26" s="19">
        <v>20153</v>
      </c>
      <c r="M26" s="30">
        <f>INDEX(barèmes!$D$2:$E$311,MATCH(V26,barèmes!$D$2:$D$311,0),2)</f>
        <v>315.89999999999998</v>
      </c>
      <c r="O26" s="20">
        <v>20161</v>
      </c>
      <c r="P26" s="30">
        <f>INDEX(barèmes!$D$2:$E$311,MATCH(X26,barèmes!$D$2:$D$311,0),2)</f>
        <v>319.64999999999998</v>
      </c>
      <c r="R26" s="52">
        <v>1</v>
      </c>
      <c r="S26" s="52">
        <v>7</v>
      </c>
      <c r="T26" s="52">
        <v>2015</v>
      </c>
      <c r="U26" s="52">
        <v>0</v>
      </c>
      <c r="V26" s="21" t="s">
        <v>319</v>
      </c>
      <c r="X26" s="21" t="s">
        <v>483</v>
      </c>
      <c r="Z26" s="52" t="str">
        <f t="shared" si="2"/>
        <v>Changement nature RDA - revenu minimum - Principal1 EXO vers Maxi-statut - Scénario id 11</v>
      </c>
    </row>
    <row r="27" spans="1:26" x14ac:dyDescent="0.25">
      <c r="A27" s="52" t="s">
        <v>476</v>
      </c>
      <c r="B27" s="52" t="s">
        <v>399</v>
      </c>
      <c r="C27" s="52" t="s">
        <v>290</v>
      </c>
      <c r="D27" s="52" t="s">
        <v>92</v>
      </c>
      <c r="E27" s="52" t="s">
        <v>285</v>
      </c>
      <c r="F27" s="52" t="s">
        <v>292</v>
      </c>
      <c r="G27" s="52" t="s">
        <v>286</v>
      </c>
      <c r="H27" s="54" t="s">
        <v>296</v>
      </c>
      <c r="I27" s="52" t="s">
        <v>298</v>
      </c>
      <c r="J27" s="52" t="s">
        <v>299</v>
      </c>
      <c r="K27" s="55" t="s">
        <v>297</v>
      </c>
      <c r="L27" s="19" t="s">
        <v>305</v>
      </c>
      <c r="M27" s="30" t="s">
        <v>306</v>
      </c>
      <c r="N27" s="30" t="s">
        <v>484</v>
      </c>
      <c r="O27" s="20" t="s">
        <v>307</v>
      </c>
      <c r="P27" s="30" t="s">
        <v>308</v>
      </c>
      <c r="Q27" s="30" t="s">
        <v>485</v>
      </c>
      <c r="R27" s="52" t="s">
        <v>287</v>
      </c>
      <c r="S27" s="52" t="s">
        <v>288</v>
      </c>
      <c r="T27" s="52" t="s">
        <v>289</v>
      </c>
      <c r="U27" s="52" t="s">
        <v>295</v>
      </c>
      <c r="V27" s="21" t="s">
        <v>309</v>
      </c>
      <c r="W27" s="21" t="s">
        <v>486</v>
      </c>
      <c r="X27" s="21" t="s">
        <v>310</v>
      </c>
      <c r="Y27" s="21" t="s">
        <v>487</v>
      </c>
      <c r="Z27" s="52" t="s">
        <v>457</v>
      </c>
    </row>
    <row r="28" spans="1:26" x14ac:dyDescent="0.25">
      <c r="B28" s="52">
        <v>1</v>
      </c>
      <c r="C28" s="52">
        <v>1</v>
      </c>
      <c r="D28" s="52" t="s">
        <v>91</v>
      </c>
      <c r="E28" s="52" t="s">
        <v>90</v>
      </c>
      <c r="H28" s="54">
        <f t="shared" ref="H28:H33" si="3">DATE($T28-2,1,1)</f>
        <v>41275</v>
      </c>
      <c r="I28" s="52" t="s">
        <v>294</v>
      </c>
      <c r="K28" s="55">
        <f t="shared" ref="K28:K33" si="4">DATE($T28-$U28,$S28,$R28)</f>
        <v>42005</v>
      </c>
      <c r="L28" s="19">
        <v>20151</v>
      </c>
      <c r="M28" s="30">
        <f>INDEX(barèmes!$D$2:$E$311,MATCH(V28,barèmes!$D$2:$D$311,0),2)</f>
        <v>315.89999999999998</v>
      </c>
      <c r="O28" s="20">
        <v>20154</v>
      </c>
      <c r="P28" s="30">
        <f>INDEX(barèmes!$D$2:$E$311,MATCH(X28,barèmes!$D$2:$D$311,0),2)</f>
        <v>315.89999999999998</v>
      </c>
      <c r="R28" s="52">
        <v>1</v>
      </c>
      <c r="S28" s="52">
        <v>1</v>
      </c>
      <c r="T28" s="52">
        <v>2015</v>
      </c>
      <c r="U28" s="52">
        <v>0</v>
      </c>
      <c r="V28" s="21" t="s">
        <v>319</v>
      </c>
      <c r="X28" s="21" t="s">
        <v>319</v>
      </c>
      <c r="Z28" s="52" t="str">
        <f t="shared" ref="Z28:Z33" si="5">TRIM($A$1&amp;" - revenu minimum "&amp; " - "&amp;$A$3&amp;" "&amp;E28&amp;" vers "&amp;I28&amp;" "&amp;J28&amp;" - Scénario id "&amp;B28)</f>
        <v>Changement nature RDA - revenu minimum - Principal1 EXO vers Maxi-statut - Scénario id 1</v>
      </c>
    </row>
    <row r="29" spans="1:26" x14ac:dyDescent="0.25">
      <c r="B29" s="52">
        <v>2</v>
      </c>
      <c r="C29" s="52">
        <v>1</v>
      </c>
      <c r="D29" s="52" t="s">
        <v>91</v>
      </c>
      <c r="E29" s="52" t="s">
        <v>90</v>
      </c>
      <c r="H29" s="54">
        <f t="shared" si="3"/>
        <v>41275</v>
      </c>
      <c r="I29" s="52" t="s">
        <v>294</v>
      </c>
      <c r="K29" s="55">
        <f t="shared" si="4"/>
        <v>42350</v>
      </c>
      <c r="L29" s="19">
        <v>20154</v>
      </c>
      <c r="M29" s="30">
        <f>INDEX(barèmes!$D$2:$E$311,MATCH(V29,barèmes!$D$2:$D$311,0),2)</f>
        <v>315.89999999999998</v>
      </c>
      <c r="R29" s="52">
        <v>12</v>
      </c>
      <c r="S29" s="52">
        <v>12</v>
      </c>
      <c r="T29" s="52">
        <v>2015</v>
      </c>
      <c r="U29" s="52">
        <v>0</v>
      </c>
      <c r="V29" s="21" t="s">
        <v>319</v>
      </c>
      <c r="Z29" s="52" t="str">
        <f t="shared" si="5"/>
        <v>Changement nature RDA - revenu minimum - Principal1 EXO vers Maxi-statut - Scénario id 2</v>
      </c>
    </row>
    <row r="30" spans="1:26" x14ac:dyDescent="0.25">
      <c r="B30" s="52">
        <v>3</v>
      </c>
      <c r="C30" s="52">
        <v>1</v>
      </c>
      <c r="D30" s="52" t="s">
        <v>91</v>
      </c>
      <c r="E30" s="52" t="s">
        <v>90</v>
      </c>
      <c r="H30" s="54">
        <f t="shared" si="3"/>
        <v>41275</v>
      </c>
      <c r="I30" s="52" t="s">
        <v>294</v>
      </c>
      <c r="J30" s="52" t="s">
        <v>90</v>
      </c>
      <c r="K30" s="55">
        <f t="shared" si="4"/>
        <v>42005</v>
      </c>
      <c r="L30" s="19">
        <v>20151</v>
      </c>
      <c r="M30" s="30">
        <f>INDEX(barèmes!$D$2:$E$311,MATCH(V30,barèmes!$D$2:$D$311,0),2)</f>
        <v>0</v>
      </c>
      <c r="N30" s="30">
        <f>INDEX(barèmes!$D$2:$E$311,MATCH(W30,barèmes!$D$2:$D$311,0),2)</f>
        <v>315.89999999999998</v>
      </c>
      <c r="R30" s="52">
        <v>1</v>
      </c>
      <c r="S30" s="52">
        <v>1</v>
      </c>
      <c r="T30" s="52">
        <v>2015</v>
      </c>
      <c r="U30" s="52">
        <v>0</v>
      </c>
      <c r="V30" s="21" t="s">
        <v>317</v>
      </c>
      <c r="W30" s="21" t="s">
        <v>319</v>
      </c>
      <c r="Z30" s="52" t="str">
        <f t="shared" si="5"/>
        <v>Changement nature RDA - revenu minimum - Principal1 EXO vers Maxi-statut EXO - Scénario id 3</v>
      </c>
    </row>
    <row r="31" spans="1:26" x14ac:dyDescent="0.25">
      <c r="B31" s="52">
        <v>4</v>
      </c>
      <c r="C31" s="52">
        <v>1</v>
      </c>
      <c r="D31" s="52" t="s">
        <v>91</v>
      </c>
      <c r="E31" s="52" t="s">
        <v>90</v>
      </c>
      <c r="H31" s="54">
        <f t="shared" si="3"/>
        <v>41275</v>
      </c>
      <c r="I31" s="52" t="s">
        <v>294</v>
      </c>
      <c r="J31" s="52" t="s">
        <v>90</v>
      </c>
      <c r="K31" s="55">
        <f t="shared" si="4"/>
        <v>42186</v>
      </c>
      <c r="L31" s="19">
        <v>20153</v>
      </c>
      <c r="M31" s="30">
        <f>INDEX(barèmes!$D$2:$E$311,MATCH(V31,barèmes!$D$2:$D$311,0),2)</f>
        <v>0</v>
      </c>
      <c r="R31" s="52">
        <v>1</v>
      </c>
      <c r="S31" s="52">
        <v>7</v>
      </c>
      <c r="T31" s="52">
        <v>2015</v>
      </c>
      <c r="U31" s="52">
        <v>0</v>
      </c>
      <c r="V31" s="21" t="s">
        <v>317</v>
      </c>
      <c r="Z31" s="52" t="str">
        <f t="shared" si="5"/>
        <v>Changement nature RDA - revenu minimum - Principal1 EXO vers Maxi-statut EXO - Scénario id 4</v>
      </c>
    </row>
    <row r="32" spans="1:26" x14ac:dyDescent="0.25">
      <c r="B32" s="52">
        <v>5</v>
      </c>
      <c r="C32" s="52">
        <v>1</v>
      </c>
      <c r="D32" s="52" t="s">
        <v>91</v>
      </c>
      <c r="E32" s="52" t="s">
        <v>90</v>
      </c>
      <c r="H32" s="54">
        <f t="shared" si="3"/>
        <v>41275</v>
      </c>
      <c r="I32" s="52" t="s">
        <v>294</v>
      </c>
      <c r="J32" s="52" t="s">
        <v>90</v>
      </c>
      <c r="K32" s="55">
        <f t="shared" si="4"/>
        <v>42005</v>
      </c>
      <c r="L32" s="19">
        <v>20151</v>
      </c>
      <c r="M32" s="30">
        <f>INDEX(barèmes!$D$2:$E$311,MATCH(V32,barèmes!$D$2:$D$311,0),2)</f>
        <v>0</v>
      </c>
      <c r="R32" s="52">
        <v>1</v>
      </c>
      <c r="S32" s="52">
        <v>1</v>
      </c>
      <c r="T32" s="52">
        <v>2015</v>
      </c>
      <c r="U32" s="52">
        <v>0</v>
      </c>
      <c r="V32" s="21" t="s">
        <v>317</v>
      </c>
      <c r="Z32" s="52" t="str">
        <f t="shared" si="5"/>
        <v>Changement nature RDA - revenu minimum - Principal1 EXO vers Maxi-statut EXO - Scénario id 5</v>
      </c>
    </row>
    <row r="33" spans="1:26" x14ac:dyDescent="0.25">
      <c r="B33" s="52">
        <v>6</v>
      </c>
      <c r="C33" s="52">
        <v>1</v>
      </c>
      <c r="D33" s="52" t="s">
        <v>91</v>
      </c>
      <c r="E33" s="52" t="s">
        <v>90</v>
      </c>
      <c r="H33" s="54">
        <f t="shared" si="3"/>
        <v>41275</v>
      </c>
      <c r="I33" s="52" t="s">
        <v>294</v>
      </c>
      <c r="J33" s="52" t="s">
        <v>90</v>
      </c>
      <c r="K33" s="55">
        <f t="shared" si="4"/>
        <v>42350</v>
      </c>
      <c r="L33" s="19">
        <v>20154</v>
      </c>
      <c r="M33" s="30">
        <f>INDEX(barèmes!$D$2:$E$311,MATCH(V33,barèmes!$D$2:$D$311,0),2)</f>
        <v>0</v>
      </c>
      <c r="R33" s="52">
        <v>12</v>
      </c>
      <c r="S33" s="52">
        <v>12</v>
      </c>
      <c r="T33" s="52">
        <v>2015</v>
      </c>
      <c r="U33" s="52">
        <v>0</v>
      </c>
      <c r="V33" s="21" t="s">
        <v>317</v>
      </c>
      <c r="Z33" s="52" t="str">
        <f t="shared" si="5"/>
        <v>Changement nature RDA - revenu minimum - Principal1 EXO vers Maxi-statut EXO - Scénario id 6</v>
      </c>
    </row>
    <row r="34" spans="1:26" x14ac:dyDescent="0.25">
      <c r="B34" s="52">
        <v>7</v>
      </c>
      <c r="C34" s="52">
        <v>1</v>
      </c>
      <c r="D34" s="52" t="s">
        <v>91</v>
      </c>
      <c r="E34" s="52" t="s">
        <v>93</v>
      </c>
      <c r="H34" s="54">
        <f t="shared" si="0"/>
        <v>41275</v>
      </c>
      <c r="I34" s="52" t="s">
        <v>293</v>
      </c>
      <c r="K34" s="55">
        <f t="shared" si="1"/>
        <v>41640</v>
      </c>
      <c r="L34" s="19">
        <v>20141</v>
      </c>
      <c r="M34" s="30">
        <f>INDEX(barèmes!$D$2:$E$311,MATCH(V34,barèmes!$D$2:$D$311,0),2)</f>
        <v>75.849999999999994</v>
      </c>
      <c r="O34" s="20">
        <v>20151</v>
      </c>
      <c r="P34" s="30">
        <f>INDEX(barèmes!$D$2:$E$311,MATCH(X34,barèmes!$D$2:$D$311,0),2)</f>
        <v>77.7</v>
      </c>
      <c r="R34" s="52">
        <v>1</v>
      </c>
      <c r="S34" s="52">
        <v>1</v>
      </c>
      <c r="T34" s="52">
        <v>2015</v>
      </c>
      <c r="U34" s="52">
        <v>1</v>
      </c>
      <c r="V34" s="21" t="s">
        <v>314</v>
      </c>
      <c r="X34" s="21" t="s">
        <v>315</v>
      </c>
      <c r="Z34" s="52" t="str">
        <f t="shared" si="2"/>
        <v>Changement nature RDA - revenu minimum - Principal1 RED vers Complémentaire - Scénario id 7</v>
      </c>
    </row>
    <row r="35" spans="1:26" x14ac:dyDescent="0.25">
      <c r="B35" s="52">
        <v>8</v>
      </c>
      <c r="C35" s="52">
        <v>1</v>
      </c>
      <c r="D35" s="52" t="s">
        <v>91</v>
      </c>
      <c r="E35" s="52" t="s">
        <v>93</v>
      </c>
      <c r="H35" s="54">
        <f t="shared" si="0"/>
        <v>41275</v>
      </c>
      <c r="I35" s="52" t="s">
        <v>293</v>
      </c>
      <c r="K35" s="55">
        <f t="shared" si="1"/>
        <v>41821</v>
      </c>
      <c r="L35" s="19">
        <v>20143</v>
      </c>
      <c r="M35" s="30">
        <f>INDEX(barèmes!$D$2:$E$311,MATCH(V35,barèmes!$D$2:$D$311,0),2)</f>
        <v>75.849999999999994</v>
      </c>
      <c r="O35" s="20">
        <v>20151</v>
      </c>
      <c r="P35" s="30">
        <f>INDEX(barèmes!$D$2:$E$311,MATCH(X35,barèmes!$D$2:$D$311,0),2)</f>
        <v>75.849999999999994</v>
      </c>
      <c r="R35" s="52">
        <v>1</v>
      </c>
      <c r="S35" s="52">
        <v>7</v>
      </c>
      <c r="T35" s="52">
        <v>2015</v>
      </c>
      <c r="U35" s="52">
        <v>1</v>
      </c>
      <c r="V35" s="21" t="s">
        <v>314</v>
      </c>
      <c r="X35" s="21" t="s">
        <v>313</v>
      </c>
      <c r="Z35" s="52" t="str">
        <f t="shared" si="2"/>
        <v>Changement nature RDA - revenu minimum - Principal1 RED vers Complémentaire - Scénario id 8</v>
      </c>
    </row>
    <row r="36" spans="1:26" x14ac:dyDescent="0.25">
      <c r="B36" s="52">
        <v>9</v>
      </c>
      <c r="C36" s="52">
        <v>1</v>
      </c>
      <c r="D36" s="52" t="s">
        <v>91</v>
      </c>
      <c r="E36" s="52" t="s">
        <v>93</v>
      </c>
      <c r="H36" s="54">
        <f t="shared" si="0"/>
        <v>41275</v>
      </c>
      <c r="I36" s="52" t="s">
        <v>293</v>
      </c>
      <c r="K36" s="55">
        <f t="shared" si="1"/>
        <v>42005</v>
      </c>
      <c r="L36" s="19">
        <v>20151</v>
      </c>
      <c r="M36" s="30">
        <f>INDEX(barèmes!$D$2:$E$311,MATCH(V36,barèmes!$D$2:$D$311,0),2)</f>
        <v>79.55</v>
      </c>
      <c r="O36" s="20">
        <v>20154</v>
      </c>
      <c r="P36" s="30">
        <f>INDEX(barèmes!$D$2:$E$311,MATCH(X36,barèmes!$D$2:$D$311,0),2)</f>
        <v>79.55</v>
      </c>
      <c r="R36" s="52">
        <v>1</v>
      </c>
      <c r="S36" s="52">
        <v>1</v>
      </c>
      <c r="T36" s="52">
        <v>2015</v>
      </c>
      <c r="U36" s="52">
        <v>0</v>
      </c>
      <c r="V36" s="21" t="s">
        <v>316</v>
      </c>
      <c r="X36" s="21" t="s">
        <v>316</v>
      </c>
      <c r="Z36" s="52" t="str">
        <f t="shared" si="2"/>
        <v>Changement nature RDA - revenu minimum - Principal1 RED vers Complémentaire - Scénario id 9</v>
      </c>
    </row>
    <row r="37" spans="1:26" x14ac:dyDescent="0.25">
      <c r="B37" s="52">
        <v>10</v>
      </c>
      <c r="C37" s="52">
        <v>1</v>
      </c>
      <c r="D37" s="52" t="s">
        <v>91</v>
      </c>
      <c r="E37" s="52" t="s">
        <v>93</v>
      </c>
      <c r="H37" s="54">
        <f t="shared" si="0"/>
        <v>41275</v>
      </c>
      <c r="I37" s="52" t="s">
        <v>293</v>
      </c>
      <c r="J37" s="52" t="s">
        <v>90</v>
      </c>
      <c r="K37" s="55">
        <f t="shared" si="1"/>
        <v>41640</v>
      </c>
      <c r="L37" s="19">
        <v>20141</v>
      </c>
      <c r="M37" s="30">
        <f>INDEX(barèmes!$D$2:$E$311,MATCH(V37,barèmes!$D$2:$D$311,0),2)</f>
        <v>0</v>
      </c>
      <c r="R37" s="52">
        <v>1</v>
      </c>
      <c r="S37" s="52">
        <v>1</v>
      </c>
      <c r="T37" s="52">
        <v>2015</v>
      </c>
      <c r="U37" s="52">
        <v>1</v>
      </c>
      <c r="V37" s="21" t="s">
        <v>317</v>
      </c>
      <c r="X37" s="21" t="s">
        <v>317</v>
      </c>
      <c r="Z37" s="52" t="str">
        <f t="shared" si="2"/>
        <v>Changement nature RDA - revenu minimum - Principal1 RED vers Complémentaire EXO - Scénario id 10</v>
      </c>
    </row>
    <row r="38" spans="1:26" x14ac:dyDescent="0.25">
      <c r="A38" s="52" t="s">
        <v>481</v>
      </c>
      <c r="B38" s="52" t="s">
        <v>399</v>
      </c>
      <c r="C38" s="52" t="s">
        <v>290</v>
      </c>
      <c r="D38" s="52" t="s">
        <v>92</v>
      </c>
      <c r="E38" s="52" t="s">
        <v>285</v>
      </c>
      <c r="F38" s="52" t="s">
        <v>292</v>
      </c>
      <c r="G38" s="52" t="s">
        <v>286</v>
      </c>
      <c r="H38" s="54" t="s">
        <v>296</v>
      </c>
      <c r="I38" s="52" t="s">
        <v>298</v>
      </c>
      <c r="J38" s="52" t="s">
        <v>299</v>
      </c>
      <c r="K38" s="55" t="s">
        <v>297</v>
      </c>
      <c r="L38" s="19" t="s">
        <v>305</v>
      </c>
      <c r="M38" s="30" t="s">
        <v>306</v>
      </c>
      <c r="N38" s="30" t="s">
        <v>484</v>
      </c>
      <c r="O38" s="20" t="s">
        <v>307</v>
      </c>
      <c r="P38" s="30" t="s">
        <v>308</v>
      </c>
      <c r="Q38" s="30" t="s">
        <v>485</v>
      </c>
      <c r="R38" s="52" t="s">
        <v>287</v>
      </c>
      <c r="S38" s="52" t="s">
        <v>288</v>
      </c>
      <c r="T38" s="52" t="s">
        <v>289</v>
      </c>
      <c r="U38" s="52" t="s">
        <v>295</v>
      </c>
      <c r="V38" s="21" t="s">
        <v>309</v>
      </c>
      <c r="W38" s="21" t="s">
        <v>486</v>
      </c>
      <c r="X38" s="21" t="s">
        <v>310</v>
      </c>
      <c r="Y38" s="21" t="s">
        <v>487</v>
      </c>
      <c r="Z38" s="52" t="s">
        <v>457</v>
      </c>
    </row>
    <row r="39" spans="1:26" x14ac:dyDescent="0.25">
      <c r="B39" s="52">
        <v>1</v>
      </c>
      <c r="C39" s="52">
        <v>1</v>
      </c>
      <c r="D39" s="52" t="s">
        <v>91</v>
      </c>
      <c r="E39" s="52" t="s">
        <v>93</v>
      </c>
      <c r="H39" s="54">
        <f t="shared" si="0"/>
        <v>41275</v>
      </c>
      <c r="I39" s="52" t="s">
        <v>293</v>
      </c>
      <c r="J39" s="52" t="s">
        <v>90</v>
      </c>
      <c r="K39" s="55">
        <f t="shared" si="1"/>
        <v>41821</v>
      </c>
      <c r="L39" s="19">
        <v>20143</v>
      </c>
      <c r="M39" s="30">
        <f>INDEX(barèmes!$D$2:$E$311,MATCH(V39,barèmes!$D$2:$D$311,0),2)</f>
        <v>0</v>
      </c>
      <c r="R39" s="52">
        <v>1</v>
      </c>
      <c r="S39" s="52">
        <v>7</v>
      </c>
      <c r="T39" s="52">
        <v>2015</v>
      </c>
      <c r="U39" s="52">
        <v>1</v>
      </c>
      <c r="V39" s="21" t="s">
        <v>317</v>
      </c>
      <c r="X39" s="21" t="s">
        <v>317</v>
      </c>
      <c r="Z39" s="52" t="str">
        <f t="shared" si="2"/>
        <v>Changement nature RDA - revenu minimum - Principal1 RED vers Complémentaire EXO - Scénario id 1</v>
      </c>
    </row>
    <row r="40" spans="1:26" x14ac:dyDescent="0.25">
      <c r="B40" s="52">
        <v>2</v>
      </c>
      <c r="C40" s="52">
        <v>1</v>
      </c>
      <c r="D40" s="52" t="s">
        <v>91</v>
      </c>
      <c r="E40" s="52" t="s">
        <v>93</v>
      </c>
      <c r="H40" s="54">
        <f t="shared" si="0"/>
        <v>41275</v>
      </c>
      <c r="I40" s="52" t="s">
        <v>293</v>
      </c>
      <c r="J40" s="52" t="s">
        <v>90</v>
      </c>
      <c r="K40" s="55">
        <f t="shared" si="1"/>
        <v>42005</v>
      </c>
      <c r="L40" s="19">
        <v>20151</v>
      </c>
      <c r="M40" s="30">
        <f>INDEX(barèmes!$D$2:$E$311,MATCH(V40,barèmes!$D$2:$D$311,0),2)</f>
        <v>0</v>
      </c>
      <c r="R40" s="52">
        <v>1</v>
      </c>
      <c r="S40" s="52">
        <v>1</v>
      </c>
      <c r="T40" s="52">
        <v>2015</v>
      </c>
      <c r="U40" s="52">
        <v>0</v>
      </c>
      <c r="V40" s="21" t="s">
        <v>317</v>
      </c>
      <c r="Z40" s="52" t="str">
        <f t="shared" si="2"/>
        <v>Changement nature RDA - revenu minimum - Principal1 RED vers Complémentaire EXO - Scénario id 2</v>
      </c>
    </row>
    <row r="41" spans="1:26" x14ac:dyDescent="0.25">
      <c r="B41" s="52">
        <v>3</v>
      </c>
      <c r="C41" s="52">
        <v>1</v>
      </c>
      <c r="D41" s="52" t="s">
        <v>91</v>
      </c>
      <c r="E41" s="52" t="s">
        <v>93</v>
      </c>
      <c r="H41" s="54">
        <f t="shared" si="0"/>
        <v>41275</v>
      </c>
      <c r="I41" s="52" t="s">
        <v>294</v>
      </c>
      <c r="K41" s="55">
        <f t="shared" si="1"/>
        <v>42005</v>
      </c>
      <c r="L41" s="19">
        <v>20151</v>
      </c>
      <c r="M41" s="30">
        <f>INDEX(barèmes!$D$2:$E$311,MATCH(V41,barèmes!$D$2:$D$311,0),2)</f>
        <v>315.89999999999998</v>
      </c>
      <c r="R41" s="52">
        <v>1</v>
      </c>
      <c r="S41" s="52">
        <v>1</v>
      </c>
      <c r="T41" s="52">
        <v>2015</v>
      </c>
      <c r="U41" s="52">
        <v>0</v>
      </c>
      <c r="V41" s="21" t="s">
        <v>319</v>
      </c>
      <c r="Z41" s="52" t="str">
        <f t="shared" si="2"/>
        <v>Changement nature RDA - revenu minimum - Principal1 RED vers Maxi-statut - Scénario id 3</v>
      </c>
    </row>
    <row r="42" spans="1:26" x14ac:dyDescent="0.25">
      <c r="B42" s="52">
        <v>4</v>
      </c>
      <c r="C42" s="52">
        <v>1</v>
      </c>
      <c r="D42" s="52" t="s">
        <v>91</v>
      </c>
      <c r="E42" s="52" t="s">
        <v>93</v>
      </c>
      <c r="H42" s="54">
        <f t="shared" si="0"/>
        <v>41275</v>
      </c>
      <c r="I42" s="52" t="s">
        <v>294</v>
      </c>
      <c r="K42" s="55">
        <f t="shared" si="1"/>
        <v>42186</v>
      </c>
      <c r="L42" s="19">
        <v>20153</v>
      </c>
      <c r="M42" s="30">
        <f>INDEX(barèmes!$D$2:$E$311,MATCH(V42,barèmes!$D$2:$D$311,0),2)</f>
        <v>315.89999999999998</v>
      </c>
      <c r="R42" s="52">
        <v>1</v>
      </c>
      <c r="S42" s="52">
        <v>7</v>
      </c>
      <c r="T42" s="52">
        <v>2015</v>
      </c>
      <c r="U42" s="52">
        <v>0</v>
      </c>
      <c r="V42" s="21" t="s">
        <v>319</v>
      </c>
      <c r="Z42" s="52" t="str">
        <f t="shared" si="2"/>
        <v>Changement nature RDA - revenu minimum - Principal1 RED vers Maxi-statut - Scénario id 4</v>
      </c>
    </row>
    <row r="43" spans="1:26" x14ac:dyDescent="0.25">
      <c r="B43" s="52">
        <v>5</v>
      </c>
      <c r="C43" s="52">
        <v>1</v>
      </c>
      <c r="D43" s="52" t="s">
        <v>91</v>
      </c>
      <c r="E43" s="52" t="s">
        <v>93</v>
      </c>
      <c r="H43" s="54">
        <f t="shared" si="0"/>
        <v>41275</v>
      </c>
      <c r="I43" s="52" t="s">
        <v>294</v>
      </c>
      <c r="K43" s="55">
        <f t="shared" si="1"/>
        <v>42005</v>
      </c>
      <c r="L43" s="19">
        <v>20151</v>
      </c>
      <c r="M43" s="30">
        <f>INDEX(barèmes!$D$2:$E$311,MATCH(V43,barèmes!$D$2:$D$311,0),2)</f>
        <v>315.89999999999998</v>
      </c>
      <c r="R43" s="52">
        <v>1</v>
      </c>
      <c r="S43" s="52">
        <v>1</v>
      </c>
      <c r="T43" s="52">
        <v>2015</v>
      </c>
      <c r="U43" s="52">
        <v>0</v>
      </c>
      <c r="V43" s="21" t="s">
        <v>319</v>
      </c>
      <c r="X43" s="21" t="s">
        <v>319</v>
      </c>
      <c r="Z43" s="52" t="str">
        <f t="shared" si="2"/>
        <v>Changement nature RDA - revenu minimum - Principal1 RED vers Maxi-statut - Scénario id 5</v>
      </c>
    </row>
    <row r="44" spans="1:26" x14ac:dyDescent="0.25">
      <c r="B44" s="52">
        <v>6</v>
      </c>
      <c r="C44" s="52">
        <v>1</v>
      </c>
      <c r="D44" s="52" t="s">
        <v>91</v>
      </c>
      <c r="E44" s="52" t="s">
        <v>93</v>
      </c>
      <c r="H44" s="54">
        <f t="shared" si="0"/>
        <v>41275</v>
      </c>
      <c r="I44" s="52" t="s">
        <v>294</v>
      </c>
      <c r="K44" s="55">
        <f t="shared" si="1"/>
        <v>42350</v>
      </c>
      <c r="L44" s="19">
        <v>20154</v>
      </c>
      <c r="M44" s="30">
        <f>INDEX(barèmes!$D$2:$E$311,MATCH(V44,barèmes!$D$2:$D$311,0),2)</f>
        <v>315.89999999999998</v>
      </c>
      <c r="R44" s="52">
        <v>12</v>
      </c>
      <c r="S44" s="52">
        <v>12</v>
      </c>
      <c r="T44" s="52">
        <v>2015</v>
      </c>
      <c r="U44" s="52">
        <v>0</v>
      </c>
      <c r="V44" s="21" t="s">
        <v>319</v>
      </c>
      <c r="X44" s="21" t="s">
        <v>319</v>
      </c>
      <c r="Z44" s="52" t="str">
        <f t="shared" si="2"/>
        <v>Changement nature RDA - revenu minimum - Principal1 RED vers Maxi-statut - Scénario id 6</v>
      </c>
    </row>
    <row r="45" spans="1:26" x14ac:dyDescent="0.25">
      <c r="B45" s="52">
        <v>7</v>
      </c>
      <c r="C45" s="52">
        <v>1</v>
      </c>
      <c r="D45" s="52" t="s">
        <v>91</v>
      </c>
      <c r="E45" s="52" t="s">
        <v>93</v>
      </c>
      <c r="H45" s="54">
        <f t="shared" si="0"/>
        <v>41275</v>
      </c>
      <c r="I45" s="52" t="s">
        <v>294</v>
      </c>
      <c r="J45" s="52" t="s">
        <v>90</v>
      </c>
      <c r="K45" s="55">
        <f t="shared" si="1"/>
        <v>42005</v>
      </c>
      <c r="L45" s="19">
        <v>20151</v>
      </c>
      <c r="M45" s="30">
        <f>INDEX(barèmes!$D$2:$E$311,MATCH(V45,barèmes!$D$2:$D$311,0),2)</f>
        <v>0</v>
      </c>
      <c r="R45" s="52">
        <v>1</v>
      </c>
      <c r="S45" s="52">
        <v>1</v>
      </c>
      <c r="T45" s="52">
        <v>2015</v>
      </c>
      <c r="U45" s="52">
        <v>0</v>
      </c>
      <c r="V45" s="21" t="s">
        <v>317</v>
      </c>
      <c r="X45" s="21" t="s">
        <v>317</v>
      </c>
      <c r="Z45" s="52" t="str">
        <f t="shared" si="2"/>
        <v>Changement nature RDA - revenu minimum - Principal1 RED vers Maxi-statut EXO - Scénario id 7</v>
      </c>
    </row>
    <row r="46" spans="1:26" x14ac:dyDescent="0.25">
      <c r="B46" s="52">
        <v>8</v>
      </c>
      <c r="C46" s="52">
        <v>1</v>
      </c>
      <c r="D46" s="52" t="s">
        <v>91</v>
      </c>
      <c r="E46" s="52" t="s">
        <v>93</v>
      </c>
      <c r="H46" s="54">
        <f t="shared" si="0"/>
        <v>41275</v>
      </c>
      <c r="I46" s="52" t="s">
        <v>294</v>
      </c>
      <c r="J46" s="52" t="s">
        <v>90</v>
      </c>
      <c r="K46" s="55">
        <f t="shared" si="1"/>
        <v>42186</v>
      </c>
      <c r="L46" s="19">
        <v>20153</v>
      </c>
      <c r="M46" s="30">
        <f>INDEX(barèmes!$D$2:$E$311,MATCH(V46,barèmes!$D$2:$D$311,0),2)</f>
        <v>0</v>
      </c>
      <c r="R46" s="52">
        <v>1</v>
      </c>
      <c r="S46" s="52">
        <v>7</v>
      </c>
      <c r="T46" s="52">
        <v>2015</v>
      </c>
      <c r="U46" s="52">
        <v>0</v>
      </c>
      <c r="V46" s="21" t="s">
        <v>317</v>
      </c>
      <c r="X46" s="21" t="s">
        <v>317</v>
      </c>
      <c r="Z46" s="52" t="str">
        <f t="shared" si="2"/>
        <v>Changement nature RDA - revenu minimum - Principal1 RED vers Maxi-statut EXO - Scénario id 8</v>
      </c>
    </row>
    <row r="47" spans="1:26" x14ac:dyDescent="0.25">
      <c r="B47" s="52">
        <v>9</v>
      </c>
      <c r="C47" s="52">
        <v>1</v>
      </c>
      <c r="D47" s="52" t="s">
        <v>91</v>
      </c>
      <c r="E47" s="52" t="s">
        <v>93</v>
      </c>
      <c r="H47" s="54">
        <f t="shared" si="0"/>
        <v>41275</v>
      </c>
      <c r="I47" s="52" t="s">
        <v>294</v>
      </c>
      <c r="J47" s="52" t="s">
        <v>90</v>
      </c>
      <c r="K47" s="55">
        <f t="shared" si="1"/>
        <v>42005</v>
      </c>
      <c r="L47" s="19">
        <v>20151</v>
      </c>
      <c r="M47" s="30">
        <f>INDEX(barèmes!$D$2:$E$311,MATCH(V47,barèmes!$D$2:$D$311,0),2)</f>
        <v>0</v>
      </c>
      <c r="R47" s="52">
        <v>1</v>
      </c>
      <c r="S47" s="52">
        <v>1</v>
      </c>
      <c r="T47" s="52">
        <v>2015</v>
      </c>
      <c r="U47" s="52">
        <v>0</v>
      </c>
      <c r="V47" s="21" t="s">
        <v>317</v>
      </c>
      <c r="X47" s="21" t="s">
        <v>317</v>
      </c>
      <c r="Z47" s="52" t="str">
        <f t="shared" si="2"/>
        <v>Changement nature RDA - revenu minimum - Principal1 RED vers Maxi-statut EXO - Scénario id 9</v>
      </c>
    </row>
    <row r="48" spans="1:26" x14ac:dyDescent="0.25">
      <c r="B48" s="52">
        <v>10</v>
      </c>
      <c r="C48" s="52">
        <v>1</v>
      </c>
      <c r="D48" s="52" t="s">
        <v>91</v>
      </c>
      <c r="E48" s="52" t="s">
        <v>93</v>
      </c>
      <c r="H48" s="54">
        <f t="shared" si="0"/>
        <v>41275</v>
      </c>
      <c r="I48" s="52" t="s">
        <v>294</v>
      </c>
      <c r="J48" s="52" t="s">
        <v>90</v>
      </c>
      <c r="K48" s="55">
        <f t="shared" si="1"/>
        <v>42350</v>
      </c>
      <c r="L48" s="19">
        <v>20154</v>
      </c>
      <c r="M48" s="30">
        <f>INDEX(barèmes!$D$2:$E$311,MATCH(V48,barèmes!$D$2:$D$311,0),2)</f>
        <v>0</v>
      </c>
      <c r="N48" s="30">
        <f>INDEX(barèmes!$D$2:$E$311,MATCH(W48,barèmes!$D$2:$D$311,0),2)</f>
        <v>315.89999999999998</v>
      </c>
      <c r="R48" s="52">
        <v>12</v>
      </c>
      <c r="S48" s="52">
        <v>12</v>
      </c>
      <c r="T48" s="52">
        <v>2015</v>
      </c>
      <c r="U48" s="52">
        <v>0</v>
      </c>
      <c r="V48" s="21" t="s">
        <v>317</v>
      </c>
      <c r="W48" s="21" t="s">
        <v>319</v>
      </c>
      <c r="X48" s="21" t="s">
        <v>317</v>
      </c>
      <c r="Z48" s="52" t="str">
        <f t="shared" si="2"/>
        <v>Changement nature RDA - revenu minimum - Principal1 RED vers Maxi-statut EXO - Scénario id 10</v>
      </c>
    </row>
    <row r="49" spans="1:26" x14ac:dyDescent="0.25">
      <c r="A49" s="52" t="s">
        <v>474</v>
      </c>
      <c r="B49" s="52" t="s">
        <v>399</v>
      </c>
      <c r="C49" s="52" t="s">
        <v>290</v>
      </c>
      <c r="D49" s="52" t="s">
        <v>92</v>
      </c>
      <c r="E49" s="52" t="s">
        <v>285</v>
      </c>
      <c r="F49" s="52" t="s">
        <v>292</v>
      </c>
      <c r="G49" s="52" t="s">
        <v>286</v>
      </c>
      <c r="H49" s="54" t="s">
        <v>296</v>
      </c>
      <c r="I49" s="52" t="s">
        <v>298</v>
      </c>
      <c r="J49" s="52" t="s">
        <v>299</v>
      </c>
      <c r="K49" s="55" t="s">
        <v>297</v>
      </c>
      <c r="L49" s="19" t="s">
        <v>305</v>
      </c>
      <c r="M49" s="30" t="s">
        <v>306</v>
      </c>
      <c r="N49" s="30" t="s">
        <v>484</v>
      </c>
      <c r="O49" s="20" t="s">
        <v>307</v>
      </c>
      <c r="P49" s="30" t="s">
        <v>308</v>
      </c>
      <c r="Q49" s="30" t="s">
        <v>485</v>
      </c>
      <c r="R49" s="52" t="s">
        <v>287</v>
      </c>
      <c r="S49" s="52" t="s">
        <v>288</v>
      </c>
      <c r="T49" s="52" t="s">
        <v>289</v>
      </c>
      <c r="U49" s="52" t="s">
        <v>295</v>
      </c>
      <c r="V49" s="21" t="s">
        <v>309</v>
      </c>
      <c r="W49" s="21" t="s">
        <v>486</v>
      </c>
      <c r="X49" s="21" t="s">
        <v>310</v>
      </c>
      <c r="Y49" s="21" t="s">
        <v>487</v>
      </c>
      <c r="Z49" s="52" t="s">
        <v>457</v>
      </c>
    </row>
    <row r="50" spans="1:26" x14ac:dyDescent="0.25">
      <c r="B50" s="52">
        <v>1</v>
      </c>
      <c r="C50" s="52">
        <v>4</v>
      </c>
      <c r="D50" s="52" t="s">
        <v>91</v>
      </c>
      <c r="H50" s="54">
        <f>DATE($T50-2,1,1)</f>
        <v>41275</v>
      </c>
      <c r="I50" s="52" t="s">
        <v>291</v>
      </c>
      <c r="K50" s="55">
        <f>DATE($T50-$U50,$S50,$R50)</f>
        <v>41640</v>
      </c>
      <c r="L50" s="19">
        <v>20141</v>
      </c>
      <c r="M50" s="30">
        <f>INDEX(barèmes!$D$2:$E$311,MATCH(V50,barèmes!$D$2:$D$311,0),2)</f>
        <v>685.66</v>
      </c>
      <c r="O50" s="20">
        <v>20151</v>
      </c>
      <c r="P50" s="30">
        <f>INDEX(barèmes!$D$2:$E$311,MATCH(X50,barèmes!$D$2:$D$311,0),2)</f>
        <v>702.39</v>
      </c>
      <c r="R50" s="52">
        <v>1</v>
      </c>
      <c r="S50" s="52">
        <v>1</v>
      </c>
      <c r="T50" s="52">
        <v>2015</v>
      </c>
      <c r="U50" s="52">
        <v>1</v>
      </c>
      <c r="V50" s="21" t="s">
        <v>322</v>
      </c>
      <c r="X50" s="21" t="s">
        <v>331</v>
      </c>
      <c r="Z50" s="52" t="str">
        <f t="shared" ref="Z50:Z59" si="6">TRIM($A$1&amp;" - revenu minimum "&amp; " - "&amp;$A$49&amp;" "&amp;E50&amp;" vers "&amp;I50&amp;" "&amp;J50&amp;" - Scénario id "&amp;B50)</f>
        <v>Changement nature RDA - revenu minimum - Complémentaire1 vers Principal - Scénario id 1</v>
      </c>
    </row>
    <row r="51" spans="1:26" x14ac:dyDescent="0.25">
      <c r="B51" s="52">
        <v>2</v>
      </c>
      <c r="C51" s="52">
        <v>4</v>
      </c>
      <c r="D51" s="52" t="s">
        <v>91</v>
      </c>
      <c r="H51" s="54">
        <f t="shared" ref="H51:H53" si="7">DATE($T51-2,1,1)</f>
        <v>41275</v>
      </c>
      <c r="I51" s="52" t="s">
        <v>291</v>
      </c>
      <c r="K51" s="55">
        <f t="shared" ref="K51:K53" si="8">DATE($T51-$U51,$S51,$R51)</f>
        <v>41821</v>
      </c>
      <c r="L51" s="19">
        <v>20143</v>
      </c>
      <c r="M51" s="30">
        <f>INDEX(barèmes!$D$2:$E$311,MATCH(V51,barèmes!$D$2:$D$311,0),2)</f>
        <v>685.66</v>
      </c>
      <c r="O51" s="20">
        <v>20151</v>
      </c>
      <c r="P51" s="30">
        <f>INDEX(barèmes!$D$2:$E$311,MATCH(X51,barèmes!$D$2:$D$311,0),2)</f>
        <v>685.66</v>
      </c>
      <c r="R51" s="52">
        <v>1</v>
      </c>
      <c r="S51" s="52">
        <v>7</v>
      </c>
      <c r="T51" s="52">
        <v>2015</v>
      </c>
      <c r="U51" s="52">
        <v>1</v>
      </c>
      <c r="V51" s="21" t="s">
        <v>322</v>
      </c>
      <c r="X51" s="21" t="s">
        <v>332</v>
      </c>
      <c r="Z51" s="52" t="str">
        <f t="shared" si="6"/>
        <v>Changement nature RDA - revenu minimum - Complémentaire1 vers Principal - Scénario id 2</v>
      </c>
    </row>
    <row r="52" spans="1:26" x14ac:dyDescent="0.25">
      <c r="B52" s="52">
        <v>3</v>
      </c>
      <c r="C52" s="52">
        <v>4</v>
      </c>
      <c r="D52" s="52" t="s">
        <v>91</v>
      </c>
      <c r="H52" s="54">
        <f t="shared" si="7"/>
        <v>41275</v>
      </c>
      <c r="I52" s="52" t="s">
        <v>291</v>
      </c>
      <c r="K52" s="55">
        <f t="shared" si="8"/>
        <v>42005</v>
      </c>
      <c r="L52" s="19">
        <v>20151</v>
      </c>
      <c r="M52" s="30">
        <f>INDEX(barèmes!$D$2:$E$311,MATCH(V52,barèmes!$D$2:$D$311,0),2)</f>
        <v>719.12</v>
      </c>
      <c r="R52" s="52">
        <v>1</v>
      </c>
      <c r="S52" s="52">
        <v>1</v>
      </c>
      <c r="T52" s="52">
        <v>2015</v>
      </c>
      <c r="U52" s="52">
        <v>0</v>
      </c>
      <c r="V52" s="21" t="s">
        <v>304</v>
      </c>
      <c r="Z52" s="52" t="str">
        <f t="shared" si="6"/>
        <v>Changement nature RDA - revenu minimum - Complémentaire1 vers Principal - Scénario id 3</v>
      </c>
    </row>
    <row r="53" spans="1:26" x14ac:dyDescent="0.25">
      <c r="B53" s="52">
        <v>4</v>
      </c>
      <c r="C53" s="52">
        <v>4</v>
      </c>
      <c r="D53" s="52" t="s">
        <v>91</v>
      </c>
      <c r="H53" s="54">
        <f t="shared" si="7"/>
        <v>41275</v>
      </c>
      <c r="I53" s="52" t="s">
        <v>291</v>
      </c>
      <c r="K53" s="55">
        <f t="shared" si="8"/>
        <v>42350</v>
      </c>
      <c r="L53" s="19">
        <v>20154</v>
      </c>
      <c r="M53" s="30">
        <f>INDEX(barèmes!$D$2:$E$311,MATCH(V53,barèmes!$D$2:$D$311,0),2)</f>
        <v>719.12</v>
      </c>
      <c r="R53" s="52">
        <v>12</v>
      </c>
      <c r="S53" s="52">
        <v>12</v>
      </c>
      <c r="T53" s="52">
        <v>2015</v>
      </c>
      <c r="U53" s="52">
        <v>0</v>
      </c>
      <c r="V53" s="21" t="s">
        <v>304</v>
      </c>
      <c r="Z53" s="52" t="str">
        <f t="shared" si="6"/>
        <v>Changement nature RDA - revenu minimum - Complémentaire1 vers Principal - Scénario id 4</v>
      </c>
    </row>
    <row r="54" spans="1:26" x14ac:dyDescent="0.25">
      <c r="B54" s="52">
        <v>5</v>
      </c>
      <c r="C54" s="52">
        <v>4</v>
      </c>
      <c r="D54" s="52" t="s">
        <v>91</v>
      </c>
      <c r="H54" s="54">
        <f>DATE($T54-2,1,1)</f>
        <v>41275</v>
      </c>
      <c r="I54" s="52" t="s">
        <v>291</v>
      </c>
      <c r="J54" s="52" t="s">
        <v>90</v>
      </c>
      <c r="K54" s="55">
        <f>DATE($T54-$U54,$S54,$R54)</f>
        <v>41640</v>
      </c>
      <c r="L54" s="19">
        <v>20141</v>
      </c>
      <c r="M54" s="30">
        <f>INDEX(barèmes!$D$2:$E$311,MATCH(V54,barèmes!$D$2:$D$311,0),2)</f>
        <v>0</v>
      </c>
      <c r="R54" s="52">
        <v>1</v>
      </c>
      <c r="S54" s="52">
        <v>1</v>
      </c>
      <c r="T54" s="52">
        <v>2015</v>
      </c>
      <c r="U54" s="52">
        <v>1</v>
      </c>
      <c r="V54" s="21" t="s">
        <v>317</v>
      </c>
      <c r="Z54" s="52" t="str">
        <f t="shared" si="6"/>
        <v>Changement nature RDA - revenu minimum - Complémentaire1 vers Principal EXO - Scénario id 5</v>
      </c>
    </row>
    <row r="55" spans="1:26" x14ac:dyDescent="0.25">
      <c r="B55" s="52">
        <v>6</v>
      </c>
      <c r="C55" s="52">
        <v>4</v>
      </c>
      <c r="D55" s="52" t="s">
        <v>91</v>
      </c>
      <c r="H55" s="54">
        <f t="shared" ref="H55:H57" si="9">DATE($T55-2,1,1)</f>
        <v>41275</v>
      </c>
      <c r="I55" s="52" t="s">
        <v>291</v>
      </c>
      <c r="J55" s="52" t="s">
        <v>90</v>
      </c>
      <c r="K55" s="55">
        <f t="shared" ref="K55:K57" si="10">DATE($T55-$U55,$S55,$R55)</f>
        <v>41821</v>
      </c>
      <c r="L55" s="19">
        <v>20143</v>
      </c>
      <c r="M55" s="30">
        <f>INDEX(barèmes!$D$2:$E$311,MATCH(V55,barèmes!$D$2:$D$311,0),2)</f>
        <v>0</v>
      </c>
      <c r="R55" s="52">
        <v>1</v>
      </c>
      <c r="S55" s="52">
        <v>7</v>
      </c>
      <c r="T55" s="52">
        <v>2015</v>
      </c>
      <c r="U55" s="52">
        <v>1</v>
      </c>
      <c r="V55" s="21" t="s">
        <v>317</v>
      </c>
      <c r="Z55" s="52" t="str">
        <f t="shared" si="6"/>
        <v>Changement nature RDA - revenu minimum - Complémentaire1 vers Principal EXO - Scénario id 6</v>
      </c>
    </row>
    <row r="56" spans="1:26" x14ac:dyDescent="0.25">
      <c r="B56" s="52">
        <v>7</v>
      </c>
      <c r="C56" s="52">
        <v>4</v>
      </c>
      <c r="D56" s="52" t="s">
        <v>91</v>
      </c>
      <c r="H56" s="54">
        <f t="shared" si="9"/>
        <v>41275</v>
      </c>
      <c r="I56" s="52" t="s">
        <v>291</v>
      </c>
      <c r="J56" s="52" t="s">
        <v>90</v>
      </c>
      <c r="K56" s="55">
        <f t="shared" si="10"/>
        <v>42005</v>
      </c>
      <c r="L56" s="19">
        <v>20151</v>
      </c>
      <c r="M56" s="30">
        <f>INDEX(barèmes!$D$2:$E$311,MATCH(V56,barèmes!$D$2:$D$311,0),2)</f>
        <v>0</v>
      </c>
      <c r="R56" s="52">
        <v>1</v>
      </c>
      <c r="S56" s="52">
        <v>1</v>
      </c>
      <c r="T56" s="52">
        <v>2015</v>
      </c>
      <c r="U56" s="52">
        <v>0</v>
      </c>
      <c r="V56" s="21" t="s">
        <v>317</v>
      </c>
      <c r="Z56" s="52" t="str">
        <f t="shared" si="6"/>
        <v>Changement nature RDA - revenu minimum - Complémentaire1 vers Principal EXO - Scénario id 7</v>
      </c>
    </row>
    <row r="57" spans="1:26" x14ac:dyDescent="0.25">
      <c r="B57" s="52">
        <v>8</v>
      </c>
      <c r="C57" s="52">
        <v>4</v>
      </c>
      <c r="D57" s="52" t="s">
        <v>91</v>
      </c>
      <c r="H57" s="54">
        <f t="shared" si="9"/>
        <v>41275</v>
      </c>
      <c r="I57" s="52" t="s">
        <v>291</v>
      </c>
      <c r="J57" s="52" t="s">
        <v>90</v>
      </c>
      <c r="K57" s="55">
        <f t="shared" si="10"/>
        <v>42350</v>
      </c>
      <c r="L57" s="19">
        <v>20154</v>
      </c>
      <c r="M57" s="30">
        <f>INDEX(barèmes!$D$2:$E$311,MATCH(V57,barèmes!$D$2:$D$311,0),2)</f>
        <v>0</v>
      </c>
      <c r="R57" s="52">
        <v>12</v>
      </c>
      <c r="S57" s="52">
        <v>12</v>
      </c>
      <c r="T57" s="52">
        <v>2015</v>
      </c>
      <c r="U57" s="52">
        <v>0</v>
      </c>
      <c r="V57" s="21" t="s">
        <v>317</v>
      </c>
      <c r="Y57" s="21" t="s">
        <v>317</v>
      </c>
      <c r="Z57" s="52" t="str">
        <f t="shared" si="6"/>
        <v>Changement nature RDA - revenu minimum - Complémentaire1 vers Principal EXO - Scénario id 8</v>
      </c>
    </row>
    <row r="58" spans="1:26" x14ac:dyDescent="0.25">
      <c r="B58" s="52">
        <v>9</v>
      </c>
      <c r="C58" s="52">
        <v>4</v>
      </c>
      <c r="D58" s="52" t="s">
        <v>91</v>
      </c>
      <c r="H58" s="54">
        <f>DATE($T58-2,1,1)</f>
        <v>41275</v>
      </c>
      <c r="I58" s="52" t="s">
        <v>291</v>
      </c>
      <c r="J58" s="52" t="s">
        <v>93</v>
      </c>
      <c r="K58" s="55">
        <f>DATE($T58-$U58,$S58,$R58)</f>
        <v>41640</v>
      </c>
      <c r="L58" s="19">
        <v>20141</v>
      </c>
      <c r="M58" s="30">
        <f>INDEX(barèmes!$D$2:$E$311,MATCH(V58,barèmes!$D$2:$D$311,0),2)</f>
        <v>359.18</v>
      </c>
      <c r="O58" s="20">
        <v>20151</v>
      </c>
      <c r="P58" s="30">
        <f>INDEX(barèmes!$D$2:$E$311,MATCH(X58,barèmes!$D$2:$D$311,0),2)</f>
        <v>367.94</v>
      </c>
      <c r="Q58" s="30">
        <f>INDEX(barèmes!$D$2:$E$311,MATCH(Y58,barèmes!$D$2:$D$311,0),2)</f>
        <v>702.39</v>
      </c>
      <c r="R58" s="52">
        <v>1</v>
      </c>
      <c r="S58" s="52">
        <v>1</v>
      </c>
      <c r="T58" s="52">
        <v>2015</v>
      </c>
      <c r="U58" s="52">
        <v>1</v>
      </c>
      <c r="V58" s="21" t="s">
        <v>334</v>
      </c>
      <c r="X58" s="21" t="s">
        <v>333</v>
      </c>
      <c r="Y58" s="21" t="s">
        <v>331</v>
      </c>
      <c r="Z58" s="52" t="str">
        <f t="shared" si="6"/>
        <v>Changement nature RDA - revenu minimum - Complémentaire1 vers Principal RED - Scénario id 9</v>
      </c>
    </row>
    <row r="59" spans="1:26" x14ac:dyDescent="0.25">
      <c r="B59" s="52">
        <v>10</v>
      </c>
      <c r="C59" s="52">
        <v>4</v>
      </c>
      <c r="D59" s="52" t="s">
        <v>91</v>
      </c>
      <c r="H59" s="54">
        <f t="shared" ref="H59:H70" si="11">DATE($T59-2,1,1)</f>
        <v>41275</v>
      </c>
      <c r="I59" s="52" t="s">
        <v>291</v>
      </c>
      <c r="J59" s="52" t="s">
        <v>93</v>
      </c>
      <c r="K59" s="55">
        <f t="shared" ref="K59:K70" si="12">DATE($T59-$U59,$S59,$R59)</f>
        <v>41821</v>
      </c>
      <c r="L59" s="19">
        <v>20143</v>
      </c>
      <c r="M59" s="30">
        <f>INDEX(barèmes!$D$2:$E$311,MATCH(V59,barèmes!$D$2:$D$311,0),2)</f>
        <v>359.18</v>
      </c>
      <c r="O59" s="20">
        <v>20151</v>
      </c>
      <c r="P59" s="30">
        <f>INDEX(barèmes!$D$2:$E$311,MATCH(X59,barèmes!$D$2:$D$311,0),2)</f>
        <v>359.18</v>
      </c>
      <c r="Q59" s="30">
        <f>INDEX(barèmes!$D$2:$E$311,MATCH(Y59,barèmes!$D$2:$D$311,0),2)</f>
        <v>0</v>
      </c>
      <c r="R59" s="52">
        <v>1</v>
      </c>
      <c r="S59" s="52">
        <v>7</v>
      </c>
      <c r="T59" s="52">
        <v>2015</v>
      </c>
      <c r="U59" s="52">
        <v>1</v>
      </c>
      <c r="V59" s="21" t="s">
        <v>328</v>
      </c>
      <c r="X59" s="21" t="s">
        <v>334</v>
      </c>
      <c r="Y59" s="21" t="s">
        <v>317</v>
      </c>
      <c r="Z59" s="52" t="str">
        <f t="shared" si="6"/>
        <v>Changement nature RDA - revenu minimum - Complémentaire1 vers Principal RED - Scénario id 10</v>
      </c>
    </row>
    <row r="60" spans="1:26" x14ac:dyDescent="0.25">
      <c r="A60" s="52" t="s">
        <v>475</v>
      </c>
      <c r="B60" s="52" t="s">
        <v>399</v>
      </c>
      <c r="C60" s="52" t="s">
        <v>290</v>
      </c>
      <c r="D60" s="52" t="s">
        <v>92</v>
      </c>
      <c r="E60" s="52" t="s">
        <v>285</v>
      </c>
      <c r="F60" s="52" t="s">
        <v>292</v>
      </c>
      <c r="G60" s="52" t="s">
        <v>286</v>
      </c>
      <c r="H60" s="54" t="s">
        <v>296</v>
      </c>
      <c r="I60" s="52" t="s">
        <v>298</v>
      </c>
      <c r="J60" s="52" t="s">
        <v>299</v>
      </c>
      <c r="K60" s="55" t="s">
        <v>297</v>
      </c>
      <c r="L60" s="19" t="s">
        <v>305</v>
      </c>
      <c r="M60" s="30" t="s">
        <v>306</v>
      </c>
      <c r="N60" s="30" t="s">
        <v>484</v>
      </c>
      <c r="O60" s="20" t="s">
        <v>307</v>
      </c>
      <c r="P60" s="30" t="s">
        <v>308</v>
      </c>
      <c r="Q60" s="30" t="s">
        <v>485</v>
      </c>
      <c r="R60" s="52" t="s">
        <v>287</v>
      </c>
      <c r="S60" s="52" t="s">
        <v>288</v>
      </c>
      <c r="T60" s="52" t="s">
        <v>289</v>
      </c>
      <c r="U60" s="52" t="s">
        <v>295</v>
      </c>
      <c r="V60" s="21" t="s">
        <v>309</v>
      </c>
      <c r="W60" s="21" t="s">
        <v>486</v>
      </c>
      <c r="X60" s="21" t="s">
        <v>310</v>
      </c>
      <c r="Y60" s="21" t="s">
        <v>487</v>
      </c>
      <c r="Z60" s="52" t="s">
        <v>457</v>
      </c>
    </row>
    <row r="61" spans="1:26" x14ac:dyDescent="0.25">
      <c r="B61" s="52">
        <v>1</v>
      </c>
      <c r="C61" s="52">
        <v>4</v>
      </c>
      <c r="D61" s="52" t="s">
        <v>91</v>
      </c>
      <c r="H61" s="54">
        <f>DATE($T61-2,1,1)</f>
        <v>41275</v>
      </c>
      <c r="I61" s="52" t="s">
        <v>291</v>
      </c>
      <c r="J61" s="52" t="s">
        <v>93</v>
      </c>
      <c r="K61" s="55">
        <f>DATE($T61-$U61,$S61,$R61)</f>
        <v>42005</v>
      </c>
      <c r="L61" s="19">
        <v>20151</v>
      </c>
      <c r="M61" s="30">
        <f>INDEX(barèmes!$D$2:$E$311,MATCH(V61,barèmes!$D$2:$D$311,0),2)</f>
        <v>376.7</v>
      </c>
      <c r="N61" s="30">
        <f>INDEX(barèmes!$D$2:$E$311,MATCH(W61,barèmes!$D$2:$D$311,0),2)</f>
        <v>0</v>
      </c>
      <c r="R61" s="52">
        <v>1</v>
      </c>
      <c r="S61" s="52">
        <v>1</v>
      </c>
      <c r="T61" s="52">
        <v>2015</v>
      </c>
      <c r="U61" s="52">
        <v>0</v>
      </c>
      <c r="V61" s="21" t="s">
        <v>329</v>
      </c>
      <c r="W61" s="21" t="s">
        <v>317</v>
      </c>
      <c r="Z61" s="52" t="str">
        <f t="shared" ref="Z61:Z70" si="13">TRIM($A$1&amp;" - revenu minimum "&amp; " - "&amp;$A$49&amp;" "&amp;E61&amp;" vers "&amp;I61&amp;" "&amp;J61&amp;" - Scénario id "&amp;B61)</f>
        <v>Changement nature RDA - revenu minimum - Complémentaire1 vers Principal RED - Scénario id 1</v>
      </c>
    </row>
    <row r="62" spans="1:26" x14ac:dyDescent="0.25">
      <c r="B62" s="52">
        <v>2</v>
      </c>
      <c r="C62" s="52">
        <v>4</v>
      </c>
      <c r="D62" s="52" t="s">
        <v>91</v>
      </c>
      <c r="H62" s="54">
        <f>DATE($T62-2,1,1)</f>
        <v>41275</v>
      </c>
      <c r="I62" s="52" t="s">
        <v>291</v>
      </c>
      <c r="J62" s="52" t="s">
        <v>93</v>
      </c>
      <c r="K62" s="55">
        <f>DATE($T62-$U62,$S62,$R62)</f>
        <v>42350</v>
      </c>
      <c r="L62" s="19">
        <v>20154</v>
      </c>
      <c r="M62" s="30">
        <f>INDEX(barèmes!$D$2:$E$311,MATCH(V62,barèmes!$D$2:$D$311,0),2)</f>
        <v>376.7</v>
      </c>
      <c r="N62" s="30">
        <f>INDEX(barèmes!$D$2:$E$311,MATCH(W62,barèmes!$D$2:$D$311,0),2)</f>
        <v>0</v>
      </c>
      <c r="R62" s="52">
        <v>12</v>
      </c>
      <c r="S62" s="52">
        <v>12</v>
      </c>
      <c r="T62" s="52">
        <v>2015</v>
      </c>
      <c r="U62" s="52">
        <v>0</v>
      </c>
      <c r="V62" s="21" t="s">
        <v>329</v>
      </c>
      <c r="W62" s="21" t="s">
        <v>317</v>
      </c>
      <c r="Z62" s="52" t="str">
        <f t="shared" si="13"/>
        <v>Changement nature RDA - revenu minimum - Complémentaire1 vers Principal RED - Scénario id 2</v>
      </c>
    </row>
    <row r="63" spans="1:26" x14ac:dyDescent="0.25">
      <c r="B63" s="52">
        <v>3</v>
      </c>
      <c r="C63" s="52">
        <v>4</v>
      </c>
      <c r="D63" s="52" t="s">
        <v>91</v>
      </c>
      <c r="H63" s="54">
        <f>DATE($T63-2,1,1)</f>
        <v>41275</v>
      </c>
      <c r="I63" s="52" t="s">
        <v>294</v>
      </c>
      <c r="K63" s="55">
        <f>DATE($T63-$U63,$S63,$R63)</f>
        <v>41640</v>
      </c>
      <c r="L63" s="19">
        <v>20141</v>
      </c>
      <c r="M63" s="30">
        <f>INDEX(barèmes!$D$2:$E$311,MATCH(V63,barèmes!$D$2:$D$311,0),2)</f>
        <v>301.22000000000003</v>
      </c>
      <c r="O63" s="20">
        <v>20151</v>
      </c>
      <c r="P63" s="30">
        <f>INDEX(barèmes!$D$2:$E$311,MATCH(X63,barèmes!$D$2:$D$311,0),2)</f>
        <v>308.55</v>
      </c>
      <c r="R63" s="52">
        <v>1</v>
      </c>
      <c r="S63" s="52">
        <v>1</v>
      </c>
      <c r="T63" s="52">
        <v>2015</v>
      </c>
      <c r="U63" s="52">
        <v>1</v>
      </c>
      <c r="V63" s="21" t="s">
        <v>320</v>
      </c>
      <c r="X63" s="21" t="s">
        <v>321</v>
      </c>
      <c r="Z63" s="52" t="str">
        <f t="shared" si="13"/>
        <v>Changement nature RDA - revenu minimum - Complémentaire1 vers Maxi-statut - Scénario id 3</v>
      </c>
    </row>
    <row r="64" spans="1:26" x14ac:dyDescent="0.25">
      <c r="B64" s="52">
        <v>4</v>
      </c>
      <c r="C64" s="52">
        <v>4</v>
      </c>
      <c r="D64" s="52" t="s">
        <v>91</v>
      </c>
      <c r="H64" s="54">
        <f t="shared" si="11"/>
        <v>41275</v>
      </c>
      <c r="I64" s="52" t="s">
        <v>294</v>
      </c>
      <c r="K64" s="55">
        <f t="shared" si="12"/>
        <v>41821</v>
      </c>
      <c r="L64" s="19">
        <v>20143</v>
      </c>
      <c r="M64" s="30">
        <f>INDEX(barèmes!$D$2:$E$311,MATCH(V64,barèmes!$D$2:$D$311,0),2)</f>
        <v>301.22000000000003</v>
      </c>
      <c r="O64" s="20">
        <v>20151</v>
      </c>
      <c r="P64" s="30">
        <f>INDEX(barèmes!$D$2:$E$311,MATCH(X64,barèmes!$D$2:$D$311,0),2)</f>
        <v>301.22000000000003</v>
      </c>
      <c r="R64" s="52">
        <v>1</v>
      </c>
      <c r="S64" s="52">
        <v>7</v>
      </c>
      <c r="T64" s="52">
        <v>2015</v>
      </c>
      <c r="U64" s="52">
        <v>1</v>
      </c>
      <c r="V64" s="21" t="s">
        <v>320</v>
      </c>
      <c r="X64" s="21" t="s">
        <v>318</v>
      </c>
      <c r="Z64" s="52" t="str">
        <f t="shared" si="13"/>
        <v>Changement nature RDA - revenu minimum - Complémentaire1 vers Maxi-statut - Scénario id 4</v>
      </c>
    </row>
    <row r="65" spans="1:26" x14ac:dyDescent="0.25">
      <c r="B65" s="52">
        <v>5</v>
      </c>
      <c r="C65" s="52">
        <v>4</v>
      </c>
      <c r="D65" s="52" t="s">
        <v>91</v>
      </c>
      <c r="H65" s="54">
        <f t="shared" si="11"/>
        <v>41275</v>
      </c>
      <c r="I65" s="52" t="s">
        <v>294</v>
      </c>
      <c r="K65" s="55">
        <f t="shared" si="12"/>
        <v>42005</v>
      </c>
      <c r="L65" s="19">
        <v>20151</v>
      </c>
      <c r="M65" s="30">
        <f>INDEX(barèmes!$D$2:$E$311,MATCH(V65,barèmes!$D$2:$D$311,0),2)</f>
        <v>315.89999999999998</v>
      </c>
      <c r="R65" s="52">
        <v>1</v>
      </c>
      <c r="S65" s="52">
        <v>1</v>
      </c>
      <c r="T65" s="52">
        <v>2015</v>
      </c>
      <c r="U65" s="52">
        <v>0</v>
      </c>
      <c r="V65" s="21" t="s">
        <v>319</v>
      </c>
      <c r="Z65" s="52" t="str">
        <f t="shared" si="13"/>
        <v>Changement nature RDA - revenu minimum - Complémentaire1 vers Maxi-statut - Scénario id 5</v>
      </c>
    </row>
    <row r="66" spans="1:26" x14ac:dyDescent="0.25">
      <c r="B66" s="52">
        <v>6</v>
      </c>
      <c r="C66" s="52">
        <v>4</v>
      </c>
      <c r="D66" s="52" t="s">
        <v>91</v>
      </c>
      <c r="H66" s="54">
        <f t="shared" si="11"/>
        <v>41275</v>
      </c>
      <c r="I66" s="52" t="s">
        <v>294</v>
      </c>
      <c r="K66" s="55">
        <f t="shared" si="12"/>
        <v>42350</v>
      </c>
      <c r="L66" s="19">
        <v>20154</v>
      </c>
      <c r="M66" s="30">
        <f>INDEX(barèmes!$D$2:$E$311,MATCH(V66,barèmes!$D$2:$D$311,0),2)</f>
        <v>315.89999999999998</v>
      </c>
      <c r="R66" s="52">
        <v>12</v>
      </c>
      <c r="S66" s="52">
        <v>12</v>
      </c>
      <c r="T66" s="52">
        <v>2015</v>
      </c>
      <c r="U66" s="52">
        <v>0</v>
      </c>
      <c r="V66" s="21" t="s">
        <v>319</v>
      </c>
      <c r="Z66" s="52" t="str">
        <f t="shared" si="13"/>
        <v>Changement nature RDA - revenu minimum - Complémentaire1 vers Maxi-statut - Scénario id 6</v>
      </c>
    </row>
    <row r="67" spans="1:26" x14ac:dyDescent="0.25">
      <c r="B67" s="52">
        <v>7</v>
      </c>
      <c r="C67" s="52">
        <v>4</v>
      </c>
      <c r="D67" s="52" t="s">
        <v>91</v>
      </c>
      <c r="H67" s="54">
        <f t="shared" si="11"/>
        <v>41275</v>
      </c>
      <c r="I67" s="52" t="s">
        <v>294</v>
      </c>
      <c r="J67" s="52" t="s">
        <v>90</v>
      </c>
      <c r="K67" s="55">
        <f t="shared" si="12"/>
        <v>41640</v>
      </c>
      <c r="L67" s="19">
        <v>20141</v>
      </c>
      <c r="M67" s="30">
        <f>INDEX(barèmes!$D$2:$E$311,MATCH(V67,barèmes!$D$2:$D$311,0),2)</f>
        <v>0</v>
      </c>
      <c r="R67" s="52">
        <v>1</v>
      </c>
      <c r="S67" s="52">
        <v>1</v>
      </c>
      <c r="T67" s="52">
        <v>2015</v>
      </c>
      <c r="U67" s="52">
        <v>1</v>
      </c>
      <c r="V67" s="21" t="s">
        <v>317</v>
      </c>
      <c r="Z67" s="52" t="str">
        <f t="shared" si="13"/>
        <v>Changement nature RDA - revenu minimum - Complémentaire1 vers Maxi-statut EXO - Scénario id 7</v>
      </c>
    </row>
    <row r="68" spans="1:26" x14ac:dyDescent="0.25">
      <c r="B68" s="52">
        <v>8</v>
      </c>
      <c r="C68" s="52">
        <v>4</v>
      </c>
      <c r="D68" s="52" t="s">
        <v>91</v>
      </c>
      <c r="H68" s="54">
        <f t="shared" si="11"/>
        <v>41275</v>
      </c>
      <c r="I68" s="52" t="s">
        <v>294</v>
      </c>
      <c r="J68" s="52" t="s">
        <v>90</v>
      </c>
      <c r="K68" s="55">
        <f t="shared" si="12"/>
        <v>41821</v>
      </c>
      <c r="L68" s="19">
        <v>20143</v>
      </c>
      <c r="M68" s="30">
        <f>INDEX(barèmes!$D$2:$E$311,MATCH(V68,barèmes!$D$2:$D$311,0),2)</f>
        <v>0</v>
      </c>
      <c r="R68" s="52">
        <v>1</v>
      </c>
      <c r="S68" s="52">
        <v>7</v>
      </c>
      <c r="T68" s="52">
        <v>2015</v>
      </c>
      <c r="U68" s="52">
        <v>1</v>
      </c>
      <c r="V68" s="21" t="s">
        <v>317</v>
      </c>
      <c r="Z68" s="52" t="str">
        <f t="shared" si="13"/>
        <v>Changement nature RDA - revenu minimum - Complémentaire1 vers Maxi-statut EXO - Scénario id 8</v>
      </c>
    </row>
    <row r="69" spans="1:26" x14ac:dyDescent="0.25">
      <c r="B69" s="52">
        <v>9</v>
      </c>
      <c r="C69" s="52">
        <v>4</v>
      </c>
      <c r="D69" s="52" t="s">
        <v>91</v>
      </c>
      <c r="H69" s="54">
        <f t="shared" si="11"/>
        <v>41275</v>
      </c>
      <c r="I69" s="52" t="s">
        <v>294</v>
      </c>
      <c r="J69" s="52" t="s">
        <v>90</v>
      </c>
      <c r="K69" s="55">
        <f t="shared" si="12"/>
        <v>42005</v>
      </c>
      <c r="L69" s="19">
        <v>20151</v>
      </c>
      <c r="M69" s="30">
        <f>INDEX(barèmes!$D$2:$E$311,MATCH(V69,barèmes!$D$2:$D$311,0),2)</f>
        <v>0</v>
      </c>
      <c r="N69" s="30">
        <f>INDEX(barèmes!$D$2:$E$311,MATCH(W69,barèmes!$D$2:$D$311,0),2)</f>
        <v>315.89999999999998</v>
      </c>
      <c r="R69" s="52">
        <v>1</v>
      </c>
      <c r="S69" s="52">
        <v>1</v>
      </c>
      <c r="T69" s="52">
        <v>2015</v>
      </c>
      <c r="U69" s="52">
        <v>0</v>
      </c>
      <c r="V69" s="21" t="s">
        <v>317</v>
      </c>
      <c r="W69" s="21" t="s">
        <v>319</v>
      </c>
      <c r="Z69" s="52" t="str">
        <f t="shared" si="13"/>
        <v>Changement nature RDA - revenu minimum - Complémentaire1 vers Maxi-statut EXO - Scénario id 9</v>
      </c>
    </row>
    <row r="70" spans="1:26" x14ac:dyDescent="0.25">
      <c r="B70" s="52">
        <v>10</v>
      </c>
      <c r="C70" s="52">
        <v>4</v>
      </c>
      <c r="D70" s="52" t="s">
        <v>91</v>
      </c>
      <c r="H70" s="54">
        <f t="shared" si="11"/>
        <v>41275</v>
      </c>
      <c r="I70" s="52" t="s">
        <v>294</v>
      </c>
      <c r="J70" s="52" t="s">
        <v>90</v>
      </c>
      <c r="K70" s="55">
        <f t="shared" si="12"/>
        <v>42350</v>
      </c>
      <c r="L70" s="19">
        <v>20154</v>
      </c>
      <c r="M70" s="30">
        <f>INDEX(barèmes!$D$2:$E$311,MATCH(V70,barèmes!$D$2:$D$311,0),2)</f>
        <v>0</v>
      </c>
      <c r="N70" s="30">
        <f>INDEX(barèmes!$D$2:$E$311,MATCH(W70,barèmes!$D$2:$D$311,0),2)</f>
        <v>315.89999999999998</v>
      </c>
      <c r="R70" s="52">
        <v>12</v>
      </c>
      <c r="S70" s="52">
        <v>12</v>
      </c>
      <c r="T70" s="52">
        <v>2015</v>
      </c>
      <c r="U70" s="52">
        <v>0</v>
      </c>
      <c r="V70" s="21" t="s">
        <v>317</v>
      </c>
      <c r="W70" s="21" t="s">
        <v>319</v>
      </c>
      <c r="Z70" s="52" t="str">
        <f t="shared" si="13"/>
        <v>Changement nature RDA - revenu minimum - Complémentaire1 vers Maxi-statut EXO - Scénario id 10</v>
      </c>
    </row>
    <row r="71" spans="1:26" x14ac:dyDescent="0.25">
      <c r="A71" s="52" t="s">
        <v>477</v>
      </c>
      <c r="B71" s="52" t="s">
        <v>399</v>
      </c>
      <c r="C71" s="52" t="s">
        <v>290</v>
      </c>
      <c r="D71" s="52" t="s">
        <v>92</v>
      </c>
      <c r="E71" s="52" t="s">
        <v>285</v>
      </c>
      <c r="F71" s="52" t="s">
        <v>292</v>
      </c>
      <c r="G71" s="52" t="s">
        <v>286</v>
      </c>
      <c r="H71" s="54" t="s">
        <v>296</v>
      </c>
      <c r="I71" s="52" t="s">
        <v>298</v>
      </c>
      <c r="J71" s="52" t="s">
        <v>299</v>
      </c>
      <c r="K71" s="55" t="s">
        <v>297</v>
      </c>
      <c r="L71" s="19" t="s">
        <v>305</v>
      </c>
      <c r="M71" s="30" t="s">
        <v>306</v>
      </c>
      <c r="N71" s="30" t="s">
        <v>484</v>
      </c>
      <c r="O71" s="20" t="s">
        <v>307</v>
      </c>
      <c r="P71" s="30" t="s">
        <v>308</v>
      </c>
      <c r="Q71" s="30" t="s">
        <v>485</v>
      </c>
      <c r="R71" s="52" t="s">
        <v>287</v>
      </c>
      <c r="S71" s="52" t="s">
        <v>288</v>
      </c>
      <c r="T71" s="52" t="s">
        <v>289</v>
      </c>
      <c r="U71" s="52" t="s">
        <v>295</v>
      </c>
      <c r="V71" s="21" t="s">
        <v>309</v>
      </c>
      <c r="W71" s="21" t="s">
        <v>486</v>
      </c>
      <c r="X71" s="21" t="s">
        <v>310</v>
      </c>
      <c r="Y71" s="21" t="s">
        <v>487</v>
      </c>
      <c r="Z71" s="52" t="s">
        <v>457</v>
      </c>
    </row>
    <row r="72" spans="1:26" x14ac:dyDescent="0.25">
      <c r="B72" s="52">
        <v>1</v>
      </c>
      <c r="C72" s="52">
        <v>4</v>
      </c>
      <c r="D72" s="52" t="s">
        <v>91</v>
      </c>
      <c r="E72" s="52" t="s">
        <v>90</v>
      </c>
      <c r="H72" s="54">
        <f>DATE($T72-2,1,1)</f>
        <v>41275</v>
      </c>
      <c r="I72" s="52" t="s">
        <v>291</v>
      </c>
      <c r="K72" s="55">
        <f>DATE($T72-$U72,$S72,$R72)</f>
        <v>41640</v>
      </c>
      <c r="L72" s="19">
        <v>20141</v>
      </c>
      <c r="M72" s="30">
        <f>INDEX(barèmes!$D$2:$E$311,MATCH(V72,barèmes!$D$2:$D$311,0),2)</f>
        <v>685.66</v>
      </c>
      <c r="O72" s="20">
        <v>20151</v>
      </c>
      <c r="P72" s="30">
        <f>INDEX(barèmes!$D$2:$E$311,MATCH(X72,barèmes!$D$2:$D$311,0),2)</f>
        <v>702.39</v>
      </c>
      <c r="R72" s="52">
        <v>1</v>
      </c>
      <c r="S72" s="52">
        <v>1</v>
      </c>
      <c r="T72" s="52">
        <v>2015</v>
      </c>
      <c r="U72" s="52">
        <v>1</v>
      </c>
      <c r="V72" s="21" t="s">
        <v>322</v>
      </c>
      <c r="X72" s="21" t="s">
        <v>331</v>
      </c>
      <c r="Z72" s="52" t="str">
        <f t="shared" ref="Z72:Z81" si="14">TRIM($A$1&amp;" - revenu minimum "&amp; " - "&amp;$A$49&amp;" "&amp;E72&amp;" vers "&amp;I72&amp;" "&amp;J72&amp;" - Scénario id "&amp;B72)</f>
        <v>Changement nature RDA - revenu minimum - Complémentaire1 EXO vers Principal - Scénario id 1</v>
      </c>
    </row>
    <row r="73" spans="1:26" x14ac:dyDescent="0.25">
      <c r="B73" s="52">
        <v>2</v>
      </c>
      <c r="C73" s="52">
        <v>4</v>
      </c>
      <c r="D73" s="52" t="s">
        <v>91</v>
      </c>
      <c r="E73" s="52" t="s">
        <v>90</v>
      </c>
      <c r="H73" s="54">
        <f t="shared" ref="H73:H75" si="15">DATE($T73-2,1,1)</f>
        <v>41275</v>
      </c>
      <c r="I73" s="52" t="s">
        <v>291</v>
      </c>
      <c r="K73" s="55">
        <f t="shared" ref="K73:K75" si="16">DATE($T73-$U73,$S73,$R73)</f>
        <v>41821</v>
      </c>
      <c r="L73" s="19">
        <v>20143</v>
      </c>
      <c r="M73" s="30">
        <f>INDEX(barèmes!$D$2:$E$311,MATCH(V73,barèmes!$D$2:$D$311,0),2)</f>
        <v>685.66</v>
      </c>
      <c r="O73" s="20">
        <v>20151</v>
      </c>
      <c r="P73" s="30">
        <f>INDEX(barèmes!$D$2:$E$311,MATCH(X73,barèmes!$D$2:$D$311,0),2)</f>
        <v>685.66</v>
      </c>
      <c r="R73" s="52">
        <v>1</v>
      </c>
      <c r="S73" s="52">
        <v>7</v>
      </c>
      <c r="T73" s="52">
        <v>2015</v>
      </c>
      <c r="U73" s="52">
        <v>1</v>
      </c>
      <c r="V73" s="21" t="s">
        <v>322</v>
      </c>
      <c r="X73" s="21" t="s">
        <v>332</v>
      </c>
      <c r="Z73" s="52" t="str">
        <f t="shared" si="14"/>
        <v>Changement nature RDA - revenu minimum - Complémentaire1 EXO vers Principal - Scénario id 2</v>
      </c>
    </row>
    <row r="74" spans="1:26" x14ac:dyDescent="0.25">
      <c r="B74" s="52">
        <v>3</v>
      </c>
      <c r="C74" s="52">
        <v>4</v>
      </c>
      <c r="D74" s="52" t="s">
        <v>91</v>
      </c>
      <c r="E74" s="52" t="s">
        <v>90</v>
      </c>
      <c r="H74" s="54">
        <f t="shared" si="15"/>
        <v>41275</v>
      </c>
      <c r="I74" s="52" t="s">
        <v>291</v>
      </c>
      <c r="K74" s="55">
        <f t="shared" si="16"/>
        <v>42005</v>
      </c>
      <c r="L74" s="19">
        <v>20151</v>
      </c>
      <c r="M74" s="30">
        <f>INDEX(barèmes!$D$2:$E$311,MATCH(V74,barèmes!$D$2:$D$311,0),2)</f>
        <v>719.12</v>
      </c>
      <c r="R74" s="52">
        <v>1</v>
      </c>
      <c r="S74" s="52">
        <v>1</v>
      </c>
      <c r="T74" s="52">
        <v>2015</v>
      </c>
      <c r="U74" s="52">
        <v>0</v>
      </c>
      <c r="V74" s="21" t="s">
        <v>304</v>
      </c>
      <c r="Z74" s="52" t="str">
        <f t="shared" si="14"/>
        <v>Changement nature RDA - revenu minimum - Complémentaire1 EXO vers Principal - Scénario id 3</v>
      </c>
    </row>
    <row r="75" spans="1:26" x14ac:dyDescent="0.25">
      <c r="B75" s="52">
        <v>4</v>
      </c>
      <c r="C75" s="52">
        <v>4</v>
      </c>
      <c r="D75" s="52" t="s">
        <v>91</v>
      </c>
      <c r="E75" s="52" t="s">
        <v>90</v>
      </c>
      <c r="H75" s="54">
        <f t="shared" si="15"/>
        <v>41275</v>
      </c>
      <c r="I75" s="52" t="s">
        <v>291</v>
      </c>
      <c r="K75" s="55">
        <f t="shared" si="16"/>
        <v>42350</v>
      </c>
      <c r="L75" s="19">
        <v>20154</v>
      </c>
      <c r="M75" s="30">
        <f>INDEX(barèmes!$D$2:$E$311,MATCH(V75,barèmes!$D$2:$D$311,0),2)</f>
        <v>719.12</v>
      </c>
      <c r="R75" s="52">
        <v>12</v>
      </c>
      <c r="S75" s="52">
        <v>12</v>
      </c>
      <c r="T75" s="52">
        <v>2015</v>
      </c>
      <c r="U75" s="52">
        <v>0</v>
      </c>
      <c r="V75" s="21" t="s">
        <v>304</v>
      </c>
      <c r="Z75" s="52" t="str">
        <f t="shared" si="14"/>
        <v>Changement nature RDA - revenu minimum - Complémentaire1 EXO vers Principal - Scénario id 4</v>
      </c>
    </row>
    <row r="76" spans="1:26" x14ac:dyDescent="0.25">
      <c r="B76" s="52">
        <v>5</v>
      </c>
      <c r="C76" s="52">
        <v>4</v>
      </c>
      <c r="D76" s="52" t="s">
        <v>91</v>
      </c>
      <c r="E76" s="52" t="s">
        <v>90</v>
      </c>
      <c r="H76" s="54">
        <f>DATE($T76-2,1,1)</f>
        <v>41275</v>
      </c>
      <c r="I76" s="52" t="s">
        <v>291</v>
      </c>
      <c r="J76" s="52" t="s">
        <v>90</v>
      </c>
      <c r="K76" s="55">
        <f>DATE($T76-$U76,$S76,$R76)</f>
        <v>41640</v>
      </c>
      <c r="L76" s="19">
        <v>20141</v>
      </c>
      <c r="M76" s="30">
        <f>INDEX(barèmes!$D$2:$E$311,MATCH(V76,barèmes!$D$2:$D$311,0),2)</f>
        <v>0</v>
      </c>
      <c r="R76" s="52">
        <v>1</v>
      </c>
      <c r="S76" s="52">
        <v>1</v>
      </c>
      <c r="T76" s="52">
        <v>2015</v>
      </c>
      <c r="U76" s="52">
        <v>1</v>
      </c>
      <c r="V76" s="21" t="s">
        <v>317</v>
      </c>
      <c r="Z76" s="52" t="str">
        <f t="shared" si="14"/>
        <v>Changement nature RDA - revenu minimum - Complémentaire1 EXO vers Principal EXO - Scénario id 5</v>
      </c>
    </row>
    <row r="77" spans="1:26" x14ac:dyDescent="0.25">
      <c r="B77" s="52">
        <v>6</v>
      </c>
      <c r="C77" s="52">
        <v>4</v>
      </c>
      <c r="D77" s="52" t="s">
        <v>91</v>
      </c>
      <c r="E77" s="52" t="s">
        <v>90</v>
      </c>
      <c r="H77" s="54">
        <f t="shared" ref="H77:H78" si="17">DATE($T77-2,1,1)</f>
        <v>41275</v>
      </c>
      <c r="I77" s="52" t="s">
        <v>291</v>
      </c>
      <c r="J77" s="52" t="s">
        <v>90</v>
      </c>
      <c r="K77" s="55">
        <f t="shared" ref="K77:K78" si="18">DATE($T77-$U77,$S77,$R77)</f>
        <v>41821</v>
      </c>
      <c r="L77" s="19">
        <v>20143</v>
      </c>
      <c r="M77" s="30">
        <f>INDEX(barèmes!$D$2:$E$311,MATCH(V77,barèmes!$D$2:$D$311,0),2)</f>
        <v>0</v>
      </c>
      <c r="R77" s="52">
        <v>1</v>
      </c>
      <c r="S77" s="52">
        <v>7</v>
      </c>
      <c r="T77" s="52">
        <v>2015</v>
      </c>
      <c r="U77" s="52">
        <v>1</v>
      </c>
      <c r="V77" s="21" t="s">
        <v>317</v>
      </c>
      <c r="Z77" s="52" t="str">
        <f t="shared" si="14"/>
        <v>Changement nature RDA - revenu minimum - Complémentaire1 EXO vers Principal EXO - Scénario id 6</v>
      </c>
    </row>
    <row r="78" spans="1:26" x14ac:dyDescent="0.25">
      <c r="B78" s="52">
        <v>7</v>
      </c>
      <c r="C78" s="52">
        <v>4</v>
      </c>
      <c r="D78" s="52" t="s">
        <v>91</v>
      </c>
      <c r="E78" s="52" t="s">
        <v>90</v>
      </c>
      <c r="H78" s="54">
        <f t="shared" si="17"/>
        <v>41275</v>
      </c>
      <c r="I78" s="52" t="s">
        <v>291</v>
      </c>
      <c r="J78" s="52" t="s">
        <v>90</v>
      </c>
      <c r="K78" s="55">
        <f t="shared" si="18"/>
        <v>42005</v>
      </c>
      <c r="L78" s="19">
        <v>20151</v>
      </c>
      <c r="M78" s="30">
        <f>INDEX(barèmes!$D$2:$E$311,MATCH(V78,barèmes!$D$2:$D$311,0),2)</f>
        <v>0</v>
      </c>
      <c r="N78" s="30">
        <f>INDEX(barèmes!$D$2:$E$311,MATCH(W78,barèmes!$D$2:$D$311,0),2)</f>
        <v>719.12</v>
      </c>
      <c r="R78" s="52">
        <v>1</v>
      </c>
      <c r="S78" s="52">
        <v>1</v>
      </c>
      <c r="T78" s="52">
        <v>2015</v>
      </c>
      <c r="U78" s="52">
        <v>0</v>
      </c>
      <c r="V78" s="21" t="s">
        <v>317</v>
      </c>
      <c r="W78" s="21" t="s">
        <v>304</v>
      </c>
      <c r="Z78" s="52" t="str">
        <f t="shared" si="14"/>
        <v>Changement nature RDA - revenu minimum - Complémentaire1 EXO vers Principal EXO - Scénario id 7</v>
      </c>
    </row>
    <row r="79" spans="1:26" x14ac:dyDescent="0.25">
      <c r="B79" s="52">
        <v>8</v>
      </c>
      <c r="C79" s="52">
        <v>4</v>
      </c>
      <c r="D79" s="52" t="s">
        <v>91</v>
      </c>
      <c r="E79" s="52" t="s">
        <v>90</v>
      </c>
      <c r="H79" s="54">
        <f>DATE($T79-2,1,1)</f>
        <v>41275</v>
      </c>
      <c r="I79" s="52" t="s">
        <v>291</v>
      </c>
      <c r="J79" s="52" t="s">
        <v>90</v>
      </c>
      <c r="K79" s="55">
        <f>DATE($T79-$U79,$S79,$R79)</f>
        <v>42350</v>
      </c>
      <c r="L79" s="19">
        <v>20154</v>
      </c>
      <c r="M79" s="30">
        <f>INDEX(barèmes!$D$2:$E$311,MATCH(V79,barèmes!$D$2:$D$311,0),2)</f>
        <v>0</v>
      </c>
      <c r="R79" s="52">
        <v>12</v>
      </c>
      <c r="S79" s="52">
        <v>12</v>
      </c>
      <c r="T79" s="52">
        <v>2015</v>
      </c>
      <c r="U79" s="52">
        <v>0</v>
      </c>
      <c r="V79" s="21" t="s">
        <v>317</v>
      </c>
      <c r="Z79" s="52" t="str">
        <f t="shared" si="14"/>
        <v>Changement nature RDA - revenu minimum - Complémentaire1 EXO vers Principal EXO - Scénario id 8</v>
      </c>
    </row>
    <row r="80" spans="1:26" x14ac:dyDescent="0.25">
      <c r="B80" s="52">
        <v>9</v>
      </c>
      <c r="C80" s="52">
        <v>4</v>
      </c>
      <c r="D80" s="52" t="s">
        <v>91</v>
      </c>
      <c r="E80" s="52" t="s">
        <v>90</v>
      </c>
      <c r="H80" s="54">
        <f>DATE($T80-2,1,1)</f>
        <v>41275</v>
      </c>
      <c r="I80" s="52" t="s">
        <v>291</v>
      </c>
      <c r="J80" s="52" t="s">
        <v>93</v>
      </c>
      <c r="K80" s="55">
        <f>DATE($T80-$U80,$S80,$R80)</f>
        <v>41640</v>
      </c>
      <c r="L80" s="19">
        <v>20141</v>
      </c>
      <c r="M80" s="30">
        <f>INDEX(barèmes!$D$2:$E$311,MATCH(V80,barèmes!$D$2:$D$311,0),2)</f>
        <v>359.18</v>
      </c>
      <c r="O80" s="20">
        <v>20151</v>
      </c>
      <c r="P80" s="30">
        <f>INDEX(barèmes!$D$2:$E$311,MATCH(X80,barèmes!$D$2:$D$311,0),2)</f>
        <v>367.94</v>
      </c>
      <c r="Q80" s="30">
        <f>INDEX(barèmes!$D$2:$E$311,MATCH(Y80,barèmes!$D$2:$D$311,0),2)</f>
        <v>0</v>
      </c>
      <c r="R80" s="52">
        <v>1</v>
      </c>
      <c r="S80" s="52">
        <v>1</v>
      </c>
      <c r="T80" s="52">
        <v>2015</v>
      </c>
      <c r="U80" s="52">
        <v>1</v>
      </c>
      <c r="V80" s="21" t="s">
        <v>328</v>
      </c>
      <c r="X80" s="21" t="s">
        <v>333</v>
      </c>
      <c r="Y80" s="21" t="s">
        <v>317</v>
      </c>
      <c r="Z80" s="52" t="str">
        <f t="shared" si="14"/>
        <v>Changement nature RDA - revenu minimum - Complémentaire1 EXO vers Principal RED - Scénario id 9</v>
      </c>
    </row>
    <row r="81" spans="1:26" x14ac:dyDescent="0.25">
      <c r="B81" s="52">
        <v>10</v>
      </c>
      <c r="C81" s="52">
        <v>4</v>
      </c>
      <c r="D81" s="52" t="s">
        <v>91</v>
      </c>
      <c r="E81" s="52" t="s">
        <v>90</v>
      </c>
      <c r="H81" s="54">
        <f>DATE($T81-2,1,1)</f>
        <v>41275</v>
      </c>
      <c r="I81" s="52" t="s">
        <v>291</v>
      </c>
      <c r="J81" s="52" t="s">
        <v>93</v>
      </c>
      <c r="K81" s="55">
        <f>DATE($T81-$U81,$S81,$R81)</f>
        <v>41821</v>
      </c>
      <c r="L81" s="19">
        <v>20143</v>
      </c>
      <c r="M81" s="30">
        <f>INDEX(barèmes!$D$2:$E$311,MATCH(V81,barèmes!$D$2:$D$311,0),2)</f>
        <v>359.18</v>
      </c>
      <c r="N81" s="30">
        <f>INDEX(barèmes!$D$2:$E$311,MATCH(W81,barèmes!$D$2:$D$311,0),2)</f>
        <v>685.66</v>
      </c>
      <c r="O81" s="20">
        <v>20151</v>
      </c>
      <c r="P81" s="30">
        <f>INDEX(barèmes!$D$2:$E$311,MATCH(X81,barèmes!$D$2:$D$311,0),2)</f>
        <v>359.18</v>
      </c>
      <c r="Q81" s="30">
        <f>INDEX(barèmes!$D$2:$E$311,MATCH(Y81,barèmes!$D$2:$D$311,0),2)</f>
        <v>0</v>
      </c>
      <c r="R81" s="52">
        <v>1</v>
      </c>
      <c r="S81" s="52">
        <v>7</v>
      </c>
      <c r="T81" s="52">
        <v>2015</v>
      </c>
      <c r="U81" s="52">
        <v>1</v>
      </c>
      <c r="V81" s="21" t="s">
        <v>328</v>
      </c>
      <c r="W81" s="21" t="s">
        <v>322</v>
      </c>
      <c r="X81" s="21" t="s">
        <v>334</v>
      </c>
      <c r="Y81" s="21" t="s">
        <v>317</v>
      </c>
      <c r="Z81" s="52" t="str">
        <f t="shared" si="14"/>
        <v>Changement nature RDA - revenu minimum - Complémentaire1 EXO vers Principal RED - Scénario id 10</v>
      </c>
    </row>
    <row r="82" spans="1:26" x14ac:dyDescent="0.25">
      <c r="A82" s="52" t="s">
        <v>482</v>
      </c>
      <c r="B82" s="52" t="s">
        <v>399</v>
      </c>
      <c r="C82" s="52" t="s">
        <v>290</v>
      </c>
      <c r="D82" s="52" t="s">
        <v>92</v>
      </c>
      <c r="E82" s="52" t="s">
        <v>285</v>
      </c>
      <c r="F82" s="52" t="s">
        <v>292</v>
      </c>
      <c r="G82" s="52" t="s">
        <v>286</v>
      </c>
      <c r="H82" s="54" t="s">
        <v>296</v>
      </c>
      <c r="I82" s="52" t="s">
        <v>298</v>
      </c>
      <c r="J82" s="52" t="s">
        <v>299</v>
      </c>
      <c r="K82" s="55" t="s">
        <v>297</v>
      </c>
      <c r="L82" s="19" t="s">
        <v>305</v>
      </c>
      <c r="M82" s="30" t="s">
        <v>306</v>
      </c>
      <c r="N82" s="30" t="s">
        <v>484</v>
      </c>
      <c r="O82" s="20" t="s">
        <v>307</v>
      </c>
      <c r="P82" s="30" t="s">
        <v>308</v>
      </c>
      <c r="Q82" s="30" t="s">
        <v>485</v>
      </c>
      <c r="R82" s="52" t="s">
        <v>287</v>
      </c>
      <c r="S82" s="52" t="s">
        <v>288</v>
      </c>
      <c r="T82" s="52" t="s">
        <v>289</v>
      </c>
      <c r="U82" s="52" t="s">
        <v>295</v>
      </c>
      <c r="V82" s="21" t="s">
        <v>309</v>
      </c>
      <c r="W82" s="21" t="s">
        <v>486</v>
      </c>
      <c r="X82" s="21" t="s">
        <v>310</v>
      </c>
      <c r="Y82" s="21" t="s">
        <v>487</v>
      </c>
      <c r="Z82" s="52" t="s">
        <v>457</v>
      </c>
    </row>
    <row r="83" spans="1:26" x14ac:dyDescent="0.25">
      <c r="B83" s="52">
        <v>1</v>
      </c>
      <c r="C83" s="52">
        <v>4</v>
      </c>
      <c r="D83" s="52" t="s">
        <v>91</v>
      </c>
      <c r="E83" s="52" t="s">
        <v>90</v>
      </c>
      <c r="H83" s="54">
        <f t="shared" ref="H83:H92" si="19">DATE($T83-2,1,1)</f>
        <v>41275</v>
      </c>
      <c r="I83" s="52" t="s">
        <v>291</v>
      </c>
      <c r="J83" s="52" t="s">
        <v>93</v>
      </c>
      <c r="K83" s="55">
        <f t="shared" ref="K83:K92" si="20">DATE($T83-$U83,$S83,$R83)</f>
        <v>42005</v>
      </c>
      <c r="L83" s="19">
        <v>20151</v>
      </c>
      <c r="M83" s="30">
        <f>INDEX(barèmes!$D$2:$E$311,MATCH(V83,barèmes!$D$2:$D$311,0),2)</f>
        <v>376.7</v>
      </c>
      <c r="N83" s="30">
        <f>INDEX(barèmes!$D$2:$E$311,MATCH(W83,barèmes!$D$2:$D$311,0),2)</f>
        <v>719.12</v>
      </c>
      <c r="R83" s="52">
        <v>1</v>
      </c>
      <c r="S83" s="52">
        <v>1</v>
      </c>
      <c r="T83" s="52">
        <v>2015</v>
      </c>
      <c r="U83" s="52">
        <v>0</v>
      </c>
      <c r="V83" s="21" t="s">
        <v>329</v>
      </c>
      <c r="W83" s="21" t="s">
        <v>304</v>
      </c>
      <c r="Z83" s="52" t="str">
        <f t="shared" ref="Z83:Z92" si="21">TRIM($A$1&amp;" - revenu minimum "&amp; " - "&amp;$A$49&amp;" "&amp;E83&amp;" vers "&amp;I83&amp;" "&amp;J83&amp;" - Scénario id "&amp;B83)</f>
        <v>Changement nature RDA - revenu minimum - Complémentaire1 EXO vers Principal RED - Scénario id 1</v>
      </c>
    </row>
    <row r="84" spans="1:26" x14ac:dyDescent="0.25">
      <c r="B84" s="52">
        <v>2</v>
      </c>
      <c r="C84" s="52">
        <v>4</v>
      </c>
      <c r="D84" s="52" t="s">
        <v>91</v>
      </c>
      <c r="E84" s="52" t="s">
        <v>90</v>
      </c>
      <c r="H84" s="54">
        <f t="shared" si="19"/>
        <v>41275</v>
      </c>
      <c r="I84" s="52" t="s">
        <v>291</v>
      </c>
      <c r="J84" s="52" t="s">
        <v>93</v>
      </c>
      <c r="K84" s="55">
        <f t="shared" si="20"/>
        <v>42350</v>
      </c>
      <c r="L84" s="19">
        <v>20154</v>
      </c>
      <c r="M84" s="30">
        <f>INDEX(barèmes!$D$2:$E$311,MATCH(V84,barèmes!$D$2:$D$311,0),2)</f>
        <v>376.7</v>
      </c>
      <c r="N84" s="30">
        <f>INDEX(barèmes!$D$2:$E$311,MATCH(W84,barèmes!$D$2:$D$311,0),2)</f>
        <v>0</v>
      </c>
      <c r="R84" s="52">
        <v>12</v>
      </c>
      <c r="S84" s="52">
        <v>12</v>
      </c>
      <c r="T84" s="52">
        <v>2015</v>
      </c>
      <c r="U84" s="52">
        <v>0</v>
      </c>
      <c r="V84" s="21" t="s">
        <v>329</v>
      </c>
      <c r="W84" s="21" t="s">
        <v>317</v>
      </c>
      <c r="Z84" s="52" t="str">
        <f t="shared" si="21"/>
        <v>Changement nature RDA - revenu minimum - Complémentaire1 EXO vers Principal RED - Scénario id 2</v>
      </c>
    </row>
    <row r="85" spans="1:26" x14ac:dyDescent="0.25">
      <c r="B85" s="52">
        <v>3</v>
      </c>
      <c r="C85" s="52">
        <v>4</v>
      </c>
      <c r="D85" s="52" t="s">
        <v>91</v>
      </c>
      <c r="E85" s="52" t="s">
        <v>90</v>
      </c>
      <c r="H85" s="54">
        <f t="shared" si="19"/>
        <v>41275</v>
      </c>
      <c r="I85" s="52" t="s">
        <v>294</v>
      </c>
      <c r="K85" s="55">
        <f t="shared" si="20"/>
        <v>41640</v>
      </c>
      <c r="L85" s="19">
        <v>20141</v>
      </c>
      <c r="M85" s="30">
        <f>INDEX(barèmes!$D$2:$E$311,MATCH(V85,barèmes!$D$2:$D$311,0),2)</f>
        <v>301.22000000000003</v>
      </c>
      <c r="O85" s="20">
        <v>20151</v>
      </c>
      <c r="P85" s="30">
        <f>INDEX(barèmes!$D$2:$E$311,MATCH(X85,barèmes!$D$2:$D$311,0),2)</f>
        <v>308.55</v>
      </c>
      <c r="R85" s="52">
        <v>1</v>
      </c>
      <c r="S85" s="52">
        <v>1</v>
      </c>
      <c r="T85" s="52">
        <v>2015</v>
      </c>
      <c r="U85" s="52">
        <v>1</v>
      </c>
      <c r="V85" s="21" t="s">
        <v>320</v>
      </c>
      <c r="X85" s="21" t="s">
        <v>321</v>
      </c>
      <c r="Z85" s="52" t="str">
        <f t="shared" si="21"/>
        <v>Changement nature RDA - revenu minimum - Complémentaire1 EXO vers Maxi-statut - Scénario id 3</v>
      </c>
    </row>
    <row r="86" spans="1:26" x14ac:dyDescent="0.25">
      <c r="B86" s="52">
        <v>4</v>
      </c>
      <c r="C86" s="52">
        <v>4</v>
      </c>
      <c r="D86" s="52" t="s">
        <v>91</v>
      </c>
      <c r="E86" s="52" t="s">
        <v>90</v>
      </c>
      <c r="H86" s="54">
        <f t="shared" si="19"/>
        <v>41275</v>
      </c>
      <c r="I86" s="52" t="s">
        <v>294</v>
      </c>
      <c r="K86" s="55">
        <f t="shared" si="20"/>
        <v>41821</v>
      </c>
      <c r="L86" s="19">
        <v>20143</v>
      </c>
      <c r="M86" s="30">
        <f>INDEX(barèmes!$D$2:$E$311,MATCH(V86,barèmes!$D$2:$D$311,0),2)</f>
        <v>301.22000000000003</v>
      </c>
      <c r="O86" s="20">
        <v>20151</v>
      </c>
      <c r="P86" s="30">
        <f>INDEX(barèmes!$D$2:$E$311,MATCH(X86,barèmes!$D$2:$D$311,0),2)</f>
        <v>301.22000000000003</v>
      </c>
      <c r="R86" s="52">
        <v>1</v>
      </c>
      <c r="S86" s="52">
        <v>7</v>
      </c>
      <c r="T86" s="52">
        <v>2015</v>
      </c>
      <c r="U86" s="52">
        <v>1</v>
      </c>
      <c r="V86" s="21" t="s">
        <v>320</v>
      </c>
      <c r="X86" s="21" t="s">
        <v>318</v>
      </c>
      <c r="Z86" s="52" t="str">
        <f t="shared" si="21"/>
        <v>Changement nature RDA - revenu minimum - Complémentaire1 EXO vers Maxi-statut - Scénario id 4</v>
      </c>
    </row>
    <row r="87" spans="1:26" x14ac:dyDescent="0.25">
      <c r="B87" s="52">
        <v>5</v>
      </c>
      <c r="C87" s="52">
        <v>4</v>
      </c>
      <c r="D87" s="52" t="s">
        <v>91</v>
      </c>
      <c r="E87" s="52" t="s">
        <v>90</v>
      </c>
      <c r="H87" s="54">
        <f t="shared" si="19"/>
        <v>41275</v>
      </c>
      <c r="I87" s="52" t="s">
        <v>294</v>
      </c>
      <c r="K87" s="55">
        <f t="shared" si="20"/>
        <v>42005</v>
      </c>
      <c r="L87" s="19">
        <v>20151</v>
      </c>
      <c r="M87" s="30">
        <f>INDEX(barèmes!$D$2:$E$311,MATCH(V87,barèmes!$D$2:$D$311,0),2)</f>
        <v>315.89999999999998</v>
      </c>
      <c r="R87" s="52">
        <v>1</v>
      </c>
      <c r="S87" s="52">
        <v>1</v>
      </c>
      <c r="T87" s="52">
        <v>2015</v>
      </c>
      <c r="U87" s="52">
        <v>0</v>
      </c>
      <c r="V87" s="21" t="s">
        <v>319</v>
      </c>
      <c r="Z87" s="52" t="str">
        <f t="shared" si="21"/>
        <v>Changement nature RDA - revenu minimum - Complémentaire1 EXO vers Maxi-statut - Scénario id 5</v>
      </c>
    </row>
    <row r="88" spans="1:26" x14ac:dyDescent="0.25">
      <c r="B88" s="52">
        <v>6</v>
      </c>
      <c r="C88" s="52">
        <v>4</v>
      </c>
      <c r="D88" s="52" t="s">
        <v>91</v>
      </c>
      <c r="E88" s="52" t="s">
        <v>90</v>
      </c>
      <c r="H88" s="54">
        <f t="shared" si="19"/>
        <v>41275</v>
      </c>
      <c r="I88" s="52" t="s">
        <v>294</v>
      </c>
      <c r="K88" s="55">
        <f t="shared" si="20"/>
        <v>42350</v>
      </c>
      <c r="L88" s="19">
        <v>20154</v>
      </c>
      <c r="M88" s="30">
        <f>INDEX(barèmes!$D$2:$E$311,MATCH(V88,barèmes!$D$2:$D$311,0),2)</f>
        <v>315.89999999999998</v>
      </c>
      <c r="R88" s="52">
        <v>12</v>
      </c>
      <c r="S88" s="52">
        <v>12</v>
      </c>
      <c r="T88" s="52">
        <v>2015</v>
      </c>
      <c r="U88" s="52">
        <v>0</v>
      </c>
      <c r="V88" s="21" t="s">
        <v>319</v>
      </c>
      <c r="Z88" s="52" t="str">
        <f t="shared" si="21"/>
        <v>Changement nature RDA - revenu minimum - Complémentaire1 EXO vers Maxi-statut - Scénario id 6</v>
      </c>
    </row>
    <row r="89" spans="1:26" x14ac:dyDescent="0.25">
      <c r="B89" s="52">
        <v>7</v>
      </c>
      <c r="C89" s="52">
        <v>4</v>
      </c>
      <c r="D89" s="52" t="s">
        <v>91</v>
      </c>
      <c r="E89" s="52" t="s">
        <v>90</v>
      </c>
      <c r="H89" s="54">
        <f t="shared" si="19"/>
        <v>41275</v>
      </c>
      <c r="I89" s="52" t="s">
        <v>294</v>
      </c>
      <c r="J89" s="52" t="s">
        <v>90</v>
      </c>
      <c r="K89" s="55">
        <f t="shared" si="20"/>
        <v>41640</v>
      </c>
      <c r="L89" s="19">
        <v>20141</v>
      </c>
      <c r="M89" s="30">
        <f>INDEX(barèmes!$D$2:$E$311,MATCH(V89,barèmes!$D$2:$D$311,0),2)</f>
        <v>0</v>
      </c>
      <c r="R89" s="52">
        <v>1</v>
      </c>
      <c r="S89" s="52">
        <v>1</v>
      </c>
      <c r="T89" s="52">
        <v>2015</v>
      </c>
      <c r="U89" s="52">
        <v>1</v>
      </c>
      <c r="V89" s="21" t="s">
        <v>317</v>
      </c>
      <c r="Z89" s="52" t="str">
        <f t="shared" si="21"/>
        <v>Changement nature RDA - revenu minimum - Complémentaire1 EXO vers Maxi-statut EXO - Scénario id 7</v>
      </c>
    </row>
    <row r="90" spans="1:26" x14ac:dyDescent="0.25">
      <c r="B90" s="52">
        <v>8</v>
      </c>
      <c r="C90" s="52">
        <v>4</v>
      </c>
      <c r="D90" s="52" t="s">
        <v>91</v>
      </c>
      <c r="E90" s="52" t="s">
        <v>90</v>
      </c>
      <c r="H90" s="54">
        <f t="shared" si="19"/>
        <v>41275</v>
      </c>
      <c r="I90" s="52" t="s">
        <v>294</v>
      </c>
      <c r="J90" s="52" t="s">
        <v>90</v>
      </c>
      <c r="K90" s="55">
        <f t="shared" si="20"/>
        <v>41821</v>
      </c>
      <c r="L90" s="19">
        <v>20143</v>
      </c>
      <c r="M90" s="30">
        <f>INDEX(barèmes!$D$2:$E$311,MATCH(V90,barèmes!$D$2:$D$311,0),2)</f>
        <v>0</v>
      </c>
      <c r="R90" s="52">
        <v>1</v>
      </c>
      <c r="S90" s="52">
        <v>7</v>
      </c>
      <c r="T90" s="52">
        <v>2015</v>
      </c>
      <c r="U90" s="52">
        <v>1</v>
      </c>
      <c r="V90" s="21" t="s">
        <v>317</v>
      </c>
      <c r="Z90" s="52" t="str">
        <f t="shared" si="21"/>
        <v>Changement nature RDA - revenu minimum - Complémentaire1 EXO vers Maxi-statut EXO - Scénario id 8</v>
      </c>
    </row>
    <row r="91" spans="1:26" x14ac:dyDescent="0.25">
      <c r="B91" s="52">
        <v>9</v>
      </c>
      <c r="C91" s="52">
        <v>4</v>
      </c>
      <c r="D91" s="52" t="s">
        <v>91</v>
      </c>
      <c r="E91" s="52" t="s">
        <v>90</v>
      </c>
      <c r="H91" s="54">
        <f t="shared" si="19"/>
        <v>41275</v>
      </c>
      <c r="I91" s="52" t="s">
        <v>294</v>
      </c>
      <c r="J91" s="52" t="s">
        <v>90</v>
      </c>
      <c r="K91" s="55">
        <f t="shared" si="20"/>
        <v>42005</v>
      </c>
      <c r="L91" s="19">
        <v>20151</v>
      </c>
      <c r="M91" s="30">
        <f>INDEX(barèmes!$D$2:$E$311,MATCH(V91,barèmes!$D$2:$D$311,0),2)</f>
        <v>0</v>
      </c>
      <c r="R91" s="52">
        <v>1</v>
      </c>
      <c r="S91" s="52">
        <v>1</v>
      </c>
      <c r="T91" s="52">
        <v>2015</v>
      </c>
      <c r="U91" s="52">
        <v>0</v>
      </c>
      <c r="V91" s="21" t="s">
        <v>317</v>
      </c>
      <c r="Z91" s="52" t="str">
        <f t="shared" si="21"/>
        <v>Changement nature RDA - revenu minimum - Complémentaire1 EXO vers Maxi-statut EXO - Scénario id 9</v>
      </c>
    </row>
    <row r="92" spans="1:26" x14ac:dyDescent="0.25">
      <c r="B92" s="52">
        <v>10</v>
      </c>
      <c r="C92" s="52">
        <v>4</v>
      </c>
      <c r="D92" s="52" t="s">
        <v>91</v>
      </c>
      <c r="E92" s="52" t="s">
        <v>90</v>
      </c>
      <c r="H92" s="54">
        <f t="shared" si="19"/>
        <v>41275</v>
      </c>
      <c r="I92" s="52" t="s">
        <v>294</v>
      </c>
      <c r="J92" s="52" t="s">
        <v>90</v>
      </c>
      <c r="K92" s="55">
        <f t="shared" si="20"/>
        <v>42350</v>
      </c>
      <c r="L92" s="19">
        <v>20154</v>
      </c>
      <c r="M92" s="30">
        <f>INDEX(barèmes!$D$2:$E$311,MATCH(V92,barèmes!$D$2:$D$311,0),2)</f>
        <v>0</v>
      </c>
      <c r="N92" s="30">
        <f>INDEX(barèmes!$D$2:$E$311,MATCH(W92,barèmes!$D$2:$D$311,0),2)</f>
        <v>315.89999999999998</v>
      </c>
      <c r="R92" s="52">
        <v>12</v>
      </c>
      <c r="S92" s="52">
        <v>12</v>
      </c>
      <c r="T92" s="52">
        <v>2015</v>
      </c>
      <c r="U92" s="52">
        <v>0</v>
      </c>
      <c r="V92" s="21" t="s">
        <v>317</v>
      </c>
      <c r="W92" s="21" t="s">
        <v>319</v>
      </c>
      <c r="Z92" s="52" t="str">
        <f t="shared" si="21"/>
        <v>Changement nature RDA - revenu minimum - Complémentaire1 EXO vers Maxi-statut EXO - Scénario id 10</v>
      </c>
    </row>
    <row r="93" spans="1:26" x14ac:dyDescent="0.25">
      <c r="A93" s="52" t="s">
        <v>478</v>
      </c>
      <c r="B93" s="52" t="s">
        <v>399</v>
      </c>
      <c r="C93" s="52" t="s">
        <v>290</v>
      </c>
      <c r="D93" s="52" t="s">
        <v>92</v>
      </c>
      <c r="E93" s="52" t="s">
        <v>285</v>
      </c>
      <c r="F93" s="52" t="s">
        <v>292</v>
      </c>
      <c r="G93" s="52" t="s">
        <v>286</v>
      </c>
      <c r="H93" s="54" t="s">
        <v>296</v>
      </c>
      <c r="I93" s="52" t="s">
        <v>298</v>
      </c>
      <c r="J93" s="52" t="s">
        <v>299</v>
      </c>
      <c r="K93" s="55" t="s">
        <v>297</v>
      </c>
      <c r="L93" s="19" t="s">
        <v>305</v>
      </c>
      <c r="M93" s="30" t="s">
        <v>306</v>
      </c>
      <c r="N93" s="30" t="s">
        <v>484</v>
      </c>
      <c r="O93" s="20" t="s">
        <v>307</v>
      </c>
      <c r="P93" s="30" t="s">
        <v>308</v>
      </c>
      <c r="Q93" s="30" t="s">
        <v>485</v>
      </c>
      <c r="R93" s="52" t="s">
        <v>287</v>
      </c>
      <c r="S93" s="52" t="s">
        <v>288</v>
      </c>
      <c r="T93" s="52" t="s">
        <v>289</v>
      </c>
      <c r="U93" s="52" t="s">
        <v>295</v>
      </c>
      <c r="V93" s="21" t="s">
        <v>309</v>
      </c>
      <c r="W93" s="21" t="s">
        <v>486</v>
      </c>
      <c r="X93" s="21" t="s">
        <v>310</v>
      </c>
      <c r="Y93" s="21" t="s">
        <v>487</v>
      </c>
      <c r="Z93" s="52" t="s">
        <v>457</v>
      </c>
    </row>
    <row r="94" spans="1:26" x14ac:dyDescent="0.25">
      <c r="B94" s="52">
        <v>1</v>
      </c>
      <c r="C94" s="52">
        <v>5</v>
      </c>
      <c r="D94" s="52" t="s">
        <v>91</v>
      </c>
      <c r="H94" s="54">
        <f>DATE($T94-2,1,1)</f>
        <v>41275</v>
      </c>
      <c r="I94" s="52" t="s">
        <v>291</v>
      </c>
      <c r="K94" s="55">
        <f>DATE($T94-$U94,$S94,$R94)</f>
        <v>41640</v>
      </c>
      <c r="L94" s="19">
        <v>20141</v>
      </c>
      <c r="M94" s="30">
        <f>INDEX(barèmes!$D$2:$E$311,MATCH(V94,barèmes!$D$2:$D$311,0),2)</f>
        <v>685.66</v>
      </c>
      <c r="O94" s="20">
        <v>20151</v>
      </c>
      <c r="P94" s="30">
        <f>INDEX(barèmes!$D$2:$E$311,MATCH(X94,barèmes!$D$2:$D$311,0),2)</f>
        <v>702.39</v>
      </c>
      <c r="R94" s="52">
        <v>1</v>
      </c>
      <c r="S94" s="52">
        <v>1</v>
      </c>
      <c r="T94" s="52">
        <v>2015</v>
      </c>
      <c r="U94" s="52">
        <v>1</v>
      </c>
      <c r="V94" s="21" t="s">
        <v>322</v>
      </c>
      <c r="X94" s="21" t="s">
        <v>331</v>
      </c>
      <c r="Z94" s="52" t="str">
        <f t="shared" ref="Z94:Z105" si="22">TRIM($A$1&amp;" - revenu minimum "&amp; " - "&amp;$A$93&amp;" "&amp;E94&amp;" vers "&amp;I94&amp;" "&amp;J94&amp;" - Scénario id "&amp;B94)</f>
        <v>Changement nature RDA - revenu minimum - Maxi-statut1 vers Principal - Scénario id 1</v>
      </c>
    </row>
    <row r="95" spans="1:26" x14ac:dyDescent="0.25">
      <c r="B95" s="52">
        <v>2</v>
      </c>
      <c r="C95" s="52">
        <v>5</v>
      </c>
      <c r="D95" s="52" t="s">
        <v>91</v>
      </c>
      <c r="H95" s="54">
        <f t="shared" ref="H95:H97" si="23">DATE($T95-2,1,1)</f>
        <v>41275</v>
      </c>
      <c r="I95" s="52" t="s">
        <v>291</v>
      </c>
      <c r="K95" s="55">
        <f t="shared" ref="K95:K97" si="24">DATE($T95-$U95,$S95,$R95)</f>
        <v>41821</v>
      </c>
      <c r="L95" s="19">
        <v>20143</v>
      </c>
      <c r="M95" s="30">
        <f>INDEX(barèmes!$D$2:$E$311,MATCH(V95,barèmes!$D$2:$D$311,0),2)</f>
        <v>685.66</v>
      </c>
      <c r="O95" s="20">
        <v>20151</v>
      </c>
      <c r="P95" s="30">
        <f>INDEX(barèmes!$D$2:$E$311,MATCH(X95,barèmes!$D$2:$D$311,0),2)</f>
        <v>685.66</v>
      </c>
      <c r="R95" s="52">
        <v>1</v>
      </c>
      <c r="S95" s="52">
        <v>7</v>
      </c>
      <c r="T95" s="52">
        <v>2015</v>
      </c>
      <c r="U95" s="52">
        <v>1</v>
      </c>
      <c r="V95" s="21" t="s">
        <v>322</v>
      </c>
      <c r="X95" s="21" t="s">
        <v>332</v>
      </c>
      <c r="Z95" s="52" t="str">
        <f t="shared" si="22"/>
        <v>Changement nature RDA - revenu minimum - Maxi-statut1 vers Principal - Scénario id 2</v>
      </c>
    </row>
    <row r="96" spans="1:26" x14ac:dyDescent="0.25">
      <c r="B96" s="52">
        <v>3</v>
      </c>
      <c r="C96" s="52">
        <v>5</v>
      </c>
      <c r="D96" s="52" t="s">
        <v>91</v>
      </c>
      <c r="H96" s="54">
        <f t="shared" si="23"/>
        <v>41275</v>
      </c>
      <c r="I96" s="52" t="s">
        <v>291</v>
      </c>
      <c r="K96" s="55">
        <f t="shared" si="24"/>
        <v>42005</v>
      </c>
      <c r="L96" s="19">
        <v>20151</v>
      </c>
      <c r="M96" s="30">
        <f>INDEX(barèmes!$D$2:$E$311,MATCH(V96,barèmes!$D$2:$D$311,0),2)</f>
        <v>719.12</v>
      </c>
      <c r="R96" s="52">
        <v>1</v>
      </c>
      <c r="S96" s="52">
        <v>1</v>
      </c>
      <c r="T96" s="52">
        <v>2015</v>
      </c>
      <c r="U96" s="52">
        <v>0</v>
      </c>
      <c r="V96" s="21" t="s">
        <v>304</v>
      </c>
      <c r="Z96" s="52" t="str">
        <f t="shared" si="22"/>
        <v>Changement nature RDA - revenu minimum - Maxi-statut1 vers Principal - Scénario id 3</v>
      </c>
    </row>
    <row r="97" spans="1:26" x14ac:dyDescent="0.25">
      <c r="B97" s="52">
        <v>4</v>
      </c>
      <c r="C97" s="52">
        <v>5</v>
      </c>
      <c r="D97" s="52" t="s">
        <v>91</v>
      </c>
      <c r="H97" s="54">
        <f t="shared" si="23"/>
        <v>41275</v>
      </c>
      <c r="I97" s="52" t="s">
        <v>291</v>
      </c>
      <c r="K97" s="55">
        <f t="shared" si="24"/>
        <v>42350</v>
      </c>
      <c r="L97" s="19">
        <v>20154</v>
      </c>
      <c r="M97" s="30">
        <f>INDEX(barèmes!$D$2:$E$311,MATCH(V97,barèmes!$D$2:$D$311,0),2)</f>
        <v>719.12</v>
      </c>
      <c r="R97" s="52">
        <v>12</v>
      </c>
      <c r="S97" s="52">
        <v>12</v>
      </c>
      <c r="T97" s="52">
        <v>2015</v>
      </c>
      <c r="U97" s="52">
        <v>0</v>
      </c>
      <c r="V97" s="21" t="s">
        <v>304</v>
      </c>
      <c r="Z97" s="52" t="str">
        <f t="shared" si="22"/>
        <v>Changement nature RDA - revenu minimum - Maxi-statut1 vers Principal - Scénario id 4</v>
      </c>
    </row>
    <row r="98" spans="1:26" x14ac:dyDescent="0.25">
      <c r="B98" s="52">
        <v>5</v>
      </c>
      <c r="C98" s="52">
        <v>5</v>
      </c>
      <c r="D98" s="52" t="s">
        <v>91</v>
      </c>
      <c r="H98" s="54">
        <f>DATE($T98-2,1,1)</f>
        <v>41275</v>
      </c>
      <c r="I98" s="52" t="s">
        <v>291</v>
      </c>
      <c r="J98" s="52" t="s">
        <v>90</v>
      </c>
      <c r="K98" s="55">
        <f>DATE($T98-$U98,$S98,$R98)</f>
        <v>41640</v>
      </c>
      <c r="L98" s="19">
        <v>20141</v>
      </c>
      <c r="M98" s="30">
        <f>INDEX(barèmes!$D$2:$E$311,MATCH(V98,barèmes!$D$2:$D$311,0),2)</f>
        <v>0</v>
      </c>
      <c r="R98" s="52">
        <v>1</v>
      </c>
      <c r="S98" s="52">
        <v>1</v>
      </c>
      <c r="T98" s="52">
        <v>2015</v>
      </c>
      <c r="U98" s="52">
        <v>1</v>
      </c>
      <c r="V98" s="21" t="s">
        <v>317</v>
      </c>
      <c r="Z98" s="52" t="str">
        <f t="shared" si="22"/>
        <v>Changement nature RDA - revenu minimum - Maxi-statut1 vers Principal EXO - Scénario id 5</v>
      </c>
    </row>
    <row r="99" spans="1:26" x14ac:dyDescent="0.25">
      <c r="B99" s="52">
        <v>6</v>
      </c>
      <c r="C99" s="52">
        <v>5</v>
      </c>
      <c r="D99" s="52" t="s">
        <v>91</v>
      </c>
      <c r="H99" s="54">
        <f t="shared" ref="H99:H101" si="25">DATE($T99-2,1,1)</f>
        <v>41275</v>
      </c>
      <c r="I99" s="52" t="s">
        <v>291</v>
      </c>
      <c r="J99" s="52" t="s">
        <v>90</v>
      </c>
      <c r="K99" s="55">
        <f t="shared" ref="K99:K101" si="26">DATE($T99-$U99,$S99,$R99)</f>
        <v>41821</v>
      </c>
      <c r="L99" s="19">
        <v>20143</v>
      </c>
      <c r="M99" s="30">
        <f>INDEX(barèmes!$D$2:$E$311,MATCH(V99,barèmes!$D$2:$D$311,0),2)</f>
        <v>0</v>
      </c>
      <c r="R99" s="52">
        <v>1</v>
      </c>
      <c r="S99" s="52">
        <v>7</v>
      </c>
      <c r="T99" s="52">
        <v>2015</v>
      </c>
      <c r="U99" s="52">
        <v>1</v>
      </c>
      <c r="V99" s="21" t="s">
        <v>317</v>
      </c>
      <c r="Z99" s="52" t="str">
        <f t="shared" si="22"/>
        <v>Changement nature RDA - revenu minimum - Maxi-statut1 vers Principal EXO - Scénario id 6</v>
      </c>
    </row>
    <row r="100" spans="1:26" x14ac:dyDescent="0.25">
      <c r="B100" s="52">
        <v>7</v>
      </c>
      <c r="C100" s="52">
        <v>5</v>
      </c>
      <c r="D100" s="52" t="s">
        <v>91</v>
      </c>
      <c r="H100" s="54">
        <f t="shared" si="25"/>
        <v>41275</v>
      </c>
      <c r="I100" s="52" t="s">
        <v>291</v>
      </c>
      <c r="J100" s="52" t="s">
        <v>90</v>
      </c>
      <c r="K100" s="55">
        <f t="shared" si="26"/>
        <v>42005</v>
      </c>
      <c r="L100" s="19">
        <v>20151</v>
      </c>
      <c r="M100" s="30">
        <f>INDEX(barèmes!$D$2:$E$311,MATCH(V100,barèmes!$D$2:$D$311,0),2)</f>
        <v>0</v>
      </c>
      <c r="R100" s="52">
        <v>1</v>
      </c>
      <c r="S100" s="52">
        <v>1</v>
      </c>
      <c r="T100" s="52">
        <v>2015</v>
      </c>
      <c r="U100" s="52">
        <v>0</v>
      </c>
      <c r="V100" s="21" t="s">
        <v>317</v>
      </c>
      <c r="Z100" s="52" t="str">
        <f t="shared" si="22"/>
        <v>Changement nature RDA - revenu minimum - Maxi-statut1 vers Principal EXO - Scénario id 7</v>
      </c>
    </row>
    <row r="101" spans="1:26" x14ac:dyDescent="0.25">
      <c r="B101" s="52">
        <v>8</v>
      </c>
      <c r="C101" s="52">
        <v>5</v>
      </c>
      <c r="D101" s="52" t="s">
        <v>91</v>
      </c>
      <c r="H101" s="54">
        <f t="shared" si="25"/>
        <v>41275</v>
      </c>
      <c r="I101" s="52" t="s">
        <v>291</v>
      </c>
      <c r="J101" s="52" t="s">
        <v>90</v>
      </c>
      <c r="K101" s="55">
        <f t="shared" si="26"/>
        <v>42350</v>
      </c>
      <c r="L101" s="19">
        <v>20154</v>
      </c>
      <c r="M101" s="30">
        <f>INDEX(barèmes!$D$2:$E$311,MATCH(V101,barèmes!$D$2:$D$311,0),2)</f>
        <v>0</v>
      </c>
      <c r="N101" s="30">
        <f>INDEX(barèmes!$D$2:$E$311,MATCH(W101,barèmes!$D$2:$D$311,0),2)</f>
        <v>719.12</v>
      </c>
      <c r="R101" s="52">
        <v>12</v>
      </c>
      <c r="S101" s="52">
        <v>12</v>
      </c>
      <c r="T101" s="52">
        <v>2015</v>
      </c>
      <c r="U101" s="52">
        <v>0</v>
      </c>
      <c r="V101" s="21" t="s">
        <v>317</v>
      </c>
      <c r="W101" s="21" t="s">
        <v>304</v>
      </c>
      <c r="Z101" s="52" t="str">
        <f t="shared" si="22"/>
        <v>Changement nature RDA - revenu minimum - Maxi-statut1 vers Principal EXO - Scénario id 8</v>
      </c>
    </row>
    <row r="102" spans="1:26" x14ac:dyDescent="0.25">
      <c r="B102" s="52">
        <v>9</v>
      </c>
      <c r="C102" s="52">
        <v>5</v>
      </c>
      <c r="D102" s="52" t="s">
        <v>91</v>
      </c>
      <c r="H102" s="54">
        <f>DATE($T102-2,1,1)</f>
        <v>41275</v>
      </c>
      <c r="I102" s="52" t="s">
        <v>291</v>
      </c>
      <c r="J102" s="52" t="s">
        <v>93</v>
      </c>
      <c r="K102" s="55">
        <f>DATE($T102-$U102,$S102,$R102)</f>
        <v>41640</v>
      </c>
      <c r="L102" s="19">
        <v>20141</v>
      </c>
      <c r="M102" s="30">
        <f>INDEX(barèmes!$D$2:$E$311,MATCH(V102,barèmes!$D$2:$D$311,0),2)</f>
        <v>359.18</v>
      </c>
      <c r="O102" s="20">
        <v>20151</v>
      </c>
      <c r="P102" s="30">
        <f>INDEX(barèmes!$D$2:$E$311,MATCH(X102,barèmes!$D$2:$D$311,0),2)</f>
        <v>367.94</v>
      </c>
      <c r="Q102" s="30">
        <f>INDEX(barèmes!$D$2:$E$311,MATCH(Y102,barèmes!$D$2:$D$311,0),2)</f>
        <v>702.39</v>
      </c>
      <c r="R102" s="52">
        <v>1</v>
      </c>
      <c r="S102" s="52">
        <v>1</v>
      </c>
      <c r="T102" s="52">
        <v>2015</v>
      </c>
      <c r="U102" s="52">
        <v>1</v>
      </c>
      <c r="V102" s="21" t="s">
        <v>328</v>
      </c>
      <c r="X102" s="21" t="s">
        <v>333</v>
      </c>
      <c r="Y102" s="21" t="s">
        <v>331</v>
      </c>
      <c r="Z102" s="52" t="str">
        <f t="shared" si="22"/>
        <v>Changement nature RDA - revenu minimum - Maxi-statut1 vers Principal RED - Scénario id 9</v>
      </c>
    </row>
    <row r="103" spans="1:26" x14ac:dyDescent="0.25">
      <c r="B103" s="52">
        <v>10</v>
      </c>
      <c r="C103" s="52">
        <v>5</v>
      </c>
      <c r="D103" s="52" t="s">
        <v>91</v>
      </c>
      <c r="H103" s="54">
        <f t="shared" ref="H103:H112" si="27">DATE($T103-2,1,1)</f>
        <v>41275</v>
      </c>
      <c r="I103" s="52" t="s">
        <v>291</v>
      </c>
      <c r="J103" s="52" t="s">
        <v>93</v>
      </c>
      <c r="K103" s="55">
        <f t="shared" ref="K103:K112" si="28">DATE($T103-$U103,$S103,$R103)</f>
        <v>41821</v>
      </c>
      <c r="L103" s="19">
        <v>20143</v>
      </c>
      <c r="M103" s="30">
        <f>INDEX(barèmes!$D$2:$E$311,MATCH(V103,barèmes!$D$2:$D$311,0),2)</f>
        <v>359.18</v>
      </c>
      <c r="O103" s="20">
        <v>20151</v>
      </c>
      <c r="P103" s="30">
        <f>INDEX(barèmes!$D$2:$E$311,MATCH(X103,barèmes!$D$2:$D$311,0),2)</f>
        <v>359.18</v>
      </c>
      <c r="Q103" s="30">
        <f>INDEX(barèmes!$D$2:$E$311,MATCH(Y103,barèmes!$D$2:$D$311,0),2)</f>
        <v>685.66</v>
      </c>
      <c r="R103" s="52">
        <v>1</v>
      </c>
      <c r="S103" s="52">
        <v>7</v>
      </c>
      <c r="T103" s="52">
        <v>2015</v>
      </c>
      <c r="U103" s="52">
        <v>1</v>
      </c>
      <c r="V103" s="21" t="s">
        <v>328</v>
      </c>
      <c r="X103" s="21" t="s">
        <v>334</v>
      </c>
      <c r="Y103" s="21" t="s">
        <v>332</v>
      </c>
      <c r="Z103" s="52" t="str">
        <f t="shared" si="22"/>
        <v>Changement nature RDA - revenu minimum - Maxi-statut1 vers Principal RED - Scénario id 10</v>
      </c>
    </row>
    <row r="104" spans="1:26" x14ac:dyDescent="0.25">
      <c r="B104" s="52">
        <v>11</v>
      </c>
      <c r="C104" s="52">
        <v>5</v>
      </c>
      <c r="D104" s="52" t="s">
        <v>91</v>
      </c>
      <c r="H104" s="54">
        <f t="shared" si="27"/>
        <v>41275</v>
      </c>
      <c r="I104" s="52" t="s">
        <v>291</v>
      </c>
      <c r="J104" s="52" t="s">
        <v>93</v>
      </c>
      <c r="K104" s="55">
        <f t="shared" si="28"/>
        <v>42005</v>
      </c>
      <c r="L104" s="19">
        <v>20151</v>
      </c>
      <c r="M104" s="30">
        <f>INDEX(barèmes!$D$2:$E$311,MATCH(V104,barèmes!$D$2:$D$311,0),2)</f>
        <v>376.7</v>
      </c>
      <c r="N104" s="30">
        <f>INDEX(barèmes!$D$2:$E$311,MATCH(W104,barèmes!$D$2:$D$311,0),2)</f>
        <v>719.12</v>
      </c>
      <c r="R104" s="52">
        <v>1</v>
      </c>
      <c r="S104" s="52">
        <v>1</v>
      </c>
      <c r="T104" s="52">
        <v>2015</v>
      </c>
      <c r="U104" s="52">
        <v>0</v>
      </c>
      <c r="V104" s="21" t="s">
        <v>329</v>
      </c>
      <c r="W104" s="21" t="s">
        <v>304</v>
      </c>
      <c r="Z104" s="52" t="str">
        <f t="shared" si="22"/>
        <v>Changement nature RDA - revenu minimum - Maxi-statut1 vers Principal RED - Scénario id 11</v>
      </c>
    </row>
    <row r="105" spans="1:26" x14ac:dyDescent="0.25">
      <c r="B105" s="52">
        <v>12</v>
      </c>
      <c r="C105" s="52">
        <v>5</v>
      </c>
      <c r="D105" s="52" t="s">
        <v>91</v>
      </c>
      <c r="H105" s="54">
        <f t="shared" si="27"/>
        <v>41275</v>
      </c>
      <c r="I105" s="52" t="s">
        <v>291</v>
      </c>
      <c r="J105" s="52" t="s">
        <v>93</v>
      </c>
      <c r="K105" s="55">
        <f t="shared" si="28"/>
        <v>42350</v>
      </c>
      <c r="L105" s="19">
        <v>20154</v>
      </c>
      <c r="M105" s="30">
        <f>INDEX(barèmes!$D$2:$E$311,MATCH(V105,barèmes!$D$2:$D$311,0),2)</f>
        <v>376.7</v>
      </c>
      <c r="N105" s="30">
        <f>INDEX(barèmes!$D$2:$E$311,MATCH(W105,barèmes!$D$2:$D$311,0),2)</f>
        <v>719.12</v>
      </c>
      <c r="R105" s="52">
        <v>12</v>
      </c>
      <c r="S105" s="52">
        <v>12</v>
      </c>
      <c r="T105" s="52">
        <v>2015</v>
      </c>
      <c r="U105" s="52">
        <v>0</v>
      </c>
      <c r="V105" s="21" t="s">
        <v>329</v>
      </c>
      <c r="W105" s="21" t="s">
        <v>304</v>
      </c>
      <c r="Z105" s="52" t="str">
        <f t="shared" si="22"/>
        <v>Changement nature RDA - revenu minimum - Maxi-statut1 vers Principal RED - Scénario id 12</v>
      </c>
    </row>
    <row r="106" spans="1:26" x14ac:dyDescent="0.25">
      <c r="A106" s="52" t="s">
        <v>479</v>
      </c>
      <c r="B106" s="52" t="s">
        <v>399</v>
      </c>
      <c r="C106" s="52" t="s">
        <v>290</v>
      </c>
      <c r="D106" s="52" t="s">
        <v>92</v>
      </c>
      <c r="E106" s="52" t="s">
        <v>285</v>
      </c>
      <c r="F106" s="52" t="s">
        <v>292</v>
      </c>
      <c r="G106" s="52" t="s">
        <v>286</v>
      </c>
      <c r="H106" s="54" t="s">
        <v>296</v>
      </c>
      <c r="I106" s="52" t="s">
        <v>298</v>
      </c>
      <c r="J106" s="52" t="s">
        <v>299</v>
      </c>
      <c r="K106" s="55" t="s">
        <v>297</v>
      </c>
      <c r="L106" s="19" t="s">
        <v>305</v>
      </c>
      <c r="M106" s="30" t="s">
        <v>306</v>
      </c>
      <c r="N106" s="30" t="s">
        <v>484</v>
      </c>
      <c r="O106" s="20" t="s">
        <v>307</v>
      </c>
      <c r="P106" s="30" t="s">
        <v>308</v>
      </c>
      <c r="Q106" s="30" t="s">
        <v>485</v>
      </c>
      <c r="R106" s="52" t="s">
        <v>287</v>
      </c>
      <c r="S106" s="52" t="s">
        <v>288</v>
      </c>
      <c r="T106" s="52" t="s">
        <v>289</v>
      </c>
      <c r="U106" s="52" t="s">
        <v>295</v>
      </c>
      <c r="V106" s="21" t="s">
        <v>309</v>
      </c>
      <c r="W106" s="21" t="s">
        <v>486</v>
      </c>
      <c r="X106" s="21" t="s">
        <v>310</v>
      </c>
      <c r="Y106" s="21" t="s">
        <v>487</v>
      </c>
      <c r="Z106" s="52" t="s">
        <v>457</v>
      </c>
    </row>
    <row r="107" spans="1:26" x14ac:dyDescent="0.25">
      <c r="B107" s="52">
        <v>1</v>
      </c>
      <c r="C107" s="52">
        <v>5</v>
      </c>
      <c r="D107" s="52" t="s">
        <v>91</v>
      </c>
      <c r="H107" s="54">
        <f t="shared" si="27"/>
        <v>41275</v>
      </c>
      <c r="I107" s="52" t="s">
        <v>293</v>
      </c>
      <c r="K107" s="55">
        <f t="shared" si="28"/>
        <v>41640</v>
      </c>
      <c r="L107" s="19">
        <v>20141</v>
      </c>
      <c r="M107" s="30">
        <f>INDEX(barèmes!$D$2:$E$311,MATCH(V107,barèmes!$D$2:$D$311,0),2)</f>
        <v>75.849999999999994</v>
      </c>
      <c r="O107" s="20">
        <v>20151</v>
      </c>
      <c r="P107" s="30">
        <f>INDEX(barèmes!$D$2:$E$311,MATCH(X107,barèmes!$D$2:$D$311,0),2)</f>
        <v>77.7</v>
      </c>
      <c r="R107" s="52">
        <v>1</v>
      </c>
      <c r="S107" s="52">
        <v>1</v>
      </c>
      <c r="T107" s="52">
        <v>2015</v>
      </c>
      <c r="U107" s="52">
        <v>1</v>
      </c>
      <c r="V107" s="21" t="s">
        <v>314</v>
      </c>
      <c r="X107" s="21" t="s">
        <v>315</v>
      </c>
      <c r="Z107" s="52" t="str">
        <f t="shared" ref="Z107:Z118" si="29">TRIM($A$1&amp;" - revenu minimum "&amp; " - "&amp;$A$93&amp;" "&amp;E107&amp;" vers "&amp;I107&amp;" "&amp;J107&amp;" - Scénario id "&amp;B107)</f>
        <v>Changement nature RDA - revenu minimum - Maxi-statut1 vers Complémentaire - Scénario id 1</v>
      </c>
    </row>
    <row r="108" spans="1:26" x14ac:dyDescent="0.25">
      <c r="B108" s="52">
        <v>2</v>
      </c>
      <c r="C108" s="52">
        <v>5</v>
      </c>
      <c r="D108" s="52" t="s">
        <v>91</v>
      </c>
      <c r="H108" s="54">
        <f t="shared" si="27"/>
        <v>41275</v>
      </c>
      <c r="I108" s="52" t="s">
        <v>293</v>
      </c>
      <c r="K108" s="55">
        <f t="shared" si="28"/>
        <v>41821</v>
      </c>
      <c r="L108" s="19">
        <v>20143</v>
      </c>
      <c r="M108" s="30">
        <f>INDEX(barèmes!$D$2:$E$311,MATCH(V108,barèmes!$D$2:$D$311,0),2)</f>
        <v>75.849999999999994</v>
      </c>
      <c r="O108" s="20">
        <v>20151</v>
      </c>
      <c r="P108" s="30">
        <f>INDEX(barèmes!$D$2:$E$311,MATCH(X108,barèmes!$D$2:$D$311,0),2)</f>
        <v>75.849999999999994</v>
      </c>
      <c r="R108" s="52">
        <v>1</v>
      </c>
      <c r="S108" s="52">
        <v>7</v>
      </c>
      <c r="T108" s="52">
        <v>2015</v>
      </c>
      <c r="U108" s="52">
        <v>1</v>
      </c>
      <c r="V108" s="21" t="s">
        <v>314</v>
      </c>
      <c r="X108" s="21" t="s">
        <v>313</v>
      </c>
      <c r="Z108" s="52" t="str">
        <f t="shared" si="29"/>
        <v>Changement nature RDA - revenu minimum - Maxi-statut1 vers Complémentaire - Scénario id 2</v>
      </c>
    </row>
    <row r="109" spans="1:26" x14ac:dyDescent="0.25">
      <c r="B109" s="52">
        <v>3</v>
      </c>
      <c r="C109" s="52">
        <v>5</v>
      </c>
      <c r="D109" s="52" t="s">
        <v>91</v>
      </c>
      <c r="H109" s="54">
        <f t="shared" si="27"/>
        <v>41275</v>
      </c>
      <c r="I109" s="52" t="s">
        <v>293</v>
      </c>
      <c r="K109" s="55">
        <f t="shared" si="28"/>
        <v>42005</v>
      </c>
      <c r="L109" s="19">
        <v>20151</v>
      </c>
      <c r="M109" s="30">
        <f>INDEX(barèmes!$D$2:$E$311,MATCH(V109,barèmes!$D$2:$D$311,0),2)</f>
        <v>79.55</v>
      </c>
      <c r="R109" s="52">
        <v>1</v>
      </c>
      <c r="S109" s="52">
        <v>1</v>
      </c>
      <c r="T109" s="52">
        <v>2015</v>
      </c>
      <c r="U109" s="52">
        <v>0</v>
      </c>
      <c r="V109" s="21" t="s">
        <v>316</v>
      </c>
      <c r="X109" s="21" t="s">
        <v>316</v>
      </c>
      <c r="Z109" s="52" t="str">
        <f t="shared" si="29"/>
        <v>Changement nature RDA - revenu minimum - Maxi-statut1 vers Complémentaire - Scénario id 3</v>
      </c>
    </row>
    <row r="110" spans="1:26" x14ac:dyDescent="0.25">
      <c r="B110" s="52">
        <v>4</v>
      </c>
      <c r="C110" s="52">
        <v>5</v>
      </c>
      <c r="D110" s="52" t="s">
        <v>91</v>
      </c>
      <c r="H110" s="54">
        <f t="shared" si="27"/>
        <v>41275</v>
      </c>
      <c r="I110" s="52" t="s">
        <v>293</v>
      </c>
      <c r="J110" s="52" t="s">
        <v>90</v>
      </c>
      <c r="K110" s="55">
        <f t="shared" si="28"/>
        <v>41640</v>
      </c>
      <c r="L110" s="19">
        <v>20141</v>
      </c>
      <c r="M110" s="30">
        <f>INDEX(barèmes!$D$2:$E$311,MATCH(V110,barèmes!$D$2:$D$311,0),2)</f>
        <v>0</v>
      </c>
      <c r="R110" s="52">
        <v>1</v>
      </c>
      <c r="S110" s="52">
        <v>1</v>
      </c>
      <c r="T110" s="52">
        <v>2015</v>
      </c>
      <c r="U110" s="52">
        <v>1</v>
      </c>
      <c r="V110" s="21" t="s">
        <v>317</v>
      </c>
      <c r="Z110" s="52" t="str">
        <f t="shared" si="29"/>
        <v>Changement nature RDA - revenu minimum - Maxi-statut1 vers Complémentaire EXO - Scénario id 4</v>
      </c>
    </row>
    <row r="111" spans="1:26" x14ac:dyDescent="0.25">
      <c r="B111" s="52">
        <v>5</v>
      </c>
      <c r="C111" s="52">
        <v>5</v>
      </c>
      <c r="D111" s="52" t="s">
        <v>91</v>
      </c>
      <c r="H111" s="54">
        <f t="shared" si="27"/>
        <v>41275</v>
      </c>
      <c r="I111" s="52" t="s">
        <v>293</v>
      </c>
      <c r="J111" s="52" t="s">
        <v>90</v>
      </c>
      <c r="K111" s="55">
        <f t="shared" si="28"/>
        <v>41821</v>
      </c>
      <c r="L111" s="19">
        <v>20143</v>
      </c>
      <c r="M111" s="30">
        <f>INDEX(barèmes!$D$2:$E$311,MATCH(V111,barèmes!$D$2:$D$311,0),2)</f>
        <v>0</v>
      </c>
      <c r="R111" s="52">
        <v>1</v>
      </c>
      <c r="S111" s="52">
        <v>7</v>
      </c>
      <c r="T111" s="52">
        <v>2015</v>
      </c>
      <c r="U111" s="52">
        <v>1</v>
      </c>
      <c r="V111" s="21" t="s">
        <v>317</v>
      </c>
      <c r="Z111" s="52" t="str">
        <f t="shared" si="29"/>
        <v>Changement nature RDA - revenu minimum - Maxi-statut1 vers Complémentaire EXO - Scénario id 5</v>
      </c>
    </row>
    <row r="112" spans="1:26" x14ac:dyDescent="0.25">
      <c r="B112" s="52">
        <v>6</v>
      </c>
      <c r="C112" s="52">
        <v>5</v>
      </c>
      <c r="D112" s="52" t="s">
        <v>91</v>
      </c>
      <c r="H112" s="54">
        <f t="shared" si="27"/>
        <v>41275</v>
      </c>
      <c r="I112" s="52" t="s">
        <v>293</v>
      </c>
      <c r="J112" s="52" t="s">
        <v>90</v>
      </c>
      <c r="K112" s="55">
        <f t="shared" si="28"/>
        <v>42005</v>
      </c>
      <c r="L112" s="19">
        <v>20151</v>
      </c>
      <c r="M112" s="30">
        <f>INDEX(barèmes!$D$2:$E$311,MATCH(V112,barèmes!$D$2:$D$311,0),2)</f>
        <v>0</v>
      </c>
      <c r="N112" s="30">
        <f>INDEX(barèmes!$D$2:$E$311,MATCH(W112,barèmes!$D$2:$D$311,0),2)</f>
        <v>79.55</v>
      </c>
      <c r="R112" s="52">
        <v>1</v>
      </c>
      <c r="S112" s="52">
        <v>1</v>
      </c>
      <c r="T112" s="52">
        <v>2015</v>
      </c>
      <c r="U112" s="52">
        <v>0</v>
      </c>
      <c r="V112" s="21" t="s">
        <v>317</v>
      </c>
      <c r="W112" s="21" t="s">
        <v>316</v>
      </c>
      <c r="Z112" s="52" t="str">
        <f t="shared" si="29"/>
        <v>Changement nature RDA - revenu minimum - Maxi-statut1 vers Complémentaire EXO - Scénario id 6</v>
      </c>
    </row>
    <row r="113" spans="1:26" x14ac:dyDescent="0.25">
      <c r="B113" s="52">
        <v>7</v>
      </c>
      <c r="C113" s="52">
        <v>5</v>
      </c>
      <c r="D113" s="52" t="s">
        <v>91</v>
      </c>
      <c r="E113" s="52" t="s">
        <v>90</v>
      </c>
      <c r="H113" s="54">
        <f>DATE($T113-2,1,1)</f>
        <v>41275</v>
      </c>
      <c r="I113" s="52" t="s">
        <v>291</v>
      </c>
      <c r="K113" s="55">
        <f>DATE($T113-$U113,$S113,$R113)</f>
        <v>41640</v>
      </c>
      <c r="L113" s="19">
        <v>20141</v>
      </c>
      <c r="M113" s="30">
        <f>INDEX(barèmes!$D$2:$E$311,MATCH(V113,barèmes!$D$2:$D$311,0),2)</f>
        <v>685.66</v>
      </c>
      <c r="O113" s="20">
        <v>20151</v>
      </c>
      <c r="P113" s="30">
        <f>INDEX(barèmes!$D$2:$E$311,MATCH(X113,barèmes!$D$2:$D$311,0),2)</f>
        <v>702.39</v>
      </c>
      <c r="R113" s="52">
        <v>1</v>
      </c>
      <c r="S113" s="52">
        <v>1</v>
      </c>
      <c r="T113" s="52">
        <v>2015</v>
      </c>
      <c r="U113" s="52">
        <v>1</v>
      </c>
      <c r="V113" s="21" t="s">
        <v>322</v>
      </c>
      <c r="X113" s="21" t="s">
        <v>331</v>
      </c>
      <c r="Z113" s="52" t="str">
        <f t="shared" si="29"/>
        <v>Changement nature RDA - revenu minimum - Maxi-statut1 EXO vers Principal - Scénario id 7</v>
      </c>
    </row>
    <row r="114" spans="1:26" x14ac:dyDescent="0.25">
      <c r="B114" s="52">
        <v>8</v>
      </c>
      <c r="C114" s="52">
        <v>5</v>
      </c>
      <c r="D114" s="52" t="s">
        <v>91</v>
      </c>
      <c r="E114" s="52" t="s">
        <v>90</v>
      </c>
      <c r="H114" s="54">
        <f t="shared" ref="H114:H116" si="30">DATE($T114-2,1,1)</f>
        <v>41275</v>
      </c>
      <c r="I114" s="52" t="s">
        <v>291</v>
      </c>
      <c r="K114" s="55">
        <f t="shared" ref="K114:K116" si="31">DATE($T114-$U114,$S114,$R114)</f>
        <v>41821</v>
      </c>
      <c r="L114" s="19">
        <v>20143</v>
      </c>
      <c r="M114" s="30">
        <f>INDEX(barèmes!$D$2:$E$311,MATCH(V114,barèmes!$D$2:$D$311,0),2)</f>
        <v>685.66</v>
      </c>
      <c r="O114" s="20">
        <v>20151</v>
      </c>
      <c r="P114" s="30">
        <f>INDEX(barèmes!$D$2:$E$311,MATCH(X114,barèmes!$D$2:$D$311,0),2)</f>
        <v>685.66</v>
      </c>
      <c r="R114" s="52">
        <v>1</v>
      </c>
      <c r="S114" s="52">
        <v>7</v>
      </c>
      <c r="T114" s="52">
        <v>2015</v>
      </c>
      <c r="U114" s="52">
        <v>1</v>
      </c>
      <c r="V114" s="21" t="s">
        <v>322</v>
      </c>
      <c r="X114" s="21" t="s">
        <v>332</v>
      </c>
      <c r="Z114" s="52" t="str">
        <f t="shared" si="29"/>
        <v>Changement nature RDA - revenu minimum - Maxi-statut1 EXO vers Principal - Scénario id 8</v>
      </c>
    </row>
    <row r="115" spans="1:26" x14ac:dyDescent="0.25">
      <c r="B115" s="52">
        <v>9</v>
      </c>
      <c r="C115" s="52">
        <v>5</v>
      </c>
      <c r="D115" s="52" t="s">
        <v>91</v>
      </c>
      <c r="E115" s="52" t="s">
        <v>90</v>
      </c>
      <c r="H115" s="54">
        <f t="shared" si="30"/>
        <v>41275</v>
      </c>
      <c r="I115" s="52" t="s">
        <v>291</v>
      </c>
      <c r="K115" s="55">
        <f t="shared" si="31"/>
        <v>42005</v>
      </c>
      <c r="L115" s="19">
        <v>20151</v>
      </c>
      <c r="M115" s="30">
        <f>INDEX(barèmes!$D$2:$E$311,MATCH(V115,barèmes!$D$2:$D$311,0),2)</f>
        <v>719.12</v>
      </c>
      <c r="R115" s="52">
        <v>1</v>
      </c>
      <c r="S115" s="52">
        <v>1</v>
      </c>
      <c r="T115" s="52">
        <v>2015</v>
      </c>
      <c r="U115" s="52">
        <v>0</v>
      </c>
      <c r="V115" s="21" t="s">
        <v>304</v>
      </c>
      <c r="Z115" s="52" t="str">
        <f t="shared" si="29"/>
        <v>Changement nature RDA - revenu minimum - Maxi-statut1 EXO vers Principal - Scénario id 9</v>
      </c>
    </row>
    <row r="116" spans="1:26" x14ac:dyDescent="0.25">
      <c r="B116" s="52">
        <v>10</v>
      </c>
      <c r="C116" s="52">
        <v>5</v>
      </c>
      <c r="D116" s="52" t="s">
        <v>91</v>
      </c>
      <c r="E116" s="52" t="s">
        <v>90</v>
      </c>
      <c r="H116" s="54">
        <f t="shared" si="30"/>
        <v>41275</v>
      </c>
      <c r="I116" s="52" t="s">
        <v>291</v>
      </c>
      <c r="K116" s="55">
        <f t="shared" si="31"/>
        <v>42350</v>
      </c>
      <c r="L116" s="19">
        <v>20154</v>
      </c>
      <c r="M116" s="30">
        <f>INDEX(barèmes!$D$2:$E$311,MATCH(V116,barèmes!$D$2:$D$311,0),2)</f>
        <v>719.12</v>
      </c>
      <c r="R116" s="52">
        <v>12</v>
      </c>
      <c r="S116" s="52">
        <v>12</v>
      </c>
      <c r="T116" s="52">
        <v>2015</v>
      </c>
      <c r="U116" s="52">
        <v>0</v>
      </c>
      <c r="V116" s="21" t="s">
        <v>304</v>
      </c>
      <c r="Z116" s="52" t="str">
        <f t="shared" si="29"/>
        <v>Changement nature RDA - revenu minimum - Maxi-statut1 EXO vers Principal - Scénario id 10</v>
      </c>
    </row>
    <row r="117" spans="1:26" x14ac:dyDescent="0.25">
      <c r="B117" s="52">
        <v>11</v>
      </c>
      <c r="C117" s="52">
        <v>5</v>
      </c>
      <c r="D117" s="52" t="s">
        <v>91</v>
      </c>
      <c r="E117" s="52" t="s">
        <v>90</v>
      </c>
      <c r="H117" s="54">
        <f>DATE($T117-2,1,1)</f>
        <v>41275</v>
      </c>
      <c r="I117" s="52" t="s">
        <v>291</v>
      </c>
      <c r="J117" s="52" t="s">
        <v>90</v>
      </c>
      <c r="K117" s="55">
        <f>DATE($T117-$U117,$S117,$R117)</f>
        <v>41640</v>
      </c>
      <c r="L117" s="19">
        <v>20141</v>
      </c>
      <c r="M117" s="30">
        <f>INDEX(barèmes!$D$2:$E$311,MATCH(V117,barèmes!$D$2:$D$311,0),2)</f>
        <v>0</v>
      </c>
      <c r="R117" s="52">
        <v>1</v>
      </c>
      <c r="S117" s="52">
        <v>1</v>
      </c>
      <c r="T117" s="52">
        <v>2015</v>
      </c>
      <c r="U117" s="52">
        <v>1</v>
      </c>
      <c r="V117" s="21" t="s">
        <v>317</v>
      </c>
      <c r="Z117" s="52" t="str">
        <f t="shared" si="29"/>
        <v>Changement nature RDA - revenu minimum - Maxi-statut1 EXO vers Principal EXO - Scénario id 11</v>
      </c>
    </row>
    <row r="118" spans="1:26" x14ac:dyDescent="0.25">
      <c r="B118" s="52">
        <v>12</v>
      </c>
      <c r="C118" s="52">
        <v>5</v>
      </c>
      <c r="D118" s="52" t="s">
        <v>91</v>
      </c>
      <c r="E118" s="52" t="s">
        <v>90</v>
      </c>
      <c r="H118" s="54">
        <f t="shared" ref="H118:H121" si="32">DATE($T118-2,1,1)</f>
        <v>41275</v>
      </c>
      <c r="I118" s="52" t="s">
        <v>291</v>
      </c>
      <c r="J118" s="52" t="s">
        <v>90</v>
      </c>
      <c r="K118" s="55">
        <f t="shared" ref="K118:K121" si="33">DATE($T118-$U118,$S118,$R118)</f>
        <v>41821</v>
      </c>
      <c r="L118" s="19">
        <v>20143</v>
      </c>
      <c r="M118" s="30">
        <f>INDEX(barèmes!$D$2:$E$311,MATCH(V118,barèmes!$D$2:$D$311,0),2)</f>
        <v>0</v>
      </c>
      <c r="R118" s="52">
        <v>1</v>
      </c>
      <c r="S118" s="52">
        <v>7</v>
      </c>
      <c r="T118" s="52">
        <v>2015</v>
      </c>
      <c r="U118" s="52">
        <v>1</v>
      </c>
      <c r="V118" s="21" t="s">
        <v>317</v>
      </c>
      <c r="Z118" s="52" t="str">
        <f t="shared" si="29"/>
        <v>Changement nature RDA - revenu minimum - Maxi-statut1 EXO vers Principal EXO - Scénario id 12</v>
      </c>
    </row>
    <row r="119" spans="1:26" x14ac:dyDescent="0.25">
      <c r="A119" s="52" t="s">
        <v>480</v>
      </c>
      <c r="B119" s="52" t="s">
        <v>399</v>
      </c>
      <c r="C119" s="52" t="s">
        <v>290</v>
      </c>
      <c r="D119" s="52" t="s">
        <v>92</v>
      </c>
      <c r="E119" s="52" t="s">
        <v>285</v>
      </c>
      <c r="F119" s="52" t="s">
        <v>292</v>
      </c>
      <c r="G119" s="52" t="s">
        <v>286</v>
      </c>
      <c r="H119" s="54" t="s">
        <v>296</v>
      </c>
      <c r="I119" s="52" t="s">
        <v>298</v>
      </c>
      <c r="J119" s="52" t="s">
        <v>299</v>
      </c>
      <c r="K119" s="55" t="s">
        <v>297</v>
      </c>
      <c r="L119" s="19" t="s">
        <v>305</v>
      </c>
      <c r="M119" s="30" t="s">
        <v>306</v>
      </c>
      <c r="N119" s="30" t="s">
        <v>484</v>
      </c>
      <c r="O119" s="20" t="s">
        <v>307</v>
      </c>
      <c r="P119" s="30" t="s">
        <v>308</v>
      </c>
      <c r="Q119" s="30" t="s">
        <v>485</v>
      </c>
      <c r="R119" s="52" t="s">
        <v>287</v>
      </c>
      <c r="S119" s="52" t="s">
        <v>288</v>
      </c>
      <c r="T119" s="52" t="s">
        <v>289</v>
      </c>
      <c r="U119" s="52" t="s">
        <v>295</v>
      </c>
      <c r="V119" s="21" t="s">
        <v>309</v>
      </c>
      <c r="W119" s="21" t="s">
        <v>486</v>
      </c>
      <c r="X119" s="21" t="s">
        <v>310</v>
      </c>
      <c r="Y119" s="21" t="s">
        <v>487</v>
      </c>
      <c r="Z119" s="52" t="s">
        <v>457</v>
      </c>
    </row>
    <row r="120" spans="1:26" x14ac:dyDescent="0.25">
      <c r="B120" s="52">
        <v>1</v>
      </c>
      <c r="C120" s="52">
        <v>5</v>
      </c>
      <c r="D120" s="52" t="s">
        <v>91</v>
      </c>
      <c r="E120" s="52" t="s">
        <v>90</v>
      </c>
      <c r="H120" s="54">
        <f t="shared" si="32"/>
        <v>41275</v>
      </c>
      <c r="I120" s="52" t="s">
        <v>291</v>
      </c>
      <c r="J120" s="52" t="s">
        <v>90</v>
      </c>
      <c r="K120" s="55">
        <f t="shared" si="33"/>
        <v>42005</v>
      </c>
      <c r="L120" s="19">
        <v>20151</v>
      </c>
      <c r="M120" s="30">
        <f>INDEX(barèmes!$D$2:$E$311,MATCH(V120,barèmes!$D$2:$D$311,0),2)</f>
        <v>0</v>
      </c>
      <c r="N120" s="30">
        <f>INDEX(barèmes!$D$2:$E$311,MATCH(W120,barèmes!$D$2:$D$311,0),2)</f>
        <v>719.12</v>
      </c>
      <c r="R120" s="52">
        <v>1</v>
      </c>
      <c r="S120" s="52">
        <v>1</v>
      </c>
      <c r="T120" s="52">
        <v>2015</v>
      </c>
      <c r="U120" s="52">
        <v>0</v>
      </c>
      <c r="V120" s="21" t="s">
        <v>317</v>
      </c>
      <c r="W120" s="21" t="s">
        <v>304</v>
      </c>
      <c r="Z120" s="52" t="str">
        <f t="shared" ref="Z120:Z131" si="34">TRIM($A$1&amp;" - revenu minimum "&amp; " - "&amp;$A$93&amp;" "&amp;E120&amp;" vers "&amp;I120&amp;" "&amp;J120&amp;" - Scénario id "&amp;B120)</f>
        <v>Changement nature RDA - revenu minimum - Maxi-statut1 EXO vers Principal EXO - Scénario id 1</v>
      </c>
    </row>
    <row r="121" spans="1:26" x14ac:dyDescent="0.25">
      <c r="B121" s="52">
        <v>2</v>
      </c>
      <c r="C121" s="52">
        <v>5</v>
      </c>
      <c r="D121" s="52" t="s">
        <v>91</v>
      </c>
      <c r="E121" s="52" t="s">
        <v>90</v>
      </c>
      <c r="H121" s="54">
        <f t="shared" si="32"/>
        <v>41275</v>
      </c>
      <c r="I121" s="52" t="s">
        <v>291</v>
      </c>
      <c r="J121" s="52" t="s">
        <v>90</v>
      </c>
      <c r="K121" s="55">
        <f t="shared" si="33"/>
        <v>42350</v>
      </c>
      <c r="L121" s="19">
        <v>20154</v>
      </c>
      <c r="M121" s="30">
        <f>INDEX(barèmes!$D$2:$E$311,MATCH(V121,barèmes!$D$2:$D$311,0),2)</f>
        <v>0</v>
      </c>
      <c r="N121" s="30">
        <f>INDEX(barèmes!$D$2:$E$311,MATCH(W121,barèmes!$D$2:$D$311,0),2)</f>
        <v>719.12</v>
      </c>
      <c r="R121" s="52">
        <v>12</v>
      </c>
      <c r="S121" s="52">
        <v>12</v>
      </c>
      <c r="T121" s="52">
        <v>2015</v>
      </c>
      <c r="U121" s="52">
        <v>0</v>
      </c>
      <c r="V121" s="21" t="s">
        <v>317</v>
      </c>
      <c r="W121" s="21" t="s">
        <v>304</v>
      </c>
      <c r="Z121" s="52" t="str">
        <f t="shared" si="34"/>
        <v>Changement nature RDA - revenu minimum - Maxi-statut1 EXO vers Principal EXO - Scénario id 2</v>
      </c>
    </row>
    <row r="122" spans="1:26" x14ac:dyDescent="0.25">
      <c r="B122" s="52">
        <v>3</v>
      </c>
      <c r="C122" s="52">
        <v>5</v>
      </c>
      <c r="D122" s="52" t="s">
        <v>91</v>
      </c>
      <c r="E122" s="52" t="s">
        <v>90</v>
      </c>
      <c r="H122" s="54">
        <f>DATE($T122-2,1,1)</f>
        <v>41275</v>
      </c>
      <c r="I122" s="52" t="s">
        <v>291</v>
      </c>
      <c r="J122" s="52" t="s">
        <v>93</v>
      </c>
      <c r="K122" s="55">
        <f>DATE($T122-$U122,$S122,$R122)</f>
        <v>41640</v>
      </c>
      <c r="L122" s="19">
        <v>20141</v>
      </c>
      <c r="M122" s="30">
        <f>INDEX(barèmes!$D$2:$E$311,MATCH(V122,barèmes!$D$2:$D$311,0),2)</f>
        <v>359.18</v>
      </c>
      <c r="O122" s="20">
        <v>20151</v>
      </c>
      <c r="P122" s="30">
        <f>INDEX(barèmes!$D$2:$E$311,MATCH(X122,barèmes!$D$2:$D$311,0),2)</f>
        <v>367.94</v>
      </c>
      <c r="Q122" s="30">
        <f>INDEX(barèmes!$D$2:$E$311,MATCH(Y122,barèmes!$D$2:$D$311,0),2)</f>
        <v>702.39</v>
      </c>
      <c r="R122" s="52">
        <v>1</v>
      </c>
      <c r="S122" s="52">
        <v>1</v>
      </c>
      <c r="T122" s="52">
        <v>2015</v>
      </c>
      <c r="U122" s="52">
        <v>1</v>
      </c>
      <c r="V122" s="21" t="s">
        <v>328</v>
      </c>
      <c r="X122" s="21" t="s">
        <v>333</v>
      </c>
      <c r="Y122" s="21" t="s">
        <v>331</v>
      </c>
      <c r="Z122" s="52" t="str">
        <f t="shared" si="34"/>
        <v>Changement nature RDA - revenu minimum - Maxi-statut1 EXO vers Principal RED - Scénario id 3</v>
      </c>
    </row>
    <row r="123" spans="1:26" x14ac:dyDescent="0.25">
      <c r="B123" s="52">
        <v>4</v>
      </c>
      <c r="C123" s="52">
        <v>5</v>
      </c>
      <c r="D123" s="52" t="s">
        <v>91</v>
      </c>
      <c r="E123" s="52" t="s">
        <v>90</v>
      </c>
      <c r="H123" s="54">
        <f t="shared" ref="H123:H131" si="35">DATE($T123-2,1,1)</f>
        <v>41275</v>
      </c>
      <c r="I123" s="52" t="s">
        <v>291</v>
      </c>
      <c r="J123" s="52" t="s">
        <v>93</v>
      </c>
      <c r="K123" s="55">
        <f t="shared" ref="K123:K131" si="36">DATE($T123-$U123,$S123,$R123)</f>
        <v>41821</v>
      </c>
      <c r="L123" s="19">
        <v>20143</v>
      </c>
      <c r="M123" s="30">
        <f>INDEX(barèmes!$D$2:$E$311,MATCH(V123,barèmes!$D$2:$D$311,0),2)</f>
        <v>359.18</v>
      </c>
      <c r="O123" s="20">
        <v>20151</v>
      </c>
      <c r="P123" s="30">
        <f>INDEX(barèmes!$D$2:$E$311,MATCH(X123,barèmes!$D$2:$D$311,0),2)</f>
        <v>359.18</v>
      </c>
      <c r="Q123" s="30">
        <f>INDEX(barèmes!$D$2:$E$311,MATCH(Y123,barèmes!$D$2:$D$311,0),2)</f>
        <v>685.66</v>
      </c>
      <c r="R123" s="52">
        <v>1</v>
      </c>
      <c r="S123" s="52">
        <v>7</v>
      </c>
      <c r="T123" s="52">
        <v>2015</v>
      </c>
      <c r="U123" s="52">
        <v>1</v>
      </c>
      <c r="V123" s="21" t="s">
        <v>328</v>
      </c>
      <c r="X123" s="21" t="s">
        <v>334</v>
      </c>
      <c r="Y123" s="21" t="s">
        <v>332</v>
      </c>
      <c r="Z123" s="52" t="str">
        <f t="shared" si="34"/>
        <v>Changement nature RDA - revenu minimum - Maxi-statut1 EXO vers Principal RED - Scénario id 4</v>
      </c>
    </row>
    <row r="124" spans="1:26" x14ac:dyDescent="0.25">
      <c r="B124" s="52">
        <v>5</v>
      </c>
      <c r="C124" s="52">
        <v>5</v>
      </c>
      <c r="D124" s="52" t="s">
        <v>91</v>
      </c>
      <c r="E124" s="52" t="s">
        <v>90</v>
      </c>
      <c r="H124" s="54">
        <f t="shared" si="35"/>
        <v>41275</v>
      </c>
      <c r="I124" s="52" t="s">
        <v>291</v>
      </c>
      <c r="J124" s="52" t="s">
        <v>93</v>
      </c>
      <c r="K124" s="55">
        <f t="shared" si="36"/>
        <v>42005</v>
      </c>
      <c r="L124" s="19">
        <v>20151</v>
      </c>
      <c r="M124" s="30">
        <f>INDEX(barèmes!$D$2:$E$311,MATCH(V124,barèmes!$D$2:$D$311,0),2)</f>
        <v>376.7</v>
      </c>
      <c r="N124" s="30">
        <f>INDEX(barèmes!$D$2:$E$311,MATCH(W124,barèmes!$D$2:$D$311,0),2)</f>
        <v>719.12</v>
      </c>
      <c r="R124" s="52">
        <v>1</v>
      </c>
      <c r="S124" s="52">
        <v>1</v>
      </c>
      <c r="T124" s="52">
        <v>2015</v>
      </c>
      <c r="U124" s="52">
        <v>0</v>
      </c>
      <c r="V124" s="21" t="s">
        <v>329</v>
      </c>
      <c r="W124" s="21" t="s">
        <v>304</v>
      </c>
      <c r="Z124" s="52" t="str">
        <f t="shared" si="34"/>
        <v>Changement nature RDA - revenu minimum - Maxi-statut1 EXO vers Principal RED - Scénario id 5</v>
      </c>
    </row>
    <row r="125" spans="1:26" x14ac:dyDescent="0.25">
      <c r="B125" s="52">
        <v>6</v>
      </c>
      <c r="C125" s="52">
        <v>5</v>
      </c>
      <c r="D125" s="52" t="s">
        <v>91</v>
      </c>
      <c r="E125" s="52" t="s">
        <v>90</v>
      </c>
      <c r="H125" s="54">
        <f t="shared" si="35"/>
        <v>41275</v>
      </c>
      <c r="I125" s="52" t="s">
        <v>291</v>
      </c>
      <c r="J125" s="52" t="s">
        <v>93</v>
      </c>
      <c r="K125" s="55">
        <f t="shared" si="36"/>
        <v>42350</v>
      </c>
      <c r="L125" s="19">
        <v>20154</v>
      </c>
      <c r="M125" s="30">
        <f>INDEX(barèmes!$D$2:$E$311,MATCH(V125,barèmes!$D$2:$D$311,0),2)</f>
        <v>376.7</v>
      </c>
      <c r="N125" s="30">
        <f>INDEX(barèmes!$D$2:$E$311,MATCH(W125,barèmes!$D$2:$D$311,0),2)</f>
        <v>719.12</v>
      </c>
      <c r="R125" s="52">
        <v>12</v>
      </c>
      <c r="S125" s="52">
        <v>12</v>
      </c>
      <c r="T125" s="52">
        <v>2015</v>
      </c>
      <c r="U125" s="52">
        <v>0</v>
      </c>
      <c r="V125" s="21" t="s">
        <v>329</v>
      </c>
      <c r="W125" s="21" t="s">
        <v>304</v>
      </c>
      <c r="Z125" s="52" t="str">
        <f t="shared" si="34"/>
        <v>Changement nature RDA - revenu minimum - Maxi-statut1 EXO vers Principal RED - Scénario id 6</v>
      </c>
    </row>
    <row r="126" spans="1:26" x14ac:dyDescent="0.25">
      <c r="B126" s="52">
        <v>7</v>
      </c>
      <c r="C126" s="52">
        <v>5</v>
      </c>
      <c r="D126" s="52" t="s">
        <v>91</v>
      </c>
      <c r="E126" s="52" t="s">
        <v>90</v>
      </c>
      <c r="H126" s="54">
        <f t="shared" si="35"/>
        <v>41275</v>
      </c>
      <c r="I126" s="52" t="s">
        <v>293</v>
      </c>
      <c r="K126" s="55">
        <f t="shared" si="36"/>
        <v>41640</v>
      </c>
      <c r="L126" s="19">
        <v>20141</v>
      </c>
      <c r="M126" s="30">
        <f>INDEX(barèmes!$D$2:$E$311,MATCH(V126,barèmes!$D$2:$D$311,0),2)</f>
        <v>75.849999999999994</v>
      </c>
      <c r="O126" s="20">
        <v>20151</v>
      </c>
      <c r="P126" s="30">
        <f>INDEX(barèmes!$D$2:$E$311,MATCH(X126,barèmes!$D$2:$D$311,0),2)</f>
        <v>77.7</v>
      </c>
      <c r="R126" s="52">
        <v>1</v>
      </c>
      <c r="S126" s="52">
        <v>1</v>
      </c>
      <c r="T126" s="52">
        <v>2015</v>
      </c>
      <c r="U126" s="52">
        <v>1</v>
      </c>
      <c r="V126" s="21" t="s">
        <v>314</v>
      </c>
      <c r="X126" s="21" t="s">
        <v>315</v>
      </c>
      <c r="Z126" s="52" t="str">
        <f t="shared" si="34"/>
        <v>Changement nature RDA - revenu minimum - Maxi-statut1 EXO vers Complémentaire - Scénario id 7</v>
      </c>
    </row>
    <row r="127" spans="1:26" x14ac:dyDescent="0.25">
      <c r="B127" s="52">
        <v>8</v>
      </c>
      <c r="C127" s="52">
        <v>5</v>
      </c>
      <c r="D127" s="52" t="s">
        <v>91</v>
      </c>
      <c r="E127" s="52" t="s">
        <v>90</v>
      </c>
      <c r="H127" s="54">
        <f t="shared" si="35"/>
        <v>41275</v>
      </c>
      <c r="I127" s="52" t="s">
        <v>293</v>
      </c>
      <c r="K127" s="55">
        <f t="shared" si="36"/>
        <v>41821</v>
      </c>
      <c r="L127" s="19">
        <v>20143</v>
      </c>
      <c r="M127" s="30">
        <f>INDEX(barèmes!$D$2:$E$311,MATCH(V127,barèmes!$D$2:$D$311,0),2)</f>
        <v>75.849999999999994</v>
      </c>
      <c r="O127" s="20">
        <v>20151</v>
      </c>
      <c r="P127" s="30">
        <f>INDEX(barèmes!$D$2:$E$311,MATCH(X127,barèmes!$D$2:$D$311,0),2)</f>
        <v>75.849999999999994</v>
      </c>
      <c r="R127" s="52">
        <v>1</v>
      </c>
      <c r="S127" s="52">
        <v>7</v>
      </c>
      <c r="T127" s="52">
        <v>2015</v>
      </c>
      <c r="U127" s="52">
        <v>1</v>
      </c>
      <c r="V127" s="21" t="s">
        <v>314</v>
      </c>
      <c r="X127" s="21" t="s">
        <v>313</v>
      </c>
      <c r="Z127" s="52" t="str">
        <f t="shared" si="34"/>
        <v>Changement nature RDA - revenu minimum - Maxi-statut1 EXO vers Complémentaire - Scénario id 8</v>
      </c>
    </row>
    <row r="128" spans="1:26" x14ac:dyDescent="0.25">
      <c r="B128" s="52">
        <v>9</v>
      </c>
      <c r="C128" s="52">
        <v>5</v>
      </c>
      <c r="D128" s="52" t="s">
        <v>91</v>
      </c>
      <c r="E128" s="52" t="s">
        <v>90</v>
      </c>
      <c r="H128" s="54">
        <f t="shared" si="35"/>
        <v>41275</v>
      </c>
      <c r="I128" s="52" t="s">
        <v>293</v>
      </c>
      <c r="K128" s="55">
        <f t="shared" si="36"/>
        <v>42005</v>
      </c>
      <c r="L128" s="19">
        <v>20151</v>
      </c>
      <c r="M128" s="30">
        <f>INDEX(barèmes!$D$2:$E$311,MATCH(V128,barèmes!$D$2:$D$311,0),2)</f>
        <v>79.55</v>
      </c>
      <c r="R128" s="52">
        <v>1</v>
      </c>
      <c r="S128" s="52">
        <v>1</v>
      </c>
      <c r="T128" s="52">
        <v>2015</v>
      </c>
      <c r="U128" s="52">
        <v>0</v>
      </c>
      <c r="V128" s="21" t="s">
        <v>316</v>
      </c>
      <c r="Z128" s="52" t="str">
        <f t="shared" si="34"/>
        <v>Changement nature RDA - revenu minimum - Maxi-statut1 EXO vers Complémentaire - Scénario id 9</v>
      </c>
    </row>
    <row r="129" spans="2:26" x14ac:dyDescent="0.25">
      <c r="B129" s="52">
        <v>10</v>
      </c>
      <c r="C129" s="52">
        <v>5</v>
      </c>
      <c r="D129" s="52" t="s">
        <v>91</v>
      </c>
      <c r="E129" s="52" t="s">
        <v>90</v>
      </c>
      <c r="H129" s="54">
        <f t="shared" si="35"/>
        <v>41275</v>
      </c>
      <c r="I129" s="52" t="s">
        <v>293</v>
      </c>
      <c r="J129" s="52" t="s">
        <v>90</v>
      </c>
      <c r="K129" s="55">
        <f t="shared" si="36"/>
        <v>41640</v>
      </c>
      <c r="L129" s="19">
        <v>20141</v>
      </c>
      <c r="M129" s="30">
        <f>INDEX(barèmes!$D$2:$E$311,MATCH(V129,barèmes!$D$2:$D$311,0),2)</f>
        <v>0</v>
      </c>
      <c r="R129" s="52">
        <v>1</v>
      </c>
      <c r="S129" s="52">
        <v>1</v>
      </c>
      <c r="T129" s="52">
        <v>2015</v>
      </c>
      <c r="U129" s="52">
        <v>1</v>
      </c>
      <c r="V129" s="21" t="s">
        <v>317</v>
      </c>
      <c r="Z129" s="52" t="str">
        <f t="shared" si="34"/>
        <v>Changement nature RDA - revenu minimum - Maxi-statut1 EXO vers Complémentaire EXO - Scénario id 10</v>
      </c>
    </row>
    <row r="130" spans="2:26" x14ac:dyDescent="0.25">
      <c r="B130" s="52">
        <v>11</v>
      </c>
      <c r="C130" s="52">
        <v>5</v>
      </c>
      <c r="D130" s="52" t="s">
        <v>91</v>
      </c>
      <c r="E130" s="52" t="s">
        <v>90</v>
      </c>
      <c r="H130" s="54">
        <f t="shared" si="35"/>
        <v>41275</v>
      </c>
      <c r="I130" s="52" t="s">
        <v>293</v>
      </c>
      <c r="J130" s="52" t="s">
        <v>90</v>
      </c>
      <c r="K130" s="55">
        <f t="shared" si="36"/>
        <v>41821</v>
      </c>
      <c r="L130" s="19">
        <v>20143</v>
      </c>
      <c r="M130" s="30">
        <f>INDEX(barèmes!$D$2:$E$311,MATCH(V130,barèmes!$D$2:$D$311,0),2)</f>
        <v>0</v>
      </c>
      <c r="R130" s="52">
        <v>1</v>
      </c>
      <c r="S130" s="52">
        <v>7</v>
      </c>
      <c r="T130" s="52">
        <v>2015</v>
      </c>
      <c r="U130" s="52">
        <v>1</v>
      </c>
      <c r="V130" s="21" t="s">
        <v>317</v>
      </c>
      <c r="Z130" s="52" t="str">
        <f t="shared" si="34"/>
        <v>Changement nature RDA - revenu minimum - Maxi-statut1 EXO vers Complémentaire EXO - Scénario id 11</v>
      </c>
    </row>
    <row r="131" spans="2:26" x14ac:dyDescent="0.25">
      <c r="B131" s="52">
        <v>12</v>
      </c>
      <c r="C131" s="52">
        <v>5</v>
      </c>
      <c r="D131" s="52" t="s">
        <v>91</v>
      </c>
      <c r="E131" s="52" t="s">
        <v>90</v>
      </c>
      <c r="H131" s="54">
        <f t="shared" si="35"/>
        <v>41275</v>
      </c>
      <c r="I131" s="52" t="s">
        <v>293</v>
      </c>
      <c r="J131" s="52" t="s">
        <v>90</v>
      </c>
      <c r="K131" s="55">
        <f t="shared" si="36"/>
        <v>42005</v>
      </c>
      <c r="L131" s="19">
        <v>20151</v>
      </c>
      <c r="M131" s="30">
        <f>INDEX(barèmes!$D$2:$E$311,MATCH(V131,barèmes!$D$2:$D$311,0),2)</f>
        <v>0</v>
      </c>
      <c r="N131" s="30">
        <f>INDEX(barèmes!$D$2:$E$311,MATCH(W131,barèmes!$D$2:$D$311,0),2)</f>
        <v>79.55</v>
      </c>
      <c r="R131" s="52">
        <v>1</v>
      </c>
      <c r="S131" s="52">
        <v>1</v>
      </c>
      <c r="T131" s="52">
        <v>2015</v>
      </c>
      <c r="U131" s="52">
        <v>0</v>
      </c>
      <c r="V131" s="21" t="s">
        <v>317</v>
      </c>
      <c r="W131" s="21" t="s">
        <v>316</v>
      </c>
      <c r="Z131" s="52" t="str">
        <f t="shared" si="34"/>
        <v>Changement nature RDA - revenu minimum - Maxi-statut1 EXO vers Complémentaire EXO - Scénario id 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3"/>
  <sheetViews>
    <sheetView zoomScale="70" zoomScaleNormal="70" workbookViewId="0">
      <selection activeCell="O30" sqref="O30"/>
    </sheetView>
  </sheetViews>
  <sheetFormatPr baseColWidth="10" defaultColWidth="11.42578125" defaultRowHeight="15" x14ac:dyDescent="0.25"/>
  <cols>
    <col min="1" max="2" width="20" style="44" customWidth="1"/>
    <col min="3" max="4" width="11.42578125" style="44"/>
    <col min="5" max="5" width="13.85546875" style="45" customWidth="1"/>
    <col min="6" max="7" width="11.42578125" style="44"/>
    <col min="8" max="8" width="14.42578125" style="44" customWidth="1"/>
    <col min="9" max="10" width="11.42578125" style="44"/>
    <col min="11" max="11" width="14.85546875" style="44" customWidth="1"/>
    <col min="12" max="12" width="14.7109375" style="64" customWidth="1"/>
    <col min="13" max="14" width="14.7109375" style="47" customWidth="1"/>
    <col min="15" max="15" width="14.7109375" style="64" customWidth="1"/>
    <col min="16" max="16" width="14.7109375" style="47" customWidth="1"/>
    <col min="17" max="17" width="14.85546875" style="47" customWidth="1"/>
    <col min="18" max="18" width="19.7109375" style="44" customWidth="1"/>
    <col min="19" max="19" width="16.140625" style="44" bestFit="1" customWidth="1"/>
    <col min="20" max="20" width="14.7109375" style="46" customWidth="1"/>
    <col min="21" max="21" width="11.42578125" style="62"/>
    <col min="22" max="22" width="14.85546875" style="62" customWidth="1"/>
    <col min="23" max="23" width="18.140625" style="63" customWidth="1"/>
    <col min="24" max="24" width="11.42578125" style="44"/>
    <col min="25" max="25" width="15.28515625" style="44" bestFit="1" customWidth="1"/>
    <col min="26" max="27" width="11.42578125" style="44" customWidth="1"/>
    <col min="28" max="28" width="13" style="49" customWidth="1"/>
    <col min="29" max="29" width="76.85546875" style="49" customWidth="1"/>
    <col min="30" max="16384" width="11.42578125" style="44"/>
  </cols>
  <sheetData>
    <row r="1" spans="1:29" x14ac:dyDescent="0.25">
      <c r="A1" s="44" t="s">
        <v>410</v>
      </c>
      <c r="J1" s="48"/>
      <c r="K1" s="48"/>
    </row>
    <row r="3" spans="1:29" x14ac:dyDescent="0.25">
      <c r="A3" s="44" t="s">
        <v>472</v>
      </c>
      <c r="B3" s="44" t="s">
        <v>399</v>
      </c>
      <c r="C3" s="44" t="s">
        <v>290</v>
      </c>
      <c r="D3" s="44" t="s">
        <v>285</v>
      </c>
      <c r="E3" s="45" t="s">
        <v>296</v>
      </c>
      <c r="F3" s="44" t="s">
        <v>292</v>
      </c>
      <c r="G3" s="44" t="s">
        <v>437</v>
      </c>
      <c r="H3" s="44" t="s">
        <v>446</v>
      </c>
      <c r="I3" s="44" t="s">
        <v>438</v>
      </c>
      <c r="J3" s="44" t="s">
        <v>439</v>
      </c>
      <c r="K3" s="44" t="s">
        <v>447</v>
      </c>
      <c r="L3" s="64" t="s">
        <v>440</v>
      </c>
      <c r="M3" s="47" t="s">
        <v>441</v>
      </c>
      <c r="N3" s="47" t="s">
        <v>448</v>
      </c>
      <c r="O3" s="64" t="s">
        <v>442</v>
      </c>
      <c r="P3" s="47" t="s">
        <v>443</v>
      </c>
      <c r="Q3" s="47" t="s">
        <v>449</v>
      </c>
      <c r="R3" s="44" t="s">
        <v>298</v>
      </c>
      <c r="S3" s="44" t="s">
        <v>299</v>
      </c>
      <c r="T3" s="46" t="s">
        <v>297</v>
      </c>
      <c r="U3" s="62" t="s">
        <v>307</v>
      </c>
      <c r="V3" s="62" t="s">
        <v>444</v>
      </c>
      <c r="W3" s="63" t="s">
        <v>445</v>
      </c>
      <c r="X3" s="44" t="s">
        <v>287</v>
      </c>
      <c r="Y3" s="44" t="s">
        <v>288</v>
      </c>
      <c r="Z3" s="44" t="s">
        <v>289</v>
      </c>
      <c r="AA3" s="44" t="s">
        <v>295</v>
      </c>
      <c r="AB3" s="49" t="s">
        <v>450</v>
      </c>
      <c r="AC3" s="49" t="s">
        <v>457</v>
      </c>
    </row>
    <row r="4" spans="1:29" x14ac:dyDescent="0.25">
      <c r="B4" s="44">
        <v>1</v>
      </c>
      <c r="C4" s="44">
        <v>1</v>
      </c>
      <c r="E4" s="45">
        <f t="shared" ref="E4:E27" si="0">DATE($Z4-4,1,1)</f>
        <v>40544</v>
      </c>
      <c r="F4" s="44">
        <v>2011</v>
      </c>
      <c r="G4" s="44">
        <v>37809.61</v>
      </c>
      <c r="H4" s="44" t="s">
        <v>462</v>
      </c>
      <c r="I4" s="44">
        <v>2012</v>
      </c>
      <c r="J4" s="44">
        <v>42963.57</v>
      </c>
      <c r="K4" s="44" t="s">
        <v>462</v>
      </c>
      <c r="R4" s="44" t="s">
        <v>293</v>
      </c>
      <c r="T4" s="46">
        <f t="shared" ref="T4:T27" si="1">DATE($Z4-$AA4,$Y4,$X4)</f>
        <v>41821</v>
      </c>
      <c r="U4" s="62">
        <v>20151</v>
      </c>
      <c r="V4" s="63">
        <v>75.849999999999994</v>
      </c>
      <c r="X4" s="44">
        <v>1</v>
      </c>
      <c r="Y4" s="44">
        <v>7</v>
      </c>
      <c r="Z4" s="44">
        <f>2015</f>
        <v>2015</v>
      </c>
      <c r="AA4" s="44">
        <v>1</v>
      </c>
      <c r="AB4" s="49" t="s">
        <v>451</v>
      </c>
      <c r="AC4" s="52" t="str">
        <f>TRIM($A$1&amp;" - "&amp;$A$3&amp;" "&amp;L4&amp;" vers "&amp;R4&amp;" "&amp;Q4&amp;" - Scénario id "&amp;B4)</f>
        <v>Changement nature RDE - Principal1 vers Complémentaire - Scénario id 1</v>
      </c>
    </row>
    <row r="5" spans="1:29" x14ac:dyDescent="0.25">
      <c r="B5" s="44">
        <v>2</v>
      </c>
      <c r="C5" s="44">
        <v>1</v>
      </c>
      <c r="E5" s="45">
        <f t="shared" si="0"/>
        <v>40544</v>
      </c>
      <c r="F5" s="44">
        <v>2011</v>
      </c>
      <c r="G5" s="44">
        <v>37809.61</v>
      </c>
      <c r="H5" s="44" t="s">
        <v>462</v>
      </c>
      <c r="I5" s="44">
        <v>2012</v>
      </c>
      <c r="J5" s="44">
        <v>42963.57</v>
      </c>
      <c r="K5" s="44" t="s">
        <v>462</v>
      </c>
      <c r="R5" s="44" t="s">
        <v>293</v>
      </c>
      <c r="T5" s="46">
        <f t="shared" si="1"/>
        <v>41640</v>
      </c>
      <c r="U5" s="62">
        <v>20151</v>
      </c>
      <c r="V5" s="63">
        <v>77.7</v>
      </c>
      <c r="X5" s="44">
        <v>1</v>
      </c>
      <c r="Y5" s="44">
        <v>1</v>
      </c>
      <c r="Z5" s="44">
        <f>2015</f>
        <v>2015</v>
      </c>
      <c r="AA5" s="44">
        <v>1</v>
      </c>
      <c r="AB5" s="49" t="s">
        <v>451</v>
      </c>
      <c r="AC5" s="52" t="str">
        <f t="shared" ref="AC5:AC27" si="2">TRIM($A$1&amp;" - "&amp;$A$3&amp;" "&amp;L5&amp;" vers "&amp;R5&amp;" "&amp;Q5&amp;" - Scénario id "&amp;B5)</f>
        <v>Changement nature RDE - Principal1 vers Complémentaire - Scénario id 2</v>
      </c>
    </row>
    <row r="6" spans="1:29" x14ac:dyDescent="0.25">
      <c r="B6" s="44">
        <v>3</v>
      </c>
      <c r="C6" s="44">
        <v>1</v>
      </c>
      <c r="E6" s="45">
        <f t="shared" si="0"/>
        <v>40544</v>
      </c>
      <c r="F6" s="44">
        <v>2011</v>
      </c>
      <c r="G6" s="44">
        <v>37809.61</v>
      </c>
      <c r="H6" s="44" t="s">
        <v>462</v>
      </c>
      <c r="I6" s="44">
        <v>2012</v>
      </c>
      <c r="J6" s="44">
        <v>42963.57</v>
      </c>
      <c r="K6" s="44" t="s">
        <v>462</v>
      </c>
      <c r="R6" s="44" t="s">
        <v>293</v>
      </c>
      <c r="T6" s="46">
        <f t="shared" si="1"/>
        <v>41275</v>
      </c>
      <c r="U6" s="62">
        <v>20151</v>
      </c>
      <c r="V6" s="63">
        <v>79.55</v>
      </c>
      <c r="X6" s="44">
        <v>1</v>
      </c>
      <c r="Y6" s="44">
        <v>1</v>
      </c>
      <c r="Z6" s="44">
        <f>2015</f>
        <v>2015</v>
      </c>
      <c r="AA6" s="44">
        <v>2</v>
      </c>
      <c r="AB6" s="49" t="s">
        <v>451</v>
      </c>
      <c r="AC6" s="52" t="str">
        <f t="shared" si="2"/>
        <v>Changement nature RDE - Principal1 vers Complémentaire - Scénario id 3</v>
      </c>
    </row>
    <row r="7" spans="1:29" x14ac:dyDescent="0.25">
      <c r="B7" s="44">
        <v>4</v>
      </c>
      <c r="C7" s="44">
        <v>1</v>
      </c>
      <c r="E7" s="45">
        <f t="shared" si="0"/>
        <v>40544</v>
      </c>
      <c r="F7" s="44">
        <v>2011</v>
      </c>
      <c r="G7" s="44">
        <v>37809.61</v>
      </c>
      <c r="H7" s="44" t="s">
        <v>462</v>
      </c>
      <c r="I7" s="44">
        <v>2012</v>
      </c>
      <c r="J7" s="44">
        <v>42963.57</v>
      </c>
      <c r="K7" s="44" t="s">
        <v>462</v>
      </c>
      <c r="R7" s="44" t="s">
        <v>293</v>
      </c>
      <c r="S7" s="44" t="s">
        <v>90</v>
      </c>
      <c r="T7" s="46">
        <f t="shared" si="1"/>
        <v>41821</v>
      </c>
      <c r="U7" s="62">
        <v>20151</v>
      </c>
      <c r="V7" s="63"/>
      <c r="X7" s="44">
        <v>1</v>
      </c>
      <c r="Y7" s="44">
        <v>7</v>
      </c>
      <c r="Z7" s="44">
        <f>2015</f>
        <v>2015</v>
      </c>
      <c r="AA7" s="44">
        <v>1</v>
      </c>
      <c r="AB7" s="49" t="s">
        <v>451</v>
      </c>
      <c r="AC7" s="52" t="str">
        <f t="shared" si="2"/>
        <v>Changement nature RDE - Principal1 vers Complémentaire - Scénario id 4</v>
      </c>
    </row>
    <row r="8" spans="1:29" x14ac:dyDescent="0.25">
      <c r="B8" s="44">
        <v>5</v>
      </c>
      <c r="C8" s="44">
        <v>1</v>
      </c>
      <c r="E8" s="45">
        <f t="shared" si="0"/>
        <v>40544</v>
      </c>
      <c r="F8" s="44">
        <v>2011</v>
      </c>
      <c r="G8" s="44">
        <v>37809.61</v>
      </c>
      <c r="H8" s="44" t="s">
        <v>462</v>
      </c>
      <c r="I8" s="44">
        <v>2012</v>
      </c>
      <c r="J8" s="44">
        <v>42963.57</v>
      </c>
      <c r="K8" s="44" t="s">
        <v>462</v>
      </c>
      <c r="L8" s="64">
        <v>2015</v>
      </c>
      <c r="M8" s="47">
        <v>7200</v>
      </c>
      <c r="N8" s="47" t="s">
        <v>463</v>
      </c>
      <c r="R8" s="44" t="s">
        <v>293</v>
      </c>
      <c r="T8" s="46">
        <f t="shared" si="1"/>
        <v>41821</v>
      </c>
      <c r="U8" s="62">
        <v>20151</v>
      </c>
      <c r="V8" s="63">
        <v>75.849999999999994</v>
      </c>
      <c r="W8" s="63">
        <v>307.73</v>
      </c>
      <c r="X8" s="44">
        <v>1</v>
      </c>
      <c r="Y8" s="44">
        <v>7</v>
      </c>
      <c r="Z8" s="44">
        <f>2015</f>
        <v>2015</v>
      </c>
      <c r="AA8" s="44">
        <v>1</v>
      </c>
      <c r="AB8" s="49" t="s">
        <v>451</v>
      </c>
      <c r="AC8" s="52" t="str">
        <f t="shared" si="2"/>
        <v>Changement nature RDE - Principal1 2015 vers Complémentaire - Scénario id 5</v>
      </c>
    </row>
    <row r="9" spans="1:29" x14ac:dyDescent="0.25">
      <c r="B9" s="44">
        <v>6</v>
      </c>
      <c r="C9" s="44">
        <v>1</v>
      </c>
      <c r="E9" s="45">
        <f>DATE($Z9-4,1,1)</f>
        <v>40544</v>
      </c>
      <c r="F9" s="44">
        <v>2012</v>
      </c>
      <c r="G9" s="44">
        <v>8167.03</v>
      </c>
      <c r="H9" s="44" t="s">
        <v>462</v>
      </c>
      <c r="I9" s="44">
        <v>2015</v>
      </c>
      <c r="J9" s="44">
        <v>25000</v>
      </c>
      <c r="K9" s="44" t="s">
        <v>463</v>
      </c>
      <c r="R9" s="44" t="s">
        <v>293</v>
      </c>
      <c r="T9" s="46">
        <f>DATE($Z9-$AA9,$Y9,$X9)</f>
        <v>42095</v>
      </c>
      <c r="U9" s="62">
        <v>20152</v>
      </c>
      <c r="V9" s="63">
        <v>480.13</v>
      </c>
      <c r="W9" s="63">
        <v>949.18</v>
      </c>
      <c r="X9" s="44">
        <v>1</v>
      </c>
      <c r="Y9" s="44">
        <v>4</v>
      </c>
      <c r="Z9" s="44">
        <f>2015</f>
        <v>2015</v>
      </c>
      <c r="AA9" s="44">
        <v>0</v>
      </c>
      <c r="AB9" s="49" t="s">
        <v>455</v>
      </c>
      <c r="AC9" s="52" t="str">
        <f>TRIM($A$1&amp;" - "&amp;$A$3&amp;" "&amp;L9&amp;" vers "&amp;R9&amp;" "&amp;Q9&amp;" - Scénario id "&amp;B9)</f>
        <v>Changement nature RDE - Principal1 vers Complémentaire - Scénario id 6</v>
      </c>
    </row>
    <row r="10" spans="1:29" x14ac:dyDescent="0.25">
      <c r="A10" s="44" t="s">
        <v>473</v>
      </c>
      <c r="B10" s="44" t="s">
        <v>399</v>
      </c>
      <c r="C10" s="44" t="s">
        <v>290</v>
      </c>
      <c r="D10" s="44" t="s">
        <v>285</v>
      </c>
      <c r="E10" s="45" t="s">
        <v>296</v>
      </c>
      <c r="F10" s="44" t="s">
        <v>292</v>
      </c>
      <c r="G10" s="44" t="s">
        <v>437</v>
      </c>
      <c r="H10" s="44" t="s">
        <v>446</v>
      </c>
      <c r="I10" s="44" t="s">
        <v>438</v>
      </c>
      <c r="J10" s="44" t="s">
        <v>439</v>
      </c>
      <c r="K10" s="44" t="s">
        <v>447</v>
      </c>
      <c r="L10" s="64" t="s">
        <v>440</v>
      </c>
      <c r="M10" s="47" t="s">
        <v>441</v>
      </c>
      <c r="N10" s="47" t="s">
        <v>448</v>
      </c>
      <c r="O10" s="64" t="s">
        <v>442</v>
      </c>
      <c r="P10" s="47" t="s">
        <v>443</v>
      </c>
      <c r="Q10" s="47" t="s">
        <v>449</v>
      </c>
      <c r="R10" s="44" t="s">
        <v>298</v>
      </c>
      <c r="S10" s="44" t="s">
        <v>299</v>
      </c>
      <c r="T10" s="46" t="s">
        <v>297</v>
      </c>
      <c r="U10" s="62" t="s">
        <v>307</v>
      </c>
      <c r="V10" s="62" t="s">
        <v>444</v>
      </c>
      <c r="W10" s="63" t="s">
        <v>445</v>
      </c>
      <c r="X10" s="44" t="s">
        <v>287</v>
      </c>
      <c r="Y10" s="44" t="s">
        <v>288</v>
      </c>
      <c r="Z10" s="44" t="s">
        <v>289</v>
      </c>
      <c r="AA10" s="44" t="s">
        <v>295</v>
      </c>
      <c r="AB10" s="49" t="s">
        <v>450</v>
      </c>
      <c r="AC10" s="49" t="s">
        <v>457</v>
      </c>
    </row>
    <row r="11" spans="1:29" x14ac:dyDescent="0.25">
      <c r="B11" s="44">
        <v>1</v>
      </c>
      <c r="C11" s="44">
        <v>1</v>
      </c>
      <c r="E11" s="45">
        <f t="shared" si="0"/>
        <v>40544</v>
      </c>
      <c r="F11" s="44">
        <v>2011</v>
      </c>
      <c r="G11" s="44">
        <v>37809.61</v>
      </c>
      <c r="H11" s="44" t="s">
        <v>462</v>
      </c>
      <c r="I11" s="44">
        <v>2012</v>
      </c>
      <c r="J11" s="44">
        <v>42963.57</v>
      </c>
      <c r="K11" s="44" t="s">
        <v>462</v>
      </c>
      <c r="L11" s="64">
        <v>2015</v>
      </c>
      <c r="M11" s="47">
        <v>5150</v>
      </c>
      <c r="N11" s="47" t="s">
        <v>463</v>
      </c>
      <c r="R11" s="44" t="s">
        <v>293</v>
      </c>
      <c r="T11" s="46">
        <f t="shared" si="1"/>
        <v>41365</v>
      </c>
      <c r="U11" s="62">
        <v>20151</v>
      </c>
      <c r="V11" s="63">
        <v>77.7</v>
      </c>
      <c r="W11" s="63">
        <v>203.36</v>
      </c>
      <c r="X11" s="44">
        <v>1</v>
      </c>
      <c r="Y11" s="44">
        <v>4</v>
      </c>
      <c r="Z11" s="44">
        <f>2015</f>
        <v>2015</v>
      </c>
      <c r="AA11" s="44">
        <v>2</v>
      </c>
      <c r="AB11" s="49" t="s">
        <v>451</v>
      </c>
      <c r="AC11" s="52" t="str">
        <f t="shared" si="2"/>
        <v>Changement nature RDE - Principal1 2015 vers Complémentaire - Scénario id 1</v>
      </c>
    </row>
    <row r="12" spans="1:29" x14ac:dyDescent="0.25">
      <c r="B12" s="44">
        <v>2</v>
      </c>
      <c r="C12" s="44">
        <v>1</v>
      </c>
      <c r="E12" s="45">
        <f t="shared" si="0"/>
        <v>40544</v>
      </c>
      <c r="F12" s="44">
        <v>2012</v>
      </c>
      <c r="G12" s="44">
        <v>0</v>
      </c>
      <c r="H12" s="44" t="s">
        <v>462</v>
      </c>
      <c r="R12" s="44" t="s">
        <v>293</v>
      </c>
      <c r="T12" s="46">
        <f t="shared" si="1"/>
        <v>42005</v>
      </c>
      <c r="U12" s="62">
        <v>20151</v>
      </c>
      <c r="V12" s="63">
        <v>0</v>
      </c>
      <c r="X12" s="44">
        <v>1</v>
      </c>
      <c r="Y12" s="44">
        <v>1</v>
      </c>
      <c r="Z12" s="44">
        <f>2015</f>
        <v>2015</v>
      </c>
      <c r="AA12" s="44">
        <v>0</v>
      </c>
      <c r="AB12" s="49" t="s">
        <v>451</v>
      </c>
      <c r="AC12" s="52" t="str">
        <f t="shared" si="2"/>
        <v>Changement nature RDE - Principal1 vers Complémentaire - Scénario id 2</v>
      </c>
    </row>
    <row r="13" spans="1:29" x14ac:dyDescent="0.25">
      <c r="B13" s="44">
        <v>3</v>
      </c>
      <c r="C13" s="44">
        <v>1</v>
      </c>
      <c r="E13" s="45">
        <f t="shared" si="0"/>
        <v>40544</v>
      </c>
      <c r="F13" s="44">
        <v>2012</v>
      </c>
      <c r="G13" s="44">
        <v>8067.52</v>
      </c>
      <c r="H13" s="44" t="s">
        <v>462</v>
      </c>
      <c r="R13" s="44" t="s">
        <v>293</v>
      </c>
      <c r="T13" s="46">
        <f t="shared" si="1"/>
        <v>42005</v>
      </c>
      <c r="U13" s="62">
        <v>20151</v>
      </c>
      <c r="V13" s="63">
        <v>474.28</v>
      </c>
      <c r="X13" s="44">
        <v>1</v>
      </c>
      <c r="Y13" s="44">
        <v>1</v>
      </c>
      <c r="Z13" s="44">
        <f>2015</f>
        <v>2015</v>
      </c>
      <c r="AA13" s="44">
        <v>0</v>
      </c>
      <c r="AB13" s="49" t="s">
        <v>451</v>
      </c>
      <c r="AC13" s="52" t="str">
        <f t="shared" si="2"/>
        <v>Changement nature RDE - Principal1 vers Complémentaire - Scénario id 3</v>
      </c>
    </row>
    <row r="14" spans="1:29" x14ac:dyDescent="0.25">
      <c r="B14" s="44">
        <v>4</v>
      </c>
      <c r="C14" s="44">
        <v>1</v>
      </c>
      <c r="E14" s="45">
        <f t="shared" si="0"/>
        <v>40544</v>
      </c>
      <c r="F14" s="44">
        <v>2012</v>
      </c>
      <c r="G14" s="44">
        <v>42963.57</v>
      </c>
      <c r="H14" s="44" t="s">
        <v>462</v>
      </c>
      <c r="R14" s="44" t="s">
        <v>293</v>
      </c>
      <c r="T14" s="46">
        <f t="shared" si="1"/>
        <v>42005</v>
      </c>
      <c r="U14" s="62">
        <v>20151</v>
      </c>
      <c r="V14" s="63">
        <v>2525.79</v>
      </c>
      <c r="X14" s="44">
        <v>1</v>
      </c>
      <c r="Y14" s="44">
        <v>1</v>
      </c>
      <c r="Z14" s="44">
        <f>2015</f>
        <v>2015</v>
      </c>
      <c r="AA14" s="44">
        <v>0</v>
      </c>
      <c r="AB14" s="49" t="s">
        <v>451</v>
      </c>
      <c r="AC14" s="52" t="str">
        <f t="shared" si="2"/>
        <v>Changement nature RDE - Principal1 vers Complémentaire - Scénario id 4</v>
      </c>
    </row>
    <row r="15" spans="1:29" x14ac:dyDescent="0.25">
      <c r="B15" s="44">
        <v>5</v>
      </c>
      <c r="C15" s="44">
        <v>1</v>
      </c>
      <c r="E15" s="45">
        <f t="shared" si="0"/>
        <v>40544</v>
      </c>
      <c r="F15" s="44">
        <v>2012</v>
      </c>
      <c r="G15" s="44">
        <v>67069.179999999993</v>
      </c>
      <c r="H15" s="44" t="s">
        <v>462</v>
      </c>
      <c r="R15" s="44" t="s">
        <v>293</v>
      </c>
      <c r="T15" s="46">
        <f t="shared" si="1"/>
        <v>42095</v>
      </c>
      <c r="U15" s="62">
        <v>20152</v>
      </c>
      <c r="V15" s="63">
        <v>3670.15</v>
      </c>
      <c r="X15" s="44">
        <v>1</v>
      </c>
      <c r="Y15" s="44">
        <v>4</v>
      </c>
      <c r="Z15" s="44">
        <f>2015</f>
        <v>2015</v>
      </c>
      <c r="AA15" s="44">
        <v>0</v>
      </c>
      <c r="AB15" s="49" t="s">
        <v>451</v>
      </c>
      <c r="AC15" s="52" t="str">
        <f t="shared" si="2"/>
        <v>Changement nature RDE - Principal1 vers Complémentaire - Scénario id 5</v>
      </c>
    </row>
    <row r="16" spans="1:29" x14ac:dyDescent="0.25">
      <c r="A16" s="44" t="s">
        <v>476</v>
      </c>
      <c r="B16" s="44" t="s">
        <v>399</v>
      </c>
      <c r="C16" s="44" t="s">
        <v>290</v>
      </c>
      <c r="D16" s="44" t="s">
        <v>285</v>
      </c>
      <c r="E16" s="45" t="s">
        <v>296</v>
      </c>
      <c r="F16" s="44" t="s">
        <v>292</v>
      </c>
      <c r="G16" s="44" t="s">
        <v>437</v>
      </c>
      <c r="H16" s="44" t="s">
        <v>446</v>
      </c>
      <c r="I16" s="44" t="s">
        <v>438</v>
      </c>
      <c r="J16" s="44" t="s">
        <v>439</v>
      </c>
      <c r="K16" s="44" t="s">
        <v>447</v>
      </c>
      <c r="L16" s="64" t="s">
        <v>440</v>
      </c>
      <c r="M16" s="47" t="s">
        <v>441</v>
      </c>
      <c r="N16" s="47" t="s">
        <v>448</v>
      </c>
      <c r="O16" s="64" t="s">
        <v>442</v>
      </c>
      <c r="P16" s="47" t="s">
        <v>443</v>
      </c>
      <c r="Q16" s="47" t="s">
        <v>449</v>
      </c>
      <c r="R16" s="44" t="s">
        <v>298</v>
      </c>
      <c r="S16" s="44" t="s">
        <v>299</v>
      </c>
      <c r="T16" s="46" t="s">
        <v>297</v>
      </c>
      <c r="U16" s="62" t="s">
        <v>307</v>
      </c>
      <c r="V16" s="62" t="s">
        <v>444</v>
      </c>
      <c r="W16" s="63" t="s">
        <v>445</v>
      </c>
      <c r="X16" s="44" t="s">
        <v>287</v>
      </c>
      <c r="Y16" s="44" t="s">
        <v>288</v>
      </c>
      <c r="Z16" s="44" t="s">
        <v>289</v>
      </c>
      <c r="AA16" s="44" t="s">
        <v>295</v>
      </c>
      <c r="AB16" s="49" t="s">
        <v>450</v>
      </c>
      <c r="AC16" s="49" t="s">
        <v>457</v>
      </c>
    </row>
    <row r="17" spans="1:29" x14ac:dyDescent="0.25">
      <c r="B17" s="44">
        <v>1</v>
      </c>
      <c r="C17" s="44">
        <v>1</v>
      </c>
      <c r="E17" s="45">
        <f t="shared" si="0"/>
        <v>40544</v>
      </c>
      <c r="F17" s="44">
        <v>2012</v>
      </c>
      <c r="G17" s="44">
        <v>8067.52</v>
      </c>
      <c r="H17" s="44" t="s">
        <v>462</v>
      </c>
      <c r="I17" s="44">
        <v>2015</v>
      </c>
      <c r="J17" s="44">
        <v>10000</v>
      </c>
      <c r="K17" s="44" t="s">
        <v>463</v>
      </c>
      <c r="R17" s="44" t="s">
        <v>293</v>
      </c>
      <c r="T17" s="46">
        <f t="shared" si="1"/>
        <v>42005</v>
      </c>
      <c r="U17" s="62">
        <v>20152</v>
      </c>
      <c r="V17" s="63">
        <v>474.28</v>
      </c>
      <c r="W17" s="63">
        <v>97.45</v>
      </c>
      <c r="X17" s="44">
        <v>1</v>
      </c>
      <c r="Y17" s="44">
        <v>1</v>
      </c>
      <c r="Z17" s="44">
        <f>2015</f>
        <v>2015</v>
      </c>
      <c r="AA17" s="44">
        <v>0</v>
      </c>
      <c r="AB17" s="49" t="s">
        <v>451</v>
      </c>
      <c r="AC17" s="52" t="str">
        <f t="shared" si="2"/>
        <v>Changement nature RDE - Principal1 vers Complémentaire - Scénario id 1</v>
      </c>
    </row>
    <row r="18" spans="1:29" x14ac:dyDescent="0.25">
      <c r="B18" s="44">
        <v>2</v>
      </c>
      <c r="C18" s="44">
        <v>1</v>
      </c>
      <c r="D18" s="44" t="s">
        <v>90</v>
      </c>
      <c r="E18" s="45">
        <f t="shared" si="0"/>
        <v>40544</v>
      </c>
      <c r="F18" s="44">
        <v>2011</v>
      </c>
      <c r="G18" s="44">
        <v>991.12</v>
      </c>
      <c r="H18" s="44" t="s">
        <v>462</v>
      </c>
      <c r="I18" s="44">
        <v>2012</v>
      </c>
      <c r="J18" s="44">
        <v>1208.67</v>
      </c>
      <c r="K18" s="44" t="s">
        <v>462</v>
      </c>
      <c r="R18" s="44" t="s">
        <v>293</v>
      </c>
      <c r="T18" s="46">
        <f t="shared" si="1"/>
        <v>41821</v>
      </c>
      <c r="U18" s="62">
        <v>20151</v>
      </c>
      <c r="V18" s="63">
        <v>75.849999999999994</v>
      </c>
      <c r="X18" s="44">
        <v>1</v>
      </c>
      <c r="Y18" s="44">
        <v>7</v>
      </c>
      <c r="Z18" s="44">
        <f>2015</f>
        <v>2015</v>
      </c>
      <c r="AA18" s="44">
        <v>1</v>
      </c>
      <c r="AB18" s="49" t="s">
        <v>452</v>
      </c>
      <c r="AC18" s="52" t="str">
        <f t="shared" si="2"/>
        <v>Changement nature RDE - Principal1 vers Complémentaire - Scénario id 2</v>
      </c>
    </row>
    <row r="19" spans="1:29" x14ac:dyDescent="0.25">
      <c r="B19" s="44">
        <v>3</v>
      </c>
      <c r="C19" s="44">
        <v>1</v>
      </c>
      <c r="D19" s="44" t="s">
        <v>90</v>
      </c>
      <c r="E19" s="45">
        <f t="shared" si="0"/>
        <v>40544</v>
      </c>
      <c r="F19" s="44">
        <v>2011</v>
      </c>
      <c r="G19" s="44">
        <v>991.12</v>
      </c>
      <c r="H19" s="44" t="s">
        <v>462</v>
      </c>
      <c r="I19" s="44">
        <v>2012</v>
      </c>
      <c r="J19" s="44">
        <v>1208.67</v>
      </c>
      <c r="K19" s="44" t="s">
        <v>462</v>
      </c>
      <c r="R19" s="44" t="s">
        <v>293</v>
      </c>
      <c r="T19" s="46">
        <f t="shared" si="1"/>
        <v>41275</v>
      </c>
      <c r="U19" s="62">
        <v>20151</v>
      </c>
      <c r="V19" s="63">
        <v>79.55</v>
      </c>
      <c r="X19" s="44">
        <v>1</v>
      </c>
      <c r="Y19" s="44">
        <v>1</v>
      </c>
      <c r="Z19" s="44">
        <f>2015</f>
        <v>2015</v>
      </c>
      <c r="AA19" s="44">
        <v>2</v>
      </c>
      <c r="AB19" s="49" t="s">
        <v>452</v>
      </c>
      <c r="AC19" s="52" t="str">
        <f t="shared" si="2"/>
        <v>Changement nature RDE - Principal1 vers Complémentaire - Scénario id 3</v>
      </c>
    </row>
    <row r="20" spans="1:29" x14ac:dyDescent="0.25">
      <c r="B20" s="44">
        <v>4</v>
      </c>
      <c r="C20" s="44">
        <v>1</v>
      </c>
      <c r="D20" s="44" t="s">
        <v>90</v>
      </c>
      <c r="E20" s="45">
        <f t="shared" si="0"/>
        <v>40544</v>
      </c>
      <c r="F20" s="44">
        <v>2011</v>
      </c>
      <c r="G20" s="44">
        <v>991.12</v>
      </c>
      <c r="H20" s="44" t="s">
        <v>462</v>
      </c>
      <c r="I20" s="44">
        <v>2012</v>
      </c>
      <c r="J20" s="44">
        <v>1208.67</v>
      </c>
      <c r="K20" s="44" t="s">
        <v>462</v>
      </c>
      <c r="L20" s="64">
        <v>2015</v>
      </c>
      <c r="M20" s="47">
        <v>3800</v>
      </c>
      <c r="N20" s="47" t="s">
        <v>463</v>
      </c>
      <c r="R20" s="44" t="s">
        <v>293</v>
      </c>
      <c r="T20" s="46">
        <f t="shared" si="1"/>
        <v>41640</v>
      </c>
      <c r="U20" s="62">
        <v>20151</v>
      </c>
      <c r="V20" s="63">
        <v>77.7</v>
      </c>
      <c r="W20" s="63">
        <v>129.68</v>
      </c>
      <c r="X20" s="44">
        <v>1</v>
      </c>
      <c r="Y20" s="44">
        <v>1</v>
      </c>
      <c r="Z20" s="44">
        <f>2015</f>
        <v>2015</v>
      </c>
      <c r="AA20" s="44">
        <v>1</v>
      </c>
      <c r="AB20" s="49" t="s">
        <v>452</v>
      </c>
      <c r="AC20" s="52" t="str">
        <f t="shared" si="2"/>
        <v>Changement nature RDE - Principal1 2015 vers Complémentaire - Scénario id 4</v>
      </c>
    </row>
    <row r="21" spans="1:29" x14ac:dyDescent="0.25">
      <c r="B21" s="44">
        <v>5</v>
      </c>
      <c r="C21" s="44">
        <v>1</v>
      </c>
      <c r="D21" s="44" t="s">
        <v>90</v>
      </c>
      <c r="E21" s="45">
        <f>DATE($Z21-4,1,1)</f>
        <v>40544</v>
      </c>
      <c r="F21" s="44">
        <v>2011</v>
      </c>
      <c r="G21" s="44">
        <v>991.12</v>
      </c>
      <c r="H21" s="44" t="s">
        <v>462</v>
      </c>
      <c r="I21" s="44">
        <v>2012</v>
      </c>
      <c r="J21" s="44">
        <v>1208.67</v>
      </c>
      <c r="K21" s="44" t="s">
        <v>462</v>
      </c>
      <c r="L21" s="64">
        <v>2015</v>
      </c>
      <c r="M21" s="47">
        <v>5150</v>
      </c>
      <c r="N21" s="47" t="s">
        <v>463</v>
      </c>
      <c r="R21" s="44" t="s">
        <v>293</v>
      </c>
      <c r="T21" s="46">
        <f>DATE($Z21-$AA21,$Y21,$X21)</f>
        <v>41275</v>
      </c>
      <c r="U21" s="62">
        <v>20151</v>
      </c>
      <c r="V21" s="63">
        <v>79.55</v>
      </c>
      <c r="W21" s="63">
        <v>208.19</v>
      </c>
      <c r="X21" s="44">
        <v>1</v>
      </c>
      <c r="Y21" s="44">
        <v>1</v>
      </c>
      <c r="Z21" s="44">
        <f>2015</f>
        <v>2015</v>
      </c>
      <c r="AA21" s="44">
        <v>2</v>
      </c>
      <c r="AB21" s="49" t="s">
        <v>452</v>
      </c>
      <c r="AC21" s="52" t="str">
        <f>TRIM($A$1&amp;" - "&amp;$A$3&amp;" "&amp;L21&amp;" vers "&amp;R21&amp;" "&amp;Q21&amp;" - Scénario id "&amp;B21)</f>
        <v>Changement nature RDE - Principal1 2015 vers Complémentaire - Scénario id 5</v>
      </c>
    </row>
    <row r="22" spans="1:29" x14ac:dyDescent="0.25">
      <c r="A22" s="44" t="s">
        <v>481</v>
      </c>
      <c r="B22" s="44" t="s">
        <v>399</v>
      </c>
      <c r="C22" s="44" t="s">
        <v>290</v>
      </c>
      <c r="D22" s="44" t="s">
        <v>285</v>
      </c>
      <c r="E22" s="45" t="s">
        <v>296</v>
      </c>
      <c r="F22" s="44" t="s">
        <v>292</v>
      </c>
      <c r="G22" s="44" t="s">
        <v>437</v>
      </c>
      <c r="H22" s="44" t="s">
        <v>446</v>
      </c>
      <c r="I22" s="44" t="s">
        <v>438</v>
      </c>
      <c r="J22" s="44" t="s">
        <v>439</v>
      </c>
      <c r="K22" s="44" t="s">
        <v>447</v>
      </c>
      <c r="L22" s="64" t="s">
        <v>440</v>
      </c>
      <c r="M22" s="47" t="s">
        <v>441</v>
      </c>
      <c r="N22" s="47" t="s">
        <v>448</v>
      </c>
      <c r="O22" s="64" t="s">
        <v>442</v>
      </c>
      <c r="P22" s="47" t="s">
        <v>443</v>
      </c>
      <c r="Q22" s="47" t="s">
        <v>449</v>
      </c>
      <c r="R22" s="44" t="s">
        <v>298</v>
      </c>
      <c r="S22" s="44" t="s">
        <v>299</v>
      </c>
      <c r="T22" s="46" t="s">
        <v>297</v>
      </c>
      <c r="U22" s="62" t="s">
        <v>307</v>
      </c>
      <c r="V22" s="62" t="s">
        <v>444</v>
      </c>
      <c r="W22" s="63" t="s">
        <v>445</v>
      </c>
      <c r="X22" s="44" t="s">
        <v>287</v>
      </c>
      <c r="Y22" s="44" t="s">
        <v>288</v>
      </c>
      <c r="Z22" s="44" t="s">
        <v>289</v>
      </c>
      <c r="AA22" s="44" t="s">
        <v>295</v>
      </c>
      <c r="AB22" s="49" t="s">
        <v>450</v>
      </c>
      <c r="AC22" s="49" t="s">
        <v>457</v>
      </c>
    </row>
    <row r="23" spans="1:29" x14ac:dyDescent="0.25">
      <c r="B23" s="44">
        <v>1</v>
      </c>
      <c r="C23" s="44">
        <v>1</v>
      </c>
      <c r="D23" s="44" t="s">
        <v>90</v>
      </c>
      <c r="E23" s="45">
        <f t="shared" si="0"/>
        <v>40544</v>
      </c>
      <c r="F23" s="44">
        <v>2012</v>
      </c>
      <c r="G23" s="44">
        <v>1208.67</v>
      </c>
      <c r="H23" s="44" t="s">
        <v>462</v>
      </c>
      <c r="R23" s="44" t="s">
        <v>293</v>
      </c>
      <c r="T23" s="46">
        <f t="shared" si="1"/>
        <v>42005</v>
      </c>
      <c r="U23" s="62">
        <v>20151</v>
      </c>
      <c r="V23" s="63">
        <v>0</v>
      </c>
      <c r="X23" s="44">
        <v>1</v>
      </c>
      <c r="Y23" s="44">
        <v>1</v>
      </c>
      <c r="Z23" s="44">
        <f>2015</f>
        <v>2015</v>
      </c>
      <c r="AA23" s="44">
        <v>0</v>
      </c>
      <c r="AB23" s="49" t="s">
        <v>452</v>
      </c>
      <c r="AC23" s="52" t="str">
        <f t="shared" si="2"/>
        <v>Changement nature RDE - Principal1 vers Complémentaire - Scénario id 1</v>
      </c>
    </row>
    <row r="24" spans="1:29" x14ac:dyDescent="0.25">
      <c r="B24" s="44">
        <v>2</v>
      </c>
      <c r="C24" s="44">
        <v>1</v>
      </c>
      <c r="D24" s="44" t="s">
        <v>90</v>
      </c>
      <c r="E24" s="45">
        <f t="shared" si="0"/>
        <v>40544</v>
      </c>
      <c r="F24" s="44">
        <v>2012</v>
      </c>
      <c r="G24" s="44">
        <v>1208.67</v>
      </c>
      <c r="H24" s="44" t="s">
        <v>462</v>
      </c>
      <c r="I24" s="44">
        <v>2015</v>
      </c>
      <c r="J24" s="44">
        <v>10000</v>
      </c>
      <c r="K24" s="44" t="s">
        <v>463</v>
      </c>
      <c r="R24" s="44" t="s">
        <v>293</v>
      </c>
      <c r="T24" s="46">
        <f t="shared" si="1"/>
        <v>42005</v>
      </c>
      <c r="U24" s="62">
        <v>20151</v>
      </c>
      <c r="V24" s="63">
        <v>0</v>
      </c>
      <c r="W24" s="63">
        <v>571.73</v>
      </c>
      <c r="X24" s="44">
        <v>1</v>
      </c>
      <c r="Y24" s="44">
        <v>1</v>
      </c>
      <c r="Z24" s="44">
        <f>2015</f>
        <v>2015</v>
      </c>
      <c r="AA24" s="44">
        <v>0</v>
      </c>
      <c r="AB24" s="49" t="s">
        <v>452</v>
      </c>
      <c r="AC24" s="52" t="str">
        <f t="shared" si="2"/>
        <v>Changement nature RDE - Principal1 vers Complémentaire - Scénario id 2</v>
      </c>
    </row>
    <row r="25" spans="1:29" x14ac:dyDescent="0.25">
      <c r="B25" s="44">
        <v>3</v>
      </c>
      <c r="C25" s="44">
        <v>1</v>
      </c>
      <c r="D25" s="44" t="s">
        <v>93</v>
      </c>
      <c r="E25" s="45">
        <f t="shared" si="0"/>
        <v>40544</v>
      </c>
      <c r="F25" s="44">
        <v>2011</v>
      </c>
      <c r="G25" s="44">
        <v>5941.08</v>
      </c>
      <c r="H25" s="44" t="s">
        <v>462</v>
      </c>
      <c r="I25" s="44">
        <v>2012</v>
      </c>
      <c r="J25" s="44">
        <v>4639.13</v>
      </c>
      <c r="K25" s="44" t="s">
        <v>462</v>
      </c>
      <c r="R25" s="44" t="s">
        <v>293</v>
      </c>
      <c r="T25" s="46">
        <f t="shared" si="1"/>
        <v>41640</v>
      </c>
      <c r="U25" s="62">
        <v>20151</v>
      </c>
      <c r="V25" s="63">
        <v>77.7</v>
      </c>
      <c r="X25" s="44">
        <v>1</v>
      </c>
      <c r="Y25" s="44">
        <v>1</v>
      </c>
      <c r="Z25" s="44">
        <f>2015</f>
        <v>2015</v>
      </c>
      <c r="AA25" s="44">
        <v>1</v>
      </c>
      <c r="AB25" s="49" t="s">
        <v>453</v>
      </c>
      <c r="AC25" s="52" t="str">
        <f t="shared" si="2"/>
        <v>Changement nature RDE - Principal1 vers Complémentaire - Scénario id 3</v>
      </c>
    </row>
    <row r="26" spans="1:29" x14ac:dyDescent="0.25">
      <c r="B26" s="44">
        <v>4</v>
      </c>
      <c r="C26" s="44">
        <v>1</v>
      </c>
      <c r="D26" s="44" t="s">
        <v>93</v>
      </c>
      <c r="E26" s="45">
        <f t="shared" si="0"/>
        <v>40544</v>
      </c>
      <c r="F26" s="44">
        <v>2012</v>
      </c>
      <c r="G26" s="44">
        <v>4639.13</v>
      </c>
      <c r="H26" s="44" t="s">
        <v>462</v>
      </c>
      <c r="R26" s="44" t="s">
        <v>293</v>
      </c>
      <c r="T26" s="46">
        <f t="shared" si="1"/>
        <v>42095</v>
      </c>
      <c r="U26" s="62">
        <v>20152</v>
      </c>
      <c r="V26" s="63">
        <v>272.73</v>
      </c>
      <c r="X26" s="44">
        <v>1</v>
      </c>
      <c r="Y26" s="44">
        <v>4</v>
      </c>
      <c r="Z26" s="44">
        <f>2015</f>
        <v>2015</v>
      </c>
      <c r="AA26" s="44">
        <v>0</v>
      </c>
      <c r="AB26" s="49" t="s">
        <v>453</v>
      </c>
      <c r="AC26" s="52" t="str">
        <f t="shared" si="2"/>
        <v>Changement nature RDE - Principal1 vers Complémentaire - Scénario id 4</v>
      </c>
    </row>
    <row r="27" spans="1:29" x14ac:dyDescent="0.25">
      <c r="B27" s="44">
        <v>5</v>
      </c>
      <c r="C27" s="44">
        <v>1</v>
      </c>
      <c r="D27" s="44" t="s">
        <v>93</v>
      </c>
      <c r="E27" s="45">
        <f t="shared" si="0"/>
        <v>40544</v>
      </c>
      <c r="F27" s="44">
        <v>2012</v>
      </c>
      <c r="G27" s="44">
        <v>4639.13</v>
      </c>
      <c r="H27" s="44" t="s">
        <v>462</v>
      </c>
      <c r="I27" s="44">
        <v>2015</v>
      </c>
      <c r="J27" s="44">
        <v>10000</v>
      </c>
      <c r="K27" s="44" t="s">
        <v>463</v>
      </c>
      <c r="R27" s="44" t="s">
        <v>293</v>
      </c>
      <c r="T27" s="46">
        <f t="shared" si="1"/>
        <v>42095</v>
      </c>
      <c r="U27" s="62">
        <v>20152</v>
      </c>
      <c r="V27" s="63">
        <v>272.73</v>
      </c>
      <c r="W27" s="63">
        <v>298.99</v>
      </c>
      <c r="X27" s="44">
        <v>1</v>
      </c>
      <c r="Y27" s="44">
        <v>4</v>
      </c>
      <c r="Z27" s="44">
        <f>2015</f>
        <v>2015</v>
      </c>
      <c r="AA27" s="44">
        <v>0</v>
      </c>
      <c r="AB27" s="49" t="s">
        <v>453</v>
      </c>
      <c r="AC27" s="52" t="str">
        <f t="shared" si="2"/>
        <v>Changement nature RDE - Principal1 vers Complémentaire - Scénario id 5</v>
      </c>
    </row>
    <row r="28" spans="1:29" x14ac:dyDescent="0.25">
      <c r="A28" s="44" t="s">
        <v>474</v>
      </c>
      <c r="B28" s="44" t="s">
        <v>399</v>
      </c>
      <c r="C28" s="44" t="s">
        <v>290</v>
      </c>
      <c r="D28" s="44" t="s">
        <v>285</v>
      </c>
      <c r="E28" s="45" t="s">
        <v>296</v>
      </c>
      <c r="F28" s="44" t="s">
        <v>292</v>
      </c>
      <c r="G28" s="44" t="s">
        <v>437</v>
      </c>
      <c r="H28" s="44" t="s">
        <v>446</v>
      </c>
      <c r="I28" s="44" t="s">
        <v>438</v>
      </c>
      <c r="J28" s="44" t="s">
        <v>439</v>
      </c>
      <c r="K28" s="44" t="s">
        <v>447</v>
      </c>
      <c r="L28" s="64" t="s">
        <v>440</v>
      </c>
      <c r="M28" s="47" t="s">
        <v>441</v>
      </c>
      <c r="N28" s="47" t="s">
        <v>448</v>
      </c>
      <c r="O28" s="64" t="s">
        <v>442</v>
      </c>
      <c r="P28" s="47" t="s">
        <v>443</v>
      </c>
      <c r="Q28" s="47" t="s">
        <v>449</v>
      </c>
      <c r="R28" s="44" t="s">
        <v>298</v>
      </c>
      <c r="S28" s="44" t="s">
        <v>299</v>
      </c>
      <c r="T28" s="46" t="s">
        <v>297</v>
      </c>
      <c r="U28" s="62" t="s">
        <v>307</v>
      </c>
      <c r="V28" s="62" t="s">
        <v>444</v>
      </c>
      <c r="W28" s="63" t="s">
        <v>445</v>
      </c>
      <c r="X28" s="44" t="s">
        <v>287</v>
      </c>
      <c r="Y28" s="44" t="s">
        <v>288</v>
      </c>
      <c r="Z28" s="44" t="s">
        <v>289</v>
      </c>
      <c r="AA28" s="44" t="s">
        <v>295</v>
      </c>
      <c r="AB28" s="49" t="s">
        <v>450</v>
      </c>
      <c r="AC28" s="49" t="s">
        <v>457</v>
      </c>
    </row>
    <row r="29" spans="1:29" x14ac:dyDescent="0.25">
      <c r="B29" s="44">
        <v>1</v>
      </c>
      <c r="C29" s="44">
        <v>4</v>
      </c>
      <c r="E29" s="45">
        <f t="shared" ref="E29:E54" si="3">DATE($Z29-4,1,1)</f>
        <v>40544</v>
      </c>
      <c r="F29" s="44">
        <v>2011</v>
      </c>
      <c r="G29" s="44">
        <v>5841.97</v>
      </c>
      <c r="H29" s="44" t="s">
        <v>462</v>
      </c>
      <c r="I29" s="44">
        <v>2012</v>
      </c>
      <c r="J29" s="44">
        <v>3169.13</v>
      </c>
      <c r="K29" s="44" t="s">
        <v>462</v>
      </c>
      <c r="R29" s="44" t="s">
        <v>291</v>
      </c>
      <c r="T29" s="46">
        <f t="shared" ref="T29:T54" si="4">DATE($Z29-$AA29,$Y29,$X29)</f>
        <v>41821</v>
      </c>
      <c r="U29" s="62">
        <v>20151</v>
      </c>
      <c r="V29" s="63">
        <v>685.66</v>
      </c>
      <c r="X29" s="44">
        <v>1</v>
      </c>
      <c r="Y29" s="44">
        <v>7</v>
      </c>
      <c r="Z29" s="44">
        <f>2015</f>
        <v>2015</v>
      </c>
      <c r="AA29" s="44">
        <v>1</v>
      </c>
      <c r="AB29" s="49" t="s">
        <v>454</v>
      </c>
      <c r="AC29" s="52" t="str">
        <f t="shared" ref="AC29:AC34" si="5">TRIM($A$1&amp;" - "&amp;$A$28&amp;" "&amp;L29&amp;" vers "&amp;R29&amp;" "&amp;Q29&amp;" - Scénario id "&amp;B29)</f>
        <v>Changement nature RDE - Complémentaire1 vers Principal - Scénario id 1</v>
      </c>
    </row>
    <row r="30" spans="1:29" x14ac:dyDescent="0.25">
      <c r="B30" s="44">
        <v>2</v>
      </c>
      <c r="C30" s="44">
        <v>4</v>
      </c>
      <c r="E30" s="45">
        <f t="shared" si="3"/>
        <v>40544</v>
      </c>
      <c r="F30" s="44">
        <v>2011</v>
      </c>
      <c r="G30" s="44">
        <v>5841.97</v>
      </c>
      <c r="H30" s="44" t="s">
        <v>462</v>
      </c>
      <c r="I30" s="44">
        <v>2012</v>
      </c>
      <c r="J30" s="44">
        <v>3169.13</v>
      </c>
      <c r="K30" s="44" t="s">
        <v>462</v>
      </c>
      <c r="R30" s="44" t="s">
        <v>291</v>
      </c>
      <c r="T30" s="46">
        <f t="shared" si="4"/>
        <v>41365</v>
      </c>
      <c r="U30" s="62">
        <v>20151</v>
      </c>
      <c r="V30" s="63">
        <v>702.39</v>
      </c>
      <c r="X30" s="44">
        <v>1</v>
      </c>
      <c r="Y30" s="44">
        <v>4</v>
      </c>
      <c r="Z30" s="44">
        <f>2015</f>
        <v>2015</v>
      </c>
      <c r="AA30" s="44">
        <v>2</v>
      </c>
      <c r="AB30" s="49" t="s">
        <v>454</v>
      </c>
      <c r="AC30" s="52" t="str">
        <f t="shared" si="5"/>
        <v>Changement nature RDE - Complémentaire1 vers Principal - Scénario id 2</v>
      </c>
    </row>
    <row r="31" spans="1:29" x14ac:dyDescent="0.25">
      <c r="B31" s="44">
        <v>3</v>
      </c>
      <c r="C31" s="44">
        <v>4</v>
      </c>
      <c r="E31" s="45">
        <f t="shared" si="3"/>
        <v>40544</v>
      </c>
      <c r="F31" s="44">
        <v>2011</v>
      </c>
      <c r="G31" s="44">
        <v>5841.97</v>
      </c>
      <c r="H31" s="44" t="s">
        <v>462</v>
      </c>
      <c r="I31" s="44">
        <v>2012</v>
      </c>
      <c r="J31" s="44">
        <v>3169.13</v>
      </c>
      <c r="K31" s="44" t="s">
        <v>462</v>
      </c>
      <c r="R31" s="44" t="s">
        <v>291</v>
      </c>
      <c r="S31" s="44" t="s">
        <v>90</v>
      </c>
      <c r="T31" s="46">
        <f t="shared" si="4"/>
        <v>41365</v>
      </c>
      <c r="U31" s="62">
        <v>20151</v>
      </c>
      <c r="V31" s="63"/>
      <c r="X31" s="44">
        <v>1</v>
      </c>
      <c r="Y31" s="44">
        <v>4</v>
      </c>
      <c r="Z31" s="44">
        <f>2015</f>
        <v>2015</v>
      </c>
      <c r="AA31" s="44">
        <v>2</v>
      </c>
      <c r="AB31" s="49" t="s">
        <v>454</v>
      </c>
      <c r="AC31" s="52" t="str">
        <f t="shared" si="5"/>
        <v>Changement nature RDE - Complémentaire1 vers Principal - Scénario id 3</v>
      </c>
    </row>
    <row r="32" spans="1:29" x14ac:dyDescent="0.25">
      <c r="B32" s="44">
        <v>4</v>
      </c>
      <c r="C32" s="44">
        <v>4</v>
      </c>
      <c r="E32" s="45">
        <f t="shared" si="3"/>
        <v>40544</v>
      </c>
      <c r="F32" s="44">
        <v>2011</v>
      </c>
      <c r="G32" s="44">
        <v>5841.97</v>
      </c>
      <c r="H32" s="44" t="s">
        <v>462</v>
      </c>
      <c r="I32" s="44">
        <v>2012</v>
      </c>
      <c r="J32" s="44">
        <v>3169.13</v>
      </c>
      <c r="K32" s="44" t="s">
        <v>462</v>
      </c>
      <c r="R32" s="44" t="s">
        <v>291</v>
      </c>
      <c r="S32" s="44" t="s">
        <v>93</v>
      </c>
      <c r="T32" s="46">
        <f t="shared" si="4"/>
        <v>41821</v>
      </c>
      <c r="U32" s="62">
        <v>20151</v>
      </c>
      <c r="V32" s="63">
        <v>359.18</v>
      </c>
      <c r="X32" s="44">
        <v>1</v>
      </c>
      <c r="Y32" s="44">
        <v>7</v>
      </c>
      <c r="Z32" s="44">
        <f>2015</f>
        <v>2015</v>
      </c>
      <c r="AA32" s="44">
        <v>1</v>
      </c>
      <c r="AB32" s="49" t="s">
        <v>454</v>
      </c>
      <c r="AC32" s="52" t="str">
        <f t="shared" si="5"/>
        <v>Changement nature RDE - Complémentaire1 vers Principal - Scénario id 4</v>
      </c>
    </row>
    <row r="33" spans="1:29" x14ac:dyDescent="0.25">
      <c r="B33" s="44">
        <v>5</v>
      </c>
      <c r="C33" s="44">
        <v>4</v>
      </c>
      <c r="E33" s="45">
        <f t="shared" si="3"/>
        <v>40544</v>
      </c>
      <c r="F33" s="44">
        <v>2011</v>
      </c>
      <c r="G33" s="44">
        <v>5841.97</v>
      </c>
      <c r="H33" s="44" t="s">
        <v>462</v>
      </c>
      <c r="I33" s="44">
        <v>2012</v>
      </c>
      <c r="J33" s="44">
        <v>3169.13</v>
      </c>
      <c r="K33" s="44" t="s">
        <v>462</v>
      </c>
      <c r="R33" s="44" t="s">
        <v>291</v>
      </c>
      <c r="S33" s="44" t="s">
        <v>93</v>
      </c>
      <c r="T33" s="46">
        <f t="shared" si="4"/>
        <v>41365</v>
      </c>
      <c r="U33" s="62">
        <v>20151</v>
      </c>
      <c r="V33" s="63">
        <v>367.94</v>
      </c>
      <c r="X33" s="44">
        <v>1</v>
      </c>
      <c r="Y33" s="44">
        <v>4</v>
      </c>
      <c r="Z33" s="44">
        <f>2015</f>
        <v>2015</v>
      </c>
      <c r="AA33" s="44">
        <v>2</v>
      </c>
      <c r="AB33" s="49" t="s">
        <v>454</v>
      </c>
      <c r="AC33" s="52" t="str">
        <f t="shared" si="5"/>
        <v>Changement nature RDE - Complémentaire1 vers Principal - Scénario id 5</v>
      </c>
    </row>
    <row r="34" spans="1:29" x14ac:dyDescent="0.25">
      <c r="B34" s="44">
        <v>6</v>
      </c>
      <c r="C34" s="44">
        <v>4</v>
      </c>
      <c r="E34" s="45">
        <f t="shared" si="3"/>
        <v>40544</v>
      </c>
      <c r="F34" s="44">
        <v>2011</v>
      </c>
      <c r="G34" s="44">
        <v>5841.97</v>
      </c>
      <c r="H34" s="44" t="s">
        <v>462</v>
      </c>
      <c r="I34" s="44">
        <v>2012</v>
      </c>
      <c r="J34" s="44">
        <v>3169.13</v>
      </c>
      <c r="K34" s="44" t="s">
        <v>462</v>
      </c>
      <c r="L34" s="64">
        <v>2015</v>
      </c>
      <c r="M34" s="47">
        <v>15000</v>
      </c>
      <c r="N34" s="47" t="s">
        <v>463</v>
      </c>
      <c r="R34" s="44" t="s">
        <v>291</v>
      </c>
      <c r="T34" s="46">
        <f t="shared" si="4"/>
        <v>41821</v>
      </c>
      <c r="U34" s="62">
        <v>20151</v>
      </c>
      <c r="V34" s="63">
        <v>685.66</v>
      </c>
      <c r="W34" s="63">
        <v>113.46</v>
      </c>
      <c r="X34" s="44">
        <v>1</v>
      </c>
      <c r="Y34" s="44">
        <v>7</v>
      </c>
      <c r="Z34" s="44">
        <f>2015</f>
        <v>2015</v>
      </c>
      <c r="AA34" s="44">
        <v>1</v>
      </c>
      <c r="AB34" s="49" t="s">
        <v>454</v>
      </c>
      <c r="AC34" s="52" t="str">
        <f t="shared" si="5"/>
        <v>Changement nature RDE - Complémentaire1 2015 vers Principal - Scénario id 6</v>
      </c>
    </row>
    <row r="35" spans="1:29" x14ac:dyDescent="0.25">
      <c r="A35" s="44" t="s">
        <v>475</v>
      </c>
      <c r="B35" s="44" t="s">
        <v>399</v>
      </c>
      <c r="C35" s="44" t="s">
        <v>290</v>
      </c>
      <c r="D35" s="44" t="s">
        <v>285</v>
      </c>
      <c r="E35" s="45" t="s">
        <v>296</v>
      </c>
      <c r="F35" s="44" t="s">
        <v>292</v>
      </c>
      <c r="G35" s="44" t="s">
        <v>437</v>
      </c>
      <c r="H35" s="44" t="s">
        <v>446</v>
      </c>
      <c r="I35" s="44" t="s">
        <v>438</v>
      </c>
      <c r="J35" s="44" t="s">
        <v>439</v>
      </c>
      <c r="K35" s="44" t="s">
        <v>447</v>
      </c>
      <c r="L35" s="64" t="s">
        <v>440</v>
      </c>
      <c r="M35" s="47" t="s">
        <v>441</v>
      </c>
      <c r="N35" s="47" t="s">
        <v>448</v>
      </c>
      <c r="O35" s="64" t="s">
        <v>442</v>
      </c>
      <c r="P35" s="47" t="s">
        <v>443</v>
      </c>
      <c r="Q35" s="47" t="s">
        <v>449</v>
      </c>
      <c r="R35" s="44" t="s">
        <v>298</v>
      </c>
      <c r="S35" s="44" t="s">
        <v>299</v>
      </c>
      <c r="T35" s="46" t="s">
        <v>297</v>
      </c>
      <c r="U35" s="62" t="s">
        <v>307</v>
      </c>
      <c r="V35" s="62" t="s">
        <v>444</v>
      </c>
      <c r="W35" s="63" t="s">
        <v>445</v>
      </c>
      <c r="X35" s="44" t="s">
        <v>287</v>
      </c>
      <c r="Y35" s="44" t="s">
        <v>288</v>
      </c>
      <c r="Z35" s="44" t="s">
        <v>289</v>
      </c>
      <c r="AA35" s="44" t="s">
        <v>295</v>
      </c>
      <c r="AB35" s="49" t="s">
        <v>450</v>
      </c>
      <c r="AC35" s="49" t="s">
        <v>457</v>
      </c>
    </row>
    <row r="36" spans="1:29" x14ac:dyDescent="0.25">
      <c r="B36" s="44">
        <v>1</v>
      </c>
      <c r="C36" s="44">
        <v>4</v>
      </c>
      <c r="E36" s="45">
        <f>DATE($Z36-4,1,1)</f>
        <v>40544</v>
      </c>
      <c r="F36" s="44">
        <v>2011</v>
      </c>
      <c r="G36" s="44">
        <v>5841.97</v>
      </c>
      <c r="H36" s="44" t="s">
        <v>462</v>
      </c>
      <c r="I36" s="44">
        <v>2012</v>
      </c>
      <c r="J36" s="44">
        <v>3169.13</v>
      </c>
      <c r="K36" s="44" t="s">
        <v>462</v>
      </c>
      <c r="L36" s="64">
        <v>2015</v>
      </c>
      <c r="M36" s="47">
        <v>22000</v>
      </c>
      <c r="N36" s="47" t="s">
        <v>463</v>
      </c>
      <c r="R36" s="44" t="s">
        <v>291</v>
      </c>
      <c r="T36" s="46">
        <f>DATE($Z36-$AA36,$Y36,$X36)</f>
        <v>41640</v>
      </c>
      <c r="U36" s="62">
        <v>20151</v>
      </c>
      <c r="V36" s="63">
        <v>702.39</v>
      </c>
      <c r="W36" s="63">
        <v>498.23</v>
      </c>
      <c r="X36" s="44">
        <v>1</v>
      </c>
      <c r="Y36" s="44">
        <v>1</v>
      </c>
      <c r="Z36" s="44">
        <f>2015</f>
        <v>2015</v>
      </c>
      <c r="AA36" s="44">
        <v>1</v>
      </c>
      <c r="AB36" s="49" t="s">
        <v>454</v>
      </c>
      <c r="AC36" s="52" t="str">
        <f t="shared" ref="AC36:AC41" si="6">TRIM($A$1&amp;" - "&amp;$A$28&amp;" "&amp;L36&amp;" vers "&amp;R36&amp;" "&amp;Q36&amp;" - Scénario id "&amp;B36)</f>
        <v>Changement nature RDE - Complémentaire1 2015 vers Principal - Scénario id 1</v>
      </c>
    </row>
    <row r="37" spans="1:29" x14ac:dyDescent="0.25">
      <c r="B37" s="44">
        <v>2</v>
      </c>
      <c r="C37" s="44">
        <v>4</v>
      </c>
      <c r="E37" s="45">
        <f t="shared" si="3"/>
        <v>40544</v>
      </c>
      <c r="F37" s="44">
        <v>2011</v>
      </c>
      <c r="G37" s="44">
        <v>5841.97</v>
      </c>
      <c r="H37" s="44" t="s">
        <v>462</v>
      </c>
      <c r="I37" s="44">
        <v>2012</v>
      </c>
      <c r="J37" s="44">
        <v>3169.13</v>
      </c>
      <c r="K37" s="44" t="s">
        <v>462</v>
      </c>
      <c r="L37" s="64">
        <v>2013</v>
      </c>
      <c r="M37" s="47">
        <v>63000</v>
      </c>
      <c r="N37" s="47" t="s">
        <v>463</v>
      </c>
      <c r="R37" s="44" t="s">
        <v>291</v>
      </c>
      <c r="T37" s="46">
        <f t="shared" si="4"/>
        <v>41275</v>
      </c>
      <c r="U37" s="62">
        <v>20124</v>
      </c>
      <c r="V37" s="63">
        <v>683.22</v>
      </c>
      <c r="W37" s="63">
        <v>2546.38</v>
      </c>
      <c r="X37" s="44">
        <v>1</v>
      </c>
      <c r="Y37" s="44">
        <v>1</v>
      </c>
      <c r="Z37" s="44">
        <f>2015</f>
        <v>2015</v>
      </c>
      <c r="AA37" s="44">
        <v>2</v>
      </c>
      <c r="AB37" s="49" t="s">
        <v>454</v>
      </c>
      <c r="AC37" s="52" t="str">
        <f t="shared" si="6"/>
        <v>Changement nature RDE - Complémentaire1 2013 vers Principal - Scénario id 2</v>
      </c>
    </row>
    <row r="38" spans="1:29" x14ac:dyDescent="0.25">
      <c r="B38" s="44">
        <v>3</v>
      </c>
      <c r="C38" s="44">
        <v>4</v>
      </c>
      <c r="E38" s="45">
        <f t="shared" si="3"/>
        <v>40544</v>
      </c>
      <c r="F38" s="44">
        <v>2012</v>
      </c>
      <c r="G38" s="44">
        <v>8067.52</v>
      </c>
      <c r="H38" s="44" t="s">
        <v>462</v>
      </c>
      <c r="R38" s="44" t="s">
        <v>291</v>
      </c>
      <c r="T38" s="46">
        <f t="shared" si="4"/>
        <v>42095</v>
      </c>
      <c r="U38" s="62">
        <v>20152</v>
      </c>
      <c r="V38" s="63">
        <v>735.83</v>
      </c>
      <c r="X38" s="44">
        <v>1</v>
      </c>
      <c r="Y38" s="44">
        <v>4</v>
      </c>
      <c r="Z38" s="44">
        <f>2015</f>
        <v>2015</v>
      </c>
      <c r="AA38" s="44">
        <v>0</v>
      </c>
      <c r="AB38" s="49" t="s">
        <v>454</v>
      </c>
      <c r="AC38" s="52" t="str">
        <f t="shared" si="6"/>
        <v>Changement nature RDE - Complémentaire1 vers Principal - Scénario id 3</v>
      </c>
    </row>
    <row r="39" spans="1:29" x14ac:dyDescent="0.25">
      <c r="B39" s="44">
        <v>4</v>
      </c>
      <c r="C39" s="44">
        <v>4</v>
      </c>
      <c r="E39" s="45">
        <f t="shared" si="3"/>
        <v>40544</v>
      </c>
      <c r="F39" s="44">
        <v>2012</v>
      </c>
      <c r="G39" s="44">
        <v>39114.629999999997</v>
      </c>
      <c r="H39" s="44" t="s">
        <v>462</v>
      </c>
      <c r="R39" s="44" t="s">
        <v>291</v>
      </c>
      <c r="T39" s="46">
        <f t="shared" si="4"/>
        <v>42095</v>
      </c>
      <c r="U39" s="62">
        <v>20152</v>
      </c>
      <c r="V39" s="63">
        <v>2299.5100000000002</v>
      </c>
      <c r="X39" s="44">
        <v>1</v>
      </c>
      <c r="Y39" s="44">
        <v>4</v>
      </c>
      <c r="Z39" s="44">
        <f>2015</f>
        <v>2015</v>
      </c>
      <c r="AA39" s="44">
        <v>0</v>
      </c>
      <c r="AB39" s="49" t="s">
        <v>454</v>
      </c>
      <c r="AC39" s="52" t="str">
        <f t="shared" si="6"/>
        <v>Changement nature RDE - Complémentaire1 vers Principal - Scénario id 4</v>
      </c>
    </row>
    <row r="40" spans="1:29" x14ac:dyDescent="0.25">
      <c r="B40" s="44">
        <v>5</v>
      </c>
      <c r="C40" s="44">
        <v>4</v>
      </c>
      <c r="E40" s="45">
        <f t="shared" si="3"/>
        <v>40544</v>
      </c>
      <c r="F40" s="44">
        <v>2012</v>
      </c>
      <c r="G40" s="44">
        <v>5081.7299999999996</v>
      </c>
      <c r="H40" s="44" t="s">
        <v>462</v>
      </c>
      <c r="R40" s="44" t="s">
        <v>291</v>
      </c>
      <c r="S40" s="44" t="s">
        <v>93</v>
      </c>
      <c r="T40" s="46">
        <f t="shared" si="4"/>
        <v>42095</v>
      </c>
      <c r="U40" s="62">
        <v>20152</v>
      </c>
      <c r="V40" s="63">
        <v>298.75</v>
      </c>
      <c r="X40" s="44">
        <v>1</v>
      </c>
      <c r="Y40" s="44">
        <v>4</v>
      </c>
      <c r="Z40" s="44">
        <f>2015</f>
        <v>2015</v>
      </c>
      <c r="AA40" s="44">
        <v>0</v>
      </c>
      <c r="AB40" s="49" t="s">
        <v>454</v>
      </c>
      <c r="AC40" s="52" t="str">
        <f t="shared" si="6"/>
        <v>Changement nature RDE - Complémentaire1 vers Principal - Scénario id 5</v>
      </c>
    </row>
    <row r="41" spans="1:29" x14ac:dyDescent="0.25">
      <c r="B41" s="44">
        <v>6</v>
      </c>
      <c r="C41" s="44">
        <v>4</v>
      </c>
      <c r="E41" s="45">
        <f t="shared" si="3"/>
        <v>40544</v>
      </c>
      <c r="F41" s="44">
        <v>2012</v>
      </c>
      <c r="G41" s="44">
        <v>6237.18</v>
      </c>
      <c r="H41" s="44" t="s">
        <v>462</v>
      </c>
      <c r="I41" s="44">
        <v>2015</v>
      </c>
      <c r="J41" s="44">
        <v>17000</v>
      </c>
      <c r="K41" s="44" t="s">
        <v>463</v>
      </c>
      <c r="R41" s="44" t="s">
        <v>291</v>
      </c>
      <c r="T41" s="46">
        <f t="shared" si="4"/>
        <v>42095</v>
      </c>
      <c r="U41" s="62">
        <v>20152</v>
      </c>
      <c r="V41" s="63">
        <v>735.83</v>
      </c>
      <c r="W41" s="63">
        <v>236.1</v>
      </c>
      <c r="X41" s="44">
        <v>1</v>
      </c>
      <c r="Y41" s="44">
        <v>4</v>
      </c>
      <c r="Z41" s="44">
        <f>2015</f>
        <v>2015</v>
      </c>
      <c r="AA41" s="44">
        <v>0</v>
      </c>
      <c r="AB41" s="49" t="s">
        <v>454</v>
      </c>
      <c r="AC41" s="52" t="str">
        <f t="shared" si="6"/>
        <v>Changement nature RDE - Complémentaire1 vers Principal - Scénario id 6</v>
      </c>
    </row>
    <row r="42" spans="1:29" x14ac:dyDescent="0.25">
      <c r="A42" s="44" t="s">
        <v>477</v>
      </c>
      <c r="B42" s="44" t="s">
        <v>399</v>
      </c>
      <c r="C42" s="44" t="s">
        <v>290</v>
      </c>
      <c r="D42" s="44" t="s">
        <v>285</v>
      </c>
      <c r="E42" s="45" t="s">
        <v>296</v>
      </c>
      <c r="F42" s="44" t="s">
        <v>292</v>
      </c>
      <c r="G42" s="44" t="s">
        <v>437</v>
      </c>
      <c r="H42" s="44" t="s">
        <v>446</v>
      </c>
      <c r="I42" s="44" t="s">
        <v>438</v>
      </c>
      <c r="J42" s="44" t="s">
        <v>439</v>
      </c>
      <c r="K42" s="44" t="s">
        <v>447</v>
      </c>
      <c r="L42" s="64" t="s">
        <v>440</v>
      </c>
      <c r="M42" s="47" t="s">
        <v>441</v>
      </c>
      <c r="N42" s="47" t="s">
        <v>448</v>
      </c>
      <c r="O42" s="64" t="s">
        <v>442</v>
      </c>
      <c r="P42" s="47" t="s">
        <v>443</v>
      </c>
      <c r="Q42" s="47" t="s">
        <v>449</v>
      </c>
      <c r="R42" s="44" t="s">
        <v>298</v>
      </c>
      <c r="S42" s="44" t="s">
        <v>299</v>
      </c>
      <c r="T42" s="46" t="s">
        <v>297</v>
      </c>
      <c r="U42" s="62" t="s">
        <v>307</v>
      </c>
      <c r="V42" s="62" t="s">
        <v>444</v>
      </c>
      <c r="W42" s="63" t="s">
        <v>445</v>
      </c>
      <c r="X42" s="44" t="s">
        <v>287</v>
      </c>
      <c r="Y42" s="44" t="s">
        <v>288</v>
      </c>
      <c r="Z42" s="44" t="s">
        <v>289</v>
      </c>
      <c r="AA42" s="44" t="s">
        <v>295</v>
      </c>
      <c r="AB42" s="49" t="s">
        <v>450</v>
      </c>
      <c r="AC42" s="49" t="s">
        <v>457</v>
      </c>
    </row>
    <row r="43" spans="1:29" x14ac:dyDescent="0.25">
      <c r="B43" s="44">
        <v>1</v>
      </c>
      <c r="C43" s="44">
        <v>4</v>
      </c>
      <c r="D43" s="44" t="s">
        <v>90</v>
      </c>
      <c r="E43" s="45">
        <f>DATE($Z43-4,1,1)</f>
        <v>40544</v>
      </c>
      <c r="F43" s="44">
        <v>2011</v>
      </c>
      <c r="G43" s="44">
        <v>508.11</v>
      </c>
      <c r="H43" s="44" t="s">
        <v>462</v>
      </c>
      <c r="I43" s="44">
        <v>2012</v>
      </c>
      <c r="J43" s="44">
        <v>944.28</v>
      </c>
      <c r="K43" s="44" t="s">
        <v>462</v>
      </c>
      <c r="R43" s="44" t="s">
        <v>291</v>
      </c>
      <c r="T43" s="46">
        <f>DATE($Z43-$AA43,$Y43,$X43)</f>
        <v>41821</v>
      </c>
      <c r="U43" s="62">
        <v>20151</v>
      </c>
      <c r="V43" s="63">
        <v>685.66</v>
      </c>
      <c r="X43" s="44">
        <v>1</v>
      </c>
      <c r="Y43" s="44">
        <v>7</v>
      </c>
      <c r="Z43" s="44">
        <f>2015</f>
        <v>2015</v>
      </c>
      <c r="AA43" s="44">
        <v>1</v>
      </c>
      <c r="AB43" s="49" t="s">
        <v>451</v>
      </c>
      <c r="AC43" s="52" t="str">
        <f t="shared" ref="AC43:AC48" si="7">TRIM($A$1&amp;" - "&amp;$A$28&amp;" "&amp;L43&amp;" vers "&amp;R43&amp;" "&amp;Q43&amp;" - Scénario id "&amp;B43)</f>
        <v>Changement nature RDE - Complémentaire1 vers Principal - Scénario id 1</v>
      </c>
    </row>
    <row r="44" spans="1:29" x14ac:dyDescent="0.25">
      <c r="B44" s="44">
        <v>2</v>
      </c>
      <c r="C44" s="44">
        <v>4</v>
      </c>
      <c r="D44" s="44" t="s">
        <v>90</v>
      </c>
      <c r="E44" s="45">
        <f>DATE($Z44-4,1,1)</f>
        <v>40544</v>
      </c>
      <c r="F44" s="44">
        <v>2011</v>
      </c>
      <c r="G44" s="44">
        <v>701.66</v>
      </c>
      <c r="H44" s="44" t="s">
        <v>462</v>
      </c>
      <c r="I44" s="44">
        <v>2012</v>
      </c>
      <c r="J44" s="44">
        <v>481.39</v>
      </c>
      <c r="K44" s="44" t="s">
        <v>462</v>
      </c>
      <c r="R44" s="44" t="s">
        <v>291</v>
      </c>
      <c r="T44" s="46">
        <f>DATE($Z44-$AA44,$Y44,$X44)</f>
        <v>41640</v>
      </c>
      <c r="U44" s="62">
        <v>20151</v>
      </c>
      <c r="V44" s="63">
        <v>702.39</v>
      </c>
      <c r="X44" s="44">
        <v>1</v>
      </c>
      <c r="Y44" s="44">
        <v>1</v>
      </c>
      <c r="Z44" s="44">
        <f>2015</f>
        <v>2015</v>
      </c>
      <c r="AA44" s="44">
        <v>1</v>
      </c>
      <c r="AB44" s="49" t="s">
        <v>451</v>
      </c>
      <c r="AC44" s="52" t="str">
        <f t="shared" si="7"/>
        <v>Changement nature RDE - Complémentaire1 vers Principal - Scénario id 2</v>
      </c>
    </row>
    <row r="45" spans="1:29" x14ac:dyDescent="0.25">
      <c r="B45" s="44">
        <v>3</v>
      </c>
      <c r="C45" s="44">
        <v>4</v>
      </c>
      <c r="D45" s="44" t="s">
        <v>90</v>
      </c>
      <c r="E45" s="45">
        <f>DATE($Z45-4,1,1)</f>
        <v>40544</v>
      </c>
      <c r="F45" s="44">
        <v>2011</v>
      </c>
      <c r="G45" s="44">
        <v>753.15</v>
      </c>
      <c r="H45" s="44" t="s">
        <v>462</v>
      </c>
      <c r="I45" s="44">
        <v>2012</v>
      </c>
      <c r="J45" s="44">
        <v>591.17999999999995</v>
      </c>
      <c r="K45" s="44" t="s">
        <v>462</v>
      </c>
      <c r="R45" s="44" t="s">
        <v>291</v>
      </c>
      <c r="T45" s="46">
        <f>DATE($Z45-$AA45,$Y45,$X45)</f>
        <v>41275</v>
      </c>
      <c r="U45" s="62">
        <v>20151</v>
      </c>
      <c r="V45" s="63">
        <v>719.12</v>
      </c>
      <c r="X45" s="44">
        <v>1</v>
      </c>
      <c r="Y45" s="44">
        <v>1</v>
      </c>
      <c r="Z45" s="44">
        <f>2015</f>
        <v>2015</v>
      </c>
      <c r="AA45" s="44">
        <v>2</v>
      </c>
      <c r="AB45" s="49" t="s">
        <v>451</v>
      </c>
      <c r="AC45" s="52" t="str">
        <f t="shared" si="7"/>
        <v>Changement nature RDE - Complémentaire1 vers Principal - Scénario id 3</v>
      </c>
    </row>
    <row r="46" spans="1:29" x14ac:dyDescent="0.25">
      <c r="B46" s="44">
        <v>4</v>
      </c>
      <c r="C46" s="44">
        <v>4</v>
      </c>
      <c r="D46" s="44" t="s">
        <v>90</v>
      </c>
      <c r="E46" s="45">
        <f t="shared" si="3"/>
        <v>40544</v>
      </c>
      <c r="F46" s="44">
        <v>2011</v>
      </c>
      <c r="G46" s="44">
        <v>1000.08</v>
      </c>
      <c r="H46" s="44" t="s">
        <v>462</v>
      </c>
      <c r="I46" s="44">
        <v>2012</v>
      </c>
      <c r="J46" s="44">
        <v>341.82</v>
      </c>
      <c r="K46" s="44" t="s">
        <v>462</v>
      </c>
      <c r="R46" s="44" t="s">
        <v>291</v>
      </c>
      <c r="S46" s="44" t="s">
        <v>93</v>
      </c>
      <c r="T46" s="46">
        <f t="shared" si="4"/>
        <v>41821</v>
      </c>
      <c r="U46" s="62">
        <v>20151</v>
      </c>
      <c r="V46" s="63">
        <v>359.18</v>
      </c>
      <c r="X46" s="44">
        <v>1</v>
      </c>
      <c r="Y46" s="44">
        <v>7</v>
      </c>
      <c r="Z46" s="44">
        <f>2015</f>
        <v>2015</v>
      </c>
      <c r="AA46" s="44">
        <v>1</v>
      </c>
      <c r="AB46" s="49" t="s">
        <v>451</v>
      </c>
      <c r="AC46" s="52" t="str">
        <f t="shared" si="7"/>
        <v>Changement nature RDE - Complémentaire1 vers Principal - Scénario id 4</v>
      </c>
    </row>
    <row r="47" spans="1:29" x14ac:dyDescent="0.25">
      <c r="B47" s="44">
        <v>5</v>
      </c>
      <c r="C47" s="44">
        <v>4</v>
      </c>
      <c r="D47" s="44" t="s">
        <v>90</v>
      </c>
      <c r="E47" s="45">
        <f t="shared" si="3"/>
        <v>40544</v>
      </c>
      <c r="F47" s="44">
        <v>2011</v>
      </c>
      <c r="G47" s="44">
        <v>1000.08</v>
      </c>
      <c r="H47" s="44" t="s">
        <v>462</v>
      </c>
      <c r="I47" s="44">
        <v>2012</v>
      </c>
      <c r="J47" s="44">
        <v>341.82</v>
      </c>
      <c r="K47" s="44" t="s">
        <v>462</v>
      </c>
      <c r="R47" s="44" t="s">
        <v>291</v>
      </c>
      <c r="S47" s="44" t="s">
        <v>93</v>
      </c>
      <c r="T47" s="46">
        <f t="shared" si="4"/>
        <v>41640</v>
      </c>
      <c r="U47" s="62">
        <v>20151</v>
      </c>
      <c r="V47" s="63">
        <v>367.94</v>
      </c>
      <c r="X47" s="44">
        <v>1</v>
      </c>
      <c r="Y47" s="44">
        <v>1</v>
      </c>
      <c r="Z47" s="44">
        <f>2015</f>
        <v>2015</v>
      </c>
      <c r="AA47" s="44">
        <v>1</v>
      </c>
      <c r="AB47" s="49" t="s">
        <v>451</v>
      </c>
      <c r="AC47" s="52" t="str">
        <f t="shared" si="7"/>
        <v>Changement nature RDE - Complémentaire1 vers Principal - Scénario id 5</v>
      </c>
    </row>
    <row r="48" spans="1:29" x14ac:dyDescent="0.25">
      <c r="B48" s="44">
        <v>6</v>
      </c>
      <c r="C48" s="44">
        <v>4</v>
      </c>
      <c r="D48" s="44" t="s">
        <v>90</v>
      </c>
      <c r="E48" s="45">
        <f t="shared" si="3"/>
        <v>40544</v>
      </c>
      <c r="F48" s="44">
        <v>2011</v>
      </c>
      <c r="G48" s="44">
        <v>1000.08</v>
      </c>
      <c r="H48" s="44" t="s">
        <v>462</v>
      </c>
      <c r="I48" s="44">
        <v>2012</v>
      </c>
      <c r="J48" s="44">
        <v>341.82</v>
      </c>
      <c r="K48" s="44" t="s">
        <v>462</v>
      </c>
      <c r="R48" s="44" t="s">
        <v>291</v>
      </c>
      <c r="S48" s="44" t="s">
        <v>93</v>
      </c>
      <c r="T48" s="46">
        <f t="shared" si="4"/>
        <v>41275</v>
      </c>
      <c r="U48" s="62">
        <v>20151</v>
      </c>
      <c r="V48" s="63">
        <v>376.7</v>
      </c>
      <c r="X48" s="44">
        <v>1</v>
      </c>
      <c r="Y48" s="44">
        <v>1</v>
      </c>
      <c r="Z48" s="44">
        <f>2015</f>
        <v>2015</v>
      </c>
      <c r="AA48" s="44">
        <v>2</v>
      </c>
      <c r="AB48" s="49" t="s">
        <v>451</v>
      </c>
      <c r="AC48" s="52" t="str">
        <f t="shared" si="7"/>
        <v>Changement nature RDE - Complémentaire1 vers Principal - Scénario id 6</v>
      </c>
    </row>
    <row r="49" spans="1:29" x14ac:dyDescent="0.25">
      <c r="A49" s="44" t="s">
        <v>482</v>
      </c>
      <c r="B49" s="44" t="s">
        <v>399</v>
      </c>
      <c r="C49" s="44" t="s">
        <v>290</v>
      </c>
      <c r="D49" s="44" t="s">
        <v>285</v>
      </c>
      <c r="E49" s="45" t="s">
        <v>296</v>
      </c>
      <c r="F49" s="44" t="s">
        <v>292</v>
      </c>
      <c r="G49" s="44" t="s">
        <v>437</v>
      </c>
      <c r="H49" s="44" t="s">
        <v>446</v>
      </c>
      <c r="I49" s="44" t="s">
        <v>438</v>
      </c>
      <c r="J49" s="44" t="s">
        <v>439</v>
      </c>
      <c r="K49" s="44" t="s">
        <v>447</v>
      </c>
      <c r="L49" s="64" t="s">
        <v>440</v>
      </c>
      <c r="M49" s="47" t="s">
        <v>441</v>
      </c>
      <c r="N49" s="47" t="s">
        <v>448</v>
      </c>
      <c r="O49" s="64" t="s">
        <v>442</v>
      </c>
      <c r="P49" s="47" t="s">
        <v>443</v>
      </c>
      <c r="Q49" s="47" t="s">
        <v>449</v>
      </c>
      <c r="R49" s="44" t="s">
        <v>298</v>
      </c>
      <c r="S49" s="44" t="s">
        <v>299</v>
      </c>
      <c r="T49" s="46" t="s">
        <v>297</v>
      </c>
      <c r="U49" s="62" t="s">
        <v>307</v>
      </c>
      <c r="V49" s="62" t="s">
        <v>444</v>
      </c>
      <c r="W49" s="63" t="s">
        <v>445</v>
      </c>
      <c r="X49" s="44" t="s">
        <v>287</v>
      </c>
      <c r="Y49" s="44" t="s">
        <v>288</v>
      </c>
      <c r="Z49" s="44" t="s">
        <v>289</v>
      </c>
      <c r="AA49" s="44" t="s">
        <v>295</v>
      </c>
      <c r="AB49" s="49" t="s">
        <v>450</v>
      </c>
      <c r="AC49" s="49" t="s">
        <v>457</v>
      </c>
    </row>
    <row r="50" spans="1:29" x14ac:dyDescent="0.25">
      <c r="B50" s="44">
        <v>1</v>
      </c>
      <c r="C50" s="44">
        <v>4</v>
      </c>
      <c r="D50" s="44" t="s">
        <v>90</v>
      </c>
      <c r="E50" s="45">
        <f t="shared" si="3"/>
        <v>40544</v>
      </c>
      <c r="F50" s="44">
        <v>2011</v>
      </c>
      <c r="G50" s="44">
        <v>500</v>
      </c>
      <c r="H50" s="44" t="s">
        <v>462</v>
      </c>
      <c r="I50" s="44">
        <v>2012</v>
      </c>
      <c r="J50" s="44">
        <v>500</v>
      </c>
      <c r="K50" s="44" t="s">
        <v>462</v>
      </c>
      <c r="L50" s="64">
        <v>2015</v>
      </c>
      <c r="M50" s="47">
        <v>15000</v>
      </c>
      <c r="N50" s="47" t="s">
        <v>463</v>
      </c>
      <c r="R50" s="44" t="s">
        <v>291</v>
      </c>
      <c r="T50" s="46">
        <f t="shared" si="4"/>
        <v>41821</v>
      </c>
      <c r="U50" s="62">
        <v>20151</v>
      </c>
      <c r="V50" s="63">
        <v>685.66</v>
      </c>
      <c r="W50" s="63">
        <v>113.46</v>
      </c>
      <c r="X50" s="44">
        <v>1</v>
      </c>
      <c r="Y50" s="44">
        <v>7</v>
      </c>
      <c r="Z50" s="44">
        <f>2015</f>
        <v>2015</v>
      </c>
      <c r="AA50" s="44">
        <v>1</v>
      </c>
      <c r="AB50" s="49" t="s">
        <v>451</v>
      </c>
      <c r="AC50" s="52" t="str">
        <f>TRIM($A$1&amp;" - "&amp;$A$28&amp;" "&amp;L50&amp;" vers "&amp;R50&amp;" "&amp;Q50&amp;" - Scénario id "&amp;B50)</f>
        <v>Changement nature RDE - Complémentaire1 2015 vers Principal - Scénario id 1</v>
      </c>
    </row>
    <row r="51" spans="1:29" x14ac:dyDescent="0.25">
      <c r="B51" s="44">
        <v>2</v>
      </c>
      <c r="C51" s="44">
        <v>4</v>
      </c>
      <c r="D51" s="44" t="s">
        <v>90</v>
      </c>
      <c r="E51" s="45">
        <f t="shared" si="3"/>
        <v>40544</v>
      </c>
      <c r="F51" s="44">
        <v>2011</v>
      </c>
      <c r="G51" s="44">
        <v>500</v>
      </c>
      <c r="H51" s="44" t="s">
        <v>462</v>
      </c>
      <c r="I51" s="44">
        <v>2012</v>
      </c>
      <c r="J51" s="44">
        <v>500</v>
      </c>
      <c r="K51" s="44" t="s">
        <v>462</v>
      </c>
      <c r="L51" s="64">
        <v>2015</v>
      </c>
      <c r="M51" s="47">
        <v>22000</v>
      </c>
      <c r="N51" s="47" t="s">
        <v>463</v>
      </c>
      <c r="R51" s="44" t="s">
        <v>291</v>
      </c>
      <c r="T51" s="46">
        <f t="shared" si="4"/>
        <v>41640</v>
      </c>
      <c r="U51" s="62">
        <v>20151</v>
      </c>
      <c r="V51" s="63">
        <v>702.39</v>
      </c>
      <c r="W51" s="63">
        <v>498.23</v>
      </c>
      <c r="X51" s="44">
        <v>1</v>
      </c>
      <c r="Y51" s="44">
        <v>1</v>
      </c>
      <c r="Z51" s="44">
        <f>2015</f>
        <v>2015</v>
      </c>
      <c r="AA51" s="44">
        <v>1</v>
      </c>
      <c r="AB51" s="49" t="s">
        <v>451</v>
      </c>
      <c r="AC51" s="52" t="str">
        <f>TRIM($A$1&amp;" - "&amp;$A$28&amp;" "&amp;L51&amp;" vers "&amp;R51&amp;" "&amp;Q51&amp;" - Scénario id "&amp;B51)</f>
        <v>Changement nature RDE - Complémentaire1 2015 vers Principal - Scénario id 2</v>
      </c>
    </row>
    <row r="52" spans="1:29" x14ac:dyDescent="0.25">
      <c r="B52" s="44">
        <v>3</v>
      </c>
      <c r="C52" s="44">
        <v>4</v>
      </c>
      <c r="D52" s="44" t="s">
        <v>90</v>
      </c>
      <c r="E52" s="45">
        <f t="shared" si="3"/>
        <v>40544</v>
      </c>
      <c r="F52" s="44">
        <v>2011</v>
      </c>
      <c r="G52" s="44">
        <v>500</v>
      </c>
      <c r="H52" s="44" t="s">
        <v>462</v>
      </c>
      <c r="I52" s="44">
        <v>2012</v>
      </c>
      <c r="J52" s="44">
        <v>500</v>
      </c>
      <c r="K52" s="44" t="s">
        <v>462</v>
      </c>
      <c r="L52" s="64">
        <v>2015</v>
      </c>
      <c r="M52" s="47">
        <v>63000</v>
      </c>
      <c r="N52" s="47" t="s">
        <v>463</v>
      </c>
      <c r="R52" s="44" t="s">
        <v>291</v>
      </c>
      <c r="T52" s="46">
        <f t="shared" si="4"/>
        <v>41275</v>
      </c>
      <c r="U52" s="62">
        <v>20151</v>
      </c>
      <c r="V52" s="63">
        <v>719.12</v>
      </c>
      <c r="W52" s="63">
        <v>2659.3</v>
      </c>
      <c r="X52" s="44">
        <v>1</v>
      </c>
      <c r="Y52" s="44">
        <v>1</v>
      </c>
      <c r="Z52" s="44">
        <f>2015</f>
        <v>2015</v>
      </c>
      <c r="AA52" s="44">
        <v>2</v>
      </c>
      <c r="AB52" s="49" t="s">
        <v>451</v>
      </c>
      <c r="AC52" s="52" t="str">
        <f>TRIM($A$1&amp;" - "&amp;$A$28&amp;" "&amp;L52&amp;" vers "&amp;R52&amp;" "&amp;Q52&amp;" - Scénario id "&amp;B52)</f>
        <v>Changement nature RDE - Complémentaire1 2015 vers Principal - Scénario id 3</v>
      </c>
    </row>
    <row r="53" spans="1:29" x14ac:dyDescent="0.25">
      <c r="B53" s="44">
        <v>4</v>
      </c>
      <c r="C53" s="44">
        <v>4</v>
      </c>
      <c r="E53" s="45">
        <f t="shared" si="3"/>
        <v>40544</v>
      </c>
      <c r="F53" s="44">
        <v>2012</v>
      </c>
      <c r="G53" s="44">
        <v>9282.1200000000008</v>
      </c>
      <c r="H53" s="44" t="s">
        <v>462</v>
      </c>
      <c r="I53" s="44">
        <v>2015</v>
      </c>
      <c r="J53" s="44">
        <v>15000</v>
      </c>
      <c r="K53" s="44" t="s">
        <v>463</v>
      </c>
      <c r="R53" s="44" t="s">
        <v>291</v>
      </c>
      <c r="T53" s="46">
        <f t="shared" si="4"/>
        <v>42095</v>
      </c>
      <c r="U53" s="62">
        <v>20152</v>
      </c>
      <c r="V53" s="63">
        <v>735.83</v>
      </c>
      <c r="X53" s="44">
        <v>1</v>
      </c>
      <c r="Y53" s="44">
        <v>4</v>
      </c>
      <c r="Z53" s="44">
        <f>2015</f>
        <v>2015</v>
      </c>
      <c r="AA53" s="44">
        <v>0</v>
      </c>
      <c r="AB53" s="49" t="s">
        <v>453</v>
      </c>
      <c r="AC53" s="52" t="str">
        <f>TRIM($A$1&amp;" - "&amp;$A$28&amp;" "&amp;L53&amp;" vers "&amp;R53&amp;" "&amp;Q53&amp;" - Scénario id "&amp;B53)</f>
        <v>Changement nature RDE - Complémentaire1 vers Principal - Scénario id 4</v>
      </c>
    </row>
    <row r="54" spans="1:29" x14ac:dyDescent="0.25">
      <c r="B54" s="44">
        <v>5</v>
      </c>
      <c r="C54" s="44">
        <v>4</v>
      </c>
      <c r="E54" s="45">
        <f t="shared" si="3"/>
        <v>40544</v>
      </c>
      <c r="F54" s="44">
        <v>2012</v>
      </c>
      <c r="G54" s="44">
        <v>28946.880000000001</v>
      </c>
      <c r="H54" s="44" t="s">
        <v>462</v>
      </c>
      <c r="I54" s="44">
        <v>2015</v>
      </c>
      <c r="J54" s="44">
        <v>35000</v>
      </c>
      <c r="K54" s="44" t="s">
        <v>463</v>
      </c>
      <c r="R54" s="44" t="s">
        <v>291</v>
      </c>
      <c r="T54" s="46">
        <f t="shared" si="4"/>
        <v>42095</v>
      </c>
      <c r="U54" s="62">
        <v>20152</v>
      </c>
      <c r="V54" s="63">
        <v>1701.76</v>
      </c>
      <c r="W54" s="63">
        <v>756.68</v>
      </c>
      <c r="X54" s="44">
        <v>1</v>
      </c>
      <c r="Y54" s="44">
        <v>4</v>
      </c>
      <c r="Z54" s="44">
        <f>2015</f>
        <v>2015</v>
      </c>
      <c r="AA54" s="44">
        <v>0</v>
      </c>
      <c r="AB54" s="49" t="s">
        <v>453</v>
      </c>
      <c r="AC54" s="52" t="str">
        <f>TRIM($A$1&amp;" - "&amp;$A$28&amp;" "&amp;L54&amp;" vers "&amp;R54&amp;" "&amp;Q54&amp;" - Scénario id "&amp;B54)</f>
        <v>Changement nature RDE - Complémentaire1 vers Principal - Scénario id 5</v>
      </c>
    </row>
    <row r="55" spans="1:29" x14ac:dyDescent="0.25">
      <c r="A55" s="44" t="s">
        <v>294</v>
      </c>
      <c r="B55" s="44" t="s">
        <v>399</v>
      </c>
      <c r="C55" s="44" t="s">
        <v>290</v>
      </c>
      <c r="D55" s="44" t="s">
        <v>285</v>
      </c>
      <c r="E55" s="45" t="s">
        <v>296</v>
      </c>
      <c r="F55" s="44" t="s">
        <v>292</v>
      </c>
      <c r="G55" s="44" t="s">
        <v>437</v>
      </c>
      <c r="H55" s="44" t="s">
        <v>446</v>
      </c>
      <c r="I55" s="44" t="s">
        <v>438</v>
      </c>
      <c r="J55" s="44" t="s">
        <v>439</v>
      </c>
      <c r="K55" s="44" t="s">
        <v>447</v>
      </c>
      <c r="L55" s="64" t="s">
        <v>440</v>
      </c>
      <c r="M55" s="47" t="s">
        <v>441</v>
      </c>
      <c r="N55" s="47" t="s">
        <v>448</v>
      </c>
      <c r="O55" s="64" t="s">
        <v>442</v>
      </c>
      <c r="P55" s="47" t="s">
        <v>443</v>
      </c>
      <c r="Q55" s="47" t="s">
        <v>449</v>
      </c>
      <c r="R55" s="44" t="s">
        <v>298</v>
      </c>
      <c r="S55" s="44" t="s">
        <v>299</v>
      </c>
      <c r="T55" s="46" t="s">
        <v>297</v>
      </c>
      <c r="U55" s="62" t="s">
        <v>307</v>
      </c>
      <c r="V55" s="62" t="s">
        <v>444</v>
      </c>
      <c r="W55" s="63" t="s">
        <v>445</v>
      </c>
      <c r="X55" s="44" t="s">
        <v>287</v>
      </c>
      <c r="Y55" s="44" t="s">
        <v>288</v>
      </c>
      <c r="Z55" s="44" t="s">
        <v>289</v>
      </c>
      <c r="AA55" s="44" t="s">
        <v>295</v>
      </c>
      <c r="AB55" s="49" t="s">
        <v>450</v>
      </c>
      <c r="AC55" s="49" t="s">
        <v>457</v>
      </c>
    </row>
    <row r="56" spans="1:29" x14ac:dyDescent="0.25">
      <c r="B56" s="44">
        <v>1</v>
      </c>
      <c r="C56" s="44">
        <v>5</v>
      </c>
      <c r="E56" s="45">
        <f t="shared" ref="E56:E73" si="8">DATE($Z56-4,1,1)</f>
        <v>40544</v>
      </c>
      <c r="F56" s="44">
        <v>2011</v>
      </c>
      <c r="G56" s="44">
        <v>12864.47</v>
      </c>
      <c r="H56" s="44" t="s">
        <v>462</v>
      </c>
      <c r="I56" s="44">
        <v>2012</v>
      </c>
      <c r="J56" s="44">
        <v>16069.72</v>
      </c>
      <c r="K56" s="44" t="s">
        <v>462</v>
      </c>
      <c r="L56" s="44"/>
      <c r="R56" s="44" t="s">
        <v>291</v>
      </c>
      <c r="T56" s="46">
        <f t="shared" ref="T56:T73" si="9">DATE($Z56-$AA56,$Y56,$X56)</f>
        <v>41821</v>
      </c>
      <c r="U56" s="62">
        <v>20151</v>
      </c>
      <c r="V56" s="63">
        <v>685.66</v>
      </c>
      <c r="X56" s="44">
        <v>1</v>
      </c>
      <c r="Y56" s="44">
        <v>7</v>
      </c>
      <c r="Z56" s="44">
        <f>2015</f>
        <v>2015</v>
      </c>
      <c r="AA56" s="44">
        <v>1</v>
      </c>
      <c r="AB56" s="49" t="s">
        <v>456</v>
      </c>
      <c r="AC56" s="52" t="str">
        <f t="shared" ref="AC56:AC73" si="10">TRIM($A$1&amp;" - "&amp;$A$55&amp;" "&amp;L56&amp;" vers "&amp;R56&amp;" "&amp;Q56&amp;" - Scénario id "&amp;B56)</f>
        <v>Changement nature RDE - Maxi-statut vers Principal - Scénario id 1</v>
      </c>
    </row>
    <row r="57" spans="1:29" x14ac:dyDescent="0.25">
      <c r="B57" s="44">
        <v>2</v>
      </c>
      <c r="C57" s="44">
        <v>5</v>
      </c>
      <c r="E57" s="45">
        <f t="shared" si="8"/>
        <v>40544</v>
      </c>
      <c r="F57" s="44">
        <v>2011</v>
      </c>
      <c r="G57" s="44">
        <v>12864.47</v>
      </c>
      <c r="H57" s="44" t="s">
        <v>462</v>
      </c>
      <c r="I57" s="44">
        <v>2012</v>
      </c>
      <c r="J57" s="44">
        <v>16069.72</v>
      </c>
      <c r="K57" s="44" t="s">
        <v>462</v>
      </c>
      <c r="L57" s="44"/>
      <c r="R57" s="44" t="s">
        <v>291</v>
      </c>
      <c r="S57" s="44" t="s">
        <v>90</v>
      </c>
      <c r="T57" s="46">
        <f t="shared" si="9"/>
        <v>41821</v>
      </c>
      <c r="U57" s="62">
        <v>20151</v>
      </c>
      <c r="V57" s="63"/>
      <c r="X57" s="44">
        <v>1</v>
      </c>
      <c r="Y57" s="44">
        <v>7</v>
      </c>
      <c r="Z57" s="44">
        <f>2015</f>
        <v>2015</v>
      </c>
      <c r="AA57" s="44">
        <v>1</v>
      </c>
      <c r="AB57" s="49" t="s">
        <v>456</v>
      </c>
      <c r="AC57" s="52" t="str">
        <f t="shared" si="10"/>
        <v>Changement nature RDE - Maxi-statut vers Principal - Scénario id 2</v>
      </c>
    </row>
    <row r="58" spans="1:29" x14ac:dyDescent="0.25">
      <c r="B58" s="44">
        <v>3</v>
      </c>
      <c r="C58" s="44">
        <v>5</v>
      </c>
      <c r="E58" s="45">
        <f t="shared" si="8"/>
        <v>40544</v>
      </c>
      <c r="F58" s="44">
        <v>2011</v>
      </c>
      <c r="G58" s="44">
        <v>12864.47</v>
      </c>
      <c r="H58" s="44" t="s">
        <v>462</v>
      </c>
      <c r="I58" s="44">
        <v>2012</v>
      </c>
      <c r="J58" s="44">
        <v>16069.72</v>
      </c>
      <c r="K58" s="44" t="s">
        <v>462</v>
      </c>
      <c r="L58" s="44"/>
      <c r="R58" s="44" t="s">
        <v>291</v>
      </c>
      <c r="S58" s="44" t="s">
        <v>93</v>
      </c>
      <c r="T58" s="46">
        <f t="shared" si="9"/>
        <v>41730</v>
      </c>
      <c r="U58" s="62">
        <v>20151</v>
      </c>
      <c r="V58" s="63">
        <v>359.18</v>
      </c>
      <c r="X58" s="44">
        <v>1</v>
      </c>
      <c r="Y58" s="44">
        <v>4</v>
      </c>
      <c r="Z58" s="44">
        <f>2015</f>
        <v>2015</v>
      </c>
      <c r="AA58" s="44">
        <v>1</v>
      </c>
      <c r="AB58" s="49" t="s">
        <v>456</v>
      </c>
      <c r="AC58" s="52" t="str">
        <f t="shared" si="10"/>
        <v>Changement nature RDE - Maxi-statut vers Principal - Scénario id 3</v>
      </c>
    </row>
    <row r="59" spans="1:29" x14ac:dyDescent="0.25">
      <c r="B59" s="44">
        <v>4</v>
      </c>
      <c r="C59" s="44">
        <v>5</v>
      </c>
      <c r="E59" s="45">
        <f t="shared" si="8"/>
        <v>40544</v>
      </c>
      <c r="F59" s="44">
        <v>2012</v>
      </c>
      <c r="G59" s="44">
        <v>16069.72</v>
      </c>
      <c r="H59" s="44" t="s">
        <v>462</v>
      </c>
      <c r="L59" s="44"/>
      <c r="R59" s="44" t="s">
        <v>291</v>
      </c>
      <c r="T59" s="46">
        <f t="shared" si="9"/>
        <v>42095</v>
      </c>
      <c r="U59" s="62">
        <v>20152</v>
      </c>
      <c r="V59" s="63">
        <v>944.72</v>
      </c>
      <c r="X59" s="44">
        <v>1</v>
      </c>
      <c r="Y59" s="44">
        <v>4</v>
      </c>
      <c r="Z59" s="44">
        <f>2015</f>
        <v>2015</v>
      </c>
      <c r="AA59" s="44">
        <v>0</v>
      </c>
      <c r="AB59" s="49" t="s">
        <v>456</v>
      </c>
      <c r="AC59" s="52" t="str">
        <f t="shared" si="10"/>
        <v>Changement nature RDE - Maxi-statut vers Principal - Scénario id 4</v>
      </c>
    </row>
    <row r="60" spans="1:29" x14ac:dyDescent="0.25">
      <c r="B60" s="44">
        <v>5</v>
      </c>
      <c r="C60" s="44">
        <v>5</v>
      </c>
      <c r="E60" s="45">
        <f t="shared" si="8"/>
        <v>40544</v>
      </c>
      <c r="F60" s="44">
        <v>2012</v>
      </c>
      <c r="G60" s="44">
        <v>4908.63</v>
      </c>
      <c r="H60" s="44" t="s">
        <v>462</v>
      </c>
      <c r="L60" s="44"/>
      <c r="R60" s="44" t="s">
        <v>291</v>
      </c>
      <c r="S60" s="44" t="s">
        <v>93</v>
      </c>
      <c r="T60" s="46">
        <f t="shared" si="9"/>
        <v>42095</v>
      </c>
      <c r="U60" s="62">
        <v>20152</v>
      </c>
      <c r="V60" s="63">
        <v>288.58</v>
      </c>
      <c r="X60" s="44">
        <v>1</v>
      </c>
      <c r="Y60" s="44">
        <v>4</v>
      </c>
      <c r="Z60" s="44">
        <f>2015</f>
        <v>2015</v>
      </c>
      <c r="AA60" s="44">
        <v>0</v>
      </c>
      <c r="AB60" s="49" t="s">
        <v>456</v>
      </c>
      <c r="AC60" s="52" t="str">
        <f t="shared" si="10"/>
        <v>Changement nature RDE - Maxi-statut vers Principal - Scénario id 5</v>
      </c>
    </row>
    <row r="61" spans="1:29" x14ac:dyDescent="0.25">
      <c r="B61" s="44">
        <v>6</v>
      </c>
      <c r="C61" s="44">
        <v>5</v>
      </c>
      <c r="E61" s="45">
        <f t="shared" si="8"/>
        <v>40544</v>
      </c>
      <c r="F61" s="44">
        <v>2012</v>
      </c>
      <c r="G61" s="44">
        <v>16069.72</v>
      </c>
      <c r="H61" s="44" t="s">
        <v>462</v>
      </c>
      <c r="I61" s="44">
        <v>2015</v>
      </c>
      <c r="J61" s="44">
        <v>23000</v>
      </c>
      <c r="K61" s="44" t="s">
        <v>463</v>
      </c>
      <c r="L61" s="44"/>
      <c r="R61" s="44" t="s">
        <v>291</v>
      </c>
      <c r="T61" s="46">
        <f t="shared" si="9"/>
        <v>42095</v>
      </c>
      <c r="U61" s="62">
        <v>20152</v>
      </c>
      <c r="V61" s="63">
        <v>944.72</v>
      </c>
      <c r="W61" s="63">
        <v>370.25</v>
      </c>
      <c r="X61" s="44">
        <v>1</v>
      </c>
      <c r="Y61" s="44">
        <v>4</v>
      </c>
      <c r="Z61" s="44">
        <f>2015</f>
        <v>2015</v>
      </c>
      <c r="AA61" s="44">
        <v>0</v>
      </c>
      <c r="AB61" s="49" t="s">
        <v>456</v>
      </c>
      <c r="AC61" s="52" t="str">
        <f t="shared" si="10"/>
        <v>Changement nature RDE - Maxi-statut vers Principal - Scénario id 6</v>
      </c>
    </row>
    <row r="62" spans="1:29" x14ac:dyDescent="0.25">
      <c r="B62" s="44">
        <v>7</v>
      </c>
      <c r="C62" s="44">
        <v>5</v>
      </c>
      <c r="D62" s="44" t="s">
        <v>90</v>
      </c>
      <c r="E62" s="45">
        <f t="shared" si="8"/>
        <v>40544</v>
      </c>
      <c r="F62" s="44">
        <v>2011</v>
      </c>
      <c r="G62" s="44">
        <v>0</v>
      </c>
      <c r="H62" s="44" t="s">
        <v>462</v>
      </c>
      <c r="I62" s="44">
        <v>2012</v>
      </c>
      <c r="J62" s="44">
        <v>1123.8800000000001</v>
      </c>
      <c r="K62" s="44" t="s">
        <v>462</v>
      </c>
      <c r="L62" s="44"/>
      <c r="R62" s="44" t="s">
        <v>291</v>
      </c>
      <c r="T62" s="46">
        <f t="shared" si="9"/>
        <v>41640</v>
      </c>
      <c r="U62" s="62">
        <v>20151</v>
      </c>
      <c r="V62" s="63">
        <v>702.39</v>
      </c>
      <c r="X62" s="44">
        <v>1</v>
      </c>
      <c r="Y62" s="44">
        <v>1</v>
      </c>
      <c r="Z62" s="44">
        <f>2015</f>
        <v>2015</v>
      </c>
      <c r="AA62" s="44">
        <v>1</v>
      </c>
      <c r="AB62" s="49" t="s">
        <v>456</v>
      </c>
      <c r="AC62" s="52" t="str">
        <f t="shared" si="10"/>
        <v>Changement nature RDE - Maxi-statut vers Principal - Scénario id 7</v>
      </c>
    </row>
    <row r="63" spans="1:29" x14ac:dyDescent="0.25">
      <c r="B63" s="44">
        <v>8</v>
      </c>
      <c r="C63" s="44">
        <v>5</v>
      </c>
      <c r="D63" s="44" t="s">
        <v>90</v>
      </c>
      <c r="E63" s="45">
        <f t="shared" si="8"/>
        <v>40544</v>
      </c>
      <c r="F63" s="44">
        <v>2011</v>
      </c>
      <c r="G63" s="44">
        <v>0</v>
      </c>
      <c r="H63" s="44" t="s">
        <v>462</v>
      </c>
      <c r="I63" s="44">
        <v>2012</v>
      </c>
      <c r="J63" s="44">
        <v>1123.8800000000001</v>
      </c>
      <c r="K63" s="44" t="s">
        <v>462</v>
      </c>
      <c r="L63" s="44"/>
      <c r="R63" s="44" t="s">
        <v>291</v>
      </c>
      <c r="S63" s="44" t="s">
        <v>93</v>
      </c>
      <c r="T63" s="46">
        <f t="shared" si="9"/>
        <v>41640</v>
      </c>
      <c r="U63" s="62">
        <v>20151</v>
      </c>
      <c r="V63" s="63">
        <v>367.94</v>
      </c>
      <c r="X63" s="44">
        <v>1</v>
      </c>
      <c r="Y63" s="44">
        <v>1</v>
      </c>
      <c r="Z63" s="44">
        <f>2015</f>
        <v>2015</v>
      </c>
      <c r="AA63" s="44">
        <v>1</v>
      </c>
      <c r="AB63" s="49" t="s">
        <v>456</v>
      </c>
      <c r="AC63" s="52" t="str">
        <f t="shared" si="10"/>
        <v>Changement nature RDE - Maxi-statut vers Principal - Scénario id 8</v>
      </c>
    </row>
    <row r="64" spans="1:29" x14ac:dyDescent="0.25">
      <c r="B64" s="44">
        <v>9</v>
      </c>
      <c r="C64" s="44">
        <v>5</v>
      </c>
      <c r="D64" s="44" t="s">
        <v>90</v>
      </c>
      <c r="E64" s="45">
        <f t="shared" si="8"/>
        <v>40544</v>
      </c>
      <c r="F64" s="44">
        <v>2011</v>
      </c>
      <c r="G64" s="44">
        <v>0</v>
      </c>
      <c r="H64" s="44" t="s">
        <v>462</v>
      </c>
      <c r="I64" s="44">
        <v>2012</v>
      </c>
      <c r="J64" s="44">
        <v>1123.8800000000001</v>
      </c>
      <c r="K64" s="44" t="s">
        <v>462</v>
      </c>
      <c r="L64" s="44">
        <v>2015</v>
      </c>
      <c r="M64" s="47">
        <v>20000</v>
      </c>
      <c r="N64" s="47" t="s">
        <v>463</v>
      </c>
      <c r="R64" s="44" t="s">
        <v>291</v>
      </c>
      <c r="T64" s="46">
        <f t="shared" si="9"/>
        <v>41821</v>
      </c>
      <c r="U64" s="62">
        <v>20151</v>
      </c>
      <c r="V64" s="63">
        <v>685.66</v>
      </c>
      <c r="W64" s="63">
        <v>379.83</v>
      </c>
      <c r="X64" s="44">
        <v>1</v>
      </c>
      <c r="Y64" s="44">
        <v>7</v>
      </c>
      <c r="Z64" s="44">
        <f>2015</f>
        <v>2015</v>
      </c>
      <c r="AA64" s="44">
        <v>1</v>
      </c>
      <c r="AB64" s="49" t="s">
        <v>456</v>
      </c>
      <c r="AC64" s="52" t="str">
        <f t="shared" si="10"/>
        <v>Changement nature RDE - Maxi-statut 2015 vers Principal - Scénario id 9</v>
      </c>
    </row>
    <row r="65" spans="2:29" x14ac:dyDescent="0.25">
      <c r="B65" s="44">
        <v>10</v>
      </c>
      <c r="C65" s="44">
        <v>5</v>
      </c>
      <c r="D65" s="44" t="s">
        <v>90</v>
      </c>
      <c r="E65" s="45">
        <f t="shared" si="8"/>
        <v>40544</v>
      </c>
      <c r="F65" s="44">
        <v>2011</v>
      </c>
      <c r="G65" s="44">
        <v>0</v>
      </c>
      <c r="H65" s="44" t="s">
        <v>462</v>
      </c>
      <c r="I65" s="44">
        <v>2012</v>
      </c>
      <c r="J65" s="44">
        <v>1123.8800000000001</v>
      </c>
      <c r="K65" s="44" t="s">
        <v>462</v>
      </c>
      <c r="L65" s="44">
        <v>2015</v>
      </c>
      <c r="M65" s="47">
        <v>20000</v>
      </c>
      <c r="N65" s="47" t="s">
        <v>463</v>
      </c>
      <c r="R65" s="44" t="s">
        <v>291</v>
      </c>
      <c r="T65" s="46">
        <f t="shared" si="9"/>
        <v>42095</v>
      </c>
      <c r="U65" s="62">
        <v>20152</v>
      </c>
      <c r="V65" s="63">
        <v>735.83</v>
      </c>
      <c r="X65" s="44">
        <v>1</v>
      </c>
      <c r="Y65" s="44">
        <v>4</v>
      </c>
      <c r="Z65" s="44">
        <f>2015</f>
        <v>2015</v>
      </c>
      <c r="AA65" s="44">
        <v>0</v>
      </c>
      <c r="AB65" s="49" t="s">
        <v>456</v>
      </c>
      <c r="AC65" s="52" t="str">
        <f t="shared" si="10"/>
        <v>Changement nature RDE - Maxi-statut 2015 vers Principal - Scénario id 10</v>
      </c>
    </row>
    <row r="66" spans="2:29" x14ac:dyDescent="0.25">
      <c r="B66" s="44">
        <v>11</v>
      </c>
      <c r="C66" s="44">
        <v>5</v>
      </c>
      <c r="D66" s="44" t="s">
        <v>90</v>
      </c>
      <c r="E66" s="45">
        <f t="shared" si="8"/>
        <v>40544</v>
      </c>
      <c r="F66" s="44">
        <v>2011</v>
      </c>
      <c r="G66" s="44">
        <v>0</v>
      </c>
      <c r="H66" s="44" t="s">
        <v>462</v>
      </c>
      <c r="I66" s="44">
        <v>2012</v>
      </c>
      <c r="J66" s="44">
        <v>1123.8800000000001</v>
      </c>
      <c r="K66" s="44" t="s">
        <v>462</v>
      </c>
      <c r="L66" s="44">
        <v>2015</v>
      </c>
      <c r="M66" s="47">
        <v>23000</v>
      </c>
      <c r="N66" s="47" t="s">
        <v>463</v>
      </c>
      <c r="R66" s="44" t="s">
        <v>291</v>
      </c>
      <c r="T66" s="46">
        <f t="shared" si="9"/>
        <v>42095</v>
      </c>
      <c r="U66" s="62">
        <v>20152</v>
      </c>
      <c r="V66" s="63">
        <v>735.83</v>
      </c>
      <c r="W66" s="63">
        <v>579.14</v>
      </c>
      <c r="X66" s="44">
        <v>1</v>
      </c>
      <c r="Y66" s="44">
        <v>4</v>
      </c>
      <c r="Z66" s="44">
        <f>2015</f>
        <v>2015</v>
      </c>
      <c r="AA66" s="44">
        <v>0</v>
      </c>
      <c r="AB66" s="49" t="s">
        <v>456</v>
      </c>
      <c r="AC66" s="52" t="str">
        <f t="shared" si="10"/>
        <v>Changement nature RDE - Maxi-statut 2015 vers Principal - Scénario id 11</v>
      </c>
    </row>
    <row r="67" spans="2:29" x14ac:dyDescent="0.25">
      <c r="B67" s="44">
        <v>12</v>
      </c>
      <c r="C67" s="44">
        <v>5</v>
      </c>
      <c r="E67" s="45">
        <f t="shared" si="8"/>
        <v>40544</v>
      </c>
      <c r="F67" s="44">
        <v>2011</v>
      </c>
      <c r="G67" s="44">
        <v>12864.47</v>
      </c>
      <c r="H67" s="44" t="s">
        <v>462</v>
      </c>
      <c r="I67" s="44">
        <v>2012</v>
      </c>
      <c r="J67" s="44">
        <v>16069.72</v>
      </c>
      <c r="K67" s="44" t="s">
        <v>462</v>
      </c>
      <c r="L67" s="44"/>
      <c r="R67" s="44" t="s">
        <v>293</v>
      </c>
      <c r="T67" s="46">
        <f t="shared" si="9"/>
        <v>41821</v>
      </c>
      <c r="U67" s="62">
        <v>20151</v>
      </c>
      <c r="V67" s="63">
        <v>75.849999999999994</v>
      </c>
      <c r="X67" s="44">
        <v>1</v>
      </c>
      <c r="Y67" s="44">
        <v>7</v>
      </c>
      <c r="Z67" s="44">
        <f>2015</f>
        <v>2015</v>
      </c>
      <c r="AA67" s="44">
        <v>1</v>
      </c>
      <c r="AB67" s="49" t="s">
        <v>452</v>
      </c>
      <c r="AC67" s="52" t="str">
        <f t="shared" si="10"/>
        <v>Changement nature RDE - Maxi-statut vers Complémentaire - Scénario id 12</v>
      </c>
    </row>
    <row r="68" spans="2:29" x14ac:dyDescent="0.25">
      <c r="B68" s="44">
        <v>13</v>
      </c>
      <c r="C68" s="44">
        <v>5</v>
      </c>
      <c r="E68" s="45">
        <f t="shared" si="8"/>
        <v>40544</v>
      </c>
      <c r="F68" s="44">
        <v>2011</v>
      </c>
      <c r="G68" s="44">
        <v>12864.47</v>
      </c>
      <c r="H68" s="44" t="s">
        <v>462</v>
      </c>
      <c r="I68" s="44">
        <v>2012</v>
      </c>
      <c r="J68" s="44">
        <v>16069.72</v>
      </c>
      <c r="K68" s="44" t="s">
        <v>462</v>
      </c>
      <c r="L68" s="44"/>
      <c r="R68" s="44" t="s">
        <v>293</v>
      </c>
      <c r="S68" s="44" t="s">
        <v>90</v>
      </c>
      <c r="T68" s="46">
        <f t="shared" si="9"/>
        <v>41821</v>
      </c>
      <c r="U68" s="62">
        <v>20151</v>
      </c>
      <c r="V68" s="63"/>
      <c r="X68" s="44">
        <v>1</v>
      </c>
      <c r="Y68" s="44">
        <v>7</v>
      </c>
      <c r="Z68" s="44">
        <f>2015</f>
        <v>2015</v>
      </c>
      <c r="AA68" s="44">
        <v>1</v>
      </c>
      <c r="AB68" s="49" t="s">
        <v>452</v>
      </c>
      <c r="AC68" s="52" t="str">
        <f t="shared" si="10"/>
        <v>Changement nature RDE - Maxi-statut vers Complémentaire - Scénario id 13</v>
      </c>
    </row>
    <row r="69" spans="2:29" x14ac:dyDescent="0.25">
      <c r="B69" s="44">
        <v>14</v>
      </c>
      <c r="C69" s="44">
        <v>5</v>
      </c>
      <c r="E69" s="45">
        <f t="shared" si="8"/>
        <v>40544</v>
      </c>
      <c r="F69" s="44">
        <v>2011</v>
      </c>
      <c r="G69" s="44">
        <v>12864.47</v>
      </c>
      <c r="H69" s="44" t="s">
        <v>462</v>
      </c>
      <c r="I69" s="44">
        <v>2012</v>
      </c>
      <c r="J69" s="44">
        <v>16069.72</v>
      </c>
      <c r="K69" s="44" t="s">
        <v>462</v>
      </c>
      <c r="L69" s="44">
        <v>2015</v>
      </c>
      <c r="M69" s="47">
        <v>5000</v>
      </c>
      <c r="N69" s="47" t="s">
        <v>463</v>
      </c>
      <c r="R69" s="44" t="s">
        <v>293</v>
      </c>
      <c r="T69" s="46">
        <f t="shared" si="9"/>
        <v>41730</v>
      </c>
      <c r="U69" s="62">
        <v>20151</v>
      </c>
      <c r="V69" s="63">
        <v>75.849999999999994</v>
      </c>
      <c r="W69" s="63">
        <v>190.52</v>
      </c>
      <c r="X69" s="44">
        <v>1</v>
      </c>
      <c r="Y69" s="44">
        <v>4</v>
      </c>
      <c r="Z69" s="44">
        <f>2015</f>
        <v>2015</v>
      </c>
      <c r="AA69" s="44">
        <v>1</v>
      </c>
      <c r="AB69" s="49" t="s">
        <v>452</v>
      </c>
      <c r="AC69" s="52" t="str">
        <f t="shared" si="10"/>
        <v>Changement nature RDE - Maxi-statut 2015 vers Complémentaire - Scénario id 14</v>
      </c>
    </row>
    <row r="70" spans="2:29" x14ac:dyDescent="0.25">
      <c r="B70" s="44">
        <v>15</v>
      </c>
      <c r="C70" s="44">
        <v>5</v>
      </c>
      <c r="E70" s="45">
        <f t="shared" si="8"/>
        <v>40544</v>
      </c>
      <c r="F70" s="44">
        <v>2012</v>
      </c>
      <c r="G70" s="44">
        <v>4268.1899999999996</v>
      </c>
      <c r="H70" s="44" t="s">
        <v>462</v>
      </c>
      <c r="L70" s="44"/>
      <c r="R70" s="44" t="s">
        <v>293</v>
      </c>
      <c r="T70" s="46">
        <f t="shared" si="9"/>
        <v>42095</v>
      </c>
      <c r="U70" s="62">
        <v>20152</v>
      </c>
      <c r="V70" s="63">
        <v>250.92</v>
      </c>
      <c r="W70" s="63">
        <v>190.52</v>
      </c>
      <c r="X70" s="44">
        <v>1</v>
      </c>
      <c r="Y70" s="44">
        <v>4</v>
      </c>
      <c r="Z70" s="44">
        <f>2015</f>
        <v>2015</v>
      </c>
      <c r="AA70" s="44">
        <v>0</v>
      </c>
      <c r="AB70" s="49" t="s">
        <v>452</v>
      </c>
      <c r="AC70" s="52" t="str">
        <f t="shared" si="10"/>
        <v>Changement nature RDE - Maxi-statut vers Complémentaire - Scénario id 15</v>
      </c>
    </row>
    <row r="71" spans="2:29" x14ac:dyDescent="0.25">
      <c r="B71" s="44">
        <v>16</v>
      </c>
      <c r="C71" s="44">
        <v>5</v>
      </c>
      <c r="E71" s="45">
        <f t="shared" si="8"/>
        <v>40544</v>
      </c>
      <c r="F71" s="44">
        <v>2012</v>
      </c>
      <c r="G71" s="44">
        <v>4268.1899999999996</v>
      </c>
      <c r="H71" s="44" t="s">
        <v>462</v>
      </c>
      <c r="I71" s="44">
        <v>2015</v>
      </c>
      <c r="J71" s="44">
        <v>10000</v>
      </c>
      <c r="K71" s="44" t="s">
        <v>463</v>
      </c>
      <c r="L71" s="44"/>
      <c r="R71" s="44" t="s">
        <v>293</v>
      </c>
      <c r="T71" s="46">
        <f t="shared" si="9"/>
        <v>42095</v>
      </c>
      <c r="U71" s="62">
        <v>20152</v>
      </c>
      <c r="V71" s="63">
        <v>250.92</v>
      </c>
      <c r="W71" s="63">
        <v>320.8</v>
      </c>
      <c r="X71" s="44">
        <v>1</v>
      </c>
      <c r="Y71" s="44">
        <v>4</v>
      </c>
      <c r="Z71" s="44">
        <f>2015</f>
        <v>2015</v>
      </c>
      <c r="AA71" s="44">
        <v>0</v>
      </c>
      <c r="AB71" s="49" t="s">
        <v>452</v>
      </c>
      <c r="AC71" s="52" t="str">
        <f t="shared" si="10"/>
        <v>Changement nature RDE - Maxi-statut vers Complémentaire - Scénario id 16</v>
      </c>
    </row>
    <row r="72" spans="2:29" x14ac:dyDescent="0.25">
      <c r="B72" s="44">
        <v>17</v>
      </c>
      <c r="C72" s="44">
        <v>5</v>
      </c>
      <c r="D72" s="44" t="s">
        <v>90</v>
      </c>
      <c r="E72" s="45">
        <f t="shared" si="8"/>
        <v>40544</v>
      </c>
      <c r="F72" s="44">
        <v>2011</v>
      </c>
      <c r="G72" s="44">
        <v>0</v>
      </c>
      <c r="H72" s="44" t="s">
        <v>462</v>
      </c>
      <c r="I72" s="44">
        <v>2012</v>
      </c>
      <c r="J72" s="44">
        <v>1123.8800000000001</v>
      </c>
      <c r="K72" s="44" t="s">
        <v>462</v>
      </c>
      <c r="L72" s="44"/>
      <c r="R72" s="44" t="s">
        <v>293</v>
      </c>
      <c r="T72" s="46">
        <f t="shared" si="9"/>
        <v>41640</v>
      </c>
      <c r="U72" s="62">
        <v>20151</v>
      </c>
      <c r="V72" s="63">
        <v>77.7</v>
      </c>
      <c r="X72" s="44">
        <v>1</v>
      </c>
      <c r="Y72" s="44">
        <v>1</v>
      </c>
      <c r="Z72" s="44">
        <f>2015</f>
        <v>2015</v>
      </c>
      <c r="AA72" s="44">
        <v>1</v>
      </c>
      <c r="AB72" s="49" t="s">
        <v>452</v>
      </c>
      <c r="AC72" s="52" t="str">
        <f t="shared" si="10"/>
        <v>Changement nature RDE - Maxi-statut vers Complémentaire - Scénario id 17</v>
      </c>
    </row>
    <row r="73" spans="2:29" x14ac:dyDescent="0.25">
      <c r="B73" s="44">
        <v>18</v>
      </c>
      <c r="C73" s="44">
        <v>5</v>
      </c>
      <c r="D73" s="44" t="s">
        <v>90</v>
      </c>
      <c r="E73" s="45">
        <f t="shared" si="8"/>
        <v>40544</v>
      </c>
      <c r="F73" s="44">
        <v>2011</v>
      </c>
      <c r="G73" s="44">
        <v>0</v>
      </c>
      <c r="H73" s="44" t="s">
        <v>462</v>
      </c>
      <c r="I73" s="44">
        <v>2012</v>
      </c>
      <c r="J73" s="44">
        <v>1123.8800000000001</v>
      </c>
      <c r="K73" s="44" t="s">
        <v>462</v>
      </c>
      <c r="L73" s="44">
        <v>2015</v>
      </c>
      <c r="M73" s="47">
        <v>10000</v>
      </c>
      <c r="N73" s="47" t="s">
        <v>463</v>
      </c>
      <c r="R73" s="44" t="s">
        <v>293</v>
      </c>
      <c r="T73" s="46">
        <f t="shared" si="9"/>
        <v>42095</v>
      </c>
      <c r="U73" s="62">
        <v>20152</v>
      </c>
      <c r="V73" s="63">
        <v>0</v>
      </c>
      <c r="W73" s="63">
        <v>571.72</v>
      </c>
      <c r="X73" s="44">
        <v>1</v>
      </c>
      <c r="Y73" s="44">
        <v>4</v>
      </c>
      <c r="Z73" s="44">
        <f>2015</f>
        <v>2015</v>
      </c>
      <c r="AA73" s="44">
        <v>0</v>
      </c>
      <c r="AB73" s="49" t="s">
        <v>452</v>
      </c>
      <c r="AC73" s="52" t="str">
        <f t="shared" si="10"/>
        <v>Changement nature RDE - Maxi-statut 2015 vers Complémentaire - Scénario id 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6"/>
  <sheetViews>
    <sheetView topLeftCell="W16" zoomScale="70" zoomScaleNormal="70" workbookViewId="0">
      <selection activeCell="AM14" sqref="AM14"/>
    </sheetView>
  </sheetViews>
  <sheetFormatPr baseColWidth="10" defaultColWidth="5.5703125" defaultRowHeight="15" x14ac:dyDescent="0.25"/>
  <cols>
    <col min="1" max="1" width="34.42578125" style="50" bestFit="1" customWidth="1"/>
    <col min="2" max="2" width="4" style="50" bestFit="1" customWidth="1"/>
    <col min="3" max="3" width="6.5703125" style="50" bestFit="1" customWidth="1"/>
    <col min="4" max="4" width="7.28515625" style="50" bestFit="1" customWidth="1"/>
    <col min="5" max="5" width="11.85546875" style="50" bestFit="1" customWidth="1"/>
    <col min="6" max="6" width="12.5703125" style="50" bestFit="1" customWidth="1"/>
    <col min="7" max="7" width="29.42578125" style="50" bestFit="1" customWidth="1"/>
    <col min="8" max="8" width="18" style="50" bestFit="1" customWidth="1"/>
    <col min="9" max="10" width="12.5703125" style="50" bestFit="1" customWidth="1"/>
    <col min="11" max="11" width="22.7109375" style="50" bestFit="1" customWidth="1"/>
    <col min="12" max="12" width="18" style="50" bestFit="1" customWidth="1"/>
    <col min="13" max="14" width="13" style="50" bestFit="1" customWidth="1"/>
    <col min="15" max="15" width="13.7109375" style="50" bestFit="1" customWidth="1"/>
    <col min="16" max="16" width="7.7109375" style="50" bestFit="1" customWidth="1"/>
    <col min="17" max="18" width="13" style="50" bestFit="1" customWidth="1"/>
    <col min="19" max="19" width="13.7109375" style="50" bestFit="1" customWidth="1"/>
    <col min="20" max="20" width="7.7109375" style="50" bestFit="1" customWidth="1"/>
    <col min="21" max="22" width="13" style="50" bestFit="1" customWidth="1"/>
    <col min="23" max="23" width="29.42578125" style="50" bestFit="1" customWidth="1"/>
    <col min="24" max="24" width="21.85546875" style="50" bestFit="1" customWidth="1"/>
    <col min="25" max="26" width="13" style="50" bestFit="1" customWidth="1"/>
    <col min="27" max="27" width="24.85546875" style="50" bestFit="1" customWidth="1"/>
    <col min="28" max="28" width="18" style="50" bestFit="1" customWidth="1"/>
    <col min="29" max="30" width="13" style="50" bestFit="1" customWidth="1"/>
    <col min="31" max="31" width="10.5703125" style="50" bestFit="1" customWidth="1"/>
    <col min="32" max="32" width="12.28515625" style="50" bestFit="1" customWidth="1"/>
    <col min="33" max="33" width="12.7109375" style="50" bestFit="1" customWidth="1"/>
    <col min="34" max="34" width="11.140625" style="50" bestFit="1" customWidth="1"/>
    <col min="35" max="36" width="12.7109375" style="50" bestFit="1" customWidth="1"/>
    <col min="37" max="37" width="5.85546875" style="50" bestFit="1" customWidth="1"/>
    <col min="38" max="38" width="7" style="50" bestFit="1" customWidth="1"/>
    <col min="39" max="39" width="7.5703125" style="50" bestFit="1" customWidth="1"/>
    <col min="40" max="40" width="10.85546875" style="50" bestFit="1" customWidth="1"/>
    <col min="41" max="41" width="14.7109375" style="50" bestFit="1" customWidth="1"/>
    <col min="42" max="42" width="15.140625" style="50" bestFit="1" customWidth="1"/>
    <col min="43" max="43" width="101.140625" style="50" bestFit="1" customWidth="1"/>
    <col min="44" max="16384" width="5.5703125" style="50"/>
  </cols>
  <sheetData>
    <row r="1" spans="1:43" x14ac:dyDescent="0.25">
      <c r="A1" s="51" t="s">
        <v>427</v>
      </c>
    </row>
    <row r="2" spans="1:43" x14ac:dyDescent="0.25">
      <c r="A2" s="51"/>
    </row>
    <row r="3" spans="1:43" x14ac:dyDescent="0.25">
      <c r="A3" s="51"/>
      <c r="G3" s="58" t="s">
        <v>404</v>
      </c>
      <c r="H3" s="58"/>
      <c r="I3" s="58"/>
      <c r="J3" s="58"/>
      <c r="K3" s="58" t="s">
        <v>402</v>
      </c>
      <c r="L3" s="58"/>
      <c r="M3" s="58"/>
      <c r="N3" s="58"/>
      <c r="O3" s="58" t="s">
        <v>403</v>
      </c>
      <c r="P3" s="58"/>
      <c r="Q3" s="58"/>
      <c r="R3" s="58"/>
      <c r="S3" s="58" t="s">
        <v>412</v>
      </c>
      <c r="T3" s="58"/>
      <c r="U3" s="58"/>
      <c r="V3" s="58"/>
      <c r="W3" s="58" t="s">
        <v>413</v>
      </c>
      <c r="X3" s="58"/>
      <c r="Y3" s="58"/>
      <c r="Z3" s="58"/>
      <c r="AA3" s="58" t="s">
        <v>414</v>
      </c>
      <c r="AB3" s="58"/>
      <c r="AC3" s="58"/>
      <c r="AD3" s="58"/>
    </row>
    <row r="4" spans="1:43" x14ac:dyDescent="0.25">
      <c r="A4" s="51" t="s">
        <v>464</v>
      </c>
      <c r="B4" s="51" t="s">
        <v>399</v>
      </c>
      <c r="C4" s="51" t="s">
        <v>347</v>
      </c>
      <c r="D4" s="51" t="s">
        <v>342</v>
      </c>
      <c r="E4" s="51" t="s">
        <v>285</v>
      </c>
      <c r="F4" s="53" t="s">
        <v>296</v>
      </c>
      <c r="G4" s="53" t="s">
        <v>405</v>
      </c>
      <c r="H4" s="51" t="s">
        <v>342</v>
      </c>
      <c r="I4" s="51" t="s">
        <v>406</v>
      </c>
      <c r="J4" s="53" t="s">
        <v>296</v>
      </c>
      <c r="K4" s="53" t="s">
        <v>348</v>
      </c>
      <c r="L4" s="51" t="s">
        <v>343</v>
      </c>
      <c r="M4" s="51" t="s">
        <v>299</v>
      </c>
      <c r="N4" s="53" t="s">
        <v>297</v>
      </c>
      <c r="O4" s="53" t="s">
        <v>352</v>
      </c>
      <c r="P4" s="51" t="s">
        <v>353</v>
      </c>
      <c r="Q4" s="51" t="s">
        <v>354</v>
      </c>
      <c r="R4" s="51" t="s">
        <v>383</v>
      </c>
      <c r="S4" s="53" t="s">
        <v>415</v>
      </c>
      <c r="T4" s="51" t="s">
        <v>416</v>
      </c>
      <c r="U4" s="51" t="s">
        <v>417</v>
      </c>
      <c r="V4" s="51" t="s">
        <v>418</v>
      </c>
      <c r="W4" s="53" t="s">
        <v>415</v>
      </c>
      <c r="X4" s="51" t="s">
        <v>416</v>
      </c>
      <c r="Y4" s="51" t="s">
        <v>417</v>
      </c>
      <c r="Z4" s="53" t="s">
        <v>418</v>
      </c>
      <c r="AA4" s="53" t="s">
        <v>419</v>
      </c>
      <c r="AB4" s="51" t="s">
        <v>420</v>
      </c>
      <c r="AC4" s="51" t="s">
        <v>421</v>
      </c>
      <c r="AD4" s="53" t="s">
        <v>422</v>
      </c>
      <c r="AE4" s="19" t="s">
        <v>305</v>
      </c>
      <c r="AF4" s="15" t="s">
        <v>306</v>
      </c>
      <c r="AG4" s="15" t="s">
        <v>423</v>
      </c>
      <c r="AH4" s="19" t="s">
        <v>307</v>
      </c>
      <c r="AI4" s="15" t="s">
        <v>308</v>
      </c>
      <c r="AJ4" s="15" t="s">
        <v>423</v>
      </c>
      <c r="AK4" s="51" t="s">
        <v>287</v>
      </c>
      <c r="AL4" s="19" t="s">
        <v>288</v>
      </c>
      <c r="AM4" s="51" t="s">
        <v>289</v>
      </c>
      <c r="AN4" s="19" t="s">
        <v>295</v>
      </c>
      <c r="AO4" s="21" t="s">
        <v>309</v>
      </c>
      <c r="AP4" s="21" t="s">
        <v>310</v>
      </c>
      <c r="AQ4" s="50" t="s">
        <v>457</v>
      </c>
    </row>
    <row r="5" spans="1:43" x14ac:dyDescent="0.25">
      <c r="B5" s="50">
        <v>1</v>
      </c>
      <c r="C5" s="50" t="s">
        <v>346</v>
      </c>
      <c r="D5" s="56">
        <v>1</v>
      </c>
      <c r="E5" s="56"/>
      <c r="F5" s="54">
        <f>DATE($AM5-$AN5,$AL5,$AK5)</f>
        <v>41640</v>
      </c>
      <c r="G5" s="54" t="s">
        <v>424</v>
      </c>
      <c r="H5" s="56" t="s">
        <v>291</v>
      </c>
      <c r="I5" s="56" t="s">
        <v>90</v>
      </c>
      <c r="J5" s="55">
        <f>DATE($AM5,$AL5,$AK5)</f>
        <v>42005</v>
      </c>
      <c r="K5" s="54" t="s">
        <v>424</v>
      </c>
      <c r="L5" s="56" t="s">
        <v>293</v>
      </c>
      <c r="M5" s="55"/>
      <c r="N5" s="55">
        <f>DATE($AM5,$AL5+6,$AK5)</f>
        <v>42186</v>
      </c>
      <c r="O5" s="54"/>
      <c r="P5" s="56"/>
      <c r="Q5" s="56"/>
      <c r="R5" s="55"/>
      <c r="S5" s="54"/>
      <c r="T5" s="56"/>
      <c r="U5" s="56"/>
      <c r="V5" s="55"/>
      <c r="W5" s="54" t="s">
        <v>424</v>
      </c>
      <c r="X5" s="56" t="s">
        <v>291</v>
      </c>
      <c r="Y5" s="56" t="s">
        <v>90</v>
      </c>
      <c r="Z5" s="55">
        <f>DATE($AM5,$AL5,$AK5)</f>
        <v>42005</v>
      </c>
      <c r="AA5" s="55"/>
      <c r="AB5" s="55"/>
      <c r="AC5" s="55"/>
      <c r="AD5" s="55"/>
      <c r="AE5" s="56">
        <v>20153</v>
      </c>
      <c r="AF5" s="57">
        <f>INDEX(barèmes!$D$2:$E$311,MATCH(AO5,barèmes!$D$2:$D$311,0),2)</f>
        <v>77.7</v>
      </c>
      <c r="AG5" s="36" t="s">
        <v>469</v>
      </c>
      <c r="AH5" s="56">
        <v>20154</v>
      </c>
      <c r="AI5" s="57">
        <f>INDEX(barèmes!$D$2:$E$311,MATCH(AP5,barèmes!$D$2:$D$311,0),2)</f>
        <v>77.7</v>
      </c>
      <c r="AJ5" s="36" t="s">
        <v>469</v>
      </c>
      <c r="AK5" s="56">
        <v>1</v>
      </c>
      <c r="AL5" s="56">
        <v>1</v>
      </c>
      <c r="AM5" s="36">
        <v>2015</v>
      </c>
      <c r="AN5" s="56">
        <v>1</v>
      </c>
      <c r="AO5" s="21" t="s">
        <v>315</v>
      </c>
      <c r="AP5" s="21" t="s">
        <v>315</v>
      </c>
      <c r="AQ5" s="52" t="str">
        <f t="shared" ref="AQ5:AQ37" si="0">TRIM($A$1&amp;" even "&amp;IF(X5&lt;&gt;"",X5,W5)&amp;" "&amp;Y5&amp;IF(AA5&lt;&gt;""," et even "&amp;AB5&amp;" "&amp;AC5,"")&amp;" - Scénario id "&amp;B5)</f>
        <v>Changement multiple - supprimer even Principal EXO - Scénario id 1</v>
      </c>
    </row>
    <row r="6" spans="1:43" x14ac:dyDescent="0.25">
      <c r="B6" s="50">
        <v>2</v>
      </c>
      <c r="C6" s="50" t="s">
        <v>346</v>
      </c>
      <c r="D6" s="56">
        <v>1</v>
      </c>
      <c r="E6" s="56" t="s">
        <v>425</v>
      </c>
      <c r="F6" s="54">
        <f>DATE($AM6-$AN6,$AL6,$AK6)</f>
        <v>41640</v>
      </c>
      <c r="G6" s="54" t="s">
        <v>425</v>
      </c>
      <c r="H6" s="56" t="s">
        <v>425</v>
      </c>
      <c r="I6" s="56"/>
      <c r="J6" s="55" t="s">
        <v>425</v>
      </c>
      <c r="K6" s="55"/>
      <c r="L6" s="55"/>
      <c r="M6" s="55"/>
      <c r="N6" s="55"/>
      <c r="O6" s="54"/>
      <c r="P6" s="56"/>
      <c r="Q6" s="56"/>
      <c r="R6" s="55"/>
      <c r="S6" s="54"/>
      <c r="T6" s="56"/>
      <c r="U6" s="56"/>
      <c r="V6" s="55"/>
      <c r="W6" s="55" t="s">
        <v>362</v>
      </c>
      <c r="X6" s="55" t="s">
        <v>291</v>
      </c>
      <c r="Y6" s="55"/>
      <c r="Z6" s="55">
        <f>DATE($AM6-1,$AL6,$AK6)</f>
        <v>41640</v>
      </c>
      <c r="AA6" s="55"/>
      <c r="AB6" s="55"/>
      <c r="AC6" s="55"/>
      <c r="AD6" s="55"/>
      <c r="AE6" s="56">
        <v>20141</v>
      </c>
      <c r="AF6" s="57" t="str">
        <f>INDEX(barèmes!$D$2:$E$311,MATCH(AO6,barèmes!$D$2:$D$311,0),2)</f>
        <v/>
      </c>
      <c r="AG6" s="57"/>
      <c r="AH6" s="56">
        <v>20154</v>
      </c>
      <c r="AI6" s="57" t="str">
        <f>INDEX(barèmes!$D$2:$E$311,MATCH(AP6,barèmes!$D$2:$D$311,0),2)</f>
        <v/>
      </c>
      <c r="AJ6" s="57"/>
      <c r="AK6" s="56">
        <v>1</v>
      </c>
      <c r="AL6" s="56">
        <v>1</v>
      </c>
      <c r="AM6" s="36">
        <v>2015</v>
      </c>
      <c r="AN6" s="56">
        <v>1</v>
      </c>
      <c r="AO6" s="21" t="s">
        <v>401</v>
      </c>
      <c r="AP6" s="21" t="s">
        <v>401</v>
      </c>
      <c r="AQ6" s="52" t="str">
        <f t="shared" si="0"/>
        <v>Changement multiple - supprimer even Principal - Scénario id 2</v>
      </c>
    </row>
    <row r="7" spans="1:43" x14ac:dyDescent="0.25">
      <c r="B7" s="50">
        <v>3</v>
      </c>
      <c r="C7" s="50" t="s">
        <v>346</v>
      </c>
      <c r="D7" s="56">
        <v>4</v>
      </c>
      <c r="E7" s="56" t="s">
        <v>425</v>
      </c>
      <c r="F7" s="54">
        <f>DATE($AM7+3-$AN7,$AL7,$AK7)</f>
        <v>42005</v>
      </c>
      <c r="G7" s="54" t="s">
        <v>425</v>
      </c>
      <c r="H7" s="56" t="s">
        <v>425</v>
      </c>
      <c r="I7" s="56"/>
      <c r="J7" s="55" t="s">
        <v>425</v>
      </c>
      <c r="K7" s="55"/>
      <c r="L7" s="55"/>
      <c r="M7" s="55"/>
      <c r="N7" s="55"/>
      <c r="O7" s="54"/>
      <c r="P7" s="56"/>
      <c r="Q7" s="56"/>
      <c r="R7" s="55"/>
      <c r="S7" s="54"/>
      <c r="T7" s="56"/>
      <c r="U7" s="56"/>
      <c r="V7" s="55"/>
      <c r="W7" s="55" t="s">
        <v>362</v>
      </c>
      <c r="X7" s="55" t="s">
        <v>293</v>
      </c>
      <c r="Y7" s="55"/>
      <c r="Z7" s="55">
        <f>DATE($AM7,$AL7,$AK7)</f>
        <v>42005</v>
      </c>
      <c r="AA7" s="55"/>
      <c r="AB7" s="55"/>
      <c r="AC7" s="55"/>
      <c r="AD7" s="55"/>
      <c r="AE7" s="56">
        <v>20141</v>
      </c>
      <c r="AF7" s="57" t="str">
        <f>INDEX(barèmes!$D$2:$E$311,MATCH(AO7,barèmes!$D$2:$D$311,0),2)</f>
        <v/>
      </c>
      <c r="AG7" s="57"/>
      <c r="AH7" s="56">
        <v>20143</v>
      </c>
      <c r="AI7" s="57" t="str">
        <f>INDEX(barèmes!$D$2:$E$311,MATCH(AP7,barèmes!$D$2:$D$311,0),2)</f>
        <v/>
      </c>
      <c r="AJ7" s="57"/>
      <c r="AK7" s="56">
        <v>1</v>
      </c>
      <c r="AL7" s="56">
        <v>1</v>
      </c>
      <c r="AM7" s="36">
        <v>2015</v>
      </c>
      <c r="AN7" s="56">
        <v>3</v>
      </c>
      <c r="AO7" s="21" t="s">
        <v>401</v>
      </c>
      <c r="AP7" s="21" t="s">
        <v>401</v>
      </c>
      <c r="AQ7" s="52" t="str">
        <f t="shared" si="0"/>
        <v>Changement multiple - supprimer even Complémentaire - Scénario id 3</v>
      </c>
    </row>
    <row r="8" spans="1:43" x14ac:dyDescent="0.25">
      <c r="B8" s="50">
        <v>4</v>
      </c>
      <c r="C8" s="50" t="s">
        <v>346</v>
      </c>
      <c r="D8" s="56">
        <v>1</v>
      </c>
      <c r="E8" s="56" t="s">
        <v>425</v>
      </c>
      <c r="F8" s="54">
        <f t="shared" ref="F8:F62" si="1">DATE($AM8-$AN8,$AL8,$AK8)</f>
        <v>41275</v>
      </c>
      <c r="G8" s="54" t="s">
        <v>424</v>
      </c>
      <c r="H8" s="56" t="s">
        <v>291</v>
      </c>
      <c r="I8" s="56" t="s">
        <v>93</v>
      </c>
      <c r="J8" s="55">
        <f>DATE($AM8-$AN8+1,$AL8,$AK8)</f>
        <v>41640</v>
      </c>
      <c r="K8" s="54"/>
      <c r="L8" s="56"/>
      <c r="M8" s="56"/>
      <c r="N8" s="55"/>
      <c r="O8" s="54"/>
      <c r="P8" s="56"/>
      <c r="Q8" s="56"/>
      <c r="R8" s="55"/>
      <c r="S8" s="54"/>
      <c r="T8" s="56"/>
      <c r="U8" s="56"/>
      <c r="V8" s="55"/>
      <c r="W8" s="55" t="s">
        <v>424</v>
      </c>
      <c r="X8" s="55" t="s">
        <v>291</v>
      </c>
      <c r="Y8" s="55" t="s">
        <v>93</v>
      </c>
      <c r="Z8" s="55">
        <f>DATE($AM8-$AN8+1,$AL8,$AK8)</f>
        <v>41640</v>
      </c>
      <c r="AA8" s="55"/>
      <c r="AB8" s="55"/>
      <c r="AC8" s="55"/>
      <c r="AD8" s="55"/>
      <c r="AE8" s="56">
        <v>20141</v>
      </c>
      <c r="AF8" s="57">
        <f>INDEX(barèmes!$D$2:$E$311,MATCH(AO8,barèmes!$D$2:$D$311,0),2)</f>
        <v>702.39</v>
      </c>
      <c r="AG8" s="57" t="s">
        <v>470</v>
      </c>
      <c r="AH8" s="56">
        <v>20151</v>
      </c>
      <c r="AI8" s="57">
        <f>INDEX(barèmes!$D$2:$E$311,MATCH(AP8,barèmes!$D$2:$D$311,0),2)</f>
        <v>719.12</v>
      </c>
      <c r="AJ8" s="57" t="s">
        <v>470</v>
      </c>
      <c r="AK8" s="56">
        <v>1</v>
      </c>
      <c r="AL8" s="56">
        <v>1</v>
      </c>
      <c r="AM8" s="36">
        <v>2015</v>
      </c>
      <c r="AN8" s="56">
        <v>2</v>
      </c>
      <c r="AO8" s="21" t="s">
        <v>312</v>
      </c>
      <c r="AP8" s="21" t="s">
        <v>304</v>
      </c>
      <c r="AQ8" s="52" t="str">
        <f t="shared" si="0"/>
        <v>Changement multiple - supprimer even Principal RED - Scénario id 4</v>
      </c>
    </row>
    <row r="9" spans="1:43" x14ac:dyDescent="0.25">
      <c r="B9" s="50">
        <v>5</v>
      </c>
      <c r="C9" s="50" t="s">
        <v>346</v>
      </c>
      <c r="D9" s="56">
        <v>1</v>
      </c>
      <c r="E9" s="56" t="s">
        <v>93</v>
      </c>
      <c r="F9" s="54">
        <f t="shared" si="1"/>
        <v>41275</v>
      </c>
      <c r="G9" s="54" t="s">
        <v>424</v>
      </c>
      <c r="H9" s="56" t="s">
        <v>291</v>
      </c>
      <c r="I9" s="56"/>
      <c r="J9" s="55">
        <f>DATE($AM9-$AN9+2,$AL9,$AK9)</f>
        <v>42005</v>
      </c>
      <c r="K9" s="54" t="s">
        <v>425</v>
      </c>
      <c r="L9" s="56"/>
      <c r="M9" s="56"/>
      <c r="N9" s="55" t="s">
        <v>425</v>
      </c>
      <c r="O9" s="54"/>
      <c r="P9" s="56"/>
      <c r="Q9" s="56"/>
      <c r="R9" s="55"/>
      <c r="S9" s="54"/>
      <c r="T9" s="56"/>
      <c r="U9" s="56"/>
      <c r="V9" s="55"/>
      <c r="W9" s="55" t="s">
        <v>424</v>
      </c>
      <c r="X9" s="55" t="s">
        <v>291</v>
      </c>
      <c r="Y9" s="55"/>
      <c r="Z9" s="55">
        <f>DATE($AM9-$AN9+2,$AL9,$AK9)</f>
        <v>42005</v>
      </c>
      <c r="AA9" s="55"/>
      <c r="AB9" s="55"/>
      <c r="AC9" s="55"/>
      <c r="AD9" s="55"/>
      <c r="AE9" s="56">
        <v>20141</v>
      </c>
      <c r="AF9" s="57">
        <f>INDEX(barèmes!$D$2:$E$311,MATCH(AO9,barèmes!$D$2:$D$311,0),2)</f>
        <v>367.94</v>
      </c>
      <c r="AG9" s="57" t="s">
        <v>470</v>
      </c>
      <c r="AH9" s="56">
        <v>20151</v>
      </c>
      <c r="AI9" s="57">
        <f>INDEX(barèmes!$D$2:$E$311,MATCH(AP9,barèmes!$D$2:$D$311,0),2)</f>
        <v>376.7</v>
      </c>
      <c r="AJ9" s="57" t="s">
        <v>470</v>
      </c>
      <c r="AK9" s="56">
        <v>1</v>
      </c>
      <c r="AL9" s="56">
        <v>1</v>
      </c>
      <c r="AM9" s="36">
        <v>2015</v>
      </c>
      <c r="AN9" s="56">
        <v>2</v>
      </c>
      <c r="AO9" s="21" t="s">
        <v>327</v>
      </c>
      <c r="AP9" s="21" t="s">
        <v>329</v>
      </c>
      <c r="AQ9" s="52" t="str">
        <f t="shared" si="0"/>
        <v>Changement multiple - supprimer even Principal - Scénario id 5</v>
      </c>
    </row>
    <row r="10" spans="1:43" x14ac:dyDescent="0.25">
      <c r="B10" s="50">
        <v>6</v>
      </c>
      <c r="C10" s="50" t="s">
        <v>346</v>
      </c>
      <c r="D10" s="56">
        <v>1</v>
      </c>
      <c r="E10" s="56" t="s">
        <v>425</v>
      </c>
      <c r="F10" s="54">
        <f t="shared" si="1"/>
        <v>41548</v>
      </c>
      <c r="G10" s="54" t="s">
        <v>424</v>
      </c>
      <c r="H10" s="56" t="s">
        <v>291</v>
      </c>
      <c r="I10" s="56" t="s">
        <v>90</v>
      </c>
      <c r="J10" s="55">
        <f>DATE($AM10-$AN10+1,$AL10+3,$AK10)</f>
        <v>42005</v>
      </c>
      <c r="K10" s="54" t="s">
        <v>425</v>
      </c>
      <c r="L10" s="56"/>
      <c r="M10" s="56"/>
      <c r="N10" s="55" t="s">
        <v>425</v>
      </c>
      <c r="O10" s="54"/>
      <c r="P10" s="56"/>
      <c r="Q10" s="56"/>
      <c r="R10" s="55"/>
      <c r="S10" s="54"/>
      <c r="T10" s="56"/>
      <c r="U10" s="56"/>
      <c r="V10" s="55"/>
      <c r="W10" s="55" t="s">
        <v>424</v>
      </c>
      <c r="X10" s="55" t="s">
        <v>291</v>
      </c>
      <c r="Y10" s="55" t="s">
        <v>90</v>
      </c>
      <c r="Z10" s="55">
        <f>DATE($AM10-$AN10+1,$AL10+3,$AK10)</f>
        <v>42005</v>
      </c>
      <c r="AA10" s="55"/>
      <c r="AB10" s="55"/>
      <c r="AC10" s="55"/>
      <c r="AD10" s="55"/>
      <c r="AE10" s="56">
        <v>20144</v>
      </c>
      <c r="AF10" s="57">
        <f>INDEX(barèmes!$D$2:$E$311,MATCH(AO10,barèmes!$D$2:$D$311,0),2)</f>
        <v>685.66</v>
      </c>
      <c r="AG10" s="57" t="s">
        <v>470</v>
      </c>
      <c r="AH10" s="56">
        <v>20153</v>
      </c>
      <c r="AI10" s="57">
        <f>INDEX(barèmes!$D$2:$E$311,MATCH(AP10,barèmes!$D$2:$D$311,0),2)</f>
        <v>702.39</v>
      </c>
      <c r="AJ10" s="57" t="s">
        <v>470</v>
      </c>
      <c r="AK10" s="56">
        <v>1</v>
      </c>
      <c r="AL10" s="56">
        <v>10</v>
      </c>
      <c r="AM10" s="36">
        <v>2015</v>
      </c>
      <c r="AN10" s="56">
        <v>2</v>
      </c>
      <c r="AO10" s="21" t="s">
        <v>322</v>
      </c>
      <c r="AP10" s="21" t="s">
        <v>331</v>
      </c>
      <c r="AQ10" s="52" t="str">
        <f t="shared" si="0"/>
        <v>Changement multiple - supprimer even Principal EXO - Scénario id 6</v>
      </c>
    </row>
    <row r="11" spans="1:43" x14ac:dyDescent="0.25">
      <c r="B11" s="50">
        <v>7</v>
      </c>
      <c r="C11" s="50" t="s">
        <v>346</v>
      </c>
      <c r="D11" s="56">
        <v>1</v>
      </c>
      <c r="E11" s="56" t="s">
        <v>90</v>
      </c>
      <c r="F11" s="54">
        <f t="shared" si="1"/>
        <v>41640</v>
      </c>
      <c r="G11" s="54" t="s">
        <v>424</v>
      </c>
      <c r="H11" s="56" t="s">
        <v>291</v>
      </c>
      <c r="I11" s="56"/>
      <c r="J11" s="55">
        <f>DATE($AM11-$AN11+1,$AL11,$AK11)</f>
        <v>42005</v>
      </c>
      <c r="K11" s="54" t="s">
        <v>425</v>
      </c>
      <c r="L11" s="56"/>
      <c r="M11" s="56"/>
      <c r="N11" s="55" t="s">
        <v>425</v>
      </c>
      <c r="O11" s="54"/>
      <c r="P11" s="56"/>
      <c r="Q11" s="56"/>
      <c r="R11" s="55"/>
      <c r="S11" s="54"/>
      <c r="T11" s="56"/>
      <c r="U11" s="56"/>
      <c r="V11" s="55"/>
      <c r="W11" s="55" t="s">
        <v>424</v>
      </c>
      <c r="X11" s="55" t="s">
        <v>291</v>
      </c>
      <c r="Y11" s="55"/>
      <c r="Z11" s="55">
        <f>DATE($AM11-$AN11+1,$AL11,$AK11)</f>
        <v>42005</v>
      </c>
      <c r="AA11" s="55"/>
      <c r="AB11" s="55"/>
      <c r="AC11" s="55"/>
      <c r="AD11" s="55"/>
      <c r="AE11" s="56">
        <v>20141</v>
      </c>
      <c r="AF11" s="57"/>
      <c r="AG11" s="57"/>
      <c r="AH11" s="56">
        <v>20152</v>
      </c>
      <c r="AI11" s="57"/>
      <c r="AJ11" s="57"/>
      <c r="AK11" s="56">
        <v>1</v>
      </c>
      <c r="AL11" s="56">
        <v>1</v>
      </c>
      <c r="AM11" s="36">
        <v>2015</v>
      </c>
      <c r="AN11" s="56">
        <v>1</v>
      </c>
      <c r="AO11" s="21" t="s">
        <v>317</v>
      </c>
      <c r="AP11" s="21" t="s">
        <v>317</v>
      </c>
      <c r="AQ11" s="52" t="str">
        <f t="shared" si="0"/>
        <v>Changement multiple - supprimer even Principal - Scénario id 7</v>
      </c>
    </row>
    <row r="12" spans="1:43" x14ac:dyDescent="0.25">
      <c r="B12" s="50">
        <v>8</v>
      </c>
      <c r="C12" s="50" t="s">
        <v>346</v>
      </c>
      <c r="D12" s="56">
        <v>1</v>
      </c>
      <c r="E12" s="56" t="s">
        <v>93</v>
      </c>
      <c r="F12" s="54">
        <f t="shared" si="1"/>
        <v>41640</v>
      </c>
      <c r="G12" s="54" t="s">
        <v>424</v>
      </c>
      <c r="H12" s="56" t="s">
        <v>291</v>
      </c>
      <c r="I12" s="56" t="s">
        <v>90</v>
      </c>
      <c r="J12" s="55">
        <f>DATE($AM12-$AN12+1,$AL12,$AK12)</f>
        <v>42005</v>
      </c>
      <c r="K12" s="54" t="s">
        <v>425</v>
      </c>
      <c r="L12" s="56"/>
      <c r="M12" s="56"/>
      <c r="N12" s="55" t="s">
        <v>425</v>
      </c>
      <c r="O12" s="54"/>
      <c r="P12" s="56"/>
      <c r="Q12" s="56"/>
      <c r="R12" s="55"/>
      <c r="S12" s="54"/>
      <c r="T12" s="56"/>
      <c r="U12" s="56"/>
      <c r="V12" s="55"/>
      <c r="W12" s="55" t="s">
        <v>424</v>
      </c>
      <c r="X12" s="55" t="s">
        <v>291</v>
      </c>
      <c r="Y12" s="55" t="s">
        <v>90</v>
      </c>
      <c r="Z12" s="55">
        <f>DATE($AM12-$AN12+1,$AL12,$AK12)</f>
        <v>42005</v>
      </c>
      <c r="AA12" s="55"/>
      <c r="AB12" s="55"/>
      <c r="AC12" s="55"/>
      <c r="AD12" s="55"/>
      <c r="AE12" s="56">
        <v>20144</v>
      </c>
      <c r="AF12" s="57">
        <f>INDEX(barèmes!$D$2:$E$311,MATCH(AO12,barèmes!$D$2:$D$311,0),2)</f>
        <v>359.18</v>
      </c>
      <c r="AG12" s="57" t="s">
        <v>470</v>
      </c>
      <c r="AH12" s="56">
        <v>20151</v>
      </c>
      <c r="AI12" s="57">
        <f>INDEX(barèmes!$D$2:$E$311,MATCH(AP12,barèmes!$D$2:$D$311,0),2)</f>
        <v>367.94</v>
      </c>
      <c r="AJ12" s="57" t="s">
        <v>470</v>
      </c>
      <c r="AK12" s="56">
        <v>1</v>
      </c>
      <c r="AL12" s="56">
        <v>1</v>
      </c>
      <c r="AM12" s="36">
        <v>2015</v>
      </c>
      <c r="AN12" s="56">
        <v>1</v>
      </c>
      <c r="AO12" s="21" t="s">
        <v>328</v>
      </c>
      <c r="AP12" s="21" t="s">
        <v>333</v>
      </c>
      <c r="AQ12" s="52" t="str">
        <f t="shared" si="0"/>
        <v>Changement multiple - supprimer even Principal EXO - Scénario id 8</v>
      </c>
    </row>
    <row r="13" spans="1:43" x14ac:dyDescent="0.25">
      <c r="B13" s="50">
        <v>9</v>
      </c>
      <c r="C13" s="50" t="s">
        <v>346</v>
      </c>
      <c r="D13" s="56">
        <v>1</v>
      </c>
      <c r="E13" s="56" t="s">
        <v>90</v>
      </c>
      <c r="F13" s="54">
        <f t="shared" si="1"/>
        <v>41640</v>
      </c>
      <c r="G13" s="54" t="s">
        <v>424</v>
      </c>
      <c r="H13" s="56" t="s">
        <v>291</v>
      </c>
      <c r="I13" s="56" t="s">
        <v>93</v>
      </c>
      <c r="J13" s="55">
        <f>DATE($AM13-$AN13+1,$AL13,$AK13)</f>
        <v>42005</v>
      </c>
      <c r="K13" s="54" t="s">
        <v>425</v>
      </c>
      <c r="L13" s="56"/>
      <c r="M13" s="56" t="s">
        <v>425</v>
      </c>
      <c r="N13" s="55" t="s">
        <v>425</v>
      </c>
      <c r="O13" s="54" t="s">
        <v>425</v>
      </c>
      <c r="P13" s="56"/>
      <c r="Q13" s="56"/>
      <c r="R13" s="55"/>
      <c r="S13" s="54"/>
      <c r="T13" s="56"/>
      <c r="U13" s="56"/>
      <c r="V13" s="55"/>
      <c r="W13" s="55" t="s">
        <v>424</v>
      </c>
      <c r="X13" s="55" t="s">
        <v>291</v>
      </c>
      <c r="Y13" s="55" t="s">
        <v>93</v>
      </c>
      <c r="Z13" s="55">
        <f>DATE($AM13-$AN13+1,$AL13,$AK13)</f>
        <v>42005</v>
      </c>
      <c r="AA13" s="55"/>
      <c r="AB13" s="55"/>
      <c r="AC13" s="55"/>
      <c r="AD13" s="55"/>
      <c r="AE13" s="56">
        <v>20141</v>
      </c>
      <c r="AF13" s="57">
        <f>INDEX(barèmes!$D$2:$E$311,MATCH(AO13,barèmes!$D$2:$D$311,0),2)</f>
        <v>0</v>
      </c>
      <c r="AG13" s="57" t="s">
        <v>470</v>
      </c>
      <c r="AH13" s="56">
        <v>20151</v>
      </c>
      <c r="AI13" s="57">
        <f>INDEX(barèmes!$D$2:$E$311,MATCH(AP13,barèmes!$D$2:$D$311,0),2)</f>
        <v>0</v>
      </c>
      <c r="AJ13" s="57" t="s">
        <v>470</v>
      </c>
      <c r="AK13" s="56">
        <v>1</v>
      </c>
      <c r="AL13" s="56">
        <v>1</v>
      </c>
      <c r="AM13" s="36">
        <v>2015</v>
      </c>
      <c r="AN13" s="56">
        <v>1</v>
      </c>
      <c r="AO13" s="21" t="s">
        <v>317</v>
      </c>
      <c r="AP13" s="21" t="s">
        <v>317</v>
      </c>
      <c r="AQ13" s="52" t="str">
        <f t="shared" si="0"/>
        <v>Changement multiple - supprimer even Principal RED - Scénario id 9</v>
      </c>
    </row>
    <row r="14" spans="1:43" x14ac:dyDescent="0.25">
      <c r="B14" s="50">
        <v>10</v>
      </c>
      <c r="C14" s="50" t="s">
        <v>346</v>
      </c>
      <c r="D14" s="56">
        <v>4</v>
      </c>
      <c r="E14" s="56" t="s">
        <v>90</v>
      </c>
      <c r="F14" s="54">
        <f t="shared" si="1"/>
        <v>41456</v>
      </c>
      <c r="G14" s="54" t="s">
        <v>424</v>
      </c>
      <c r="H14" s="56" t="s">
        <v>293</v>
      </c>
      <c r="I14" s="56" t="s">
        <v>425</v>
      </c>
      <c r="J14" s="55">
        <f>DATE($AM14-$AN14+1,$AL14+6,$AK14)</f>
        <v>42005</v>
      </c>
      <c r="K14" s="54" t="s">
        <v>425</v>
      </c>
      <c r="L14" s="56"/>
      <c r="M14" s="56"/>
      <c r="N14" s="55" t="s">
        <v>425</v>
      </c>
      <c r="O14" s="54"/>
      <c r="P14" s="56"/>
      <c r="Q14" s="56"/>
      <c r="R14" s="55"/>
      <c r="S14" s="54"/>
      <c r="T14" s="56"/>
      <c r="U14" s="56"/>
      <c r="V14" s="55"/>
      <c r="W14" s="55" t="s">
        <v>424</v>
      </c>
      <c r="X14" s="55" t="s">
        <v>293</v>
      </c>
      <c r="Y14" s="55"/>
      <c r="Z14" s="55">
        <f>DATE($AM14-$AN14+1,$AL14+6,$AK14)</f>
        <v>42005</v>
      </c>
      <c r="AA14" s="55"/>
      <c r="AB14" s="55"/>
      <c r="AC14" s="55"/>
      <c r="AD14" s="55"/>
      <c r="AE14" s="56">
        <v>20141</v>
      </c>
      <c r="AF14" s="57">
        <f>INDEX(barèmes!$D$2:$E$311,MATCH(AO14,barèmes!$D$2:$D$311,0),2)</f>
        <v>0</v>
      </c>
      <c r="AG14" s="57" t="s">
        <v>469</v>
      </c>
      <c r="AH14" s="56">
        <v>20151</v>
      </c>
      <c r="AI14" s="57">
        <f>INDEX(barèmes!$D$2:$E$311,MATCH(AP14,barèmes!$D$2:$D$311,0),2)</f>
        <v>0</v>
      </c>
      <c r="AJ14" s="57" t="s">
        <v>469</v>
      </c>
      <c r="AK14" s="56">
        <v>1</v>
      </c>
      <c r="AL14" s="56">
        <v>7</v>
      </c>
      <c r="AM14" s="36">
        <v>2015</v>
      </c>
      <c r="AN14" s="56">
        <v>2</v>
      </c>
      <c r="AO14" s="21" t="s">
        <v>317</v>
      </c>
      <c r="AP14" s="21" t="s">
        <v>317</v>
      </c>
      <c r="AQ14" s="52" t="str">
        <f t="shared" si="0"/>
        <v>Changement multiple - supprimer even Complémentaire - Scénario id 10</v>
      </c>
    </row>
    <row r="15" spans="1:43" x14ac:dyDescent="0.25">
      <c r="B15" s="50">
        <v>11</v>
      </c>
      <c r="C15" s="50" t="s">
        <v>346</v>
      </c>
      <c r="D15" s="56">
        <v>4</v>
      </c>
      <c r="E15" s="56"/>
      <c r="F15" s="54">
        <f t="shared" si="1"/>
        <v>41456</v>
      </c>
      <c r="G15" s="54" t="s">
        <v>424</v>
      </c>
      <c r="H15" s="56" t="s">
        <v>293</v>
      </c>
      <c r="I15" s="56" t="s">
        <v>90</v>
      </c>
      <c r="J15" s="55">
        <f>DATE($AM15-$AN15+1,$AL15+6,$AK15)</f>
        <v>42005</v>
      </c>
      <c r="K15" s="54"/>
      <c r="L15" s="56"/>
      <c r="M15" s="56"/>
      <c r="N15" s="55"/>
      <c r="O15" s="54"/>
      <c r="P15" s="56"/>
      <c r="Q15" s="56"/>
      <c r="R15" s="55"/>
      <c r="S15" s="54"/>
      <c r="T15" s="56"/>
      <c r="U15" s="56"/>
      <c r="V15" s="55"/>
      <c r="W15" s="55" t="s">
        <v>424</v>
      </c>
      <c r="X15" s="55" t="s">
        <v>293</v>
      </c>
      <c r="Y15" s="55" t="s">
        <v>90</v>
      </c>
      <c r="Z15" s="55">
        <f>DATE($AM15-$AN15+1,$AL15+6,$AK15)</f>
        <v>42005</v>
      </c>
      <c r="AA15" s="55"/>
      <c r="AB15" s="55"/>
      <c r="AC15" s="55"/>
      <c r="AD15" s="55"/>
      <c r="AE15" s="56">
        <v>20141</v>
      </c>
      <c r="AF15" s="57">
        <f>INDEX(barèmes!$D$2:$E$311,MATCH(AO15,barèmes!$D$2:$D$311,0),2)</f>
        <v>75.849999999999994</v>
      </c>
      <c r="AG15" s="57" t="s">
        <v>469</v>
      </c>
      <c r="AH15" s="56">
        <v>20151</v>
      </c>
      <c r="AI15" s="57">
        <f>INDEX(barèmes!$D$2:$E$311,MATCH(AP15,barèmes!$D$2:$D$311,0),2)</f>
        <v>77.7</v>
      </c>
      <c r="AJ15" s="57" t="s">
        <v>469</v>
      </c>
      <c r="AK15" s="56">
        <v>1</v>
      </c>
      <c r="AL15" s="56">
        <v>7</v>
      </c>
      <c r="AM15" s="36">
        <v>2015</v>
      </c>
      <c r="AN15" s="56">
        <v>2</v>
      </c>
      <c r="AO15" s="21" t="s">
        <v>314</v>
      </c>
      <c r="AP15" s="21" t="s">
        <v>315</v>
      </c>
      <c r="AQ15" s="52" t="str">
        <f t="shared" si="0"/>
        <v>Changement multiple - supprimer even Complémentaire EXO - Scénario id 11</v>
      </c>
    </row>
    <row r="16" spans="1:43" x14ac:dyDescent="0.25">
      <c r="B16" s="50">
        <v>12</v>
      </c>
      <c r="C16" s="50" t="s">
        <v>346</v>
      </c>
      <c r="D16" s="56">
        <v>5</v>
      </c>
      <c r="E16" s="56" t="s">
        <v>90</v>
      </c>
      <c r="F16" s="54">
        <f t="shared" si="1"/>
        <v>41183</v>
      </c>
      <c r="G16" s="54" t="s">
        <v>424</v>
      </c>
      <c r="H16" s="56" t="s">
        <v>294</v>
      </c>
      <c r="I16" s="56"/>
      <c r="J16" s="55">
        <f>DATE($AM16-$AN16+2,$AL16+3,$AK16)</f>
        <v>42005</v>
      </c>
      <c r="K16" s="54"/>
      <c r="L16" s="56"/>
      <c r="M16" s="56"/>
      <c r="N16" s="55"/>
      <c r="O16" s="54"/>
      <c r="P16" s="56"/>
      <c r="Q16" s="56"/>
      <c r="R16" s="55"/>
      <c r="S16" s="54"/>
      <c r="T16" s="56"/>
      <c r="U16" s="56"/>
      <c r="V16" s="55"/>
      <c r="W16" s="55" t="s">
        <v>424</v>
      </c>
      <c r="X16" s="55" t="s">
        <v>468</v>
      </c>
      <c r="Y16" s="55"/>
      <c r="Z16" s="55">
        <f>DATE($AM16-$AN16+2,$AL16+3,$AK16)</f>
        <v>42005</v>
      </c>
      <c r="AA16" s="55"/>
      <c r="AB16" s="55"/>
      <c r="AC16" s="55"/>
      <c r="AD16" s="55"/>
      <c r="AE16" s="56">
        <v>20131</v>
      </c>
      <c r="AF16" s="57">
        <f>INDEX(barèmes!$D$2:$E$311,MATCH(AO16,barèmes!$D$2:$D$311,0),2)</f>
        <v>0</v>
      </c>
      <c r="AG16" s="57" t="s">
        <v>471</v>
      </c>
      <c r="AH16" s="56">
        <v>20151</v>
      </c>
      <c r="AI16" s="57">
        <f>INDEX(barèmes!$D$2:$E$311,MATCH(AP16,barèmes!$D$2:$D$311,0),2)</f>
        <v>0</v>
      </c>
      <c r="AJ16" s="57" t="s">
        <v>471</v>
      </c>
      <c r="AK16" s="56">
        <v>1</v>
      </c>
      <c r="AL16" s="56">
        <v>10</v>
      </c>
      <c r="AM16" s="36">
        <v>2015</v>
      </c>
      <c r="AN16" s="56">
        <v>3</v>
      </c>
      <c r="AO16" s="21" t="s">
        <v>317</v>
      </c>
      <c r="AP16" s="21" t="s">
        <v>317</v>
      </c>
      <c r="AQ16" s="52" t="str">
        <f t="shared" si="0"/>
        <v>Changement multiple - supprimer even Conjoint aidant maxi - Scénario id 12</v>
      </c>
    </row>
    <row r="17" spans="1:43" x14ac:dyDescent="0.25">
      <c r="B17" s="50">
        <v>13</v>
      </c>
      <c r="C17" s="50" t="s">
        <v>346</v>
      </c>
      <c r="D17" s="56">
        <v>5</v>
      </c>
      <c r="E17" s="56"/>
      <c r="F17" s="54">
        <f t="shared" si="1"/>
        <v>41183</v>
      </c>
      <c r="G17" s="54" t="s">
        <v>424</v>
      </c>
      <c r="H17" s="56" t="s">
        <v>294</v>
      </c>
      <c r="I17" s="56" t="s">
        <v>90</v>
      </c>
      <c r="J17" s="55">
        <f>DATE($AM17-$AN17+2,$AL17+3,$AK17)</f>
        <v>42005</v>
      </c>
      <c r="K17" s="54"/>
      <c r="L17" s="56"/>
      <c r="M17" s="56"/>
      <c r="N17" s="55"/>
      <c r="O17" s="54"/>
      <c r="P17" s="56"/>
      <c r="Q17" s="56"/>
      <c r="R17" s="55"/>
      <c r="S17" s="54"/>
      <c r="T17" s="56"/>
      <c r="U17" s="56"/>
      <c r="V17" s="55"/>
      <c r="W17" s="55" t="s">
        <v>424</v>
      </c>
      <c r="X17" s="55" t="s">
        <v>468</v>
      </c>
      <c r="Y17" s="55" t="s">
        <v>90</v>
      </c>
      <c r="Z17" s="55">
        <f>DATE($AM17-$AN17+2,$AL17+3,$AK17)</f>
        <v>42005</v>
      </c>
      <c r="AA17" s="55"/>
      <c r="AB17" s="55"/>
      <c r="AC17" s="55"/>
      <c r="AD17" s="55"/>
      <c r="AE17" s="56">
        <v>20131</v>
      </c>
      <c r="AF17" s="57">
        <f>INDEX(barèmes!$D$2:$E$311,MATCH(AO17,barèmes!$D$2:$D$311,0),2)</f>
        <v>300.14</v>
      </c>
      <c r="AG17" s="57" t="s">
        <v>471</v>
      </c>
      <c r="AH17" s="56">
        <v>20151</v>
      </c>
      <c r="AI17" s="57">
        <f>INDEX(barèmes!$D$2:$E$311,MATCH(AP17,barèmes!$D$2:$D$311,0),2)</f>
        <v>315.89999999999998</v>
      </c>
      <c r="AJ17" s="57" t="s">
        <v>471</v>
      </c>
      <c r="AK17" s="56">
        <v>1</v>
      </c>
      <c r="AL17" s="56">
        <v>10</v>
      </c>
      <c r="AM17" s="36">
        <v>2015</v>
      </c>
      <c r="AN17" s="56">
        <v>3</v>
      </c>
      <c r="AO17" s="21" t="s">
        <v>335</v>
      </c>
      <c r="AP17" s="21" t="s">
        <v>319</v>
      </c>
      <c r="AQ17" s="52" t="str">
        <f t="shared" si="0"/>
        <v>Changement multiple - supprimer even Conjoint aidant maxi EXO - Scénario id 13</v>
      </c>
    </row>
    <row r="18" spans="1:43" x14ac:dyDescent="0.25">
      <c r="B18" s="50">
        <v>14</v>
      </c>
      <c r="C18" s="50" t="s">
        <v>346</v>
      </c>
      <c r="D18" s="56">
        <v>4</v>
      </c>
      <c r="E18" s="56" t="s">
        <v>425</v>
      </c>
      <c r="F18" s="54">
        <f t="shared" si="1"/>
        <v>41548</v>
      </c>
      <c r="G18" s="54" t="s">
        <v>424</v>
      </c>
      <c r="H18" s="56" t="s">
        <v>291</v>
      </c>
      <c r="I18" s="56" t="s">
        <v>93</v>
      </c>
      <c r="J18" s="55">
        <f>DATE($AM18-$AN18+1,$AL18+3,$AK18)</f>
        <v>42005</v>
      </c>
      <c r="K18" s="54"/>
      <c r="L18" s="56"/>
      <c r="M18" s="56"/>
      <c r="N18" s="55"/>
      <c r="O18" s="54"/>
      <c r="P18" s="56"/>
      <c r="Q18" s="56"/>
      <c r="R18" s="55"/>
      <c r="S18" s="54"/>
      <c r="T18" s="56"/>
      <c r="U18" s="56"/>
      <c r="V18" s="55"/>
      <c r="W18" s="55" t="s">
        <v>424</v>
      </c>
      <c r="X18" s="55" t="s">
        <v>291</v>
      </c>
      <c r="Y18" s="55" t="s">
        <v>93</v>
      </c>
      <c r="Z18" s="55">
        <f>DATE($AM18-$AN18+1,$AL18+3,$AK18)</f>
        <v>42005</v>
      </c>
      <c r="AA18" s="55"/>
      <c r="AB18" s="55"/>
      <c r="AC18" s="55"/>
      <c r="AD18" s="55"/>
      <c r="AE18" s="56">
        <v>20141</v>
      </c>
      <c r="AF18" s="57">
        <f>INDEX(barèmes!$D$2:$E$311,MATCH(AO18,barèmes!$D$2:$D$311,0),2)</f>
        <v>75.849999999999994</v>
      </c>
      <c r="AG18" s="57" t="s">
        <v>469</v>
      </c>
      <c r="AH18" s="56">
        <v>20151</v>
      </c>
      <c r="AI18" s="57">
        <f>INDEX(barèmes!$D$2:$E$311,MATCH(AP18,barèmes!$D$2:$D$311,0),2)</f>
        <v>77.7</v>
      </c>
      <c r="AJ18" s="57" t="s">
        <v>469</v>
      </c>
      <c r="AK18" s="56">
        <v>1</v>
      </c>
      <c r="AL18" s="56">
        <v>10</v>
      </c>
      <c r="AM18" s="36">
        <v>2015</v>
      </c>
      <c r="AN18" s="56">
        <v>2</v>
      </c>
      <c r="AO18" s="21" t="s">
        <v>314</v>
      </c>
      <c r="AP18" s="21" t="s">
        <v>315</v>
      </c>
      <c r="AQ18" s="52" t="str">
        <f t="shared" si="0"/>
        <v>Changement multiple - supprimer even Principal RED - Scénario id 14</v>
      </c>
    </row>
    <row r="19" spans="1:43" x14ac:dyDescent="0.25">
      <c r="B19" s="50">
        <v>15</v>
      </c>
      <c r="C19" s="50" t="s">
        <v>346</v>
      </c>
      <c r="D19" s="56">
        <v>1</v>
      </c>
      <c r="E19" s="56"/>
      <c r="F19" s="54">
        <f t="shared" si="1"/>
        <v>41000</v>
      </c>
      <c r="G19" s="54" t="s">
        <v>424</v>
      </c>
      <c r="H19" s="56" t="s">
        <v>293</v>
      </c>
      <c r="I19" s="56" t="s">
        <v>90</v>
      </c>
      <c r="J19" s="55">
        <f>DATE($AM19-$AN19+2,$AL19+6,$AK19)</f>
        <v>41913</v>
      </c>
      <c r="K19" s="54" t="s">
        <v>425</v>
      </c>
      <c r="L19" s="56"/>
      <c r="M19" s="56"/>
      <c r="N19" s="55" t="s">
        <v>425</v>
      </c>
      <c r="O19" s="54"/>
      <c r="P19" s="56"/>
      <c r="Q19" s="56"/>
      <c r="R19" s="55"/>
      <c r="S19" s="54"/>
      <c r="T19" s="56"/>
      <c r="U19" s="56"/>
      <c r="V19" s="55"/>
      <c r="W19" s="55" t="s">
        <v>424</v>
      </c>
      <c r="X19" s="55" t="s">
        <v>293</v>
      </c>
      <c r="Y19" s="55" t="s">
        <v>90</v>
      </c>
      <c r="Z19" s="55">
        <f>DATE($AM19-$AN19+2,$AL19+6,$AK19)</f>
        <v>41913</v>
      </c>
      <c r="AA19" s="55"/>
      <c r="AB19" s="55"/>
      <c r="AC19" s="55"/>
      <c r="AD19" s="55"/>
      <c r="AE19" s="56">
        <v>20131</v>
      </c>
      <c r="AF19" s="57">
        <f>INDEX(barèmes!$D$2:$E$311,MATCH(AO19,barèmes!$D$2:$D$311,0),2)</f>
        <v>683.22</v>
      </c>
      <c r="AG19" s="57" t="s">
        <v>470</v>
      </c>
      <c r="AH19" s="56">
        <v>20151</v>
      </c>
      <c r="AI19" s="57">
        <f>INDEX(barèmes!$D$2:$E$311,MATCH(AP19,barèmes!$D$2:$D$311,0),2)</f>
        <v>719.12</v>
      </c>
      <c r="AJ19" s="57" t="s">
        <v>470</v>
      </c>
      <c r="AK19" s="56">
        <v>1</v>
      </c>
      <c r="AL19" s="56">
        <v>4</v>
      </c>
      <c r="AM19" s="36">
        <v>2015</v>
      </c>
      <c r="AN19" s="56">
        <v>3</v>
      </c>
      <c r="AO19" s="21" t="s">
        <v>338</v>
      </c>
      <c r="AP19" s="21" t="s">
        <v>304</v>
      </c>
      <c r="AQ19" s="52" t="str">
        <f t="shared" si="0"/>
        <v>Changement multiple - supprimer even Complémentaire EXO - Scénario id 15</v>
      </c>
    </row>
    <row r="20" spans="1:43" x14ac:dyDescent="0.25">
      <c r="B20" s="50">
        <v>16</v>
      </c>
      <c r="C20" s="50" t="s">
        <v>346</v>
      </c>
      <c r="D20" s="56">
        <v>1</v>
      </c>
      <c r="E20" s="56" t="s">
        <v>93</v>
      </c>
      <c r="F20" s="54">
        <f t="shared" si="1"/>
        <v>41548</v>
      </c>
      <c r="G20" s="54" t="s">
        <v>424</v>
      </c>
      <c r="H20" s="56" t="s">
        <v>293</v>
      </c>
      <c r="I20" s="56"/>
      <c r="J20" s="55">
        <f>DATE($AM20-$AN20+1,$AL20+3,$AK20)</f>
        <v>42005</v>
      </c>
      <c r="K20" s="54" t="s">
        <v>425</v>
      </c>
      <c r="L20" s="56"/>
      <c r="M20" s="56"/>
      <c r="N20" s="55" t="s">
        <v>425</v>
      </c>
      <c r="O20" s="54"/>
      <c r="P20" s="56"/>
      <c r="Q20" s="56"/>
      <c r="R20" s="55"/>
      <c r="S20" s="54"/>
      <c r="T20" s="56"/>
      <c r="U20" s="56"/>
      <c r="V20" s="55"/>
      <c r="W20" s="55" t="s">
        <v>424</v>
      </c>
      <c r="X20" s="55" t="s">
        <v>293</v>
      </c>
      <c r="Y20" s="55"/>
      <c r="Z20" s="55">
        <f>DATE($AM20-$AN20+1,$AL20+3,$AK20)</f>
        <v>42005</v>
      </c>
      <c r="AA20" s="55"/>
      <c r="AB20" s="55"/>
      <c r="AC20" s="55"/>
      <c r="AD20" s="55"/>
      <c r="AE20" s="56">
        <v>20141</v>
      </c>
      <c r="AF20" s="57">
        <f>INDEX(barèmes!$D$2:$E$311,MATCH(AO20,barèmes!$D$2:$D$311,0),2)</f>
        <v>359.18</v>
      </c>
      <c r="AG20" s="57" t="s">
        <v>470</v>
      </c>
      <c r="AH20" s="56">
        <v>20151</v>
      </c>
      <c r="AI20" s="57">
        <f>INDEX(barèmes!$D$2:$E$311,MATCH(AP20,barèmes!$D$2:$D$311,0),2)</f>
        <v>367.94</v>
      </c>
      <c r="AJ20" s="57" t="s">
        <v>470</v>
      </c>
      <c r="AK20" s="56">
        <v>1</v>
      </c>
      <c r="AL20" s="56">
        <v>10</v>
      </c>
      <c r="AM20" s="36">
        <v>2015</v>
      </c>
      <c r="AN20" s="56">
        <v>2</v>
      </c>
      <c r="AO20" s="21" t="s">
        <v>328</v>
      </c>
      <c r="AP20" s="21" t="s">
        <v>333</v>
      </c>
      <c r="AQ20" s="52" t="str">
        <f t="shared" si="0"/>
        <v>Changement multiple - supprimer even Complémentaire - Scénario id 16</v>
      </c>
    </row>
    <row r="21" spans="1:43" x14ac:dyDescent="0.25">
      <c r="B21" s="50">
        <v>17</v>
      </c>
      <c r="C21" s="50" t="s">
        <v>346</v>
      </c>
      <c r="D21" s="56">
        <v>5</v>
      </c>
      <c r="E21" s="56"/>
      <c r="F21" s="54">
        <f t="shared" si="1"/>
        <v>41640</v>
      </c>
      <c r="G21" s="54" t="s">
        <v>424</v>
      </c>
      <c r="H21" s="56" t="s">
        <v>291</v>
      </c>
      <c r="I21" s="56" t="s">
        <v>93</v>
      </c>
      <c r="J21" s="55">
        <f>DATE($AM21-$AN21+1,$AL21,$AK21)</f>
        <v>42005</v>
      </c>
      <c r="K21" s="54" t="s">
        <v>425</v>
      </c>
      <c r="L21" s="56"/>
      <c r="M21" s="56"/>
      <c r="N21" s="55" t="s">
        <v>425</v>
      </c>
      <c r="O21" s="54"/>
      <c r="P21" s="56"/>
      <c r="Q21" s="56"/>
      <c r="R21" s="55"/>
      <c r="S21" s="54"/>
      <c r="T21" s="56"/>
      <c r="U21" s="56"/>
      <c r="V21" s="55"/>
      <c r="W21" s="55" t="s">
        <v>424</v>
      </c>
      <c r="X21" s="55" t="s">
        <v>291</v>
      </c>
      <c r="Y21" s="55" t="s">
        <v>93</v>
      </c>
      <c r="Z21" s="55">
        <f>DATE($AM21-$AN21+1,$AL21,$AK21)</f>
        <v>42005</v>
      </c>
      <c r="AA21" s="55"/>
      <c r="AB21" s="55"/>
      <c r="AC21" s="55"/>
      <c r="AD21" s="55"/>
      <c r="AE21" s="56">
        <v>20141</v>
      </c>
      <c r="AF21" s="57">
        <f>INDEX(barèmes!$D$2:$E$311,MATCH(AO21,barèmes!$D$2:$D$311,0),2)</f>
        <v>301.22000000000003</v>
      </c>
      <c r="AG21" s="57" t="s">
        <v>471</v>
      </c>
      <c r="AH21" s="56">
        <v>20151</v>
      </c>
      <c r="AI21" s="57">
        <f>INDEX(barèmes!$D$2:$E$311,MATCH(AP21,barèmes!$D$2:$D$311,0),2)</f>
        <v>308.55</v>
      </c>
      <c r="AJ21" s="57" t="s">
        <v>471</v>
      </c>
      <c r="AK21" s="56">
        <v>1</v>
      </c>
      <c r="AL21" s="56">
        <v>1</v>
      </c>
      <c r="AM21" s="36">
        <v>2015</v>
      </c>
      <c r="AN21" s="56">
        <v>1</v>
      </c>
      <c r="AO21" s="21" t="s">
        <v>320</v>
      </c>
      <c r="AP21" s="21" t="s">
        <v>321</v>
      </c>
      <c r="AQ21" s="52" t="str">
        <f t="shared" si="0"/>
        <v>Changement multiple - supprimer even Principal RED - Scénario id 17</v>
      </c>
    </row>
    <row r="22" spans="1:43" x14ac:dyDescent="0.25">
      <c r="B22" s="50">
        <v>18</v>
      </c>
      <c r="C22" s="50" t="s">
        <v>346</v>
      </c>
      <c r="D22" s="56">
        <v>1</v>
      </c>
      <c r="E22" s="56"/>
      <c r="F22" s="54">
        <f t="shared" si="1"/>
        <v>41091</v>
      </c>
      <c r="G22" s="54" t="s">
        <v>424</v>
      </c>
      <c r="H22" s="56" t="s">
        <v>294</v>
      </c>
      <c r="I22" s="56" t="s">
        <v>90</v>
      </c>
      <c r="J22" s="55">
        <f>DATE($AM22-$AN22+2,$AL22+6,$AK22)</f>
        <v>42005</v>
      </c>
      <c r="K22" s="54" t="s">
        <v>425</v>
      </c>
      <c r="L22" s="56"/>
      <c r="M22" s="56"/>
      <c r="N22" s="55" t="s">
        <v>425</v>
      </c>
      <c r="O22" s="54"/>
      <c r="P22" s="56"/>
      <c r="Q22" s="56"/>
      <c r="R22" s="55"/>
      <c r="S22" s="54"/>
      <c r="T22" s="56"/>
      <c r="U22" s="56"/>
      <c r="V22" s="55"/>
      <c r="W22" s="55" t="s">
        <v>424</v>
      </c>
      <c r="X22" s="55" t="s">
        <v>467</v>
      </c>
      <c r="Y22" s="55" t="s">
        <v>90</v>
      </c>
      <c r="Z22" s="55">
        <f>DATE($AM22-$AN22+2,$AL22+6,$AK22)</f>
        <v>42005</v>
      </c>
      <c r="AA22" s="55"/>
      <c r="AB22" s="55"/>
      <c r="AC22" s="55"/>
      <c r="AD22" s="55"/>
      <c r="AE22" s="56">
        <v>20131</v>
      </c>
      <c r="AF22" s="57">
        <f>INDEX(barèmes!$D$2:$E$311,MATCH(AO22,barèmes!$D$2:$D$311,0),2)</f>
        <v>683.22</v>
      </c>
      <c r="AG22" s="57" t="s">
        <v>470</v>
      </c>
      <c r="AH22" s="56">
        <v>20151</v>
      </c>
      <c r="AI22" s="57">
        <f>INDEX(barèmes!$D$2:$E$311,MATCH(AP22,barèmes!$D$2:$D$311,0),2)</f>
        <v>719.12</v>
      </c>
      <c r="AJ22" s="57" t="s">
        <v>470</v>
      </c>
      <c r="AK22" s="56">
        <v>1</v>
      </c>
      <c r="AL22" s="56">
        <v>7</v>
      </c>
      <c r="AM22" s="36">
        <v>2015</v>
      </c>
      <c r="AN22" s="56">
        <v>3</v>
      </c>
      <c r="AO22" s="21" t="s">
        <v>338</v>
      </c>
      <c r="AP22" s="21" t="s">
        <v>304</v>
      </c>
      <c r="AQ22" s="52" t="str">
        <f t="shared" si="0"/>
        <v>Changement multiple - supprimer even Maxi statut EXO - Scénario id 18</v>
      </c>
    </row>
    <row r="23" spans="1:43" x14ac:dyDescent="0.25">
      <c r="B23" s="50">
        <v>19</v>
      </c>
      <c r="C23" s="50" t="s">
        <v>346</v>
      </c>
      <c r="D23" s="56">
        <v>1</v>
      </c>
      <c r="E23" s="56"/>
      <c r="F23" s="54">
        <f t="shared" si="1"/>
        <v>41275</v>
      </c>
      <c r="G23" s="54" t="s">
        <v>424</v>
      </c>
      <c r="H23" s="56" t="s">
        <v>293</v>
      </c>
      <c r="I23" s="56" t="s">
        <v>425</v>
      </c>
      <c r="J23" s="55">
        <f>DATE($AM23-$AN23+1,$AL23+6,$AK23)</f>
        <v>41821</v>
      </c>
      <c r="K23" s="54" t="s">
        <v>425</v>
      </c>
      <c r="L23" s="56"/>
      <c r="M23" s="56"/>
      <c r="N23" s="55" t="s">
        <v>425</v>
      </c>
      <c r="O23" s="54"/>
      <c r="P23" s="56"/>
      <c r="Q23" s="56"/>
      <c r="R23" s="55"/>
      <c r="S23" s="54"/>
      <c r="T23" s="56"/>
      <c r="U23" s="56"/>
      <c r="V23" s="55"/>
      <c r="W23" s="55" t="s">
        <v>424</v>
      </c>
      <c r="X23" s="55" t="s">
        <v>293</v>
      </c>
      <c r="Y23" s="55"/>
      <c r="Z23" s="55">
        <f>DATE($AM23-$AN23+1,$AL23+6,$AK23)</f>
        <v>41821</v>
      </c>
      <c r="AA23" s="55"/>
      <c r="AB23" s="55"/>
      <c r="AC23" s="55"/>
      <c r="AD23" s="55"/>
      <c r="AE23" s="56">
        <v>20143</v>
      </c>
      <c r="AF23" s="57">
        <f>INDEX(barèmes!$D$2:$E$311,MATCH(AO23,barèmes!$D$2:$D$311,0),2)</f>
        <v>702.39</v>
      </c>
      <c r="AG23" s="57" t="s">
        <v>470</v>
      </c>
      <c r="AH23" s="56">
        <v>20151</v>
      </c>
      <c r="AI23" s="57">
        <f>INDEX(barèmes!$D$2:$E$311,MATCH(AP23,barèmes!$D$2:$D$311,0),2)</f>
        <v>719.12</v>
      </c>
      <c r="AJ23" s="57" t="s">
        <v>470</v>
      </c>
      <c r="AK23" s="56">
        <v>1</v>
      </c>
      <c r="AL23" s="56">
        <v>1</v>
      </c>
      <c r="AM23" s="36">
        <v>2015</v>
      </c>
      <c r="AN23" s="56">
        <v>2</v>
      </c>
      <c r="AO23" s="21" t="s">
        <v>312</v>
      </c>
      <c r="AP23" s="21" t="s">
        <v>304</v>
      </c>
      <c r="AQ23" s="52" t="str">
        <f t="shared" si="0"/>
        <v>Changement multiple - supprimer even Complémentaire - Scénario id 19</v>
      </c>
    </row>
    <row r="24" spans="1:43" x14ac:dyDescent="0.25">
      <c r="B24" s="50">
        <v>20</v>
      </c>
      <c r="C24" s="50" t="s">
        <v>346</v>
      </c>
      <c r="D24" s="56">
        <v>1</v>
      </c>
      <c r="E24" s="56"/>
      <c r="F24" s="54">
        <f t="shared" si="1"/>
        <v>41640</v>
      </c>
      <c r="G24" s="54" t="s">
        <v>424</v>
      </c>
      <c r="H24" s="56" t="s">
        <v>294</v>
      </c>
      <c r="I24" s="56"/>
      <c r="J24" s="55">
        <f>DATE($AM24-$AN24+1,$AL24+6,$AK24)</f>
        <v>42186</v>
      </c>
      <c r="K24" s="54"/>
      <c r="L24" s="56"/>
      <c r="M24" s="56"/>
      <c r="N24" s="55"/>
      <c r="O24" s="54"/>
      <c r="P24" s="56"/>
      <c r="Q24" s="56"/>
      <c r="R24" s="55"/>
      <c r="S24" s="54"/>
      <c r="T24" s="56"/>
      <c r="U24" s="56"/>
      <c r="V24" s="55"/>
      <c r="W24" s="55" t="s">
        <v>424</v>
      </c>
      <c r="X24" s="55" t="s">
        <v>468</v>
      </c>
      <c r="Y24" s="55"/>
      <c r="Z24" s="55">
        <f>DATE($AM24-$AN24+1,$AL24+6,$AK24)</f>
        <v>42186</v>
      </c>
      <c r="AA24" s="55"/>
      <c r="AB24" s="55"/>
      <c r="AC24" s="55"/>
      <c r="AD24" s="55"/>
      <c r="AE24" s="56">
        <v>20141</v>
      </c>
      <c r="AF24" s="57">
        <f>INDEX(barèmes!$D$2:$E$311,MATCH(AO24,barèmes!$D$2:$D$311,0),2)</f>
        <v>685.66</v>
      </c>
      <c r="AG24" s="57" t="s">
        <v>470</v>
      </c>
      <c r="AH24" s="56">
        <v>20153</v>
      </c>
      <c r="AI24" s="57">
        <f>INDEX(barèmes!$D$2:$E$311,MATCH(AP24,barèmes!$D$2:$D$311,0),2)</f>
        <v>702.39</v>
      </c>
      <c r="AJ24" s="57" t="s">
        <v>470</v>
      </c>
      <c r="AK24" s="56">
        <v>1</v>
      </c>
      <c r="AL24" s="56">
        <v>1</v>
      </c>
      <c r="AM24" s="36">
        <v>2015</v>
      </c>
      <c r="AN24" s="56">
        <v>1</v>
      </c>
      <c r="AO24" s="21" t="s">
        <v>322</v>
      </c>
      <c r="AP24" s="21" t="s">
        <v>331</v>
      </c>
      <c r="AQ24" s="52" t="str">
        <f t="shared" si="0"/>
        <v>Changement multiple - supprimer even Conjoint aidant maxi - Scénario id 20</v>
      </c>
    </row>
    <row r="25" spans="1:43" x14ac:dyDescent="0.25">
      <c r="A25" s="51" t="s">
        <v>465</v>
      </c>
      <c r="B25" s="51" t="s">
        <v>399</v>
      </c>
      <c r="C25" s="51" t="s">
        <v>347</v>
      </c>
      <c r="D25" s="51" t="s">
        <v>342</v>
      </c>
      <c r="E25" s="51" t="s">
        <v>285</v>
      </c>
      <c r="F25" s="53" t="s">
        <v>296</v>
      </c>
      <c r="G25" s="53" t="s">
        <v>405</v>
      </c>
      <c r="H25" s="51" t="s">
        <v>342</v>
      </c>
      <c r="I25" s="51" t="s">
        <v>406</v>
      </c>
      <c r="J25" s="53" t="s">
        <v>296</v>
      </c>
      <c r="K25" s="53" t="s">
        <v>348</v>
      </c>
      <c r="L25" s="51" t="s">
        <v>343</v>
      </c>
      <c r="M25" s="51" t="s">
        <v>299</v>
      </c>
      <c r="N25" s="53" t="s">
        <v>297</v>
      </c>
      <c r="O25" s="53" t="s">
        <v>352</v>
      </c>
      <c r="P25" s="51" t="s">
        <v>353</v>
      </c>
      <c r="Q25" s="51" t="s">
        <v>354</v>
      </c>
      <c r="R25" s="51" t="s">
        <v>383</v>
      </c>
      <c r="S25" s="53" t="s">
        <v>415</v>
      </c>
      <c r="T25" s="51" t="s">
        <v>416</v>
      </c>
      <c r="U25" s="51" t="s">
        <v>417</v>
      </c>
      <c r="V25" s="51" t="s">
        <v>418</v>
      </c>
      <c r="W25" s="53" t="s">
        <v>415</v>
      </c>
      <c r="X25" s="51" t="s">
        <v>416</v>
      </c>
      <c r="Y25" s="51" t="s">
        <v>417</v>
      </c>
      <c r="Z25" s="53" t="s">
        <v>418</v>
      </c>
      <c r="AA25" s="53" t="s">
        <v>419</v>
      </c>
      <c r="AB25" s="51" t="s">
        <v>420</v>
      </c>
      <c r="AC25" s="51" t="s">
        <v>421</v>
      </c>
      <c r="AD25" s="53" t="s">
        <v>422</v>
      </c>
      <c r="AE25" s="19" t="s">
        <v>305</v>
      </c>
      <c r="AF25" s="15" t="s">
        <v>306</v>
      </c>
      <c r="AG25" s="15" t="s">
        <v>423</v>
      </c>
      <c r="AH25" s="19" t="s">
        <v>307</v>
      </c>
      <c r="AI25" s="15" t="s">
        <v>308</v>
      </c>
      <c r="AJ25" s="15" t="s">
        <v>423</v>
      </c>
      <c r="AK25" s="51" t="s">
        <v>287</v>
      </c>
      <c r="AL25" s="19" t="s">
        <v>288</v>
      </c>
      <c r="AM25" s="51" t="s">
        <v>289</v>
      </c>
      <c r="AN25" s="19" t="s">
        <v>295</v>
      </c>
      <c r="AO25" s="21" t="s">
        <v>309</v>
      </c>
      <c r="AP25" s="21" t="s">
        <v>310</v>
      </c>
      <c r="AQ25" s="50" t="s">
        <v>457</v>
      </c>
    </row>
    <row r="26" spans="1:43" x14ac:dyDescent="0.25">
      <c r="B26" s="50">
        <v>1</v>
      </c>
      <c r="C26" s="50" t="s">
        <v>346</v>
      </c>
      <c r="D26" s="56">
        <v>1</v>
      </c>
      <c r="E26" s="56" t="s">
        <v>425</v>
      </c>
      <c r="F26" s="54">
        <f t="shared" si="1"/>
        <v>41821</v>
      </c>
      <c r="G26" s="54" t="s">
        <v>424</v>
      </c>
      <c r="H26" s="56" t="s">
        <v>294</v>
      </c>
      <c r="I26" s="56"/>
      <c r="J26" s="55">
        <f>DATE($AM26-$AN26,$AL26+6,$AK26)</f>
        <v>42005</v>
      </c>
      <c r="K26" s="54"/>
      <c r="L26" s="56"/>
      <c r="M26" s="56"/>
      <c r="N26" s="55"/>
      <c r="O26" s="54"/>
      <c r="P26" s="56"/>
      <c r="Q26" s="56"/>
      <c r="R26" s="55"/>
      <c r="S26" s="54"/>
      <c r="T26" s="56"/>
      <c r="U26" s="56"/>
      <c r="V26" s="55"/>
      <c r="W26" s="55" t="s">
        <v>424</v>
      </c>
      <c r="X26" s="55" t="s">
        <v>468</v>
      </c>
      <c r="Y26" s="55"/>
      <c r="Z26" s="55">
        <f>DATE($AM26-$AN26,$AL26+6,$AK26)</f>
        <v>42005</v>
      </c>
      <c r="AA26" s="55"/>
      <c r="AB26" s="55"/>
      <c r="AC26" s="55"/>
      <c r="AD26" s="55"/>
      <c r="AE26" s="56">
        <v>20143</v>
      </c>
      <c r="AF26" s="57">
        <f>INDEX(barèmes!$D$2:$E$311,MATCH(AO26,barèmes!$D$2:$D$311,0),2)</f>
        <v>685.66</v>
      </c>
      <c r="AG26" s="57" t="s">
        <v>470</v>
      </c>
      <c r="AH26" s="56">
        <v>20151</v>
      </c>
      <c r="AI26" s="57">
        <f>INDEX(barèmes!$D$2:$E$311,MATCH(AP26,barèmes!$D$2:$D$311,0),2)</f>
        <v>685.66</v>
      </c>
      <c r="AJ26" s="57" t="s">
        <v>470</v>
      </c>
      <c r="AK26" s="56">
        <v>1</v>
      </c>
      <c r="AL26" s="56">
        <v>7</v>
      </c>
      <c r="AM26" s="36">
        <v>2015</v>
      </c>
      <c r="AN26" s="56">
        <v>1</v>
      </c>
      <c r="AO26" s="21" t="s">
        <v>322</v>
      </c>
      <c r="AP26" s="21" t="s">
        <v>332</v>
      </c>
      <c r="AQ26" s="52" t="str">
        <f t="shared" si="0"/>
        <v>Changement multiple - supprimer even Conjoint aidant maxi - Scénario id 1</v>
      </c>
    </row>
    <row r="27" spans="1:43" x14ac:dyDescent="0.25">
      <c r="B27" s="50">
        <v>2</v>
      </c>
      <c r="C27" s="50" t="s">
        <v>346</v>
      </c>
      <c r="D27" s="56">
        <v>4</v>
      </c>
      <c r="E27" s="56"/>
      <c r="F27" s="54">
        <f t="shared" si="1"/>
        <v>41548</v>
      </c>
      <c r="G27" s="54" t="s">
        <v>424</v>
      </c>
      <c r="H27" s="56" t="s">
        <v>294</v>
      </c>
      <c r="I27" s="56"/>
      <c r="J27" s="55">
        <f>DATE($AM27-$AN27,$AL27+9,$AK27)</f>
        <v>41821</v>
      </c>
      <c r="K27" s="54"/>
      <c r="L27" s="56"/>
      <c r="M27" s="56"/>
      <c r="N27" s="55"/>
      <c r="O27" s="54"/>
      <c r="P27" s="56"/>
      <c r="Q27" s="56"/>
      <c r="R27" s="55"/>
      <c r="S27" s="54"/>
      <c r="T27" s="56"/>
      <c r="U27" s="56"/>
      <c r="V27" s="55"/>
      <c r="W27" s="55" t="s">
        <v>424</v>
      </c>
      <c r="X27" s="55" t="s">
        <v>468</v>
      </c>
      <c r="Y27" s="55"/>
      <c r="Z27" s="55">
        <f>DATE($AM27-$AN27,$AL27+9,$AK27)</f>
        <v>41821</v>
      </c>
      <c r="AA27" s="55"/>
      <c r="AB27" s="55"/>
      <c r="AC27" s="55"/>
      <c r="AD27" s="55"/>
      <c r="AE27" s="56">
        <v>20143</v>
      </c>
      <c r="AF27" s="57">
        <f>INDEX(barèmes!$D$2:$E$311,MATCH(AO27,barèmes!$D$2:$D$311,0),2)</f>
        <v>75.849999999999994</v>
      </c>
      <c r="AG27" s="57" t="s">
        <v>469</v>
      </c>
      <c r="AH27" s="56">
        <v>20151</v>
      </c>
      <c r="AI27" s="57">
        <f>INDEX(barèmes!$D$2:$E$311,MATCH(AP27,barèmes!$D$2:$D$311,0),2)</f>
        <v>77.7</v>
      </c>
      <c r="AJ27" s="57" t="s">
        <v>469</v>
      </c>
      <c r="AK27" s="56">
        <v>1</v>
      </c>
      <c r="AL27" s="56">
        <v>10</v>
      </c>
      <c r="AM27" s="36">
        <v>2015</v>
      </c>
      <c r="AN27" s="56">
        <v>2</v>
      </c>
      <c r="AO27" s="21" t="s">
        <v>314</v>
      </c>
      <c r="AP27" s="21" t="s">
        <v>315</v>
      </c>
      <c r="AQ27" s="52" t="str">
        <f t="shared" si="0"/>
        <v>Changement multiple - supprimer even Conjoint aidant maxi - Scénario id 2</v>
      </c>
    </row>
    <row r="28" spans="1:43" x14ac:dyDescent="0.25">
      <c r="B28" s="50">
        <v>3</v>
      </c>
      <c r="C28" s="50" t="s">
        <v>346</v>
      </c>
      <c r="D28" s="56">
        <v>4</v>
      </c>
      <c r="E28" s="56" t="s">
        <v>425</v>
      </c>
      <c r="F28" s="54">
        <f t="shared" si="1"/>
        <v>41275</v>
      </c>
      <c r="G28" s="54" t="s">
        <v>424</v>
      </c>
      <c r="H28" s="56" t="s">
        <v>291</v>
      </c>
      <c r="I28" s="56"/>
      <c r="J28" s="55">
        <f>DATE($AM28-$AN28+2,$AL28+3,$AK28)</f>
        <v>42095</v>
      </c>
      <c r="K28" s="54"/>
      <c r="L28" s="56"/>
      <c r="M28" s="56"/>
      <c r="N28" s="55"/>
      <c r="O28" s="54"/>
      <c r="P28" s="56"/>
      <c r="Q28" s="56"/>
      <c r="R28" s="55"/>
      <c r="S28" s="54"/>
      <c r="T28" s="56"/>
      <c r="U28" s="56"/>
      <c r="V28" s="55"/>
      <c r="W28" s="55" t="s">
        <v>424</v>
      </c>
      <c r="X28" s="55" t="s">
        <v>291</v>
      </c>
      <c r="Y28" s="55"/>
      <c r="Z28" s="55">
        <f>DATE($AM28-$AN28+2,$AL28+3,$AK28)</f>
        <v>42095</v>
      </c>
      <c r="AA28" s="55"/>
      <c r="AB28" s="55"/>
      <c r="AC28" s="55"/>
      <c r="AD28" s="55"/>
      <c r="AE28" s="56">
        <v>20141</v>
      </c>
      <c r="AF28" s="57">
        <f>INDEX(barèmes!$D$2:$E$311,MATCH(AO28,barèmes!$D$2:$D$311,0),2)</f>
        <v>77.7</v>
      </c>
      <c r="AG28" s="57" t="s">
        <v>469</v>
      </c>
      <c r="AH28" s="56">
        <v>20153</v>
      </c>
      <c r="AI28" s="57">
        <f>INDEX(barèmes!$D$2:$E$311,MATCH(AP28,barèmes!$D$2:$D$311,0),2)</f>
        <v>79.55</v>
      </c>
      <c r="AJ28" s="57" t="s">
        <v>469</v>
      </c>
      <c r="AK28" s="56">
        <v>1</v>
      </c>
      <c r="AL28" s="56">
        <v>1</v>
      </c>
      <c r="AM28" s="36">
        <v>2015</v>
      </c>
      <c r="AN28" s="56">
        <v>2</v>
      </c>
      <c r="AO28" s="21" t="s">
        <v>330</v>
      </c>
      <c r="AP28" s="21" t="s">
        <v>316</v>
      </c>
      <c r="AQ28" s="52" t="str">
        <f t="shared" si="0"/>
        <v>Changement multiple - supprimer even Principal - Scénario id 3</v>
      </c>
    </row>
    <row r="29" spans="1:43" x14ac:dyDescent="0.25">
      <c r="B29" s="50">
        <v>4</v>
      </c>
      <c r="C29" s="50" t="s">
        <v>346</v>
      </c>
      <c r="D29" s="56">
        <v>4</v>
      </c>
      <c r="E29" s="56"/>
      <c r="F29" s="54">
        <f t="shared" si="1"/>
        <v>41821</v>
      </c>
      <c r="G29" s="54" t="s">
        <v>424</v>
      </c>
      <c r="H29" s="56" t="s">
        <v>291</v>
      </c>
      <c r="I29" s="56" t="s">
        <v>425</v>
      </c>
      <c r="J29" s="55">
        <f>DATE($AM29-$AN29,$AL29+6,$AK29)</f>
        <v>42005</v>
      </c>
      <c r="K29" s="54" t="s">
        <v>425</v>
      </c>
      <c r="L29" s="56"/>
      <c r="M29" s="56"/>
      <c r="N29" s="55" t="s">
        <v>425</v>
      </c>
      <c r="O29" s="54"/>
      <c r="P29" s="56"/>
      <c r="Q29" s="56"/>
      <c r="R29" s="55"/>
      <c r="S29" s="54"/>
      <c r="T29" s="56"/>
      <c r="U29" s="56"/>
      <c r="V29" s="55"/>
      <c r="W29" s="55" t="s">
        <v>424</v>
      </c>
      <c r="X29" s="55" t="s">
        <v>291</v>
      </c>
      <c r="Y29" s="55"/>
      <c r="Z29" s="55">
        <f>DATE($AM29-$AN29,$AL29+6,$AK29)</f>
        <v>42005</v>
      </c>
      <c r="AA29" s="55"/>
      <c r="AB29" s="55"/>
      <c r="AC29" s="55"/>
      <c r="AD29" s="55"/>
      <c r="AE29" s="56">
        <v>20144</v>
      </c>
      <c r="AF29" s="57">
        <f>INDEX(barèmes!$D$2:$E$311,MATCH(AO29,barèmes!$D$2:$D$311,0),2)</f>
        <v>75.849999999999994</v>
      </c>
      <c r="AG29" s="57" t="s">
        <v>469</v>
      </c>
      <c r="AH29" s="56">
        <v>20152</v>
      </c>
      <c r="AI29" s="57">
        <f>INDEX(barèmes!$D$2:$E$311,MATCH(AP29,barèmes!$D$2:$D$311,0),2)</f>
        <v>75.849999999999994</v>
      </c>
      <c r="AJ29" s="57" t="s">
        <v>469</v>
      </c>
      <c r="AK29" s="56">
        <v>1</v>
      </c>
      <c r="AL29" s="56">
        <v>7</v>
      </c>
      <c r="AM29" s="36">
        <v>2015</v>
      </c>
      <c r="AN29" s="56">
        <v>1</v>
      </c>
      <c r="AO29" s="21" t="s">
        <v>314</v>
      </c>
      <c r="AP29" s="21" t="s">
        <v>313</v>
      </c>
      <c r="AQ29" s="52" t="str">
        <f t="shared" si="0"/>
        <v>Changement multiple - supprimer even Principal - Scénario id 4</v>
      </c>
    </row>
    <row r="30" spans="1:43" x14ac:dyDescent="0.25">
      <c r="B30" s="50">
        <v>5</v>
      </c>
      <c r="C30" s="50" t="s">
        <v>346</v>
      </c>
      <c r="D30" s="56">
        <v>5</v>
      </c>
      <c r="E30" s="56" t="s">
        <v>425</v>
      </c>
      <c r="F30" s="54">
        <f t="shared" si="1"/>
        <v>41275</v>
      </c>
      <c r="G30" s="54" t="s">
        <v>424</v>
      </c>
      <c r="H30" s="56" t="s">
        <v>291</v>
      </c>
      <c r="I30" s="56"/>
      <c r="J30" s="55">
        <f>DATE($AM30-$AN30+2,$AL30,$AK30)</f>
        <v>42005</v>
      </c>
      <c r="K30" s="54" t="s">
        <v>425</v>
      </c>
      <c r="L30" s="56"/>
      <c r="M30" s="56"/>
      <c r="N30" s="55" t="s">
        <v>425</v>
      </c>
      <c r="O30" s="54"/>
      <c r="P30" s="56"/>
      <c r="Q30" s="56"/>
      <c r="R30" s="55"/>
      <c r="S30" s="54"/>
      <c r="T30" s="56"/>
      <c r="U30" s="56"/>
      <c r="V30" s="55"/>
      <c r="W30" s="55" t="s">
        <v>424</v>
      </c>
      <c r="X30" s="55" t="s">
        <v>291</v>
      </c>
      <c r="Y30" s="55"/>
      <c r="Z30" s="55">
        <f>DATE($AM30-$AN30+2,$AL30,$AK30)</f>
        <v>42005</v>
      </c>
      <c r="AA30" s="55"/>
      <c r="AB30" s="55"/>
      <c r="AC30" s="55"/>
      <c r="AD30" s="55"/>
      <c r="AE30" s="56">
        <v>20141</v>
      </c>
      <c r="AF30" s="57">
        <f>INDEX(barèmes!$D$2:$E$311,MATCH(AO30,barèmes!$D$2:$D$311,0),2)</f>
        <v>308.55</v>
      </c>
      <c r="AG30" s="57" t="s">
        <v>471</v>
      </c>
      <c r="AH30" s="56">
        <v>20151</v>
      </c>
      <c r="AI30" s="57">
        <f>INDEX(barèmes!$D$2:$E$311,MATCH(AP30,barèmes!$D$2:$D$311,0),2)</f>
        <v>315.89999999999998</v>
      </c>
      <c r="AJ30" s="57" t="s">
        <v>471</v>
      </c>
      <c r="AK30" s="56">
        <v>1</v>
      </c>
      <c r="AL30" s="56">
        <v>1</v>
      </c>
      <c r="AM30" s="36">
        <v>2015</v>
      </c>
      <c r="AN30" s="56">
        <v>2</v>
      </c>
      <c r="AO30" s="21" t="s">
        <v>323</v>
      </c>
      <c r="AP30" s="21" t="s">
        <v>319</v>
      </c>
      <c r="AQ30" s="52" t="str">
        <f t="shared" si="0"/>
        <v>Changement multiple - supprimer even Principal - Scénario id 5</v>
      </c>
    </row>
    <row r="31" spans="1:43" x14ac:dyDescent="0.25">
      <c r="B31" s="50">
        <v>6</v>
      </c>
      <c r="C31" s="50" t="s">
        <v>346</v>
      </c>
      <c r="D31" s="56">
        <v>5</v>
      </c>
      <c r="E31" s="56"/>
      <c r="F31" s="54">
        <f t="shared" si="1"/>
        <v>41548</v>
      </c>
      <c r="G31" s="54" t="s">
        <v>424</v>
      </c>
      <c r="H31" s="56" t="s">
        <v>291</v>
      </c>
      <c r="I31" s="56"/>
      <c r="J31" s="55">
        <f>DATE($AM31-$AN31,$AL31+9,$AK31)</f>
        <v>41821</v>
      </c>
      <c r="K31" s="55"/>
      <c r="L31" s="55"/>
      <c r="M31" s="55"/>
      <c r="N31" s="55"/>
      <c r="O31" s="54"/>
      <c r="P31" s="56"/>
      <c r="Q31" s="56"/>
      <c r="R31" s="55"/>
      <c r="S31" s="55"/>
      <c r="T31" s="55"/>
      <c r="U31" s="55"/>
      <c r="V31" s="55"/>
      <c r="W31" s="55" t="s">
        <v>424</v>
      </c>
      <c r="X31" s="55" t="s">
        <v>291</v>
      </c>
      <c r="Y31" s="55"/>
      <c r="Z31" s="55">
        <f>DATE($AM31-$AN31,$AL31+9,$AK31)</f>
        <v>41821</v>
      </c>
      <c r="AA31" s="55"/>
      <c r="AB31" s="55"/>
      <c r="AC31" s="55"/>
      <c r="AD31" s="55"/>
      <c r="AE31" s="56">
        <v>20143</v>
      </c>
      <c r="AF31" s="57">
        <f>INDEX(barèmes!$D$2:$E$311,MATCH(AO31,barèmes!$D$2:$D$311,0),2)</f>
        <v>301.22000000000003</v>
      </c>
      <c r="AG31" s="57" t="s">
        <v>471</v>
      </c>
      <c r="AH31" s="56">
        <v>20151</v>
      </c>
      <c r="AI31" s="57">
        <f>INDEX(barèmes!$D$2:$E$311,MATCH(AP31,barèmes!$D$2:$D$311,0),2)</f>
        <v>308.55</v>
      </c>
      <c r="AJ31" s="57" t="s">
        <v>471</v>
      </c>
      <c r="AK31" s="56">
        <v>1</v>
      </c>
      <c r="AL31" s="56">
        <v>10</v>
      </c>
      <c r="AM31" s="36">
        <v>2015</v>
      </c>
      <c r="AN31" s="56">
        <v>2</v>
      </c>
      <c r="AO31" s="21" t="s">
        <v>320</v>
      </c>
      <c r="AP31" s="21" t="s">
        <v>321</v>
      </c>
      <c r="AQ31" s="52" t="str">
        <f t="shared" si="0"/>
        <v>Changement multiple - supprimer even Principal - Scénario id 6</v>
      </c>
    </row>
    <row r="32" spans="1:43" x14ac:dyDescent="0.25">
      <c r="B32" s="50">
        <v>7</v>
      </c>
      <c r="C32" s="50" t="s">
        <v>346</v>
      </c>
      <c r="D32" s="56">
        <v>5</v>
      </c>
      <c r="E32" s="56"/>
      <c r="F32" s="54">
        <f t="shared" si="1"/>
        <v>41913</v>
      </c>
      <c r="G32" s="54" t="s">
        <v>424</v>
      </c>
      <c r="H32" s="56" t="s">
        <v>293</v>
      </c>
      <c r="I32" s="56"/>
      <c r="J32" s="55">
        <f>DATE($AM32-$AN32,$AL32+6,$AK32)</f>
        <v>42095</v>
      </c>
      <c r="K32" s="55"/>
      <c r="L32" s="55"/>
      <c r="M32" s="55"/>
      <c r="N32" s="55"/>
      <c r="O32" s="54"/>
      <c r="P32" s="56"/>
      <c r="Q32" s="56"/>
      <c r="R32" s="55"/>
      <c r="S32" s="55"/>
      <c r="T32" s="55"/>
      <c r="U32" s="55"/>
      <c r="V32" s="55"/>
      <c r="W32" s="55" t="s">
        <v>424</v>
      </c>
      <c r="X32" s="55" t="s">
        <v>293</v>
      </c>
      <c r="Y32" s="55"/>
      <c r="Z32" s="55">
        <f>DATE($AM32-$AN32,$AL32+6,$AK32)</f>
        <v>42095</v>
      </c>
      <c r="AA32" s="55"/>
      <c r="AB32" s="55"/>
      <c r="AC32" s="55"/>
      <c r="AD32" s="55"/>
      <c r="AE32" s="56">
        <v>20144</v>
      </c>
      <c r="AF32" s="57">
        <f>INDEX(barèmes!$D$2:$E$311,MATCH(AO32,barèmes!$D$2:$D$311,0),2)</f>
        <v>301.22000000000003</v>
      </c>
      <c r="AG32" s="57" t="s">
        <v>471</v>
      </c>
      <c r="AH32" s="56">
        <v>20152</v>
      </c>
      <c r="AI32" s="57">
        <f>INDEX(barèmes!$D$2:$E$311,MATCH(AP32,barèmes!$D$2:$D$311,0),2)</f>
        <v>301.22000000000003</v>
      </c>
      <c r="AJ32" s="57" t="s">
        <v>471</v>
      </c>
      <c r="AK32" s="56">
        <v>1</v>
      </c>
      <c r="AL32" s="56">
        <v>10</v>
      </c>
      <c r="AM32" s="36">
        <v>2015</v>
      </c>
      <c r="AN32" s="56">
        <v>1</v>
      </c>
      <c r="AO32" s="21" t="s">
        <v>320</v>
      </c>
      <c r="AP32" s="21" t="s">
        <v>318</v>
      </c>
      <c r="AQ32" s="52" t="str">
        <f t="shared" si="0"/>
        <v>Changement multiple - supprimer even Complémentaire - Scénario id 7</v>
      </c>
    </row>
    <row r="33" spans="1:43" x14ac:dyDescent="0.25">
      <c r="B33" s="50">
        <v>8</v>
      </c>
      <c r="C33" s="50" t="s">
        <v>346</v>
      </c>
      <c r="D33" s="56">
        <v>1</v>
      </c>
      <c r="E33" s="56"/>
      <c r="F33" s="54">
        <f t="shared" si="1"/>
        <v>41275</v>
      </c>
      <c r="G33" s="54" t="s">
        <v>424</v>
      </c>
      <c r="H33" s="56" t="s">
        <v>294</v>
      </c>
      <c r="I33" s="56"/>
      <c r="J33" s="55">
        <f>DATE($AM33-$AN33+1,$AL33,$AK33)</f>
        <v>41640</v>
      </c>
      <c r="K33" s="55" t="s">
        <v>424</v>
      </c>
      <c r="L33" s="55" t="s">
        <v>293</v>
      </c>
      <c r="M33" s="55"/>
      <c r="N33" s="55">
        <f>DATE($AM33-$AN33+2,$AL33,$AK33)</f>
        <v>42005</v>
      </c>
      <c r="O33" s="54"/>
      <c r="P33" s="56"/>
      <c r="Q33" s="56"/>
      <c r="R33" s="55"/>
      <c r="S33" s="55"/>
      <c r="T33" s="55"/>
      <c r="U33" s="55"/>
      <c r="V33" s="55"/>
      <c r="W33" s="55" t="s">
        <v>424</v>
      </c>
      <c r="X33" s="55" t="s">
        <v>468</v>
      </c>
      <c r="Y33" s="55"/>
      <c r="Z33" s="55">
        <f>DATE($AM33-$AN33+1,$AL33,$AK33)</f>
        <v>41640</v>
      </c>
      <c r="AA33" s="55"/>
      <c r="AB33" s="55"/>
      <c r="AC33" s="55"/>
      <c r="AD33" s="55"/>
      <c r="AE33" s="56">
        <v>20141</v>
      </c>
      <c r="AF33" s="57">
        <f>INDEX(barèmes!$D$2:$E$311,MATCH(AO33,barèmes!$D$2:$D$311,0),2)</f>
        <v>702.39</v>
      </c>
      <c r="AG33" s="57" t="s">
        <v>470</v>
      </c>
      <c r="AH33" s="56">
        <v>20151</v>
      </c>
      <c r="AI33" s="57">
        <f>INDEX(barèmes!$D$2:$E$311,MATCH(AP33,barèmes!$D$2:$D$311,0),2)</f>
        <v>79.55</v>
      </c>
      <c r="AJ33" s="57" t="s">
        <v>469</v>
      </c>
      <c r="AK33" s="56">
        <v>1</v>
      </c>
      <c r="AL33" s="56">
        <v>1</v>
      </c>
      <c r="AM33" s="36">
        <v>2015</v>
      </c>
      <c r="AN33" s="56">
        <v>2</v>
      </c>
      <c r="AO33" s="21" t="s">
        <v>312</v>
      </c>
      <c r="AP33" s="21" t="s">
        <v>316</v>
      </c>
      <c r="AQ33" s="52" t="str">
        <f t="shared" si="0"/>
        <v>Changement multiple - supprimer even Conjoint aidant maxi - Scénario id 8</v>
      </c>
    </row>
    <row r="34" spans="1:43" x14ac:dyDescent="0.25">
      <c r="B34" s="50">
        <v>9</v>
      </c>
      <c r="C34" s="50" t="s">
        <v>346</v>
      </c>
      <c r="D34" s="56">
        <v>4</v>
      </c>
      <c r="E34" s="56"/>
      <c r="F34" s="54">
        <f t="shared" si="1"/>
        <v>41275</v>
      </c>
      <c r="G34" s="54" t="s">
        <v>424</v>
      </c>
      <c r="H34" s="56" t="s">
        <v>294</v>
      </c>
      <c r="I34" s="56" t="s">
        <v>425</v>
      </c>
      <c r="J34" s="55">
        <f>DATE($AM34-$AN34+1,$AL34,$AK34)</f>
        <v>41640</v>
      </c>
      <c r="K34" s="55" t="s">
        <v>424</v>
      </c>
      <c r="L34" s="55" t="s">
        <v>291</v>
      </c>
      <c r="M34" s="55"/>
      <c r="N34" s="55">
        <f>DATE($AM34-$AN34+2,$AL34,$AK34)</f>
        <v>42005</v>
      </c>
      <c r="O34" s="54"/>
      <c r="P34" s="56"/>
      <c r="Q34" s="56"/>
      <c r="R34" s="55"/>
      <c r="S34" s="55"/>
      <c r="T34" s="55"/>
      <c r="U34" s="55"/>
      <c r="V34" s="55"/>
      <c r="W34" s="55" t="s">
        <v>424</v>
      </c>
      <c r="X34" s="55" t="s">
        <v>468</v>
      </c>
      <c r="Y34" s="55"/>
      <c r="Z34" s="55">
        <f>DATE($AM34-$AN34+1,$AL34,$AK34)</f>
        <v>41640</v>
      </c>
      <c r="AA34" s="55"/>
      <c r="AB34" s="55"/>
      <c r="AC34" s="55"/>
      <c r="AD34" s="55"/>
      <c r="AE34" s="56">
        <v>20141</v>
      </c>
      <c r="AF34" s="57">
        <f>INDEX(barèmes!$D$2:$E$311,MATCH(AO34,barèmes!$D$2:$D$311,0),2)</f>
        <v>77.7</v>
      </c>
      <c r="AG34" s="57" t="s">
        <v>469</v>
      </c>
      <c r="AH34" s="56">
        <v>20151</v>
      </c>
      <c r="AI34" s="57">
        <f>INDEX(barèmes!$D$2:$E$311,MATCH(AP34,barèmes!$D$2:$D$311,0),2)</f>
        <v>719.12</v>
      </c>
      <c r="AJ34" s="57" t="s">
        <v>470</v>
      </c>
      <c r="AK34" s="56">
        <v>1</v>
      </c>
      <c r="AL34" s="56">
        <v>1</v>
      </c>
      <c r="AM34" s="36">
        <v>2015</v>
      </c>
      <c r="AN34" s="56">
        <v>2</v>
      </c>
      <c r="AO34" s="21" t="s">
        <v>330</v>
      </c>
      <c r="AP34" s="21" t="s">
        <v>304</v>
      </c>
      <c r="AQ34" s="52" t="str">
        <f t="shared" si="0"/>
        <v>Changement multiple - supprimer even Conjoint aidant maxi - Scénario id 9</v>
      </c>
    </row>
    <row r="35" spans="1:43" x14ac:dyDescent="0.25">
      <c r="B35" s="50">
        <v>10</v>
      </c>
      <c r="C35" s="50" t="s">
        <v>346</v>
      </c>
      <c r="D35" s="56">
        <v>4</v>
      </c>
      <c r="E35" s="56"/>
      <c r="F35" s="54">
        <f t="shared" si="1"/>
        <v>41275</v>
      </c>
      <c r="G35" s="54" t="s">
        <v>424</v>
      </c>
      <c r="H35" s="56" t="s">
        <v>291</v>
      </c>
      <c r="I35" s="56" t="s">
        <v>425</v>
      </c>
      <c r="J35" s="55">
        <f>DATE($AM35-$AN35+1,$AL35,$AK35)</f>
        <v>41640</v>
      </c>
      <c r="K35" s="55" t="s">
        <v>424</v>
      </c>
      <c r="L35" s="55" t="s">
        <v>294</v>
      </c>
      <c r="M35" s="55"/>
      <c r="N35" s="55">
        <f>DATE($AM35-$AN35+2,$AL35+6,$AK35)</f>
        <v>42186</v>
      </c>
      <c r="O35" s="54"/>
      <c r="P35" s="56"/>
      <c r="Q35" s="56"/>
      <c r="R35" s="55"/>
      <c r="S35" s="55"/>
      <c r="T35" s="55"/>
      <c r="U35" s="55"/>
      <c r="V35" s="55"/>
      <c r="W35" s="55" t="s">
        <v>424</v>
      </c>
      <c r="X35" s="55" t="s">
        <v>291</v>
      </c>
      <c r="Y35" s="55"/>
      <c r="Z35" s="55">
        <f>DATE($AM35-$AN35+1,$AL35,$AK35)</f>
        <v>41640</v>
      </c>
      <c r="AA35" s="55"/>
      <c r="AB35" s="55"/>
      <c r="AC35" s="55"/>
      <c r="AD35" s="55"/>
      <c r="AE35" s="56">
        <v>20141</v>
      </c>
      <c r="AF35" s="57">
        <f>INDEX(barèmes!$D$2:$E$311,MATCH(AO35,barèmes!$D$2:$D$311,0),2)</f>
        <v>77.7</v>
      </c>
      <c r="AG35" s="57" t="s">
        <v>469</v>
      </c>
      <c r="AH35" s="56">
        <v>20153</v>
      </c>
      <c r="AI35" s="57">
        <f>INDEX(barèmes!$D$2:$E$311,MATCH(AP35,barèmes!$D$2:$D$311,0),2)</f>
        <v>315.89999999999998</v>
      </c>
      <c r="AJ35" s="57" t="s">
        <v>471</v>
      </c>
      <c r="AK35" s="56">
        <v>1</v>
      </c>
      <c r="AL35" s="56">
        <v>1</v>
      </c>
      <c r="AM35" s="36">
        <v>2015</v>
      </c>
      <c r="AN35" s="56">
        <v>2</v>
      </c>
      <c r="AO35" s="21" t="s">
        <v>330</v>
      </c>
      <c r="AP35" s="21" t="s">
        <v>319</v>
      </c>
      <c r="AQ35" s="52" t="str">
        <f t="shared" si="0"/>
        <v>Changement multiple - supprimer even Principal - Scénario id 10</v>
      </c>
    </row>
    <row r="36" spans="1:43" x14ac:dyDescent="0.25">
      <c r="B36" s="50">
        <v>11</v>
      </c>
      <c r="C36" s="50" t="s">
        <v>346</v>
      </c>
      <c r="D36" s="56">
        <v>1</v>
      </c>
      <c r="E36" s="56"/>
      <c r="F36" s="54">
        <f t="shared" si="1"/>
        <v>41275</v>
      </c>
      <c r="G36" s="54" t="s">
        <v>424</v>
      </c>
      <c r="H36" s="56" t="s">
        <v>293</v>
      </c>
      <c r="I36" s="56" t="s">
        <v>425</v>
      </c>
      <c r="J36" s="55">
        <f>DATE($AM36-$AN36+1,$AL36,$AK36)</f>
        <v>41640</v>
      </c>
      <c r="K36" s="55" t="s">
        <v>424</v>
      </c>
      <c r="L36" s="55" t="s">
        <v>294</v>
      </c>
      <c r="M36" s="55"/>
      <c r="N36" s="55">
        <f>DATE($AM36-$AN36+1,$AL36+9,$AK36)</f>
        <v>41913</v>
      </c>
      <c r="O36" s="54"/>
      <c r="P36" s="56"/>
      <c r="Q36" s="56"/>
      <c r="R36" s="55"/>
      <c r="S36" s="55"/>
      <c r="T36" s="55"/>
      <c r="U36" s="55"/>
      <c r="V36" s="55"/>
      <c r="W36" s="55" t="s">
        <v>424</v>
      </c>
      <c r="X36" s="55" t="s">
        <v>293</v>
      </c>
      <c r="Y36" s="55"/>
      <c r="Z36" s="55">
        <f>DATE($AM36-$AN36+1,$AL36,$AK36)</f>
        <v>41640</v>
      </c>
      <c r="AA36" s="55"/>
      <c r="AB36" s="55"/>
      <c r="AC36" s="55"/>
      <c r="AD36" s="55"/>
      <c r="AE36" s="56">
        <v>20141</v>
      </c>
      <c r="AF36" s="57">
        <f>INDEX(barèmes!$D$2:$E$311,MATCH(AO36,barèmes!$D$2:$D$311,0),2)</f>
        <v>702.39</v>
      </c>
      <c r="AG36" s="57" t="s">
        <v>470</v>
      </c>
      <c r="AH36" s="56">
        <v>20151</v>
      </c>
      <c r="AI36" s="57">
        <f>INDEX(barèmes!$D$2:$E$311,MATCH(AP36,barèmes!$D$2:$D$311,0),2)</f>
        <v>301.22000000000003</v>
      </c>
      <c r="AJ36" s="57" t="s">
        <v>471</v>
      </c>
      <c r="AK36" s="56">
        <v>1</v>
      </c>
      <c r="AL36" s="56">
        <v>1</v>
      </c>
      <c r="AM36" s="36">
        <v>2015</v>
      </c>
      <c r="AN36" s="56">
        <v>2</v>
      </c>
      <c r="AO36" s="21" t="s">
        <v>312</v>
      </c>
      <c r="AP36" s="21" t="s">
        <v>318</v>
      </c>
      <c r="AQ36" s="52" t="str">
        <f t="shared" si="0"/>
        <v>Changement multiple - supprimer even Complémentaire - Scénario id 11</v>
      </c>
    </row>
    <row r="37" spans="1:43" x14ac:dyDescent="0.25">
      <c r="B37" s="50">
        <v>12</v>
      </c>
      <c r="C37" s="50" t="s">
        <v>346</v>
      </c>
      <c r="D37" s="56">
        <v>1</v>
      </c>
      <c r="E37" s="56"/>
      <c r="F37" s="54">
        <f t="shared" si="1"/>
        <v>41275</v>
      </c>
      <c r="G37" s="54" t="s">
        <v>424</v>
      </c>
      <c r="H37" s="56" t="s">
        <v>293</v>
      </c>
      <c r="I37" s="56" t="s">
        <v>425</v>
      </c>
      <c r="J37" s="55">
        <f>DATE($AM37-$AN37,$AL37+9,$AK37)</f>
        <v>41548</v>
      </c>
      <c r="K37" s="55" t="s">
        <v>424</v>
      </c>
      <c r="L37" s="55" t="s">
        <v>291</v>
      </c>
      <c r="M37" s="55"/>
      <c r="N37" s="55">
        <f>DATE($AM37-$AN37+2,$AL37,$AK37)</f>
        <v>42005</v>
      </c>
      <c r="O37" s="54"/>
      <c r="P37" s="56"/>
      <c r="Q37" s="56"/>
      <c r="R37" s="55"/>
      <c r="S37" s="55"/>
      <c r="T37" s="55"/>
      <c r="U37" s="55"/>
      <c r="V37" s="55"/>
      <c r="W37" s="55" t="s">
        <v>424</v>
      </c>
      <c r="X37" s="55" t="s">
        <v>291</v>
      </c>
      <c r="Y37" s="55"/>
      <c r="Z37" s="55">
        <f>DATE($AM37-$AN37+2,$AL37,$AK37)</f>
        <v>42005</v>
      </c>
      <c r="AA37" s="55" t="s">
        <v>424</v>
      </c>
      <c r="AB37" s="55" t="s">
        <v>293</v>
      </c>
      <c r="AC37" s="55"/>
      <c r="AD37" s="55">
        <f>DATE($AM37-$AN37,$AL37+9,$AK37)</f>
        <v>41548</v>
      </c>
      <c r="AE37" s="56">
        <v>20141</v>
      </c>
      <c r="AF37" s="57">
        <f>INDEX(barèmes!$D$2:$E$311,MATCH(AO37,barèmes!$D$2:$D$311,0),2)</f>
        <v>702.39</v>
      </c>
      <c r="AG37" s="57" t="s">
        <v>470</v>
      </c>
      <c r="AH37" s="56">
        <v>20151</v>
      </c>
      <c r="AI37" s="57">
        <f>INDEX(barèmes!$D$2:$E$311,MATCH(AP37,barèmes!$D$2:$D$311,0),2)</f>
        <v>719.12</v>
      </c>
      <c r="AJ37" s="57" t="s">
        <v>470</v>
      </c>
      <c r="AK37" s="56">
        <v>1</v>
      </c>
      <c r="AL37" s="56">
        <v>1</v>
      </c>
      <c r="AM37" s="36">
        <v>2015</v>
      </c>
      <c r="AN37" s="56">
        <v>2</v>
      </c>
      <c r="AO37" s="21" t="s">
        <v>312</v>
      </c>
      <c r="AP37" s="21" t="s">
        <v>304</v>
      </c>
      <c r="AQ37" s="52" t="str">
        <f t="shared" si="0"/>
        <v>Changement multiple - supprimer even Principal et even Complémentaire - Scénario id 12</v>
      </c>
    </row>
    <row r="38" spans="1:43" x14ac:dyDescent="0.25">
      <c r="B38" s="50">
        <v>13</v>
      </c>
      <c r="C38" s="50" t="s">
        <v>346</v>
      </c>
      <c r="D38" s="56">
        <v>1</v>
      </c>
      <c r="E38" s="56"/>
      <c r="F38" s="54">
        <f t="shared" si="1"/>
        <v>41548</v>
      </c>
      <c r="G38" s="54" t="s">
        <v>363</v>
      </c>
      <c r="H38" s="56"/>
      <c r="I38" s="56"/>
      <c r="J38" s="55">
        <f>DATE($AM38-$AN38+1,$AL38+8,$AK38+29)</f>
        <v>42185</v>
      </c>
      <c r="K38" s="55" t="s">
        <v>425</v>
      </c>
      <c r="L38" s="55" t="s">
        <v>425</v>
      </c>
      <c r="M38" s="55"/>
      <c r="N38" s="55" t="s">
        <v>425</v>
      </c>
      <c r="O38" s="54"/>
      <c r="P38" s="56"/>
      <c r="Q38" s="56"/>
      <c r="R38" s="55"/>
      <c r="S38" s="55"/>
      <c r="T38" s="55"/>
      <c r="U38" s="55"/>
      <c r="V38" s="55"/>
      <c r="W38" s="55" t="s">
        <v>363</v>
      </c>
      <c r="X38" s="55"/>
      <c r="Y38" s="55"/>
      <c r="Z38" s="55">
        <f>DATE($AM38-$AN38+1,$AL38+8,$AK38+29)</f>
        <v>42185</v>
      </c>
      <c r="AA38" s="55"/>
      <c r="AB38" s="55"/>
      <c r="AC38" s="55"/>
      <c r="AD38" s="55"/>
      <c r="AE38" s="56">
        <v>20152</v>
      </c>
      <c r="AF38" s="57">
        <f>INDEX(barèmes!$D$2:$E$311,MATCH(AO38,barèmes!$D$2:$D$311,0),2)</f>
        <v>702.39</v>
      </c>
      <c r="AG38" s="57" t="s">
        <v>470</v>
      </c>
      <c r="AH38" s="56">
        <v>20153</v>
      </c>
      <c r="AI38" s="57">
        <f>INDEX(barèmes!$D$2:$E$311,MATCH(AP38,barèmes!$D$2:$D$311,0),2)</f>
        <v>702.39</v>
      </c>
      <c r="AJ38" s="57" t="s">
        <v>470</v>
      </c>
      <c r="AK38" s="56">
        <v>1</v>
      </c>
      <c r="AL38" s="56">
        <v>10</v>
      </c>
      <c r="AM38" s="36">
        <v>2015</v>
      </c>
      <c r="AN38" s="56">
        <v>2</v>
      </c>
      <c r="AO38" s="21" t="s">
        <v>331</v>
      </c>
      <c r="AP38" s="21" t="s">
        <v>331</v>
      </c>
      <c r="AQ38" s="52" t="str">
        <f>TRIM($A$1&amp;" even "&amp;IF(X38&lt;&gt;"",X38,W38)&amp;" "&amp;Y38&amp;IF(AA38&lt;&gt;""," et even "&amp;AB38&amp;" "&amp;AC38,"")&amp;" - Scénario id "&amp;B38)</f>
        <v>Changement multiple - supprimer even Cessation d’activité - Scénario id 13</v>
      </c>
    </row>
    <row r="39" spans="1:43" x14ac:dyDescent="0.25">
      <c r="B39" s="50">
        <v>14</v>
      </c>
      <c r="C39" s="50" t="s">
        <v>346</v>
      </c>
      <c r="D39" s="56">
        <v>1</v>
      </c>
      <c r="E39" s="56"/>
      <c r="F39" s="54">
        <f t="shared" si="1"/>
        <v>41091</v>
      </c>
      <c r="G39" s="54" t="s">
        <v>426</v>
      </c>
      <c r="H39" s="56"/>
      <c r="I39" s="56"/>
      <c r="J39" s="55">
        <f>DATE($AM39-$AN39+2,$AL39+11,$AK39+29)</f>
        <v>42185</v>
      </c>
      <c r="K39" s="55"/>
      <c r="L39" s="55"/>
      <c r="M39" s="55"/>
      <c r="N39" s="55"/>
      <c r="O39" s="54"/>
      <c r="P39" s="56"/>
      <c r="Q39" s="56"/>
      <c r="R39" s="55"/>
      <c r="S39" s="55"/>
      <c r="T39" s="55"/>
      <c r="U39" s="55"/>
      <c r="V39" s="55"/>
      <c r="W39" s="55" t="s">
        <v>426</v>
      </c>
      <c r="X39" s="55"/>
      <c r="Y39" s="55"/>
      <c r="Z39" s="55">
        <f>DATE($AM39-$AN39+2,$AL39+11,$AK39+29)</f>
        <v>42185</v>
      </c>
      <c r="AA39" s="55"/>
      <c r="AB39" s="55"/>
      <c r="AC39" s="55"/>
      <c r="AD39" s="55"/>
      <c r="AE39" s="56">
        <v>20152</v>
      </c>
      <c r="AF39" s="57">
        <f>INDEX(barèmes!$D$2:$E$311,MATCH(AO39,barèmes!$D$2:$D$311,0),2)</f>
        <v>719.12</v>
      </c>
      <c r="AG39" s="57" t="s">
        <v>470</v>
      </c>
      <c r="AH39" s="56">
        <v>20153</v>
      </c>
      <c r="AI39" s="57">
        <f>INDEX(barèmes!$D$2:$E$311,MATCH(AP39,barèmes!$D$2:$D$311,0),2)</f>
        <v>719.12</v>
      </c>
      <c r="AJ39" s="57" t="s">
        <v>470</v>
      </c>
      <c r="AK39" s="56">
        <v>1</v>
      </c>
      <c r="AL39" s="56">
        <v>7</v>
      </c>
      <c r="AM39" s="36">
        <v>2015</v>
      </c>
      <c r="AN39" s="56">
        <v>3</v>
      </c>
      <c r="AO39" s="21" t="s">
        <v>304</v>
      </c>
      <c r="AP39" s="21" t="s">
        <v>304</v>
      </c>
      <c r="AQ39" s="52" t="str">
        <f t="shared" ref="AQ39:AQ66" si="2">TRIM($A$1&amp;" even "&amp;IF(X39&lt;&gt;"",X39,W39)&amp;" "&amp;Y39&amp;IF(AA39&lt;&gt;""," et even "&amp;AB39&amp;" "&amp;AC39,"")&amp;" - Scénario id "&amp;B39)</f>
        <v>Changement multiple - supprimer even Décès - Scénario id 14</v>
      </c>
    </row>
    <row r="40" spans="1:43" x14ac:dyDescent="0.25">
      <c r="B40" s="50">
        <v>15</v>
      </c>
      <c r="C40" s="50" t="s">
        <v>346</v>
      </c>
      <c r="D40" s="56">
        <v>4</v>
      </c>
      <c r="E40" s="56"/>
      <c r="F40" s="54">
        <f t="shared" si="1"/>
        <v>41183</v>
      </c>
      <c r="G40" s="54" t="s">
        <v>363</v>
      </c>
      <c r="H40" s="56"/>
      <c r="I40" s="56"/>
      <c r="J40" s="55">
        <f>DATE($AM40-$AN40+2,$AL40+6,$AK40)</f>
        <v>42095</v>
      </c>
      <c r="K40" s="55"/>
      <c r="L40" s="55"/>
      <c r="M40" s="55"/>
      <c r="N40" s="55"/>
      <c r="O40" s="54"/>
      <c r="P40" s="56"/>
      <c r="Q40" s="56"/>
      <c r="R40" s="55"/>
      <c r="S40" s="55"/>
      <c r="T40" s="55"/>
      <c r="U40" s="55"/>
      <c r="V40" s="55"/>
      <c r="W40" s="55" t="s">
        <v>363</v>
      </c>
      <c r="X40" s="55"/>
      <c r="Y40" s="55"/>
      <c r="Z40" s="55">
        <f>DATE($AM40-$AN40+2,$AL40+6,$AK40)</f>
        <v>42095</v>
      </c>
      <c r="AA40" s="55"/>
      <c r="AB40" s="55"/>
      <c r="AC40" s="55"/>
      <c r="AD40" s="55"/>
      <c r="AE40" s="56">
        <v>20152</v>
      </c>
      <c r="AF40" s="57">
        <f>INDEX(barèmes!$D$2:$E$311,MATCH(AO40,barèmes!$D$2:$D$311,0),2)</f>
        <v>79.55</v>
      </c>
      <c r="AG40" s="57" t="s">
        <v>469</v>
      </c>
      <c r="AH40" s="56">
        <v>20153</v>
      </c>
      <c r="AI40" s="57">
        <f>INDEX(barèmes!$D$2:$E$311,MATCH(AP40,barèmes!$D$2:$D$311,0),2)</f>
        <v>79.55</v>
      </c>
      <c r="AJ40" s="57" t="s">
        <v>469</v>
      </c>
      <c r="AK40" s="56">
        <v>1</v>
      </c>
      <c r="AL40" s="56">
        <v>10</v>
      </c>
      <c r="AM40" s="36">
        <v>2015</v>
      </c>
      <c r="AN40" s="56">
        <v>3</v>
      </c>
      <c r="AO40" s="21" t="s">
        <v>316</v>
      </c>
      <c r="AP40" s="21" t="s">
        <v>316</v>
      </c>
      <c r="AQ40" s="52" t="str">
        <f t="shared" si="2"/>
        <v>Changement multiple - supprimer even Cessation d’activité - Scénario id 15</v>
      </c>
    </row>
    <row r="41" spans="1:43" x14ac:dyDescent="0.25">
      <c r="B41" s="50">
        <v>16</v>
      </c>
      <c r="C41" s="50" t="s">
        <v>346</v>
      </c>
      <c r="D41" s="56">
        <v>4</v>
      </c>
      <c r="E41" s="56"/>
      <c r="F41" s="54">
        <f t="shared" si="1"/>
        <v>41275</v>
      </c>
      <c r="G41" s="54" t="s">
        <v>363</v>
      </c>
      <c r="H41" s="56"/>
      <c r="I41" s="56"/>
      <c r="J41" s="55">
        <f>DATE($AM41-$AN41+1,$AL41+8,$AK41+10)</f>
        <v>41893</v>
      </c>
      <c r="K41" s="55"/>
      <c r="L41" s="55"/>
      <c r="M41" s="55"/>
      <c r="N41" s="55"/>
      <c r="O41" s="54"/>
      <c r="P41" s="56"/>
      <c r="Q41" s="56"/>
      <c r="R41" s="55"/>
      <c r="S41" s="55"/>
      <c r="T41" s="55"/>
      <c r="U41" s="55"/>
      <c r="V41" s="55"/>
      <c r="W41" s="55" t="s">
        <v>363</v>
      </c>
      <c r="X41" s="55"/>
      <c r="Y41" s="55"/>
      <c r="Z41" s="55">
        <f>DATE($AM41-$AN41+1,$AL41+8,$AK41+10)</f>
        <v>41893</v>
      </c>
      <c r="AA41" s="55"/>
      <c r="AB41" s="55"/>
      <c r="AC41" s="55"/>
      <c r="AD41" s="55"/>
      <c r="AE41" s="56">
        <v>20143</v>
      </c>
      <c r="AF41" s="57">
        <f>INDEX(barèmes!$D$2:$E$311,MATCH(AO41,barèmes!$D$2:$D$311,0),2)</f>
        <v>77.7</v>
      </c>
      <c r="AG41" s="57" t="s">
        <v>469</v>
      </c>
      <c r="AH41" s="56">
        <v>20152</v>
      </c>
      <c r="AI41" s="57">
        <f>INDEX(barèmes!$D$2:$E$311,MATCH(AP41,barèmes!$D$2:$D$311,0),2)</f>
        <v>79.55</v>
      </c>
      <c r="AJ41" s="57" t="s">
        <v>469</v>
      </c>
      <c r="AK41" s="56">
        <v>1</v>
      </c>
      <c r="AL41" s="56">
        <v>1</v>
      </c>
      <c r="AM41" s="36">
        <v>2015</v>
      </c>
      <c r="AN41" s="56">
        <v>2</v>
      </c>
      <c r="AO41" s="21" t="s">
        <v>330</v>
      </c>
      <c r="AP41" s="21" t="s">
        <v>316</v>
      </c>
      <c r="AQ41" s="52" t="str">
        <f t="shared" si="2"/>
        <v>Changement multiple - supprimer even Cessation d’activité - Scénario id 16</v>
      </c>
    </row>
    <row r="42" spans="1:43" x14ac:dyDescent="0.25">
      <c r="B42" s="50">
        <v>17</v>
      </c>
      <c r="C42" s="50" t="s">
        <v>346</v>
      </c>
      <c r="D42" s="56">
        <v>4</v>
      </c>
      <c r="E42" s="56"/>
      <c r="F42" s="54">
        <f t="shared" si="1"/>
        <v>41456</v>
      </c>
      <c r="G42" s="54" t="s">
        <v>426</v>
      </c>
      <c r="H42" s="56"/>
      <c r="I42" s="56"/>
      <c r="J42" s="55">
        <f>DATE($AM42-$AN42+2,$AL42,$AK42+10)</f>
        <v>42196</v>
      </c>
      <c r="K42" s="55"/>
      <c r="L42" s="55"/>
      <c r="M42" s="55"/>
      <c r="N42" s="55"/>
      <c r="O42" s="54"/>
      <c r="P42" s="56"/>
      <c r="Q42" s="56"/>
      <c r="R42" s="55"/>
      <c r="S42" s="55"/>
      <c r="T42" s="55"/>
      <c r="U42" s="55"/>
      <c r="V42" s="55"/>
      <c r="W42" s="55" t="s">
        <v>426</v>
      </c>
      <c r="X42" s="55"/>
      <c r="Y42" s="55"/>
      <c r="Z42" s="55">
        <f>DATE($AM42-$AN42+2,$AL42,$AK42+10)</f>
        <v>42196</v>
      </c>
      <c r="AA42" s="55"/>
      <c r="AB42" s="55"/>
      <c r="AC42" s="55"/>
      <c r="AD42" s="55"/>
      <c r="AE42" s="56">
        <v>20153</v>
      </c>
      <c r="AF42" s="57">
        <f>INDEX(barèmes!$D$2:$E$311,MATCH(AO42,barèmes!$D$2:$D$311,0),2)</f>
        <v>77.7</v>
      </c>
      <c r="AG42" s="57" t="s">
        <v>469</v>
      </c>
      <c r="AH42" s="56">
        <v>20154</v>
      </c>
      <c r="AI42" s="57">
        <f>INDEX(barèmes!$D$2:$E$311,MATCH(AP42,barèmes!$D$2:$D$311,0),2)</f>
        <v>77.7</v>
      </c>
      <c r="AJ42" s="57" t="s">
        <v>469</v>
      </c>
      <c r="AK42" s="56">
        <v>1</v>
      </c>
      <c r="AL42" s="56">
        <v>7</v>
      </c>
      <c r="AM42" s="36">
        <v>2015</v>
      </c>
      <c r="AN42" s="56">
        <v>2</v>
      </c>
      <c r="AO42" s="21" t="s">
        <v>315</v>
      </c>
      <c r="AP42" s="21" t="s">
        <v>315</v>
      </c>
      <c r="AQ42" s="52" t="str">
        <f t="shared" si="2"/>
        <v>Changement multiple - supprimer even Décès - Scénario id 17</v>
      </c>
    </row>
    <row r="43" spans="1:43" x14ac:dyDescent="0.25">
      <c r="B43" s="50">
        <v>18</v>
      </c>
      <c r="C43" s="50" t="s">
        <v>346</v>
      </c>
      <c r="D43" s="56">
        <v>5</v>
      </c>
      <c r="E43" s="56"/>
      <c r="F43" s="54">
        <f t="shared" si="1"/>
        <v>41275</v>
      </c>
      <c r="G43" s="54" t="s">
        <v>363</v>
      </c>
      <c r="H43" s="56"/>
      <c r="I43" s="56"/>
      <c r="J43" s="55">
        <f>DATE($AM43-$AN43+1,$AL43+8,$AK43+29)</f>
        <v>41912</v>
      </c>
      <c r="K43" s="55"/>
      <c r="L43" s="55"/>
      <c r="M43" s="55"/>
      <c r="N43" s="55"/>
      <c r="O43" s="54"/>
      <c r="P43" s="56"/>
      <c r="Q43" s="56"/>
      <c r="R43" s="55"/>
      <c r="S43" s="55"/>
      <c r="T43" s="55"/>
      <c r="U43" s="55"/>
      <c r="V43" s="55"/>
      <c r="W43" s="55" t="s">
        <v>363</v>
      </c>
      <c r="X43" s="55"/>
      <c r="Y43" s="55"/>
      <c r="Z43" s="55">
        <f>DATE($AM43-$AN43+1,$AL43+8,$AK43+29)</f>
        <v>41912</v>
      </c>
      <c r="AA43" s="55"/>
      <c r="AB43" s="55"/>
      <c r="AC43" s="55"/>
      <c r="AD43" s="55"/>
      <c r="AE43" s="56">
        <v>20143</v>
      </c>
      <c r="AF43" s="57">
        <f>INDEX(barèmes!$D$2:$E$311,MATCH(AO43,barèmes!$D$2:$D$311,0),2)</f>
        <v>308.55</v>
      </c>
      <c r="AG43" s="57" t="s">
        <v>471</v>
      </c>
      <c r="AH43" s="56">
        <v>20153</v>
      </c>
      <c r="AI43" s="57">
        <f>INDEX(barèmes!$D$2:$E$311,MATCH(AP43,barèmes!$D$2:$D$311,0),2)</f>
        <v>315.89999999999998</v>
      </c>
      <c r="AJ43" s="57" t="s">
        <v>471</v>
      </c>
      <c r="AK43" s="56">
        <v>1</v>
      </c>
      <c r="AL43" s="56">
        <v>1</v>
      </c>
      <c r="AM43" s="36">
        <v>2015</v>
      </c>
      <c r="AN43" s="56">
        <v>2</v>
      </c>
      <c r="AO43" s="21" t="s">
        <v>323</v>
      </c>
      <c r="AP43" s="21" t="s">
        <v>319</v>
      </c>
      <c r="AQ43" s="52" t="str">
        <f t="shared" si="2"/>
        <v>Changement multiple - supprimer even Cessation d’activité - Scénario id 18</v>
      </c>
    </row>
    <row r="44" spans="1:43" x14ac:dyDescent="0.25">
      <c r="B44" s="50">
        <v>19</v>
      </c>
      <c r="C44" s="50" t="s">
        <v>346</v>
      </c>
      <c r="D44" s="56">
        <v>5</v>
      </c>
      <c r="E44" s="56"/>
      <c r="F44" s="54">
        <f t="shared" si="1"/>
        <v>41548</v>
      </c>
      <c r="G44" s="54" t="s">
        <v>426</v>
      </c>
      <c r="H44" s="56"/>
      <c r="I44" s="56"/>
      <c r="J44" s="55">
        <f>DATE($AM44-$AN44+1,$AL44+3,$AK44+30)</f>
        <v>42035</v>
      </c>
      <c r="K44" s="55"/>
      <c r="L44" s="55"/>
      <c r="M44" s="55"/>
      <c r="N44" s="55"/>
      <c r="O44" s="54"/>
      <c r="P44" s="56"/>
      <c r="Q44" s="56"/>
      <c r="R44" s="55"/>
      <c r="S44" s="55"/>
      <c r="T44" s="55"/>
      <c r="U44" s="55"/>
      <c r="V44" s="55"/>
      <c r="W44" s="55" t="s">
        <v>426</v>
      </c>
      <c r="X44" s="55"/>
      <c r="Y44" s="55"/>
      <c r="Z44" s="55">
        <f>DATE($AM44-$AN44+1,$AL44+3,$AK44+30)</f>
        <v>42035</v>
      </c>
      <c r="AA44" s="55"/>
      <c r="AB44" s="55"/>
      <c r="AC44" s="55"/>
      <c r="AD44" s="55"/>
      <c r="AE44" s="56">
        <v>20151</v>
      </c>
      <c r="AF44" s="57">
        <f>INDEX(barèmes!$D$2:$E$311,MATCH(AO44,barèmes!$D$2:$D$311,0),2)</f>
        <v>308.55</v>
      </c>
      <c r="AG44" s="57" t="s">
        <v>471</v>
      </c>
      <c r="AH44" s="56">
        <v>20153</v>
      </c>
      <c r="AI44" s="57">
        <f>INDEX(barèmes!$D$2:$E$311,MATCH(AP44,barèmes!$D$2:$D$311,0),2)</f>
        <v>308.55</v>
      </c>
      <c r="AJ44" s="57" t="s">
        <v>471</v>
      </c>
      <c r="AK44" s="56">
        <v>1</v>
      </c>
      <c r="AL44" s="56">
        <v>10</v>
      </c>
      <c r="AM44" s="36">
        <v>2015</v>
      </c>
      <c r="AN44" s="56">
        <v>2</v>
      </c>
      <c r="AO44" s="21" t="s">
        <v>321</v>
      </c>
      <c r="AP44" s="21" t="s">
        <v>321</v>
      </c>
      <c r="AQ44" s="52" t="str">
        <f t="shared" si="2"/>
        <v>Changement multiple - supprimer even Décès - Scénario id 19</v>
      </c>
    </row>
    <row r="45" spans="1:43" x14ac:dyDescent="0.25">
      <c r="B45" s="50">
        <v>20</v>
      </c>
      <c r="C45" s="50" t="s">
        <v>346</v>
      </c>
      <c r="D45" s="56">
        <v>1</v>
      </c>
      <c r="E45" s="56"/>
      <c r="F45" s="54">
        <f>DATE($AM45-$AN45,$AL45,$AK45)</f>
        <v>41640</v>
      </c>
      <c r="G45" s="54" t="s">
        <v>361</v>
      </c>
      <c r="H45" s="56"/>
      <c r="I45" s="56"/>
      <c r="J45" s="55">
        <f>DATE($AM45-$AN45+3,$AL45+11,$AK45+30)</f>
        <v>43100</v>
      </c>
      <c r="K45" s="55"/>
      <c r="L45" s="55"/>
      <c r="M45" s="55"/>
      <c r="N45" s="55"/>
      <c r="O45" s="54"/>
      <c r="P45" s="56"/>
      <c r="Q45" s="56"/>
      <c r="R45" s="55"/>
      <c r="S45" s="55"/>
      <c r="T45" s="55"/>
      <c r="U45" s="55"/>
      <c r="V45" s="55"/>
      <c r="W45" s="55" t="s">
        <v>361</v>
      </c>
      <c r="X45" s="55"/>
      <c r="Y45" s="55"/>
      <c r="Z45" s="55">
        <f>DATE($AM45-$AN45+3,$AL45+11,$AK45+30)</f>
        <v>43100</v>
      </c>
      <c r="AA45" s="55"/>
      <c r="AB45" s="55"/>
      <c r="AC45" s="55"/>
      <c r="AD45" s="55"/>
      <c r="AE45" s="56">
        <v>20144</v>
      </c>
      <c r="AF45" s="57">
        <f>INDEX(barèmes!$D$2:$E$311,MATCH(AO45,barèmes!$D$2:$D$311,0),2)</f>
        <v>685.66</v>
      </c>
      <c r="AG45" s="57" t="s">
        <v>470</v>
      </c>
      <c r="AH45" s="56">
        <v>20154</v>
      </c>
      <c r="AI45" s="57">
        <f>INDEX(barèmes!$D$2:$E$311,MATCH(AP45,barèmes!$D$2:$D$311,0),2)</f>
        <v>702.39</v>
      </c>
      <c r="AJ45" s="57" t="s">
        <v>470</v>
      </c>
      <c r="AK45" s="56">
        <v>1</v>
      </c>
      <c r="AL45" s="56">
        <v>1</v>
      </c>
      <c r="AM45" s="36">
        <v>2015</v>
      </c>
      <c r="AN45" s="56">
        <v>1</v>
      </c>
      <c r="AO45" s="21" t="s">
        <v>322</v>
      </c>
      <c r="AP45" s="21" t="s">
        <v>331</v>
      </c>
      <c r="AQ45" s="52" t="str">
        <f>TRIM($A$1&amp;" even "&amp;IF(X45&lt;&gt;"",X45,W45)&amp;" "&amp;Y45&amp;IF(AA45&lt;&gt;""," et even "&amp;AB45&amp;" "&amp;AC45,"")&amp;" - Scénario id "&amp;B45)</f>
        <v>Changement multiple - supprimer even Transfert Sortant provisoire - Scénario id 20</v>
      </c>
    </row>
    <row r="46" spans="1:43" x14ac:dyDescent="0.25">
      <c r="A46" s="51" t="s">
        <v>466</v>
      </c>
      <c r="B46" s="51" t="s">
        <v>399</v>
      </c>
      <c r="C46" s="51" t="s">
        <v>347</v>
      </c>
      <c r="D46" s="51" t="s">
        <v>342</v>
      </c>
      <c r="E46" s="51" t="s">
        <v>285</v>
      </c>
      <c r="F46" s="53" t="s">
        <v>296</v>
      </c>
      <c r="G46" s="53" t="s">
        <v>405</v>
      </c>
      <c r="H46" s="51" t="s">
        <v>342</v>
      </c>
      <c r="I46" s="51" t="s">
        <v>406</v>
      </c>
      <c r="J46" s="53" t="s">
        <v>296</v>
      </c>
      <c r="K46" s="53" t="s">
        <v>348</v>
      </c>
      <c r="L46" s="51" t="s">
        <v>343</v>
      </c>
      <c r="M46" s="51" t="s">
        <v>299</v>
      </c>
      <c r="N46" s="53" t="s">
        <v>297</v>
      </c>
      <c r="O46" s="53" t="s">
        <v>352</v>
      </c>
      <c r="P46" s="51" t="s">
        <v>353</v>
      </c>
      <c r="Q46" s="51" t="s">
        <v>354</v>
      </c>
      <c r="R46" s="51" t="s">
        <v>383</v>
      </c>
      <c r="S46" s="53" t="s">
        <v>415</v>
      </c>
      <c r="T46" s="51" t="s">
        <v>416</v>
      </c>
      <c r="U46" s="51" t="s">
        <v>417</v>
      </c>
      <c r="V46" s="51" t="s">
        <v>418</v>
      </c>
      <c r="W46" s="53" t="s">
        <v>415</v>
      </c>
      <c r="X46" s="51" t="s">
        <v>416</v>
      </c>
      <c r="Y46" s="51" t="s">
        <v>417</v>
      </c>
      <c r="Z46" s="53" t="s">
        <v>418</v>
      </c>
      <c r="AA46" s="53" t="s">
        <v>419</v>
      </c>
      <c r="AB46" s="51" t="s">
        <v>420</v>
      </c>
      <c r="AC46" s="51" t="s">
        <v>421</v>
      </c>
      <c r="AD46" s="53" t="s">
        <v>422</v>
      </c>
      <c r="AE46" s="19" t="s">
        <v>305</v>
      </c>
      <c r="AF46" s="15" t="s">
        <v>306</v>
      </c>
      <c r="AG46" s="15" t="s">
        <v>423</v>
      </c>
      <c r="AH46" s="19" t="s">
        <v>307</v>
      </c>
      <c r="AI46" s="15" t="s">
        <v>308</v>
      </c>
      <c r="AJ46" s="15" t="s">
        <v>423</v>
      </c>
      <c r="AK46" s="51" t="s">
        <v>287</v>
      </c>
      <c r="AL46" s="19" t="s">
        <v>288</v>
      </c>
      <c r="AM46" s="51" t="s">
        <v>289</v>
      </c>
      <c r="AN46" s="19" t="s">
        <v>295</v>
      </c>
      <c r="AO46" s="21" t="s">
        <v>309</v>
      </c>
      <c r="AP46" s="21" t="s">
        <v>310</v>
      </c>
      <c r="AQ46" s="50" t="s">
        <v>457</v>
      </c>
    </row>
    <row r="47" spans="1:43" x14ac:dyDescent="0.25">
      <c r="B47" s="50">
        <v>1</v>
      </c>
      <c r="C47" s="50" t="s">
        <v>346</v>
      </c>
      <c r="D47" s="56">
        <v>1</v>
      </c>
      <c r="E47" s="56"/>
      <c r="F47" s="54">
        <f t="shared" si="1"/>
        <v>41913</v>
      </c>
      <c r="G47" s="54" t="s">
        <v>363</v>
      </c>
      <c r="H47" s="56"/>
      <c r="I47" s="56"/>
      <c r="J47" s="55">
        <f>DATE($AM47-$AN47,$AL47+8,$AK47+29)</f>
        <v>42185</v>
      </c>
      <c r="K47" s="55"/>
      <c r="L47" s="55"/>
      <c r="M47" s="55"/>
      <c r="N47" s="55"/>
      <c r="O47" s="54"/>
      <c r="P47" s="56"/>
      <c r="Q47" s="56"/>
      <c r="R47" s="55"/>
      <c r="S47" s="55"/>
      <c r="T47" s="55"/>
      <c r="U47" s="55"/>
      <c r="V47" s="55"/>
      <c r="W47" s="55" t="s">
        <v>363</v>
      </c>
      <c r="X47" s="55"/>
      <c r="Y47" s="55"/>
      <c r="Z47" s="55">
        <f>DATE($AM47-$AN47,$AL47+8,$AK47+29)</f>
        <v>42185</v>
      </c>
      <c r="AA47" s="55"/>
      <c r="AB47" s="55"/>
      <c r="AC47" s="55"/>
      <c r="AD47" s="55"/>
      <c r="AE47" s="56">
        <v>20153</v>
      </c>
      <c r="AF47" s="57">
        <f>INDEX(barèmes!$D$2:$E$311,MATCH(AO47,barèmes!$D$2:$D$311,0),2)</f>
        <v>685.66</v>
      </c>
      <c r="AG47" s="57" t="s">
        <v>470</v>
      </c>
      <c r="AH47" s="56">
        <v>20154</v>
      </c>
      <c r="AI47" s="57">
        <f>INDEX(barèmes!$D$2:$E$311,MATCH(AP47,barèmes!$D$2:$D$311,0),2)</f>
        <v>685.66</v>
      </c>
      <c r="AJ47" s="57" t="s">
        <v>470</v>
      </c>
      <c r="AK47" s="56">
        <v>1</v>
      </c>
      <c r="AL47" s="56">
        <v>10</v>
      </c>
      <c r="AM47" s="36">
        <v>2015</v>
      </c>
      <c r="AN47" s="56">
        <v>1</v>
      </c>
      <c r="AO47" s="21" t="s">
        <v>332</v>
      </c>
      <c r="AP47" s="21" t="s">
        <v>332</v>
      </c>
      <c r="AQ47" s="52" t="str">
        <f t="shared" si="2"/>
        <v>Changement multiple - supprimer even Cessation d’activité - Scénario id 1</v>
      </c>
    </row>
    <row r="48" spans="1:43" x14ac:dyDescent="0.25">
      <c r="B48" s="50">
        <v>2</v>
      </c>
      <c r="C48" s="50" t="s">
        <v>346</v>
      </c>
      <c r="D48" s="56">
        <v>4</v>
      </c>
      <c r="E48" s="56"/>
      <c r="F48" s="54">
        <f t="shared" si="1"/>
        <v>41913</v>
      </c>
      <c r="G48" s="54" t="s">
        <v>426</v>
      </c>
      <c r="H48" s="56"/>
      <c r="I48" s="56"/>
      <c r="J48" s="55">
        <f>DATE($AM48-$AN48+1,$AL48,$AK48)</f>
        <v>42278</v>
      </c>
      <c r="K48" s="55"/>
      <c r="L48" s="55"/>
      <c r="M48" s="55"/>
      <c r="N48" s="55"/>
      <c r="O48" s="54"/>
      <c r="P48" s="56"/>
      <c r="Q48" s="56"/>
      <c r="R48" s="55"/>
      <c r="S48" s="55"/>
      <c r="T48" s="55"/>
      <c r="U48" s="55"/>
      <c r="V48" s="55"/>
      <c r="W48" s="55" t="s">
        <v>426</v>
      </c>
      <c r="X48" s="55"/>
      <c r="Y48" s="55"/>
      <c r="Z48" s="55">
        <f>DATE($AM48-$AN48+1,$AL48,$AK48)</f>
        <v>42278</v>
      </c>
      <c r="AA48" s="55"/>
      <c r="AB48" s="55"/>
      <c r="AC48" s="55"/>
      <c r="AD48" s="55"/>
      <c r="AE48" s="56">
        <v>20144</v>
      </c>
      <c r="AF48" s="57">
        <f>INDEX(barèmes!$D$2:$E$311,MATCH(AO48,barèmes!$D$2:$D$311,0),2)</f>
        <v>75.849999999999994</v>
      </c>
      <c r="AG48" s="57" t="s">
        <v>469</v>
      </c>
      <c r="AH48" s="56">
        <v>20154</v>
      </c>
      <c r="AI48" s="57">
        <f>INDEX(barèmes!$D$2:$E$311,MATCH(AP48,barèmes!$D$2:$D$311,0),2)</f>
        <v>75.849999999999994</v>
      </c>
      <c r="AJ48" s="57" t="s">
        <v>469</v>
      </c>
      <c r="AK48" s="56">
        <v>1</v>
      </c>
      <c r="AL48" s="56">
        <v>10</v>
      </c>
      <c r="AM48" s="36">
        <v>2015</v>
      </c>
      <c r="AN48" s="56">
        <v>1</v>
      </c>
      <c r="AO48" s="21" t="s">
        <v>314</v>
      </c>
      <c r="AP48" s="21" t="s">
        <v>313</v>
      </c>
      <c r="AQ48" s="52" t="str">
        <f t="shared" si="2"/>
        <v>Changement multiple - supprimer even Décès - Scénario id 2</v>
      </c>
    </row>
    <row r="49" spans="2:43" x14ac:dyDescent="0.25">
      <c r="B49" s="50">
        <v>3</v>
      </c>
      <c r="C49" s="50" t="s">
        <v>346</v>
      </c>
      <c r="D49" s="56">
        <v>5</v>
      </c>
      <c r="E49" s="56"/>
      <c r="F49" s="54">
        <f t="shared" si="1"/>
        <v>41913</v>
      </c>
      <c r="G49" s="54" t="s">
        <v>363</v>
      </c>
      <c r="H49" s="56"/>
      <c r="I49" s="56"/>
      <c r="J49" s="55">
        <f>DATE($AM49-$AN49+1,$AL49,$AK49)</f>
        <v>42278</v>
      </c>
      <c r="K49" s="55"/>
      <c r="L49" s="55"/>
      <c r="M49" s="55"/>
      <c r="N49" s="55"/>
      <c r="O49" s="54"/>
      <c r="P49" s="56"/>
      <c r="Q49" s="56"/>
      <c r="R49" s="55"/>
      <c r="S49" s="55"/>
      <c r="T49" s="55"/>
      <c r="U49" s="55"/>
      <c r="V49" s="55"/>
      <c r="W49" s="55" t="s">
        <v>363</v>
      </c>
      <c r="X49" s="55"/>
      <c r="Y49" s="55"/>
      <c r="Z49" s="55">
        <f>DATE($AM49-$AN49+1,$AL49,$AK49)</f>
        <v>42278</v>
      </c>
      <c r="AA49" s="55"/>
      <c r="AB49" s="55"/>
      <c r="AC49" s="55"/>
      <c r="AD49" s="55"/>
      <c r="AE49" s="56">
        <v>20144</v>
      </c>
      <c r="AF49" s="57">
        <f>INDEX(barèmes!$D$2:$E$311,MATCH(AO49,barèmes!$D$2:$D$311,0),2)</f>
        <v>301.22000000000003</v>
      </c>
      <c r="AG49" s="57" t="s">
        <v>471</v>
      </c>
      <c r="AH49" s="56">
        <v>20154</v>
      </c>
      <c r="AI49" s="57">
        <f>INDEX(barèmes!$D$2:$E$311,MATCH(AP49,barèmes!$D$2:$D$311,0),2)</f>
        <v>301.22000000000003</v>
      </c>
      <c r="AJ49" s="57" t="s">
        <v>471</v>
      </c>
      <c r="AK49" s="56">
        <v>1</v>
      </c>
      <c r="AL49" s="56">
        <v>10</v>
      </c>
      <c r="AM49" s="36">
        <v>2015</v>
      </c>
      <c r="AN49" s="56">
        <v>1</v>
      </c>
      <c r="AO49" s="21" t="s">
        <v>320</v>
      </c>
      <c r="AP49" s="21" t="s">
        <v>318</v>
      </c>
      <c r="AQ49" s="52" t="str">
        <f t="shared" si="2"/>
        <v>Changement multiple - supprimer even Cessation d’activité - Scénario id 3</v>
      </c>
    </row>
    <row r="50" spans="2:43" x14ac:dyDescent="0.25">
      <c r="B50" s="50">
        <v>4</v>
      </c>
      <c r="C50" s="50" t="s">
        <v>346</v>
      </c>
      <c r="D50" s="56">
        <v>4</v>
      </c>
      <c r="E50" s="56"/>
      <c r="F50" s="54">
        <f t="shared" si="1"/>
        <v>41548</v>
      </c>
      <c r="G50" s="54" t="s">
        <v>424</v>
      </c>
      <c r="H50" s="56" t="s">
        <v>291</v>
      </c>
      <c r="I50" s="56"/>
      <c r="J50" s="55">
        <f>DATE($AM50-$AN50,$AL50+3,$AK50)</f>
        <v>41640</v>
      </c>
      <c r="K50" s="55" t="s">
        <v>363</v>
      </c>
      <c r="L50" s="55"/>
      <c r="M50" s="55"/>
      <c r="N50" s="55">
        <f>DATE($AM50-$AN50+1,$AL50+8,$AK50+29)</f>
        <v>42185</v>
      </c>
      <c r="O50" s="54"/>
      <c r="P50" s="56"/>
      <c r="Q50" s="56"/>
      <c r="R50" s="55"/>
      <c r="S50" s="55"/>
      <c r="T50" s="55"/>
      <c r="U50" s="55"/>
      <c r="V50" s="55"/>
      <c r="W50" s="55" t="s">
        <v>363</v>
      </c>
      <c r="X50" s="55"/>
      <c r="Y50" s="55"/>
      <c r="Z50" s="55">
        <f>DATE($AM50-$AN50+1,$AL50+8,$AK50+29)</f>
        <v>42185</v>
      </c>
      <c r="AA50" s="55" t="s">
        <v>424</v>
      </c>
      <c r="AB50" s="55" t="s">
        <v>291</v>
      </c>
      <c r="AC50" s="55"/>
      <c r="AD50" s="55">
        <f>DATE($AM50-$AN50,$AL50+3,$AK50)</f>
        <v>41640</v>
      </c>
      <c r="AE50" s="56">
        <v>20141</v>
      </c>
      <c r="AF50" s="57">
        <f>INDEX(barèmes!$D$2:$E$311,MATCH(AO50,barèmes!$D$2:$D$311,0),2)</f>
        <v>75.849999999999994</v>
      </c>
      <c r="AG50" s="57" t="s">
        <v>469</v>
      </c>
      <c r="AH50" s="56">
        <v>20153</v>
      </c>
      <c r="AI50" s="57">
        <f>INDEX(barèmes!$D$2:$E$311,MATCH(AP50,barèmes!$D$2:$D$311,0),2)</f>
        <v>77.7</v>
      </c>
      <c r="AJ50" s="57" t="s">
        <v>469</v>
      </c>
      <c r="AK50" s="56">
        <v>1</v>
      </c>
      <c r="AL50" s="56">
        <v>10</v>
      </c>
      <c r="AM50" s="36">
        <v>2015</v>
      </c>
      <c r="AN50" s="56">
        <v>2</v>
      </c>
      <c r="AO50" s="21" t="s">
        <v>314</v>
      </c>
      <c r="AP50" s="21" t="s">
        <v>315</v>
      </c>
      <c r="AQ50" s="52" t="str">
        <f t="shared" si="2"/>
        <v>Changement multiple - supprimer even Cessation d’activité et even Principal - Scénario id 4</v>
      </c>
    </row>
    <row r="51" spans="2:43" x14ac:dyDescent="0.25">
      <c r="B51" s="50">
        <v>5</v>
      </c>
      <c r="C51" s="50" t="s">
        <v>346</v>
      </c>
      <c r="D51" s="56">
        <v>1</v>
      </c>
      <c r="E51" s="56"/>
      <c r="F51" s="54">
        <f t="shared" si="1"/>
        <v>41275</v>
      </c>
      <c r="G51" s="54" t="s">
        <v>424</v>
      </c>
      <c r="H51" s="56" t="s">
        <v>293</v>
      </c>
      <c r="I51" s="56"/>
      <c r="J51" s="55">
        <f>DATE($AM51-$AN51+1,$AL51,$AK51)</f>
        <v>41640</v>
      </c>
      <c r="K51" s="55" t="s">
        <v>426</v>
      </c>
      <c r="L51" s="55"/>
      <c r="M51" s="55"/>
      <c r="N51" s="55">
        <f>DATE($AM51-$AN51+2,$AL51+3,$AK51)</f>
        <v>42095</v>
      </c>
      <c r="O51" s="54"/>
      <c r="P51" s="56"/>
      <c r="Q51" s="56"/>
      <c r="R51" s="55"/>
      <c r="S51" s="55"/>
      <c r="T51" s="55"/>
      <c r="U51" s="55"/>
      <c r="V51" s="55"/>
      <c r="W51" s="55" t="s">
        <v>426</v>
      </c>
      <c r="X51" s="55"/>
      <c r="Y51" s="55"/>
      <c r="Z51" s="55">
        <f>DATE($AM51-$AN51+2,$AL51+3,$AK51)</f>
        <v>42095</v>
      </c>
      <c r="AA51" s="55" t="s">
        <v>424</v>
      </c>
      <c r="AB51" s="55" t="s">
        <v>293</v>
      </c>
      <c r="AC51" s="55"/>
      <c r="AD51" s="55">
        <f>DATE($AM51-$AN51+1,$AL51,$AK51)</f>
        <v>41640</v>
      </c>
      <c r="AE51" s="56">
        <v>20141</v>
      </c>
      <c r="AF51" s="57">
        <f>INDEX(barèmes!$D$2:$E$311,MATCH(AO51,barèmes!$D$2:$D$311,0),2)</f>
        <v>702.39</v>
      </c>
      <c r="AG51" s="57" t="s">
        <v>470</v>
      </c>
      <c r="AH51" s="56">
        <v>20153</v>
      </c>
      <c r="AI51" s="57">
        <f>INDEX(barèmes!$D$2:$E$311,MATCH(AP51,barèmes!$D$2:$D$311,0),2)</f>
        <v>719.12</v>
      </c>
      <c r="AJ51" s="57" t="s">
        <v>470</v>
      </c>
      <c r="AK51" s="56">
        <v>1</v>
      </c>
      <c r="AL51" s="56">
        <v>1</v>
      </c>
      <c r="AM51" s="36">
        <v>2015</v>
      </c>
      <c r="AN51" s="56">
        <v>2</v>
      </c>
      <c r="AO51" s="21" t="s">
        <v>312</v>
      </c>
      <c r="AP51" s="21" t="s">
        <v>304</v>
      </c>
      <c r="AQ51" s="52" t="str">
        <f t="shared" si="2"/>
        <v>Changement multiple - supprimer even Décès et even Complémentaire - Scénario id 5</v>
      </c>
    </row>
    <row r="52" spans="2:43" x14ac:dyDescent="0.25">
      <c r="B52" s="50">
        <v>6</v>
      </c>
      <c r="C52" s="50" t="s">
        <v>346</v>
      </c>
      <c r="D52" s="56">
        <v>1</v>
      </c>
      <c r="E52" s="56" t="s">
        <v>93</v>
      </c>
      <c r="F52" s="54">
        <f t="shared" si="1"/>
        <v>41275</v>
      </c>
      <c r="G52" s="54" t="s">
        <v>424</v>
      </c>
      <c r="H52" s="56" t="s">
        <v>293</v>
      </c>
      <c r="I52" s="56" t="s">
        <v>90</v>
      </c>
      <c r="J52" s="55">
        <f>DATE($AM52-$AN52+1,$AL52,$AK52)</f>
        <v>41640</v>
      </c>
      <c r="K52" s="55" t="s">
        <v>426</v>
      </c>
      <c r="L52" s="55"/>
      <c r="M52" s="55"/>
      <c r="N52" s="55">
        <f>DATE($AM52-$AN52+2,$AL52+3,$AK52)</f>
        <v>42095</v>
      </c>
      <c r="O52" s="54"/>
      <c r="P52" s="56"/>
      <c r="Q52" s="56"/>
      <c r="R52" s="55"/>
      <c r="S52" s="55"/>
      <c r="T52" s="55"/>
      <c r="U52" s="55"/>
      <c r="V52" s="55"/>
      <c r="W52" s="55" t="s">
        <v>426</v>
      </c>
      <c r="X52" s="55"/>
      <c r="Y52" s="55"/>
      <c r="Z52" s="55">
        <f>DATE($AM52-$AN52+2,$AL52+3,$AK52)</f>
        <v>42095</v>
      </c>
      <c r="AA52" s="55" t="s">
        <v>424</v>
      </c>
      <c r="AB52" s="55" t="s">
        <v>293</v>
      </c>
      <c r="AC52" s="55" t="s">
        <v>90</v>
      </c>
      <c r="AD52" s="55">
        <f>DATE($AM52-$AN52+1,$AL52,$AK52)</f>
        <v>41640</v>
      </c>
      <c r="AE52" s="56">
        <v>20141</v>
      </c>
      <c r="AF52" s="57">
        <f>INDEX(barèmes!$D$2:$E$311,MATCH(AO52,barèmes!$D$2:$D$311,0),2)</f>
        <v>367.94</v>
      </c>
      <c r="AG52" s="57" t="s">
        <v>470</v>
      </c>
      <c r="AH52" s="56">
        <v>20153</v>
      </c>
      <c r="AI52" s="57">
        <f>INDEX(barèmes!$D$2:$E$311,MATCH(AP52,barèmes!$D$2:$D$311,0),2)</f>
        <v>376.7</v>
      </c>
      <c r="AJ52" s="57" t="s">
        <v>470</v>
      </c>
      <c r="AK52" s="56">
        <v>1</v>
      </c>
      <c r="AL52" s="56">
        <v>1</v>
      </c>
      <c r="AM52" s="36">
        <v>2015</v>
      </c>
      <c r="AN52" s="56">
        <v>2</v>
      </c>
      <c r="AO52" s="21" t="s">
        <v>327</v>
      </c>
      <c r="AP52" s="21" t="s">
        <v>329</v>
      </c>
      <c r="AQ52" s="52" t="str">
        <f t="shared" si="2"/>
        <v>Changement multiple - supprimer even Décès et even Complémentaire EXO - Scénario id 6</v>
      </c>
    </row>
    <row r="53" spans="2:43" x14ac:dyDescent="0.25">
      <c r="B53" s="50">
        <v>7</v>
      </c>
      <c r="C53" s="50" t="s">
        <v>346</v>
      </c>
      <c r="D53" s="56">
        <v>5</v>
      </c>
      <c r="E53" s="56"/>
      <c r="F53" s="54">
        <f t="shared" si="1"/>
        <v>41640</v>
      </c>
      <c r="G53" s="54" t="s">
        <v>424</v>
      </c>
      <c r="H53" s="56" t="s">
        <v>291</v>
      </c>
      <c r="I53" s="56"/>
      <c r="J53" s="55">
        <f>DATE($AM53-$AN53+1,$AL53,$AK53)</f>
        <v>42005</v>
      </c>
      <c r="K53" s="55" t="s">
        <v>363</v>
      </c>
      <c r="L53" s="55"/>
      <c r="M53" s="55"/>
      <c r="N53" s="55">
        <f>DATE($AM53-$AN53+1,$AL53+5,$AK53+29)</f>
        <v>42185</v>
      </c>
      <c r="O53" s="54"/>
      <c r="P53" s="56"/>
      <c r="Q53" s="56"/>
      <c r="R53" s="55"/>
      <c r="S53" s="55"/>
      <c r="T53" s="55"/>
      <c r="U53" s="55"/>
      <c r="V53" s="55"/>
      <c r="W53" s="55" t="s">
        <v>363</v>
      </c>
      <c r="X53" s="55"/>
      <c r="Y53" s="55"/>
      <c r="Z53" s="55">
        <f>DATE($AM53-$AN53+1,$AL53+5,$AK53+29)</f>
        <v>42185</v>
      </c>
      <c r="AA53" s="55" t="s">
        <v>424</v>
      </c>
      <c r="AB53" s="55" t="s">
        <v>291</v>
      </c>
      <c r="AC53" s="55"/>
      <c r="AD53" s="55">
        <f>DATE($AM53-$AN53+1,$AL53,$AK53)</f>
        <v>42005</v>
      </c>
      <c r="AE53" s="56">
        <v>20151</v>
      </c>
      <c r="AF53" s="57">
        <f>INDEX(barèmes!$D$2:$E$311,MATCH(AO53,barèmes!$D$2:$D$311,0),2)</f>
        <v>308.55</v>
      </c>
      <c r="AG53" s="57" t="s">
        <v>471</v>
      </c>
      <c r="AH53" s="56">
        <v>20153</v>
      </c>
      <c r="AI53" s="57">
        <f>INDEX(barèmes!$D$2:$E$311,MATCH(AP53,barèmes!$D$2:$D$311,0),2)</f>
        <v>308.55</v>
      </c>
      <c r="AJ53" s="57" t="s">
        <v>471</v>
      </c>
      <c r="AK53" s="56">
        <v>1</v>
      </c>
      <c r="AL53" s="56">
        <v>1</v>
      </c>
      <c r="AM53" s="36">
        <v>2015</v>
      </c>
      <c r="AN53" s="56">
        <v>1</v>
      </c>
      <c r="AO53" s="21" t="s">
        <v>321</v>
      </c>
      <c r="AP53" s="21" t="s">
        <v>321</v>
      </c>
      <c r="AQ53" s="52" t="str">
        <f t="shared" si="2"/>
        <v>Changement multiple - supprimer even Cessation d’activité et even Principal - Scénario id 7</v>
      </c>
    </row>
    <row r="54" spans="2:43" x14ac:dyDescent="0.25">
      <c r="B54" s="50">
        <v>8</v>
      </c>
      <c r="C54" s="50" t="s">
        <v>346</v>
      </c>
      <c r="D54" s="56">
        <v>1</v>
      </c>
      <c r="E54" s="56" t="s">
        <v>425</v>
      </c>
      <c r="F54" s="54">
        <f t="shared" si="1"/>
        <v>41640</v>
      </c>
      <c r="G54" s="54" t="s">
        <v>424</v>
      </c>
      <c r="H54" s="56" t="s">
        <v>293</v>
      </c>
      <c r="I54" s="56"/>
      <c r="J54" s="55">
        <f>DATE($AM54-$AN54,$AL54+9,$AK54)</f>
        <v>41913</v>
      </c>
      <c r="K54" s="55" t="s">
        <v>424</v>
      </c>
      <c r="L54" s="55" t="s">
        <v>291</v>
      </c>
      <c r="M54" s="55" t="s">
        <v>93</v>
      </c>
      <c r="N54" s="55">
        <f>DATE($AM54+1-$AN54,$AL54+3,$AK54)</f>
        <v>42095</v>
      </c>
      <c r="O54" s="54"/>
      <c r="P54" s="56"/>
      <c r="Q54" s="56"/>
      <c r="R54" s="55"/>
      <c r="S54" s="55"/>
      <c r="T54" s="55"/>
      <c r="U54" s="55"/>
      <c r="V54" s="55"/>
      <c r="W54" s="55" t="s">
        <v>424</v>
      </c>
      <c r="X54" s="55" t="s">
        <v>291</v>
      </c>
      <c r="Y54" s="55" t="s">
        <v>93</v>
      </c>
      <c r="Z54" s="55">
        <f>DATE($AM54+1-$AN54,$AL54+3,$AK54)</f>
        <v>42095</v>
      </c>
      <c r="AA54" s="55" t="s">
        <v>424</v>
      </c>
      <c r="AB54" s="55" t="s">
        <v>293</v>
      </c>
      <c r="AC54" s="55"/>
      <c r="AD54" s="55">
        <f>DATE($AM54-$AN54,$AL54+9,$AK54)</f>
        <v>41913</v>
      </c>
      <c r="AE54" s="56">
        <v>20144</v>
      </c>
      <c r="AF54" s="57">
        <f>INDEX(barèmes!$D$2:$E$311,MATCH(AO54,barèmes!$D$2:$D$311,0),2)</f>
        <v>685.66</v>
      </c>
      <c r="AG54" s="57" t="s">
        <v>470</v>
      </c>
      <c r="AH54" s="56">
        <v>20153</v>
      </c>
      <c r="AI54" s="57">
        <f>INDEX(barèmes!$D$2:$E$311,MATCH(AP54,barèmes!$D$2:$D$311,0),2)</f>
        <v>702.39</v>
      </c>
      <c r="AJ54" s="57" t="s">
        <v>470</v>
      </c>
      <c r="AK54" s="56">
        <v>1</v>
      </c>
      <c r="AL54" s="56">
        <v>1</v>
      </c>
      <c r="AM54" s="36">
        <v>2015</v>
      </c>
      <c r="AN54" s="56">
        <v>1</v>
      </c>
      <c r="AO54" s="21" t="s">
        <v>322</v>
      </c>
      <c r="AP54" s="21" t="s">
        <v>331</v>
      </c>
      <c r="AQ54" s="52" t="str">
        <f t="shared" si="2"/>
        <v>Changement multiple - supprimer even Principal RED et even Complémentaire - Scénario id 8</v>
      </c>
    </row>
    <row r="55" spans="2:43" x14ac:dyDescent="0.25">
      <c r="B55" s="50">
        <v>9</v>
      </c>
      <c r="C55" s="50" t="s">
        <v>346</v>
      </c>
      <c r="D55" s="56">
        <v>1</v>
      </c>
      <c r="E55" s="56" t="s">
        <v>93</v>
      </c>
      <c r="F55" s="54">
        <f t="shared" si="1"/>
        <v>41364</v>
      </c>
      <c r="G55" s="54" t="s">
        <v>424</v>
      </c>
      <c r="H55" s="56" t="s">
        <v>293</v>
      </c>
      <c r="I55" s="56"/>
      <c r="J55" s="55">
        <f>DATE($AM55-$AN55+1,$AL55+6,$AK55)</f>
        <v>41913</v>
      </c>
      <c r="K55" s="55" t="s">
        <v>424</v>
      </c>
      <c r="L55" s="55" t="s">
        <v>291</v>
      </c>
      <c r="M55" s="55" t="s">
        <v>425</v>
      </c>
      <c r="N55" s="55">
        <f>DATE($AM55-$AN55+2,$AL55,$AK55+1)</f>
        <v>42095</v>
      </c>
      <c r="O55" s="54"/>
      <c r="P55" s="56"/>
      <c r="Q55" s="56"/>
      <c r="R55" s="55"/>
      <c r="S55" s="55"/>
      <c r="T55" s="55"/>
      <c r="U55" s="55"/>
      <c r="V55" s="55"/>
      <c r="W55" s="55" t="s">
        <v>424</v>
      </c>
      <c r="X55" s="55" t="s">
        <v>291</v>
      </c>
      <c r="Y55" s="55" t="s">
        <v>425</v>
      </c>
      <c r="Z55" s="55">
        <f>DATE($AM55-$AN55+2,$AL55,$AK55+1)</f>
        <v>42095</v>
      </c>
      <c r="AA55" s="55" t="s">
        <v>424</v>
      </c>
      <c r="AB55" s="55" t="s">
        <v>293</v>
      </c>
      <c r="AC55" s="55"/>
      <c r="AD55" s="55">
        <f>DATE($AM55-$AN55+1,$AL55+6,$AK55)</f>
        <v>41913</v>
      </c>
      <c r="AE55" s="56">
        <v>20141</v>
      </c>
      <c r="AF55" s="57">
        <f>INDEX(barèmes!$D$2:$E$311,MATCH(AO55,barèmes!$D$2:$D$311,0),2)</f>
        <v>367.94</v>
      </c>
      <c r="AG55" s="57" t="s">
        <v>470</v>
      </c>
      <c r="AH55" s="56">
        <v>20153</v>
      </c>
      <c r="AI55" s="57">
        <f>INDEX(barèmes!$D$2:$E$311,MATCH(AP55,barèmes!$D$2:$D$311,0),2)</f>
        <v>376.7</v>
      </c>
      <c r="AJ55" s="57" t="s">
        <v>470</v>
      </c>
      <c r="AK55" s="56">
        <v>31</v>
      </c>
      <c r="AL55" s="56">
        <v>3</v>
      </c>
      <c r="AM55" s="36">
        <v>2015</v>
      </c>
      <c r="AN55" s="56">
        <v>2</v>
      </c>
      <c r="AO55" s="21" t="s">
        <v>327</v>
      </c>
      <c r="AP55" s="21" t="s">
        <v>329</v>
      </c>
      <c r="AQ55" s="52" t="str">
        <f t="shared" si="2"/>
        <v>Changement multiple - supprimer even Principal et even Complémentaire - Scénario id 9</v>
      </c>
    </row>
    <row r="56" spans="2:43" x14ac:dyDescent="0.25">
      <c r="B56" s="50">
        <v>10</v>
      </c>
      <c r="C56" s="50" t="s">
        <v>346</v>
      </c>
      <c r="D56" s="56">
        <v>4</v>
      </c>
      <c r="E56" s="56"/>
      <c r="F56" s="54">
        <f t="shared" si="1"/>
        <v>41275</v>
      </c>
      <c r="G56" s="54" t="s">
        <v>424</v>
      </c>
      <c r="H56" s="56" t="s">
        <v>293</v>
      </c>
      <c r="I56" s="56" t="s">
        <v>90</v>
      </c>
      <c r="J56" s="55">
        <f>DATE($AM56-$AN56+1,$AL56,$AK56)</f>
        <v>41640</v>
      </c>
      <c r="K56" s="55" t="s">
        <v>424</v>
      </c>
      <c r="L56" s="55" t="s">
        <v>291</v>
      </c>
      <c r="M56" s="55" t="s">
        <v>93</v>
      </c>
      <c r="N56" s="55">
        <f>DATE($AM56-$AN56+2,$AL56,$AK56)</f>
        <v>42005</v>
      </c>
      <c r="O56" s="54"/>
      <c r="P56" s="56"/>
      <c r="Q56" s="56"/>
      <c r="R56" s="55"/>
      <c r="S56" s="55"/>
      <c r="T56" s="55"/>
      <c r="U56" s="55"/>
      <c r="V56" s="55"/>
      <c r="W56" s="55" t="s">
        <v>424</v>
      </c>
      <c r="X56" s="55" t="s">
        <v>291</v>
      </c>
      <c r="Y56" s="55" t="s">
        <v>93</v>
      </c>
      <c r="Z56" s="55">
        <f>DATE($AM56-$AN56+2,$AL56,$AK56)</f>
        <v>42005</v>
      </c>
      <c r="AA56" s="55" t="s">
        <v>424</v>
      </c>
      <c r="AB56" s="55" t="s">
        <v>293</v>
      </c>
      <c r="AC56" s="55" t="s">
        <v>90</v>
      </c>
      <c r="AD56" s="55">
        <f>DATE($AM56-$AN56+1,$AL56,$AK56)</f>
        <v>41640</v>
      </c>
      <c r="AE56" s="56">
        <v>20141</v>
      </c>
      <c r="AF56" s="57">
        <f>INDEX(barèmes!$D$2:$E$311,MATCH(AO56,barèmes!$D$2:$D$311,0),2)</f>
        <v>77.7</v>
      </c>
      <c r="AG56" s="57" t="s">
        <v>469</v>
      </c>
      <c r="AH56" s="56">
        <v>20151</v>
      </c>
      <c r="AI56" s="57">
        <f>INDEX(barèmes!$D$2:$E$311,MATCH(AP56,barèmes!$D$2:$D$311,0),2)</f>
        <v>79.55</v>
      </c>
      <c r="AJ56" s="57" t="s">
        <v>469</v>
      </c>
      <c r="AK56" s="56">
        <v>1</v>
      </c>
      <c r="AL56" s="56">
        <v>1</v>
      </c>
      <c r="AM56" s="36">
        <v>2015</v>
      </c>
      <c r="AN56" s="56">
        <v>2</v>
      </c>
      <c r="AO56" s="21" t="s">
        <v>330</v>
      </c>
      <c r="AP56" s="21" t="s">
        <v>316</v>
      </c>
      <c r="AQ56" s="52" t="str">
        <f t="shared" si="2"/>
        <v>Changement multiple - supprimer even Principal RED et even Complémentaire EXO - Scénario id 10</v>
      </c>
    </row>
    <row r="57" spans="2:43" x14ac:dyDescent="0.25">
      <c r="B57" s="50">
        <v>11</v>
      </c>
      <c r="C57" s="50" t="s">
        <v>346</v>
      </c>
      <c r="D57" s="56">
        <v>5</v>
      </c>
      <c r="E57" s="56"/>
      <c r="F57" s="54">
        <f t="shared" si="1"/>
        <v>41275</v>
      </c>
      <c r="G57" s="54" t="s">
        <v>424</v>
      </c>
      <c r="H57" s="56" t="s">
        <v>291</v>
      </c>
      <c r="I57" s="56"/>
      <c r="J57" s="55">
        <f>DATE($AM57-$AN57+1,$AL57,$AK57)</f>
        <v>41640</v>
      </c>
      <c r="K57" s="55" t="s">
        <v>424</v>
      </c>
      <c r="L57" s="55" t="s">
        <v>293</v>
      </c>
      <c r="M57" s="55"/>
      <c r="N57" s="55">
        <f>DATE($AM57-$AN57+2,$AL57,$AK57)</f>
        <v>42005</v>
      </c>
      <c r="O57" s="54"/>
      <c r="P57" s="56"/>
      <c r="Q57" s="56"/>
      <c r="R57" s="55"/>
      <c r="S57" s="55"/>
      <c r="T57" s="55"/>
      <c r="U57" s="55"/>
      <c r="V57" s="55"/>
      <c r="W57" s="55" t="s">
        <v>424</v>
      </c>
      <c r="X57" s="55" t="s">
        <v>293</v>
      </c>
      <c r="Y57" s="55"/>
      <c r="Z57" s="55">
        <f>DATE($AM57-$AN57+2,$AL57,$AK57)</f>
        <v>42005</v>
      </c>
      <c r="AA57" s="55" t="s">
        <v>424</v>
      </c>
      <c r="AB57" s="55" t="s">
        <v>291</v>
      </c>
      <c r="AC57" s="55"/>
      <c r="AD57" s="55">
        <f>DATE($AM57-$AN57+1,$AL57,$AK57)</f>
        <v>41640</v>
      </c>
      <c r="AE57" s="56">
        <v>20141</v>
      </c>
      <c r="AF57" s="57">
        <f>INDEX(barèmes!$D$2:$E$311,MATCH(AO57,barèmes!$D$2:$D$311,0),2)</f>
        <v>308.55</v>
      </c>
      <c r="AG57" s="57" t="s">
        <v>471</v>
      </c>
      <c r="AH57" s="56">
        <v>20151</v>
      </c>
      <c r="AI57" s="57">
        <f>INDEX(barèmes!$D$2:$E$311,MATCH(AP57,barèmes!$D$2:$D$311,0),2)</f>
        <v>315.89999999999998</v>
      </c>
      <c r="AJ57" s="57" t="s">
        <v>471</v>
      </c>
      <c r="AK57" s="56">
        <v>1</v>
      </c>
      <c r="AL57" s="56">
        <v>1</v>
      </c>
      <c r="AM57" s="36">
        <v>2015</v>
      </c>
      <c r="AN57" s="56">
        <v>2</v>
      </c>
      <c r="AO57" s="21" t="s">
        <v>323</v>
      </c>
      <c r="AP57" s="21" t="s">
        <v>319</v>
      </c>
      <c r="AQ57" s="52" t="str">
        <f t="shared" si="2"/>
        <v>Changement multiple - supprimer even Complémentaire et even Principal - Scénario id 11</v>
      </c>
    </row>
    <row r="58" spans="2:43" x14ac:dyDescent="0.25">
      <c r="B58" s="50">
        <v>12</v>
      </c>
      <c r="C58" s="50" t="s">
        <v>346</v>
      </c>
      <c r="D58" s="56">
        <v>1</v>
      </c>
      <c r="E58" s="56"/>
      <c r="F58" s="54">
        <f t="shared" si="1"/>
        <v>41275</v>
      </c>
      <c r="G58" s="54" t="s">
        <v>424</v>
      </c>
      <c r="H58" s="56" t="s">
        <v>293</v>
      </c>
      <c r="I58" s="56"/>
      <c r="J58" s="55">
        <f>DATE($AM58-$AN58+2,$AL58,$AK58)</f>
        <v>42005</v>
      </c>
      <c r="K58" s="55" t="s">
        <v>363</v>
      </c>
      <c r="L58" s="55"/>
      <c r="M58" s="55"/>
      <c r="N58" s="55">
        <f>DATE($AM58-$AN58+2,$AL58+5,$AK58+29)</f>
        <v>42185</v>
      </c>
      <c r="O58" s="54"/>
      <c r="P58" s="56"/>
      <c r="Q58" s="56"/>
      <c r="R58" s="55"/>
      <c r="S58" s="55"/>
      <c r="T58" s="55"/>
      <c r="U58" s="55"/>
      <c r="V58" s="55"/>
      <c r="W58" s="55" t="s">
        <v>424</v>
      </c>
      <c r="X58" s="55" t="s">
        <v>293</v>
      </c>
      <c r="Y58" s="55"/>
      <c r="Z58" s="55">
        <f>DATE($AM58-$AN58+2,$AL58,$AK58)</f>
        <v>42005</v>
      </c>
      <c r="AA58" s="55"/>
      <c r="AB58" s="55"/>
      <c r="AC58" s="55"/>
      <c r="AD58" s="55"/>
      <c r="AE58" s="56">
        <v>20152</v>
      </c>
      <c r="AF58" s="57">
        <f>INDEX(barèmes!$D$2:$E$311,MATCH(AO58,barèmes!$D$2:$D$311,0),2)</f>
        <v>719.12</v>
      </c>
      <c r="AG58" s="57" t="s">
        <v>470</v>
      </c>
      <c r="AH58" s="56">
        <v>20153</v>
      </c>
      <c r="AI58" s="57" t="str">
        <f>INDEX(barèmes!$D$2:$E$311,MATCH(AP58,barèmes!$D$2:$D$311,0),2)</f>
        <v/>
      </c>
      <c r="AJ58" s="57"/>
      <c r="AK58" s="56">
        <v>1</v>
      </c>
      <c r="AL58" s="56">
        <v>1</v>
      </c>
      <c r="AM58" s="36">
        <v>2015</v>
      </c>
      <c r="AN58" s="56">
        <v>2</v>
      </c>
      <c r="AO58" s="21" t="s">
        <v>304</v>
      </c>
      <c r="AP58" s="21" t="s">
        <v>401</v>
      </c>
      <c r="AQ58" s="52" t="str">
        <f t="shared" si="2"/>
        <v>Changement multiple - supprimer even Complémentaire - Scénario id 12</v>
      </c>
    </row>
    <row r="59" spans="2:43" x14ac:dyDescent="0.25">
      <c r="B59" s="50">
        <v>13</v>
      </c>
      <c r="C59" s="50" t="s">
        <v>346</v>
      </c>
      <c r="D59" s="56">
        <v>1</v>
      </c>
      <c r="E59" s="56"/>
      <c r="F59" s="54">
        <f t="shared" si="1"/>
        <v>41821</v>
      </c>
      <c r="G59" s="54" t="s">
        <v>424</v>
      </c>
      <c r="H59" s="56" t="s">
        <v>293</v>
      </c>
      <c r="I59" s="56"/>
      <c r="J59" s="55">
        <f>DATE($AM59-$AN59,$AL59+6,$AK59)</f>
        <v>42005</v>
      </c>
      <c r="K59" s="55" t="s">
        <v>363</v>
      </c>
      <c r="L59" s="55"/>
      <c r="M59" s="55"/>
      <c r="N59" s="55">
        <f>DATE($AM59-$AN59,$AL59+9,$AK59+2)</f>
        <v>42097</v>
      </c>
      <c r="O59" s="54"/>
      <c r="P59" s="56"/>
      <c r="Q59" s="56"/>
      <c r="R59" s="55"/>
      <c r="S59" s="55"/>
      <c r="T59" s="55"/>
      <c r="U59" s="55"/>
      <c r="V59" s="55"/>
      <c r="W59" s="55" t="s">
        <v>424</v>
      </c>
      <c r="X59" s="55" t="s">
        <v>293</v>
      </c>
      <c r="Y59" s="55"/>
      <c r="Z59" s="55">
        <f>DATE($AM59-$AN59,$AL59+6,$AK59)</f>
        <v>42005</v>
      </c>
      <c r="AA59" s="55"/>
      <c r="AB59" s="55"/>
      <c r="AC59" s="55"/>
      <c r="AD59" s="55"/>
      <c r="AE59" s="56">
        <v>20152</v>
      </c>
      <c r="AF59" s="57">
        <f>INDEX(barèmes!$D$2:$E$311,MATCH(AO59,barèmes!$D$2:$D$311,0),2)</f>
        <v>685.66</v>
      </c>
      <c r="AG59" s="57" t="s">
        <v>470</v>
      </c>
      <c r="AH59" s="56">
        <v>20153</v>
      </c>
      <c r="AI59" s="57" t="str">
        <f>INDEX(barèmes!$D$2:$E$311,MATCH(AP59,barèmes!$D$2:$D$311,0),2)</f>
        <v/>
      </c>
      <c r="AJ59" s="57"/>
      <c r="AK59" s="56">
        <v>1</v>
      </c>
      <c r="AL59" s="56">
        <v>7</v>
      </c>
      <c r="AM59" s="36">
        <v>2015</v>
      </c>
      <c r="AN59" s="56">
        <v>1</v>
      </c>
      <c r="AO59" s="21" t="s">
        <v>332</v>
      </c>
      <c r="AP59" s="21" t="s">
        <v>401</v>
      </c>
      <c r="AQ59" s="52" t="str">
        <f t="shared" si="2"/>
        <v>Changement multiple - supprimer even Complémentaire - Scénario id 13</v>
      </c>
    </row>
    <row r="60" spans="2:43" x14ac:dyDescent="0.25">
      <c r="B60" s="50">
        <v>14</v>
      </c>
      <c r="C60" s="50" t="s">
        <v>346</v>
      </c>
      <c r="D60" s="56">
        <v>4</v>
      </c>
      <c r="E60" s="56"/>
      <c r="F60" s="54">
        <f t="shared" si="1"/>
        <v>41091</v>
      </c>
      <c r="G60" s="54" t="s">
        <v>424</v>
      </c>
      <c r="H60" s="56" t="s">
        <v>291</v>
      </c>
      <c r="I60" s="56"/>
      <c r="J60" s="55">
        <f>DATE($AM60-$AN60+1,$AL60+3,$AK60)</f>
        <v>41548</v>
      </c>
      <c r="K60" s="55" t="s">
        <v>363</v>
      </c>
      <c r="L60" s="55"/>
      <c r="M60" s="55"/>
      <c r="N60" s="55">
        <f>DATE($AM60-$AN60+2,$AL60+8,$AK60+30)</f>
        <v>42094</v>
      </c>
      <c r="O60" s="54"/>
      <c r="P60" s="56"/>
      <c r="Q60" s="56"/>
      <c r="R60" s="55"/>
      <c r="S60" s="55"/>
      <c r="T60" s="55"/>
      <c r="U60" s="55"/>
      <c r="V60" s="55"/>
      <c r="W60" s="55" t="s">
        <v>424</v>
      </c>
      <c r="X60" s="55" t="s">
        <v>291</v>
      </c>
      <c r="Y60" s="55"/>
      <c r="Z60" s="55">
        <f>DATE($AM60-$AN60+1,$AL60+3,$AK60)</f>
        <v>41548</v>
      </c>
      <c r="AA60" s="55"/>
      <c r="AB60" s="55"/>
      <c r="AC60" s="55"/>
      <c r="AD60" s="55"/>
      <c r="AE60" s="56">
        <v>20151</v>
      </c>
      <c r="AF60" s="57">
        <f>INDEX(barèmes!$D$2:$E$311,MATCH(AO60,barèmes!$D$2:$D$311,0),2)</f>
        <v>79.55</v>
      </c>
      <c r="AG60" s="57" t="s">
        <v>469</v>
      </c>
      <c r="AH60" s="56">
        <v>20152</v>
      </c>
      <c r="AI60" s="57" t="str">
        <f>INDEX(barèmes!$D$2:$E$311,MATCH(AP60,barèmes!$D$2:$D$311,0),2)</f>
        <v/>
      </c>
      <c r="AJ60" s="57"/>
      <c r="AK60" s="56">
        <v>1</v>
      </c>
      <c r="AL60" s="56">
        <v>7</v>
      </c>
      <c r="AM60" s="36">
        <v>2015</v>
      </c>
      <c r="AN60" s="56">
        <v>3</v>
      </c>
      <c r="AO60" s="21" t="s">
        <v>316</v>
      </c>
      <c r="AP60" s="21" t="s">
        <v>401</v>
      </c>
      <c r="AQ60" s="52" t="str">
        <f t="shared" si="2"/>
        <v>Changement multiple - supprimer even Principal - Scénario id 14</v>
      </c>
    </row>
    <row r="61" spans="2:43" x14ac:dyDescent="0.25">
      <c r="B61" s="50">
        <v>15</v>
      </c>
      <c r="C61" s="50" t="s">
        <v>346</v>
      </c>
      <c r="D61" s="56">
        <v>5</v>
      </c>
      <c r="E61" s="56"/>
      <c r="F61" s="54">
        <f t="shared" si="1"/>
        <v>41091</v>
      </c>
      <c r="G61" s="54" t="s">
        <v>424</v>
      </c>
      <c r="H61" s="56" t="s">
        <v>291</v>
      </c>
      <c r="I61" s="56"/>
      <c r="J61" s="55">
        <f>DATE($AM61-$AN61+1,$AL61+3,$AK61)</f>
        <v>41548</v>
      </c>
      <c r="K61" s="55" t="s">
        <v>363</v>
      </c>
      <c r="L61" s="55"/>
      <c r="M61" s="55"/>
      <c r="N61" s="55">
        <f>DATE($AM61-$AN61+2,$AL61+9,$AK61)</f>
        <v>42095</v>
      </c>
      <c r="O61" s="54"/>
      <c r="P61" s="56"/>
      <c r="Q61" s="56"/>
      <c r="R61" s="55"/>
      <c r="S61" s="55"/>
      <c r="T61" s="55"/>
      <c r="U61" s="55"/>
      <c r="V61" s="55"/>
      <c r="W61" s="55" t="s">
        <v>424</v>
      </c>
      <c r="X61" s="55" t="s">
        <v>291</v>
      </c>
      <c r="Y61" s="55"/>
      <c r="Z61" s="55">
        <f>DATE($AM61-$AN61+1,$AL61+3,$AK61)</f>
        <v>41548</v>
      </c>
      <c r="AA61" s="55"/>
      <c r="AB61" s="55"/>
      <c r="AC61" s="55"/>
      <c r="AD61" s="55"/>
      <c r="AE61" s="56">
        <v>20152</v>
      </c>
      <c r="AF61" s="57">
        <f>INDEX(barèmes!$D$2:$E$311,MATCH(AO61,barèmes!$D$2:$D$311,0),2)</f>
        <v>315.89999999999998</v>
      </c>
      <c r="AG61" s="57" t="s">
        <v>471</v>
      </c>
      <c r="AH61" s="56">
        <v>20153</v>
      </c>
      <c r="AI61" s="57" t="str">
        <f>INDEX(barèmes!$D$2:$E$311,MATCH(AP61,barèmes!$D$2:$D$311,0),2)</f>
        <v/>
      </c>
      <c r="AJ61" s="57"/>
      <c r="AK61" s="56">
        <v>1</v>
      </c>
      <c r="AL61" s="56">
        <v>7</v>
      </c>
      <c r="AM61" s="36">
        <v>2015</v>
      </c>
      <c r="AN61" s="56">
        <v>3</v>
      </c>
      <c r="AO61" s="21" t="s">
        <v>319</v>
      </c>
      <c r="AP61" s="21" t="s">
        <v>401</v>
      </c>
      <c r="AQ61" s="52" t="str">
        <f t="shared" si="2"/>
        <v>Changement multiple - supprimer even Principal - Scénario id 15</v>
      </c>
    </row>
    <row r="62" spans="2:43" x14ac:dyDescent="0.25">
      <c r="B62" s="50">
        <v>16</v>
      </c>
      <c r="C62" s="50" t="s">
        <v>346</v>
      </c>
      <c r="D62" s="56">
        <v>1</v>
      </c>
      <c r="E62" s="56"/>
      <c r="F62" s="54">
        <f t="shared" si="1"/>
        <v>41456</v>
      </c>
      <c r="G62" s="54" t="s">
        <v>424</v>
      </c>
      <c r="H62" s="56" t="s">
        <v>293</v>
      </c>
      <c r="I62" s="56"/>
      <c r="J62" s="55">
        <f>DATE($AM62-$AN62,$AL62+6,$AK62)</f>
        <v>41640</v>
      </c>
      <c r="K62" s="55" t="s">
        <v>426</v>
      </c>
      <c r="L62" s="55"/>
      <c r="M62" s="55"/>
      <c r="N62" s="55">
        <f>DATE($AM62-$AN62+2,$AL62+2,$AK62+29)</f>
        <v>42277</v>
      </c>
      <c r="O62" s="54"/>
      <c r="P62" s="56"/>
      <c r="Q62" s="56"/>
      <c r="R62" s="55"/>
      <c r="S62" s="55"/>
      <c r="T62" s="55"/>
      <c r="U62" s="55"/>
      <c r="V62" s="55"/>
      <c r="W62" s="55" t="s">
        <v>424</v>
      </c>
      <c r="X62" s="55" t="s">
        <v>293</v>
      </c>
      <c r="Y62" s="55"/>
      <c r="Z62" s="55">
        <f>DATE($AM62-$AN62,$AL62+6,$AK62)</f>
        <v>41640</v>
      </c>
      <c r="AA62" s="55"/>
      <c r="AB62" s="55"/>
      <c r="AC62" s="55"/>
      <c r="AD62" s="55"/>
      <c r="AE62" s="56">
        <v>20152</v>
      </c>
      <c r="AF62" s="57">
        <f>INDEX(barèmes!$D$2:$E$311,MATCH(AO62,barèmes!$D$2:$D$311,0),2)</f>
        <v>702.39</v>
      </c>
      <c r="AG62" s="57" t="s">
        <v>470</v>
      </c>
      <c r="AH62" s="56">
        <v>20153</v>
      </c>
      <c r="AI62" s="57" t="str">
        <f>INDEX(barèmes!$D$2:$E$311,MATCH(AP62,barèmes!$D$2:$D$311,0),2)</f>
        <v/>
      </c>
      <c r="AJ62" s="57"/>
      <c r="AK62" s="56">
        <v>1</v>
      </c>
      <c r="AL62" s="56">
        <v>7</v>
      </c>
      <c r="AM62" s="36">
        <v>2015</v>
      </c>
      <c r="AN62" s="56">
        <v>2</v>
      </c>
      <c r="AO62" s="21" t="s">
        <v>331</v>
      </c>
      <c r="AP62" s="21" t="s">
        <v>401</v>
      </c>
      <c r="AQ62" s="52" t="str">
        <f t="shared" si="2"/>
        <v>Changement multiple - supprimer even Complémentaire - Scénario id 16</v>
      </c>
    </row>
    <row r="63" spans="2:43" x14ac:dyDescent="0.25">
      <c r="B63" s="50">
        <v>17</v>
      </c>
      <c r="C63" s="50" t="s">
        <v>346</v>
      </c>
      <c r="D63" s="50">
        <v>1</v>
      </c>
      <c r="F63" s="53">
        <v>42095</v>
      </c>
      <c r="G63" s="50" t="s">
        <v>363</v>
      </c>
      <c r="J63" s="55">
        <f>DATE($AM63-$AN63,$AL63+6,$AK63+30)</f>
        <v>42308</v>
      </c>
      <c r="W63" s="50" t="s">
        <v>363</v>
      </c>
      <c r="Z63" s="55">
        <f>DATE($AM63-$AN63,$AL63+6,$AK63+30)</f>
        <v>42308</v>
      </c>
      <c r="AE63" s="50">
        <v>20154</v>
      </c>
      <c r="AF63" s="36">
        <v>685.66</v>
      </c>
      <c r="AG63" s="36" t="s">
        <v>470</v>
      </c>
      <c r="AH63" s="50">
        <v>20161</v>
      </c>
      <c r="AI63" s="36">
        <v>693.81</v>
      </c>
      <c r="AJ63" s="36" t="s">
        <v>470</v>
      </c>
      <c r="AK63" s="50">
        <v>1</v>
      </c>
      <c r="AL63" s="50">
        <v>4</v>
      </c>
      <c r="AM63" s="36">
        <v>2015</v>
      </c>
      <c r="AN63" s="50">
        <v>0</v>
      </c>
      <c r="AO63" s="65">
        <v>120151</v>
      </c>
      <c r="AP63" s="65">
        <v>120161</v>
      </c>
      <c r="AQ63" s="52" t="str">
        <f t="shared" si="2"/>
        <v>Changement multiple - supprimer even Cessation d’activité - Scénario id 17</v>
      </c>
    </row>
    <row r="64" spans="2:43" x14ac:dyDescent="0.25">
      <c r="B64" s="50">
        <v>18</v>
      </c>
      <c r="C64" s="50" t="s">
        <v>346</v>
      </c>
      <c r="D64" s="50">
        <v>1</v>
      </c>
      <c r="E64" s="50" t="s">
        <v>93</v>
      </c>
      <c r="F64" s="53">
        <v>42095</v>
      </c>
      <c r="G64" s="50" t="s">
        <v>363</v>
      </c>
      <c r="J64" s="55">
        <f>DATE($AM64-$AN64,$AL64+6,$AK64+3)</f>
        <v>42281</v>
      </c>
      <c r="W64" s="50" t="s">
        <v>363</v>
      </c>
      <c r="Z64" s="55">
        <f>DATE($AM64-$AN64,$AL64+6,$AK64+3)</f>
        <v>42281</v>
      </c>
      <c r="AE64" s="50">
        <v>20154</v>
      </c>
      <c r="AF64" s="36">
        <v>359.18</v>
      </c>
      <c r="AG64" s="36" t="s">
        <v>470</v>
      </c>
      <c r="AH64" s="50">
        <v>20161</v>
      </c>
      <c r="AI64" s="36">
        <v>363.45</v>
      </c>
      <c r="AJ64" s="36" t="s">
        <v>470</v>
      </c>
      <c r="AK64" s="50">
        <v>1</v>
      </c>
      <c r="AL64" s="50">
        <v>4</v>
      </c>
      <c r="AM64" s="36">
        <v>2015</v>
      </c>
      <c r="AN64" s="50">
        <v>0</v>
      </c>
      <c r="AO64" s="36" t="s">
        <v>334</v>
      </c>
      <c r="AP64" s="36" t="s">
        <v>459</v>
      </c>
      <c r="AQ64" s="52" t="str">
        <f t="shared" si="2"/>
        <v>Changement multiple - supprimer even Cessation d’activité - Scénario id 18</v>
      </c>
    </row>
    <row r="65" spans="2:43" x14ac:dyDescent="0.25">
      <c r="B65" s="50">
        <v>19</v>
      </c>
      <c r="C65" s="50" t="s">
        <v>346</v>
      </c>
      <c r="D65" s="50">
        <v>1</v>
      </c>
      <c r="E65" s="50" t="s">
        <v>93</v>
      </c>
      <c r="F65" s="53">
        <v>41913</v>
      </c>
      <c r="G65" s="50" t="s">
        <v>363</v>
      </c>
      <c r="J65" s="55">
        <f>DATE($AM65-$AN65,$AL65+9,$AK65+21)</f>
        <v>42207</v>
      </c>
      <c r="W65" s="50" t="s">
        <v>363</v>
      </c>
      <c r="Z65" s="55">
        <f>DATE($AM65-$AN65,$AL65+9,$AK65+21)</f>
        <v>42207</v>
      </c>
      <c r="AE65" s="50">
        <v>20154</v>
      </c>
      <c r="AF65" s="36">
        <v>359.18</v>
      </c>
      <c r="AG65" s="36" t="s">
        <v>470</v>
      </c>
      <c r="AH65" s="50">
        <v>20161</v>
      </c>
      <c r="AI65" s="36">
        <v>372.3</v>
      </c>
      <c r="AJ65" s="36" t="s">
        <v>470</v>
      </c>
      <c r="AK65" s="50">
        <v>1</v>
      </c>
      <c r="AL65" s="50">
        <v>10</v>
      </c>
      <c r="AM65" s="36">
        <v>2015</v>
      </c>
      <c r="AN65" s="50">
        <v>1</v>
      </c>
      <c r="AO65" s="36" t="s">
        <v>334</v>
      </c>
      <c r="AP65" s="36" t="s">
        <v>460</v>
      </c>
      <c r="AQ65" s="52" t="str">
        <f t="shared" si="2"/>
        <v>Changement multiple - supprimer even Cessation d’activité - Scénario id 19</v>
      </c>
    </row>
    <row r="66" spans="2:43" x14ac:dyDescent="0.25">
      <c r="B66" s="50">
        <v>20</v>
      </c>
      <c r="C66" s="50" t="s">
        <v>346</v>
      </c>
      <c r="D66" s="50">
        <v>1</v>
      </c>
      <c r="E66" s="50" t="s">
        <v>93</v>
      </c>
      <c r="F66" s="53">
        <v>41456</v>
      </c>
      <c r="G66" s="50" t="s">
        <v>426</v>
      </c>
      <c r="J66" s="55">
        <f>DATE($AM66-$AN66+1,$AL66+6,$AK66+9)</f>
        <v>42014</v>
      </c>
      <c r="W66" s="50" t="s">
        <v>426</v>
      </c>
      <c r="Z66" s="55">
        <f>DATE($AM66-$AN66+1,$AL66+6,$AK66+9)</f>
        <v>42014</v>
      </c>
      <c r="AE66" s="50">
        <v>20152</v>
      </c>
      <c r="AF66" s="36">
        <v>367.94</v>
      </c>
      <c r="AG66" s="36" t="s">
        <v>470</v>
      </c>
      <c r="AH66" s="50">
        <v>20161</v>
      </c>
      <c r="AI66" s="36">
        <v>381.17</v>
      </c>
      <c r="AJ66" s="36" t="s">
        <v>470</v>
      </c>
      <c r="AK66" s="50">
        <v>1</v>
      </c>
      <c r="AL66" s="50">
        <v>7</v>
      </c>
      <c r="AM66" s="36">
        <v>2015</v>
      </c>
      <c r="AN66" s="50">
        <v>2</v>
      </c>
      <c r="AO66" s="36" t="s">
        <v>333</v>
      </c>
      <c r="AP66" s="36" t="s">
        <v>461</v>
      </c>
      <c r="AQ66" s="52" t="str">
        <f t="shared" si="2"/>
        <v>Changement multiple - supprimer even Décès - Scénario id 20</v>
      </c>
    </row>
  </sheetData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J1" zoomScale="70" zoomScaleNormal="70" workbookViewId="0">
      <selection activeCell="W35" sqref="W35"/>
    </sheetView>
  </sheetViews>
  <sheetFormatPr baseColWidth="10" defaultColWidth="11.42578125" defaultRowHeight="15" x14ac:dyDescent="0.25"/>
  <cols>
    <col min="1" max="1" width="30.140625" style="50" bestFit="1" customWidth="1"/>
    <col min="2" max="5" width="11.42578125" style="50"/>
    <col min="6" max="6" width="15.42578125" style="50" bestFit="1" customWidth="1"/>
    <col min="7" max="7" width="26.85546875" style="50" bestFit="1" customWidth="1"/>
    <col min="8" max="8" width="16.7109375" style="50" bestFit="1" customWidth="1"/>
    <col min="9" max="10" width="11.42578125" style="50"/>
    <col min="11" max="11" width="19.5703125" style="50" customWidth="1"/>
    <col min="12" max="27" width="11.42578125" style="50"/>
    <col min="28" max="28" width="67" style="50" customWidth="1"/>
    <col min="29" max="16384" width="11.42578125" style="50"/>
  </cols>
  <sheetData>
    <row r="1" spans="1:28" x14ac:dyDescent="0.25">
      <c r="A1" s="51" t="s">
        <v>351</v>
      </c>
    </row>
    <row r="2" spans="1:28" x14ac:dyDescent="0.25">
      <c r="A2" s="51"/>
    </row>
    <row r="3" spans="1:28" x14ac:dyDescent="0.25">
      <c r="A3" s="51"/>
    </row>
    <row r="4" spans="1:28" x14ac:dyDescent="0.25">
      <c r="A4" s="51" t="s">
        <v>458</v>
      </c>
      <c r="B4" s="51" t="s">
        <v>399</v>
      </c>
      <c r="C4" s="51" t="s">
        <v>347</v>
      </c>
      <c r="D4" s="51" t="s">
        <v>342</v>
      </c>
      <c r="E4" s="51" t="s">
        <v>285</v>
      </c>
      <c r="F4" s="53" t="s">
        <v>296</v>
      </c>
      <c r="G4" s="53" t="s">
        <v>348</v>
      </c>
      <c r="H4" s="51" t="s">
        <v>343</v>
      </c>
      <c r="I4" s="51" t="s">
        <v>299</v>
      </c>
      <c r="J4" s="53" t="s">
        <v>297</v>
      </c>
      <c r="K4" s="53" t="s">
        <v>352</v>
      </c>
      <c r="L4" s="51" t="s">
        <v>353</v>
      </c>
      <c r="M4" s="51" t="s">
        <v>354</v>
      </c>
      <c r="N4" s="51" t="s">
        <v>383</v>
      </c>
      <c r="O4" s="19" t="s">
        <v>305</v>
      </c>
      <c r="P4" s="15" t="s">
        <v>306</v>
      </c>
      <c r="Q4" s="19" t="s">
        <v>307</v>
      </c>
      <c r="R4" s="15" t="s">
        <v>308</v>
      </c>
      <c r="S4" s="19" t="s">
        <v>358</v>
      </c>
      <c r="T4" s="15" t="s">
        <v>359</v>
      </c>
      <c r="U4" s="51" t="s">
        <v>287</v>
      </c>
      <c r="V4" s="19" t="s">
        <v>288</v>
      </c>
      <c r="W4" s="51" t="s">
        <v>289</v>
      </c>
      <c r="X4" s="19" t="s">
        <v>295</v>
      </c>
      <c r="Y4" s="21" t="s">
        <v>309</v>
      </c>
      <c r="Z4" s="21" t="s">
        <v>310</v>
      </c>
      <c r="AA4" s="21" t="s">
        <v>357</v>
      </c>
      <c r="AB4" s="21" t="s">
        <v>457</v>
      </c>
    </row>
    <row r="5" spans="1:28" x14ac:dyDescent="0.25">
      <c r="B5" s="50">
        <v>1</v>
      </c>
      <c r="C5" s="50" t="s">
        <v>346</v>
      </c>
      <c r="D5" s="56">
        <v>1</v>
      </c>
      <c r="E5" s="56"/>
      <c r="F5" s="54">
        <f>DATE($W5-$X5,$V5,$U5)</f>
        <v>40909</v>
      </c>
      <c r="G5" s="54" t="s">
        <v>361</v>
      </c>
      <c r="H5" s="56" t="s">
        <v>291</v>
      </c>
      <c r="I5" s="56"/>
      <c r="J5" s="55">
        <f>DATE($W5,$V5+12,$U5-1)</f>
        <v>42735</v>
      </c>
      <c r="K5" s="54"/>
      <c r="L5" s="56"/>
      <c r="M5" s="56"/>
      <c r="N5" s="55"/>
      <c r="O5" s="56"/>
      <c r="P5" s="57"/>
      <c r="Q5" s="56"/>
      <c r="R5" s="57"/>
      <c r="S5" s="56"/>
      <c r="T5" s="57"/>
      <c r="U5" s="56">
        <v>1</v>
      </c>
      <c r="V5" s="56">
        <v>1</v>
      </c>
      <c r="W5" s="36">
        <v>2016</v>
      </c>
      <c r="X5" s="56">
        <v>4</v>
      </c>
      <c r="Y5" s="21"/>
      <c r="Z5" s="21"/>
      <c r="AA5" s="21"/>
      <c r="AB5" s="52" t="str">
        <f>TRIM($A$1&amp;" "&amp;G5&amp;" "&amp;H5&amp;" "&amp;I5&amp;IF(K5&lt;&gt;""," et "&amp;K5&amp;" "&amp;L5&amp;" "&amp;M5,""))&amp;" - Scénario id "&amp;B5</f>
        <v>Changement multiple - ajouter Transfert Sortant provisoire Principal - Scénario id 1</v>
      </c>
    </row>
    <row r="6" spans="1:28" x14ac:dyDescent="0.25">
      <c r="B6" s="50">
        <v>2</v>
      </c>
      <c r="C6" s="50" t="s">
        <v>346</v>
      </c>
      <c r="D6" s="56">
        <v>1</v>
      </c>
      <c r="E6" s="56" t="s">
        <v>93</v>
      </c>
      <c r="F6" s="54">
        <f t="shared" ref="F6:F20" si="0">DATE($W6-$X6,$V6,$U6)</f>
        <v>40909</v>
      </c>
      <c r="G6" s="54" t="s">
        <v>361</v>
      </c>
      <c r="H6" s="56" t="s">
        <v>291</v>
      </c>
      <c r="I6" s="56"/>
      <c r="J6" s="55">
        <f>DATE($W6,$V6+12,$U6-1)</f>
        <v>42735</v>
      </c>
      <c r="K6" s="54"/>
      <c r="L6" s="56"/>
      <c r="M6" s="56"/>
      <c r="N6" s="55"/>
      <c r="O6" s="56"/>
      <c r="P6" s="57"/>
      <c r="Q6" s="56"/>
      <c r="R6" s="57"/>
      <c r="S6" s="56"/>
      <c r="T6" s="57"/>
      <c r="U6" s="56">
        <v>1</v>
      </c>
      <c r="V6" s="56">
        <v>1</v>
      </c>
      <c r="W6" s="36">
        <v>2016</v>
      </c>
      <c r="X6" s="56">
        <v>4</v>
      </c>
      <c r="Y6" s="21"/>
      <c r="Z6" s="21"/>
      <c r="AA6" s="21"/>
      <c r="AB6" s="52" t="str">
        <f t="shared" ref="AB6:AB20" si="1">TRIM($A$1&amp;" "&amp;G6&amp;" "&amp;H6&amp;" "&amp;I6&amp;IF(K6&lt;&gt;""," et "&amp;K6&amp;" "&amp;L6&amp;" "&amp;M6,""))&amp;" - Scénario id "&amp;B6</f>
        <v>Changement multiple - ajouter Transfert Sortant provisoire Principal - Scénario id 2</v>
      </c>
    </row>
    <row r="7" spans="1:28" x14ac:dyDescent="0.25">
      <c r="B7" s="50">
        <v>3</v>
      </c>
      <c r="C7" s="50" t="s">
        <v>346</v>
      </c>
      <c r="D7" s="56">
        <v>1</v>
      </c>
      <c r="E7" s="56" t="s">
        <v>90</v>
      </c>
      <c r="F7" s="54">
        <f t="shared" si="0"/>
        <v>40909</v>
      </c>
      <c r="G7" s="54" t="s">
        <v>361</v>
      </c>
      <c r="H7" s="56" t="s">
        <v>291</v>
      </c>
      <c r="I7" s="56"/>
      <c r="J7" s="55">
        <f>DATE($W7,$V7+12,$U7-1)</f>
        <v>42735</v>
      </c>
      <c r="K7" s="54"/>
      <c r="L7" s="56"/>
      <c r="M7" s="56"/>
      <c r="N7" s="55"/>
      <c r="O7" s="56"/>
      <c r="P7" s="57"/>
      <c r="Q7" s="56"/>
      <c r="R7" s="57"/>
      <c r="S7" s="56"/>
      <c r="T7" s="57"/>
      <c r="U7" s="56">
        <v>1</v>
      </c>
      <c r="V7" s="56">
        <v>1</v>
      </c>
      <c r="W7" s="36">
        <v>2016</v>
      </c>
      <c r="X7" s="56">
        <v>4</v>
      </c>
      <c r="Y7" s="21"/>
      <c r="Z7" s="21"/>
      <c r="AA7" s="21"/>
      <c r="AB7" s="52" t="str">
        <f t="shared" si="1"/>
        <v>Changement multiple - ajouter Transfert Sortant provisoire Principal - Scénario id 3</v>
      </c>
    </row>
    <row r="8" spans="1:28" x14ac:dyDescent="0.25">
      <c r="B8" s="50">
        <v>4</v>
      </c>
      <c r="C8" s="50" t="s">
        <v>346</v>
      </c>
      <c r="D8" s="56">
        <v>1</v>
      </c>
      <c r="E8" s="56"/>
      <c r="F8" s="54">
        <f t="shared" si="0"/>
        <v>41640</v>
      </c>
      <c r="G8" s="54" t="s">
        <v>363</v>
      </c>
      <c r="H8" s="56"/>
      <c r="I8" s="56"/>
      <c r="J8" s="55">
        <f>DATE($W8-$X8,$V8+9,$U8)</f>
        <v>41913</v>
      </c>
      <c r="K8" s="54"/>
      <c r="L8" s="56"/>
      <c r="M8" s="56"/>
      <c r="N8" s="55"/>
      <c r="O8" s="56">
        <v>20141</v>
      </c>
      <c r="P8" s="57">
        <f>INDEX(barèmes!$D$2:$E$311,MATCH(Y8,barèmes!$D$2:$D$311,0),2)</f>
        <v>685.66</v>
      </c>
      <c r="Q8" s="56">
        <v>20144</v>
      </c>
      <c r="R8" s="57">
        <f>INDEX(barèmes!$D$2:$E$311,MATCH(Z8,barèmes!$D$2:$D$311,0),2)</f>
        <v>685.66</v>
      </c>
      <c r="S8" s="56">
        <v>20151</v>
      </c>
      <c r="T8" s="57">
        <v>0</v>
      </c>
      <c r="U8" s="56">
        <v>1</v>
      </c>
      <c r="V8" s="56">
        <v>1</v>
      </c>
      <c r="W8" s="36">
        <f>2015</f>
        <v>2015</v>
      </c>
      <c r="X8" s="56">
        <v>1</v>
      </c>
      <c r="Y8" s="21" t="s">
        <v>322</v>
      </c>
      <c r="Z8" s="21" t="s">
        <v>322</v>
      </c>
      <c r="AA8" s="21" t="s">
        <v>401</v>
      </c>
      <c r="AB8" s="52" t="str">
        <f t="shared" si="1"/>
        <v>Changement multiple - ajouter Cessation d’activité - Scénario id 4</v>
      </c>
    </row>
    <row r="9" spans="1:28" x14ac:dyDescent="0.25">
      <c r="B9" s="50">
        <v>5</v>
      </c>
      <c r="C9" s="50" t="s">
        <v>346</v>
      </c>
      <c r="D9" s="56">
        <v>1</v>
      </c>
      <c r="E9" s="56" t="s">
        <v>90</v>
      </c>
      <c r="F9" s="54">
        <f t="shared" si="0"/>
        <v>41640</v>
      </c>
      <c r="G9" s="54" t="s">
        <v>363</v>
      </c>
      <c r="H9" s="56"/>
      <c r="I9" s="56"/>
      <c r="J9" s="55">
        <f>DATE($W9-$X9,$V9+9,$U9)</f>
        <v>41913</v>
      </c>
      <c r="K9" s="54"/>
      <c r="L9" s="56"/>
      <c r="M9" s="56"/>
      <c r="N9" s="55"/>
      <c r="O9" s="56">
        <v>20141</v>
      </c>
      <c r="P9" s="57">
        <v>0</v>
      </c>
      <c r="Q9" s="56">
        <v>20144</v>
      </c>
      <c r="R9" s="57">
        <v>0</v>
      </c>
      <c r="S9" s="56">
        <v>20151</v>
      </c>
      <c r="T9" s="57">
        <v>0</v>
      </c>
      <c r="U9" s="56">
        <v>1</v>
      </c>
      <c r="V9" s="56">
        <v>1</v>
      </c>
      <c r="W9" s="36">
        <f>2015</f>
        <v>2015</v>
      </c>
      <c r="X9" s="56">
        <v>1</v>
      </c>
      <c r="Y9" s="21" t="s">
        <v>401</v>
      </c>
      <c r="Z9" s="21" t="s">
        <v>401</v>
      </c>
      <c r="AA9" s="21" t="s">
        <v>401</v>
      </c>
      <c r="AB9" s="52" t="str">
        <f t="shared" si="1"/>
        <v>Changement multiple - ajouter Cessation d’activité - Scénario id 5</v>
      </c>
    </row>
    <row r="10" spans="1:28" x14ac:dyDescent="0.25">
      <c r="B10" s="50">
        <v>6</v>
      </c>
      <c r="C10" s="50" t="s">
        <v>346</v>
      </c>
      <c r="D10" s="56">
        <v>1</v>
      </c>
      <c r="E10" s="56" t="s">
        <v>93</v>
      </c>
      <c r="F10" s="54">
        <f t="shared" si="0"/>
        <v>41640</v>
      </c>
      <c r="G10" s="54" t="s">
        <v>363</v>
      </c>
      <c r="H10" s="56"/>
      <c r="I10" s="56"/>
      <c r="J10" s="55">
        <f>DATE($W10-$X10,$V10+9,$U10)</f>
        <v>41913</v>
      </c>
      <c r="K10" s="54"/>
      <c r="L10" s="56"/>
      <c r="M10" s="56"/>
      <c r="N10" s="55"/>
      <c r="O10" s="56">
        <v>20141</v>
      </c>
      <c r="P10" s="57">
        <f>INDEX(barèmes!$D$2:$E$311,MATCH(Y10,barèmes!$D$2:$D$311,0),2)</f>
        <v>359.18</v>
      </c>
      <c r="Q10" s="56">
        <v>20144</v>
      </c>
      <c r="R10" s="57">
        <f>INDEX(barèmes!$D$2:$E$311,MATCH(Z10,barèmes!$D$2:$D$311,0),2)</f>
        <v>359.18</v>
      </c>
      <c r="S10" s="56">
        <v>20151</v>
      </c>
      <c r="T10" s="57">
        <v>0</v>
      </c>
      <c r="U10" s="56">
        <v>1</v>
      </c>
      <c r="V10" s="56">
        <v>1</v>
      </c>
      <c r="W10" s="36">
        <f>2015</f>
        <v>2015</v>
      </c>
      <c r="X10" s="56">
        <v>1</v>
      </c>
      <c r="Y10" s="21" t="s">
        <v>328</v>
      </c>
      <c r="Z10" s="21" t="s">
        <v>328</v>
      </c>
      <c r="AA10" s="21" t="s">
        <v>401</v>
      </c>
      <c r="AB10" s="52" t="str">
        <f t="shared" si="1"/>
        <v>Changement multiple - ajouter Cessation d’activité - Scénario id 6</v>
      </c>
    </row>
    <row r="11" spans="1:28" x14ac:dyDescent="0.25">
      <c r="B11" s="50">
        <v>7</v>
      </c>
      <c r="C11" s="50" t="s">
        <v>346</v>
      </c>
      <c r="D11" s="56">
        <v>4</v>
      </c>
      <c r="E11" s="56"/>
      <c r="F11" s="54">
        <f t="shared" si="0"/>
        <v>40909</v>
      </c>
      <c r="G11" s="54" t="s">
        <v>361</v>
      </c>
      <c r="H11" s="56" t="s">
        <v>291</v>
      </c>
      <c r="I11" s="56"/>
      <c r="J11" s="55">
        <f>DATE($W11,$V11+12,$U11-1)</f>
        <v>42735</v>
      </c>
      <c r="K11" s="54"/>
      <c r="L11" s="56"/>
      <c r="M11" s="56"/>
      <c r="N11" s="55"/>
      <c r="O11" s="56"/>
      <c r="P11" s="57"/>
      <c r="Q11" s="56"/>
      <c r="R11" s="57"/>
      <c r="S11" s="56"/>
      <c r="T11" s="57"/>
      <c r="U11" s="56">
        <v>1</v>
      </c>
      <c r="V11" s="56">
        <v>1</v>
      </c>
      <c r="W11" s="36">
        <v>2016</v>
      </c>
      <c r="X11" s="56">
        <v>4</v>
      </c>
      <c r="Y11" s="21"/>
      <c r="Z11" s="21"/>
      <c r="AA11" s="21"/>
      <c r="AB11" s="52" t="str">
        <f t="shared" si="1"/>
        <v>Changement multiple - ajouter Transfert Sortant provisoire Principal - Scénario id 7</v>
      </c>
    </row>
    <row r="12" spans="1:28" x14ac:dyDescent="0.25">
      <c r="B12" s="50">
        <v>8</v>
      </c>
      <c r="C12" s="50" t="s">
        <v>346</v>
      </c>
      <c r="D12" s="56">
        <v>4</v>
      </c>
      <c r="E12" s="56" t="s">
        <v>90</v>
      </c>
      <c r="F12" s="54">
        <f t="shared" si="0"/>
        <v>40909</v>
      </c>
      <c r="G12" s="54" t="s">
        <v>361</v>
      </c>
      <c r="H12" s="56" t="s">
        <v>291</v>
      </c>
      <c r="I12" s="56"/>
      <c r="J12" s="55">
        <f>DATE($W12,$V12+12,$U12-1)</f>
        <v>42735</v>
      </c>
      <c r="K12" s="54"/>
      <c r="L12" s="56"/>
      <c r="M12" s="56"/>
      <c r="N12" s="55"/>
      <c r="O12" s="56"/>
      <c r="P12" s="57"/>
      <c r="Q12" s="56"/>
      <c r="R12" s="57"/>
      <c r="S12" s="56"/>
      <c r="T12" s="57"/>
      <c r="U12" s="56">
        <v>1</v>
      </c>
      <c r="V12" s="56">
        <v>1</v>
      </c>
      <c r="W12" s="36">
        <v>2016</v>
      </c>
      <c r="X12" s="56">
        <v>4</v>
      </c>
      <c r="Y12" s="21"/>
      <c r="Z12" s="21"/>
      <c r="AA12" s="21"/>
      <c r="AB12" s="52" t="str">
        <f t="shared" si="1"/>
        <v>Changement multiple - ajouter Transfert Sortant provisoire Principal - Scénario id 8</v>
      </c>
    </row>
    <row r="13" spans="1:28" x14ac:dyDescent="0.25">
      <c r="B13" s="50">
        <v>9</v>
      </c>
      <c r="C13" s="50" t="s">
        <v>346</v>
      </c>
      <c r="D13" s="56">
        <v>4</v>
      </c>
      <c r="E13" s="56"/>
      <c r="F13" s="54">
        <f t="shared" si="0"/>
        <v>41640</v>
      </c>
      <c r="G13" s="54" t="s">
        <v>363</v>
      </c>
      <c r="H13" s="56"/>
      <c r="I13" s="56"/>
      <c r="J13" s="55">
        <f>DATE($W13-$X13,$V13+9,$U13)</f>
        <v>41913</v>
      </c>
      <c r="K13" s="54"/>
      <c r="L13" s="56"/>
      <c r="M13" s="56"/>
      <c r="N13" s="55"/>
      <c r="O13" s="56">
        <v>20141</v>
      </c>
      <c r="P13" s="57">
        <f>INDEX(barèmes!$D$2:$E$311,MATCH(Y13,barèmes!$D$2:$D$311,0),2)</f>
        <v>75.849999999999994</v>
      </c>
      <c r="Q13" s="56">
        <v>20144</v>
      </c>
      <c r="R13" s="57">
        <f>INDEX(barèmes!$D$2:$E$311,MATCH(Z13,barèmes!$D$2:$D$311,0),2)</f>
        <v>75.849999999999994</v>
      </c>
      <c r="S13" s="56">
        <v>20151</v>
      </c>
      <c r="T13" s="57">
        <v>0</v>
      </c>
      <c r="U13" s="56">
        <v>1</v>
      </c>
      <c r="V13" s="56">
        <v>1</v>
      </c>
      <c r="W13" s="36">
        <f>2015</f>
        <v>2015</v>
      </c>
      <c r="X13" s="56">
        <v>1</v>
      </c>
      <c r="Y13" s="21" t="s">
        <v>314</v>
      </c>
      <c r="Z13" s="21" t="s">
        <v>314</v>
      </c>
      <c r="AA13" s="21" t="s">
        <v>401</v>
      </c>
      <c r="AB13" s="52" t="str">
        <f t="shared" si="1"/>
        <v>Changement multiple - ajouter Cessation d’activité - Scénario id 9</v>
      </c>
    </row>
    <row r="14" spans="1:28" x14ac:dyDescent="0.25">
      <c r="B14" s="50">
        <v>10</v>
      </c>
      <c r="C14" s="50" t="s">
        <v>346</v>
      </c>
      <c r="D14" s="56">
        <v>4</v>
      </c>
      <c r="E14" s="56" t="s">
        <v>90</v>
      </c>
      <c r="F14" s="54">
        <f t="shared" si="0"/>
        <v>41640</v>
      </c>
      <c r="G14" s="54" t="s">
        <v>363</v>
      </c>
      <c r="H14" s="56"/>
      <c r="I14" s="56"/>
      <c r="J14" s="55">
        <f>DATE($W14-$X14,$V14+9,$U14)</f>
        <v>41913</v>
      </c>
      <c r="K14" s="54"/>
      <c r="L14" s="56"/>
      <c r="M14" s="56"/>
      <c r="N14" s="55"/>
      <c r="O14" s="56">
        <v>20141</v>
      </c>
      <c r="P14" s="57">
        <v>0</v>
      </c>
      <c r="Q14" s="56">
        <v>20144</v>
      </c>
      <c r="R14" s="57">
        <v>0</v>
      </c>
      <c r="S14" s="56">
        <v>20151</v>
      </c>
      <c r="T14" s="57">
        <v>0</v>
      </c>
      <c r="U14" s="56">
        <v>1</v>
      </c>
      <c r="V14" s="56">
        <v>1</v>
      </c>
      <c r="W14" s="36">
        <f>2015</f>
        <v>2015</v>
      </c>
      <c r="X14" s="56">
        <v>1</v>
      </c>
      <c r="Y14" s="21" t="s">
        <v>401</v>
      </c>
      <c r="Z14" s="21" t="s">
        <v>401</v>
      </c>
      <c r="AA14" s="21" t="s">
        <v>401</v>
      </c>
      <c r="AB14" s="52" t="str">
        <f t="shared" si="1"/>
        <v>Changement multiple - ajouter Cessation d’activité - Scénario id 10</v>
      </c>
    </row>
    <row r="15" spans="1:28" x14ac:dyDescent="0.25">
      <c r="B15" s="50">
        <v>11</v>
      </c>
      <c r="C15" s="50" t="s">
        <v>346</v>
      </c>
      <c r="D15" s="56">
        <v>5</v>
      </c>
      <c r="E15" s="56"/>
      <c r="F15" s="54">
        <f t="shared" si="0"/>
        <v>40909</v>
      </c>
      <c r="G15" s="54" t="s">
        <v>361</v>
      </c>
      <c r="H15" s="56" t="s">
        <v>291</v>
      </c>
      <c r="I15" s="56"/>
      <c r="J15" s="55">
        <f>DATE($W15,$V15+12,$U15-1)</f>
        <v>42735</v>
      </c>
      <c r="K15" s="54"/>
      <c r="L15" s="56"/>
      <c r="M15" s="56"/>
      <c r="N15" s="55"/>
      <c r="O15" s="56"/>
      <c r="P15" s="57"/>
      <c r="Q15" s="56"/>
      <c r="R15" s="57"/>
      <c r="S15" s="56"/>
      <c r="T15" s="57"/>
      <c r="U15" s="56">
        <v>1</v>
      </c>
      <c r="V15" s="56">
        <v>1</v>
      </c>
      <c r="W15" s="36">
        <v>2016</v>
      </c>
      <c r="X15" s="56">
        <v>4</v>
      </c>
      <c r="Y15" s="21"/>
      <c r="Z15" s="21"/>
      <c r="AA15" s="21"/>
      <c r="AB15" s="52" t="str">
        <f t="shared" si="1"/>
        <v>Changement multiple - ajouter Transfert Sortant provisoire Principal - Scénario id 11</v>
      </c>
    </row>
    <row r="16" spans="1:28" x14ac:dyDescent="0.25">
      <c r="B16" s="50">
        <v>12</v>
      </c>
      <c r="C16" s="50" t="s">
        <v>346</v>
      </c>
      <c r="D16" s="56">
        <v>5</v>
      </c>
      <c r="E16" s="56" t="s">
        <v>90</v>
      </c>
      <c r="F16" s="54">
        <f t="shared" si="0"/>
        <v>40909</v>
      </c>
      <c r="G16" s="54" t="s">
        <v>361</v>
      </c>
      <c r="H16" s="56" t="s">
        <v>291</v>
      </c>
      <c r="I16" s="56"/>
      <c r="J16" s="55">
        <f>DATE($W16,$V16+12,$U16-1)</f>
        <v>42735</v>
      </c>
      <c r="K16" s="54"/>
      <c r="L16" s="56"/>
      <c r="M16" s="56"/>
      <c r="N16" s="55"/>
      <c r="O16" s="56"/>
      <c r="P16" s="57"/>
      <c r="Q16" s="56"/>
      <c r="R16" s="57"/>
      <c r="S16" s="56"/>
      <c r="T16" s="57"/>
      <c r="U16" s="56">
        <v>1</v>
      </c>
      <c r="V16" s="56">
        <v>1</v>
      </c>
      <c r="W16" s="36">
        <v>2016</v>
      </c>
      <c r="X16" s="56">
        <v>4</v>
      </c>
      <c r="Y16" s="21"/>
      <c r="Z16" s="21"/>
      <c r="AA16" s="21"/>
      <c r="AB16" s="52" t="str">
        <f t="shared" si="1"/>
        <v>Changement multiple - ajouter Transfert Sortant provisoire Principal - Scénario id 12</v>
      </c>
    </row>
    <row r="17" spans="2:28" x14ac:dyDescent="0.25">
      <c r="B17" s="50">
        <v>13</v>
      </c>
      <c r="C17" s="50" t="s">
        <v>346</v>
      </c>
      <c r="D17" s="56">
        <v>5</v>
      </c>
      <c r="E17" s="56"/>
      <c r="F17" s="54">
        <f t="shared" si="0"/>
        <v>41640</v>
      </c>
      <c r="G17" s="54" t="s">
        <v>363</v>
      </c>
      <c r="H17" s="56"/>
      <c r="I17" s="56"/>
      <c r="J17" s="55">
        <f>DATE($W17-$X17,$V17+9,$U17)</f>
        <v>41913</v>
      </c>
      <c r="K17" s="54"/>
      <c r="L17" s="56"/>
      <c r="M17" s="56"/>
      <c r="N17" s="55"/>
      <c r="O17" s="56">
        <v>20141</v>
      </c>
      <c r="P17" s="57">
        <f>INDEX(barèmes!$D$2:$E$311,MATCH(Y17,barèmes!$D$2:$D$311,0),2)</f>
        <v>301.22000000000003</v>
      </c>
      <c r="Q17" s="56">
        <v>20144</v>
      </c>
      <c r="R17" s="57">
        <f>INDEX(barèmes!$D$2:$E$311,MATCH(Z17,barèmes!$D$2:$D$311,0),2)</f>
        <v>301.22000000000003</v>
      </c>
      <c r="S17" s="56">
        <v>20151</v>
      </c>
      <c r="T17" s="57" t="str">
        <f>INDEX(barèmes!$D$2:$E$311,MATCH(AA17,barèmes!$D$2:$D$311,0),2)</f>
        <v/>
      </c>
      <c r="U17" s="56">
        <v>1</v>
      </c>
      <c r="V17" s="56">
        <v>1</v>
      </c>
      <c r="W17" s="36">
        <f>2015</f>
        <v>2015</v>
      </c>
      <c r="X17" s="56">
        <v>1</v>
      </c>
      <c r="Y17" s="21" t="s">
        <v>320</v>
      </c>
      <c r="Z17" s="21" t="s">
        <v>320</v>
      </c>
      <c r="AA17" s="21" t="s">
        <v>401</v>
      </c>
      <c r="AB17" s="52" t="str">
        <f t="shared" si="1"/>
        <v>Changement multiple - ajouter Cessation d’activité - Scénario id 13</v>
      </c>
    </row>
    <row r="18" spans="2:28" x14ac:dyDescent="0.25">
      <c r="B18" s="50">
        <v>14</v>
      </c>
      <c r="C18" s="50" t="s">
        <v>346</v>
      </c>
      <c r="D18" s="56">
        <v>5</v>
      </c>
      <c r="E18" s="56" t="s">
        <v>90</v>
      </c>
      <c r="F18" s="54">
        <f t="shared" si="0"/>
        <v>41640</v>
      </c>
      <c r="G18" s="54" t="s">
        <v>363</v>
      </c>
      <c r="H18" s="56"/>
      <c r="I18" s="56"/>
      <c r="J18" s="55">
        <f>DATE($W18-$X18,$V18+9,$U18)</f>
        <v>41913</v>
      </c>
      <c r="K18" s="54"/>
      <c r="L18" s="56"/>
      <c r="M18" s="56"/>
      <c r="N18" s="55"/>
      <c r="O18" s="56">
        <v>20141</v>
      </c>
      <c r="P18" s="57">
        <v>0</v>
      </c>
      <c r="Q18" s="56">
        <v>20144</v>
      </c>
      <c r="R18" s="57">
        <v>0</v>
      </c>
      <c r="S18" s="56"/>
      <c r="T18" s="57"/>
      <c r="U18" s="56">
        <v>1</v>
      </c>
      <c r="V18" s="56">
        <v>1</v>
      </c>
      <c r="W18" s="36">
        <f>2015</f>
        <v>2015</v>
      </c>
      <c r="X18" s="56">
        <v>1</v>
      </c>
      <c r="Y18" s="21" t="s">
        <v>320</v>
      </c>
      <c r="Z18" s="21" t="s">
        <v>320</v>
      </c>
      <c r="AA18" s="21" t="s">
        <v>401</v>
      </c>
      <c r="AB18" s="52" t="str">
        <f t="shared" si="1"/>
        <v>Changement multiple - ajouter Cessation d’activité - Scénario id 14</v>
      </c>
    </row>
    <row r="19" spans="2:28" x14ac:dyDescent="0.25">
      <c r="B19" s="50">
        <v>15</v>
      </c>
      <c r="C19" s="50" t="s">
        <v>349</v>
      </c>
      <c r="D19" s="56"/>
      <c r="E19" s="56"/>
      <c r="F19" s="54">
        <f t="shared" si="0"/>
        <v>40815</v>
      </c>
      <c r="G19" s="54" t="s">
        <v>364</v>
      </c>
      <c r="H19" s="56" t="s">
        <v>291</v>
      </c>
      <c r="I19" s="56"/>
      <c r="J19" s="55">
        <f t="shared" ref="J19" si="2">DATE($W19,1,1)</f>
        <v>42370</v>
      </c>
      <c r="K19" s="54"/>
      <c r="L19" s="56"/>
      <c r="M19" s="56"/>
      <c r="N19" s="55"/>
      <c r="O19" s="56">
        <v>20151</v>
      </c>
      <c r="P19" s="57"/>
      <c r="Q19" s="56">
        <v>20152</v>
      </c>
      <c r="R19" s="57"/>
      <c r="S19" s="56">
        <v>20153</v>
      </c>
      <c r="T19" s="57"/>
      <c r="U19" s="56">
        <v>29</v>
      </c>
      <c r="V19" s="56">
        <v>9</v>
      </c>
      <c r="W19" s="36">
        <v>2016</v>
      </c>
      <c r="X19" s="56">
        <v>5</v>
      </c>
      <c r="Y19" s="21" t="s">
        <v>317</v>
      </c>
      <c r="Z19" s="21" t="s">
        <v>317</v>
      </c>
      <c r="AA19" s="21" t="s">
        <v>317</v>
      </c>
      <c r="AB19" s="52" t="str">
        <f t="shared" si="1"/>
        <v>Changement multiple - ajouter Transfert entrant provisoire Principal - Scénario id 15</v>
      </c>
    </row>
    <row r="20" spans="2:28" x14ac:dyDescent="0.25">
      <c r="B20" s="50">
        <v>16</v>
      </c>
      <c r="C20" s="50" t="s">
        <v>349</v>
      </c>
      <c r="D20" s="56"/>
      <c r="E20" s="56"/>
      <c r="F20" s="54">
        <f t="shared" si="0"/>
        <v>40815</v>
      </c>
      <c r="G20" s="54" t="s">
        <v>364</v>
      </c>
      <c r="H20" s="56" t="s">
        <v>293</v>
      </c>
      <c r="I20" s="56"/>
      <c r="J20" s="55">
        <f>DATE($W20+1,1,1)</f>
        <v>42370</v>
      </c>
      <c r="K20" s="54"/>
      <c r="L20" s="56"/>
      <c r="M20" s="56"/>
      <c r="N20" s="55"/>
      <c r="O20" s="56">
        <v>20151</v>
      </c>
      <c r="P20" s="57"/>
      <c r="Q20" s="56">
        <v>20152</v>
      </c>
      <c r="R20" s="57"/>
      <c r="S20" s="56">
        <v>20153</v>
      </c>
      <c r="T20" s="57"/>
      <c r="U20" s="56">
        <v>29</v>
      </c>
      <c r="V20" s="56">
        <v>9</v>
      </c>
      <c r="W20" s="36">
        <f>2015</f>
        <v>2015</v>
      </c>
      <c r="X20" s="56">
        <v>4</v>
      </c>
      <c r="Y20" s="21" t="s">
        <v>317</v>
      </c>
      <c r="Z20" s="21" t="s">
        <v>317</v>
      </c>
      <c r="AA20" s="21" t="s">
        <v>317</v>
      </c>
      <c r="AB20" s="52" t="str">
        <f t="shared" si="1"/>
        <v>Changement multiple - ajouter Transfert entrant provisoire Complémentaire - Scénario id 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zoomScale="60" zoomScaleNormal="60" workbookViewId="0">
      <selection activeCell="R4" sqref="R4"/>
    </sheetView>
  </sheetViews>
  <sheetFormatPr baseColWidth="10" defaultColWidth="11.42578125" defaultRowHeight="15" x14ac:dyDescent="0.25"/>
  <cols>
    <col min="1" max="2" width="20" style="66" customWidth="1"/>
    <col min="3" max="7" width="11.42578125" style="66"/>
    <col min="8" max="8" width="11.42578125" style="67"/>
    <col min="9" max="9" width="19.7109375" style="66" customWidth="1"/>
    <col min="10" max="10" width="16.140625" style="66" bestFit="1" customWidth="1"/>
    <col min="11" max="11" width="11.42578125" style="68"/>
    <col min="12" max="12" width="11.42578125" style="66"/>
    <col min="13" max="13" width="11.42578125" style="69"/>
    <col min="14" max="14" width="11.42578125" style="70"/>
    <col min="15" max="15" width="12.7109375" style="69" bestFit="1" customWidth="1"/>
    <col min="16" max="16" width="11.42578125" style="66"/>
    <col min="17" max="17" width="15.28515625" style="66" bestFit="1" customWidth="1"/>
    <col min="18" max="19" width="11.42578125" style="66" customWidth="1"/>
    <col min="20" max="20" width="11.42578125" style="71"/>
    <col min="21" max="21" width="11.42578125" style="71" customWidth="1"/>
    <col min="22" max="22" width="78" style="66" bestFit="1" customWidth="1"/>
    <col min="23" max="16384" width="11.42578125" style="66"/>
  </cols>
  <sheetData>
    <row r="1" spans="1:22" x14ac:dyDescent="0.25">
      <c r="A1" s="66" t="s">
        <v>408</v>
      </c>
    </row>
    <row r="3" spans="1:22" x14ac:dyDescent="0.25">
      <c r="A3" s="66" t="s">
        <v>472</v>
      </c>
      <c r="B3" s="66" t="s">
        <v>399</v>
      </c>
      <c r="C3" s="66" t="s">
        <v>290</v>
      </c>
      <c r="D3" s="66" t="s">
        <v>92</v>
      </c>
      <c r="E3" s="66" t="s">
        <v>285</v>
      </c>
      <c r="F3" s="66" t="s">
        <v>292</v>
      </c>
      <c r="G3" s="66" t="s">
        <v>286</v>
      </c>
      <c r="H3" s="67" t="s">
        <v>296</v>
      </c>
      <c r="I3" s="66" t="s">
        <v>298</v>
      </c>
      <c r="J3" s="66" t="s">
        <v>299</v>
      </c>
      <c r="K3" s="68" t="s">
        <v>297</v>
      </c>
      <c r="L3" s="66" t="s">
        <v>305</v>
      </c>
      <c r="M3" s="69" t="s">
        <v>306</v>
      </c>
      <c r="N3" s="70" t="s">
        <v>307</v>
      </c>
      <c r="O3" s="69" t="s">
        <v>308</v>
      </c>
      <c r="P3" s="66" t="s">
        <v>287</v>
      </c>
      <c r="Q3" s="66" t="s">
        <v>288</v>
      </c>
      <c r="R3" s="66" t="s">
        <v>289</v>
      </c>
      <c r="S3" s="66" t="s">
        <v>295</v>
      </c>
      <c r="T3" s="71" t="s">
        <v>309</v>
      </c>
      <c r="U3" s="71" t="s">
        <v>310</v>
      </c>
      <c r="V3" s="66" t="s">
        <v>457</v>
      </c>
    </row>
    <row r="4" spans="1:22" x14ac:dyDescent="0.25">
      <c r="B4" s="66">
        <v>1</v>
      </c>
      <c r="C4" s="66">
        <v>1</v>
      </c>
      <c r="D4" s="66" t="s">
        <v>91</v>
      </c>
      <c r="H4" s="67">
        <f>DATE($R4-$S4,$Q4-6,$P4)</f>
        <v>41275</v>
      </c>
      <c r="I4" s="66" t="s">
        <v>293</v>
      </c>
      <c r="K4" s="68">
        <f>DATE($R4-$S4,$Q4,$P4)</f>
        <v>41456</v>
      </c>
      <c r="L4" s="66">
        <v>20141</v>
      </c>
      <c r="M4" s="69">
        <f>INDEX(barèmes!$D$2:$E$311,MATCH(T4,barèmes!$D$2:$D$311,0),2)</f>
        <v>75.849999999999994</v>
      </c>
      <c r="N4" s="70">
        <v>20151</v>
      </c>
      <c r="O4" s="69">
        <f>INDEX(barèmes!$D$2:$E$311,MATCH(U4,barèmes!$D$2:$D$311,0),2)</f>
        <v>77.7</v>
      </c>
      <c r="P4" s="66">
        <v>1</v>
      </c>
      <c r="Q4" s="66">
        <v>7</v>
      </c>
      <c r="R4" s="66">
        <v>2015</v>
      </c>
      <c r="S4" s="66">
        <v>2</v>
      </c>
      <c r="T4" s="71" t="s">
        <v>314</v>
      </c>
      <c r="U4" s="71" t="s">
        <v>315</v>
      </c>
      <c r="V4" s="50" t="str">
        <f>TRIM($A$1&amp;" de "&amp;$A$3&amp;" vers "&amp;I4&amp;" "&amp;J4&amp;" - Scénario id "&amp;B4)</f>
        <v>Modification nature de Principal1 vers Complémentaire - Scénario id 1</v>
      </c>
    </row>
    <row r="5" spans="1:22" x14ac:dyDescent="0.25">
      <c r="B5" s="66">
        <v>2</v>
      </c>
      <c r="C5" s="66">
        <v>1</v>
      </c>
      <c r="D5" s="66" t="s">
        <v>91</v>
      </c>
      <c r="H5" s="67">
        <f t="shared" ref="H5:H7" si="0">DATE($R5-$S5,$Q5-6,$P5)</f>
        <v>41456</v>
      </c>
      <c r="I5" s="66" t="s">
        <v>293</v>
      </c>
      <c r="K5" s="68">
        <f t="shared" ref="K5:K37" si="1">DATE($R5-$S5,$Q5,$P5)</f>
        <v>41640</v>
      </c>
      <c r="L5" s="66">
        <v>20143</v>
      </c>
      <c r="M5" s="69">
        <f>INDEX(barèmes!$D$2:$E$311,MATCH(T5,barèmes!$D$2:$D$311,0),2)</f>
        <v>75.849999999999994</v>
      </c>
      <c r="N5" s="70">
        <v>20151</v>
      </c>
      <c r="O5" s="69">
        <f>INDEX(barèmes!$D$2:$E$311,MATCH(U5,barèmes!$D$2:$D$311,0),2)</f>
        <v>77.7</v>
      </c>
      <c r="P5" s="66">
        <v>1</v>
      </c>
      <c r="Q5" s="66">
        <v>1</v>
      </c>
      <c r="R5" s="66">
        <v>2015</v>
      </c>
      <c r="S5" s="66">
        <v>1</v>
      </c>
      <c r="T5" s="71" t="s">
        <v>314</v>
      </c>
      <c r="U5" s="71" t="s">
        <v>315</v>
      </c>
      <c r="V5" s="50" t="str">
        <f t="shared" ref="V5:V37" si="2">TRIM($A$1&amp;" de "&amp;$A$3&amp;" vers "&amp;I5&amp;" "&amp;J5&amp;" - Scénario id "&amp;B5)</f>
        <v>Modification nature de Principal1 vers Complémentaire - Scénario id 2</v>
      </c>
    </row>
    <row r="6" spans="1:22" x14ac:dyDescent="0.25">
      <c r="B6" s="66">
        <v>3</v>
      </c>
      <c r="C6" s="66">
        <v>1</v>
      </c>
      <c r="D6" s="66" t="s">
        <v>91</v>
      </c>
      <c r="H6" s="67">
        <f t="shared" si="0"/>
        <v>41640</v>
      </c>
      <c r="I6" s="66" t="s">
        <v>293</v>
      </c>
      <c r="K6" s="68">
        <f t="shared" si="1"/>
        <v>41821</v>
      </c>
      <c r="L6" s="66">
        <v>20143</v>
      </c>
      <c r="M6" s="69">
        <f>INDEX(barèmes!$D$2:$E$311,MATCH(T6,barèmes!$D$2:$D$311,0),2)</f>
        <v>75.849999999999994</v>
      </c>
      <c r="N6" s="70">
        <v>20151</v>
      </c>
      <c r="O6" s="69">
        <f>INDEX(barèmes!$D$2:$E$311,MATCH(U6,barèmes!$D$2:$D$311,0),2)</f>
        <v>75.849999999999994</v>
      </c>
      <c r="P6" s="66">
        <v>1</v>
      </c>
      <c r="Q6" s="66">
        <v>7</v>
      </c>
      <c r="R6" s="66">
        <v>2015</v>
      </c>
      <c r="S6" s="66">
        <v>1</v>
      </c>
      <c r="T6" s="71" t="s">
        <v>314</v>
      </c>
      <c r="U6" s="71" t="s">
        <v>313</v>
      </c>
      <c r="V6" s="50" t="str">
        <f t="shared" si="2"/>
        <v>Modification nature de Principal1 vers Complémentaire - Scénario id 3</v>
      </c>
    </row>
    <row r="7" spans="1:22" x14ac:dyDescent="0.25">
      <c r="B7" s="66">
        <v>4</v>
      </c>
      <c r="C7" s="66">
        <v>1</v>
      </c>
      <c r="D7" s="66" t="s">
        <v>91</v>
      </c>
      <c r="H7" s="67">
        <f t="shared" si="0"/>
        <v>41821</v>
      </c>
      <c r="I7" s="66" t="s">
        <v>293</v>
      </c>
      <c r="K7" s="68">
        <f t="shared" si="1"/>
        <v>42005</v>
      </c>
      <c r="L7" s="66">
        <v>20151</v>
      </c>
      <c r="M7" s="69">
        <f>INDEX(barèmes!$D$2:$E$311,MATCH(T7,barèmes!$D$2:$D$311,0),2)</f>
        <v>75.849999999999994</v>
      </c>
      <c r="N7" s="70">
        <v>20154</v>
      </c>
      <c r="O7" s="69">
        <f>INDEX(barèmes!$D$2:$E$311,MATCH(U7,barèmes!$D$2:$D$311,0),2)</f>
        <v>75.849999999999994</v>
      </c>
      <c r="P7" s="66">
        <v>1</v>
      </c>
      <c r="Q7" s="66">
        <v>1</v>
      </c>
      <c r="R7" s="66">
        <v>2015</v>
      </c>
      <c r="S7" s="66">
        <v>0</v>
      </c>
      <c r="T7" s="71" t="s">
        <v>313</v>
      </c>
      <c r="U7" s="71" t="s">
        <v>313</v>
      </c>
      <c r="V7" s="50" t="str">
        <f t="shared" si="2"/>
        <v>Modification nature de Principal1 vers Complémentaire - Scénario id 4</v>
      </c>
    </row>
    <row r="8" spans="1:22" x14ac:dyDescent="0.25">
      <c r="B8" s="66">
        <v>5</v>
      </c>
      <c r="C8" s="66">
        <v>1</v>
      </c>
      <c r="D8" s="66" t="s">
        <v>91</v>
      </c>
      <c r="H8" s="67">
        <f>DATE($R8-$S8,$Q8+6,$P8)</f>
        <v>42005</v>
      </c>
      <c r="I8" s="66" t="s">
        <v>293</v>
      </c>
      <c r="K8" s="68">
        <f t="shared" si="1"/>
        <v>41821</v>
      </c>
      <c r="L8" s="66">
        <v>20143</v>
      </c>
      <c r="M8" s="69">
        <f>INDEX(barèmes!$D$2:$E$311,MATCH(T8,barèmes!$D$2:$D$311,0),2)</f>
        <v>75.849999999999994</v>
      </c>
      <c r="N8" s="70">
        <v>20151</v>
      </c>
      <c r="O8" s="69">
        <f>INDEX(barèmes!$D$2:$E$311,MATCH(U8,barèmes!$D$2:$D$311,0),2)</f>
        <v>75.849999999999994</v>
      </c>
      <c r="P8" s="66">
        <v>1</v>
      </c>
      <c r="Q8" s="66">
        <v>7</v>
      </c>
      <c r="R8" s="66">
        <v>2015</v>
      </c>
      <c r="S8" s="66">
        <v>1</v>
      </c>
      <c r="T8" s="71" t="s">
        <v>314</v>
      </c>
      <c r="U8" s="71" t="s">
        <v>313</v>
      </c>
      <c r="V8" s="50" t="str">
        <f t="shared" si="2"/>
        <v>Modification nature de Principal1 vers Complémentaire - Scénario id 5</v>
      </c>
    </row>
    <row r="9" spans="1:22" x14ac:dyDescent="0.25">
      <c r="B9" s="66">
        <v>6</v>
      </c>
      <c r="C9" s="66">
        <v>1</v>
      </c>
      <c r="D9" s="66" t="s">
        <v>91</v>
      </c>
      <c r="H9" s="67">
        <f>DATE($R9-$S9,$Q9+6,$P9)</f>
        <v>41821</v>
      </c>
      <c r="I9" s="66" t="s">
        <v>293</v>
      </c>
      <c r="K9" s="68">
        <f t="shared" si="1"/>
        <v>41640</v>
      </c>
      <c r="L9" s="66">
        <v>20141</v>
      </c>
      <c r="M9" s="69">
        <f>INDEX(barèmes!$D$2:$E$311,MATCH(T9,barèmes!$D$2:$D$311,0),2)</f>
        <v>75.849999999999994</v>
      </c>
      <c r="N9" s="70">
        <v>20151</v>
      </c>
      <c r="O9" s="69">
        <f>INDEX(barèmes!$D$2:$E$311,MATCH(U9,barèmes!$D$2:$D$311,0),2)</f>
        <v>77.7</v>
      </c>
      <c r="P9" s="66">
        <v>1</v>
      </c>
      <c r="Q9" s="66">
        <v>1</v>
      </c>
      <c r="R9" s="66">
        <v>2015</v>
      </c>
      <c r="S9" s="66">
        <v>1</v>
      </c>
      <c r="T9" s="71" t="s">
        <v>314</v>
      </c>
      <c r="U9" s="71" t="s">
        <v>315</v>
      </c>
      <c r="V9" s="50" t="str">
        <f t="shared" si="2"/>
        <v>Modification nature de Principal1 vers Complémentaire - Scénario id 6</v>
      </c>
    </row>
    <row r="10" spans="1:22" x14ac:dyDescent="0.25">
      <c r="B10" s="66">
        <v>7</v>
      </c>
      <c r="C10" s="66">
        <v>1</v>
      </c>
      <c r="D10" s="66" t="s">
        <v>91</v>
      </c>
      <c r="H10" s="67">
        <f>DATE($R10-$S10,$Q10+6,$P10)</f>
        <v>41640</v>
      </c>
      <c r="I10" s="66" t="s">
        <v>293</v>
      </c>
      <c r="K10" s="68">
        <f t="shared" si="1"/>
        <v>41456</v>
      </c>
      <c r="L10" s="66">
        <v>20141</v>
      </c>
      <c r="M10" s="69">
        <f>INDEX(barèmes!$D$2:$E$311,MATCH(T10,barèmes!$D$2:$D$311,0),2)</f>
        <v>75.849999999999994</v>
      </c>
      <c r="N10" s="70">
        <v>20151</v>
      </c>
      <c r="O10" s="69">
        <f>INDEX(barèmes!$D$2:$E$311,MATCH(U10,barèmes!$D$2:$D$311,0),2)</f>
        <v>77.7</v>
      </c>
      <c r="P10" s="66">
        <v>1</v>
      </c>
      <c r="Q10" s="66">
        <v>7</v>
      </c>
      <c r="R10" s="66">
        <v>2015</v>
      </c>
      <c r="S10" s="66">
        <v>2</v>
      </c>
      <c r="T10" s="71" t="s">
        <v>314</v>
      </c>
      <c r="U10" s="71" t="s">
        <v>315</v>
      </c>
      <c r="V10" s="50" t="str">
        <f t="shared" si="2"/>
        <v>Modification nature de Principal1 vers Complémentaire - Scénario id 7</v>
      </c>
    </row>
    <row r="11" spans="1:22" x14ac:dyDescent="0.25">
      <c r="B11" s="66">
        <v>8</v>
      </c>
      <c r="C11" s="66">
        <v>1</v>
      </c>
      <c r="D11" s="66" t="s">
        <v>91</v>
      </c>
      <c r="H11" s="67">
        <f>DATE($R11-$S11,$Q11+6,$P11)</f>
        <v>41456</v>
      </c>
      <c r="I11" s="66" t="s">
        <v>293</v>
      </c>
      <c r="K11" s="68">
        <f t="shared" si="1"/>
        <v>41275</v>
      </c>
      <c r="L11" s="66">
        <v>20141</v>
      </c>
      <c r="M11" s="69">
        <f>INDEX(barèmes!$D$2:$E$311,MATCH(T11,barèmes!$D$2:$D$311,0),2)</f>
        <v>77.7</v>
      </c>
      <c r="N11" s="70">
        <v>20151</v>
      </c>
      <c r="O11" s="69">
        <f>INDEX(barèmes!$D$2:$E$311,MATCH(U11,barèmes!$D$2:$D$311,0),2)</f>
        <v>79.55</v>
      </c>
      <c r="P11" s="66">
        <v>1</v>
      </c>
      <c r="Q11" s="66">
        <v>1</v>
      </c>
      <c r="R11" s="66">
        <v>2015</v>
      </c>
      <c r="S11" s="66">
        <v>2</v>
      </c>
      <c r="T11" s="71" t="s">
        <v>330</v>
      </c>
      <c r="U11" s="71" t="s">
        <v>316</v>
      </c>
      <c r="V11" s="50" t="str">
        <f t="shared" si="2"/>
        <v>Modification nature de Principal1 vers Complémentaire - Scénario id 8</v>
      </c>
    </row>
    <row r="12" spans="1:22" x14ac:dyDescent="0.25">
      <c r="B12" s="66">
        <v>9</v>
      </c>
      <c r="C12" s="66">
        <v>1</v>
      </c>
      <c r="D12" s="66" t="s">
        <v>91</v>
      </c>
      <c r="H12" s="67">
        <f>DATE($R12-$S12,$Q12-6,$P12)</f>
        <v>41275</v>
      </c>
      <c r="I12" s="66" t="s">
        <v>294</v>
      </c>
      <c r="K12" s="68">
        <f>DATE($R12-$S12,$Q12,$P12)</f>
        <v>41456</v>
      </c>
      <c r="L12" s="66">
        <v>20141</v>
      </c>
      <c r="M12" s="69">
        <f>INDEX(barèmes!$D$2:$E$311,MATCH(T12,barèmes!$D$2:$D$311,0),2)</f>
        <v>301.22000000000003</v>
      </c>
      <c r="N12" s="70">
        <v>20151</v>
      </c>
      <c r="O12" s="69">
        <f>INDEX(barèmes!$D$2:$E$311,MATCH(U12,barèmes!$D$2:$D$311,0),2)</f>
        <v>308.55</v>
      </c>
      <c r="P12" s="66">
        <v>1</v>
      </c>
      <c r="Q12" s="66">
        <v>7</v>
      </c>
      <c r="R12" s="66">
        <v>2015</v>
      </c>
      <c r="S12" s="66">
        <v>2</v>
      </c>
      <c r="T12" s="71" t="s">
        <v>320</v>
      </c>
      <c r="U12" s="71" t="s">
        <v>321</v>
      </c>
      <c r="V12" s="50" t="str">
        <f t="shared" si="2"/>
        <v>Modification nature de Principal1 vers Maxi-statut - Scénario id 9</v>
      </c>
    </row>
    <row r="13" spans="1:22" x14ac:dyDescent="0.25">
      <c r="B13" s="66">
        <v>10</v>
      </c>
      <c r="C13" s="66">
        <v>1</v>
      </c>
      <c r="D13" s="66" t="s">
        <v>91</v>
      </c>
      <c r="H13" s="67">
        <f t="shared" ref="H13:H16" si="3">DATE($R13-$S13,$Q13-6,$P13)</f>
        <v>41456</v>
      </c>
      <c r="I13" s="66" t="s">
        <v>294</v>
      </c>
      <c r="K13" s="68">
        <f t="shared" si="1"/>
        <v>41640</v>
      </c>
      <c r="L13" s="66">
        <v>20143</v>
      </c>
      <c r="M13" s="69">
        <f>INDEX(barèmes!$D$2:$E$311,MATCH(T13,barèmes!$D$2:$D$311,0),2)</f>
        <v>301.22000000000003</v>
      </c>
      <c r="N13" s="70">
        <v>20151</v>
      </c>
      <c r="O13" s="69">
        <f>INDEX(barèmes!$D$2:$E$311,MATCH(U13,barèmes!$D$2:$D$311,0),2)</f>
        <v>308.55</v>
      </c>
      <c r="P13" s="66">
        <v>1</v>
      </c>
      <c r="Q13" s="66">
        <v>1</v>
      </c>
      <c r="R13" s="66">
        <v>2015</v>
      </c>
      <c r="S13" s="66">
        <v>1</v>
      </c>
      <c r="T13" s="71" t="s">
        <v>320</v>
      </c>
      <c r="U13" s="71" t="s">
        <v>321</v>
      </c>
      <c r="V13" s="50" t="str">
        <f t="shared" si="2"/>
        <v>Modification nature de Principal1 vers Maxi-statut - Scénario id 10</v>
      </c>
    </row>
    <row r="14" spans="1:22" x14ac:dyDescent="0.25">
      <c r="B14" s="66">
        <v>11</v>
      </c>
      <c r="C14" s="66">
        <v>1</v>
      </c>
      <c r="D14" s="66" t="s">
        <v>91</v>
      </c>
      <c r="H14" s="67">
        <f t="shared" si="3"/>
        <v>41640</v>
      </c>
      <c r="I14" s="66" t="s">
        <v>294</v>
      </c>
      <c r="K14" s="68">
        <f t="shared" si="1"/>
        <v>41821</v>
      </c>
      <c r="L14" s="66">
        <v>20143</v>
      </c>
      <c r="M14" s="69">
        <f>INDEX(barèmes!$D$2:$E$311,MATCH(T14,barèmes!$D$2:$D$311,0),2)</f>
        <v>301.22000000000003</v>
      </c>
      <c r="N14" s="70">
        <v>20151</v>
      </c>
      <c r="O14" s="69">
        <f>INDEX(barèmes!$D$2:$E$311,MATCH(U14,barèmes!$D$2:$D$311,0),2)</f>
        <v>301.22000000000003</v>
      </c>
      <c r="P14" s="66">
        <v>1</v>
      </c>
      <c r="Q14" s="66">
        <v>7</v>
      </c>
      <c r="R14" s="66">
        <v>2015</v>
      </c>
      <c r="S14" s="66">
        <v>1</v>
      </c>
      <c r="T14" s="71" t="s">
        <v>320</v>
      </c>
      <c r="U14" s="71" t="s">
        <v>318</v>
      </c>
      <c r="V14" s="50" t="str">
        <f t="shared" si="2"/>
        <v>Modification nature de Principal1 vers Maxi-statut - Scénario id 11</v>
      </c>
    </row>
    <row r="15" spans="1:22" x14ac:dyDescent="0.25">
      <c r="A15" s="66" t="s">
        <v>473</v>
      </c>
      <c r="B15" s="66" t="s">
        <v>399</v>
      </c>
      <c r="C15" s="66" t="s">
        <v>290</v>
      </c>
      <c r="D15" s="66" t="s">
        <v>92</v>
      </c>
      <c r="E15" s="66" t="s">
        <v>285</v>
      </c>
      <c r="F15" s="66" t="s">
        <v>292</v>
      </c>
      <c r="G15" s="66" t="s">
        <v>286</v>
      </c>
      <c r="H15" s="67" t="s">
        <v>296</v>
      </c>
      <c r="I15" s="66" t="s">
        <v>298</v>
      </c>
      <c r="J15" s="66" t="s">
        <v>299</v>
      </c>
      <c r="K15" s="68" t="s">
        <v>297</v>
      </c>
      <c r="L15" s="66" t="s">
        <v>305</v>
      </c>
      <c r="M15" s="69" t="s">
        <v>306</v>
      </c>
      <c r="N15" s="70" t="s">
        <v>307</v>
      </c>
      <c r="O15" s="69" t="s">
        <v>308</v>
      </c>
      <c r="P15" s="66" t="s">
        <v>287</v>
      </c>
      <c r="Q15" s="66" t="s">
        <v>288</v>
      </c>
      <c r="R15" s="66" t="s">
        <v>289</v>
      </c>
      <c r="S15" s="66" t="s">
        <v>295</v>
      </c>
      <c r="T15" s="71" t="s">
        <v>309</v>
      </c>
      <c r="U15" s="71" t="s">
        <v>310</v>
      </c>
      <c r="V15" s="66" t="s">
        <v>457</v>
      </c>
    </row>
    <row r="16" spans="1:22" x14ac:dyDescent="0.25">
      <c r="B16" s="66">
        <v>1</v>
      </c>
      <c r="C16" s="66">
        <v>1</v>
      </c>
      <c r="D16" s="66" t="s">
        <v>91</v>
      </c>
      <c r="H16" s="67">
        <f t="shared" si="3"/>
        <v>41821</v>
      </c>
      <c r="I16" s="66" t="s">
        <v>294</v>
      </c>
      <c r="K16" s="68">
        <f t="shared" si="1"/>
        <v>42005</v>
      </c>
      <c r="L16" s="66">
        <v>20151</v>
      </c>
      <c r="M16" s="69">
        <f>INDEX(barèmes!$D$2:$E$311,MATCH(T16,barèmes!$D$2:$D$311,0),2)</f>
        <v>301.22000000000003</v>
      </c>
      <c r="N16" s="70">
        <v>20154</v>
      </c>
      <c r="O16" s="69">
        <f>INDEX(barèmes!$D$2:$E$311,MATCH(U16,barèmes!$D$2:$D$311,0),2)</f>
        <v>301.22000000000003</v>
      </c>
      <c r="P16" s="66">
        <v>1</v>
      </c>
      <c r="Q16" s="66">
        <v>1</v>
      </c>
      <c r="R16" s="66">
        <v>2015</v>
      </c>
      <c r="S16" s="66">
        <v>0</v>
      </c>
      <c r="T16" s="71" t="s">
        <v>318</v>
      </c>
      <c r="U16" s="71" t="s">
        <v>318</v>
      </c>
      <c r="V16" s="66" t="str">
        <f t="shared" si="2"/>
        <v>Modification nature de Principal1 vers Maxi-statut - Scénario id 1</v>
      </c>
    </row>
    <row r="17" spans="1:22" x14ac:dyDescent="0.25">
      <c r="B17" s="66">
        <v>2</v>
      </c>
      <c r="C17" s="66">
        <v>1</v>
      </c>
      <c r="D17" s="66" t="s">
        <v>91</v>
      </c>
      <c r="H17" s="67">
        <f>DATE($R17-$S17,$Q17+6,$P17)</f>
        <v>42005</v>
      </c>
      <c r="I17" s="66" t="s">
        <v>294</v>
      </c>
      <c r="K17" s="68">
        <f t="shared" si="1"/>
        <v>41821</v>
      </c>
      <c r="L17" s="66">
        <v>20143</v>
      </c>
      <c r="M17" s="69">
        <f>INDEX(barèmes!$D$2:$E$311,MATCH(T17,barèmes!$D$2:$D$311,0),2)</f>
        <v>301.22000000000003</v>
      </c>
      <c r="N17" s="70">
        <v>20151</v>
      </c>
      <c r="O17" s="69">
        <f>INDEX(barèmes!$D$2:$E$311,MATCH(U17,barèmes!$D$2:$D$311,0),2)</f>
        <v>301.22000000000003</v>
      </c>
      <c r="P17" s="66">
        <v>1</v>
      </c>
      <c r="Q17" s="66">
        <v>7</v>
      </c>
      <c r="R17" s="66">
        <v>2015</v>
      </c>
      <c r="S17" s="66">
        <v>1</v>
      </c>
      <c r="T17" s="71" t="s">
        <v>320</v>
      </c>
      <c r="U17" s="71" t="s">
        <v>318</v>
      </c>
      <c r="V17" s="66" t="str">
        <f t="shared" si="2"/>
        <v>Modification nature de Principal1 vers Maxi-statut - Scénario id 2</v>
      </c>
    </row>
    <row r="18" spans="1:22" x14ac:dyDescent="0.25">
      <c r="B18" s="66">
        <v>3</v>
      </c>
      <c r="C18" s="66">
        <v>1</v>
      </c>
      <c r="D18" s="66" t="s">
        <v>91</v>
      </c>
      <c r="H18" s="67">
        <f>DATE($R18-$S18,$Q18+6,$P18)</f>
        <v>41821</v>
      </c>
      <c r="I18" s="66" t="s">
        <v>294</v>
      </c>
      <c r="K18" s="68">
        <f t="shared" si="1"/>
        <v>41640</v>
      </c>
      <c r="L18" s="66">
        <v>20141</v>
      </c>
      <c r="M18" s="69">
        <f>INDEX(barèmes!$D$2:$E$311,MATCH(T18,barèmes!$D$2:$D$311,0),2)</f>
        <v>301.22000000000003</v>
      </c>
      <c r="N18" s="70">
        <v>20151</v>
      </c>
      <c r="O18" s="69">
        <f>INDEX(barèmes!$D$2:$E$311,MATCH(U18,barèmes!$D$2:$D$311,0),2)</f>
        <v>308.55</v>
      </c>
      <c r="P18" s="66">
        <v>1</v>
      </c>
      <c r="Q18" s="66">
        <v>1</v>
      </c>
      <c r="R18" s="66">
        <v>2015</v>
      </c>
      <c r="S18" s="66">
        <v>1</v>
      </c>
      <c r="T18" s="71" t="s">
        <v>320</v>
      </c>
      <c r="U18" s="71" t="s">
        <v>321</v>
      </c>
      <c r="V18" s="66" t="str">
        <f t="shared" si="2"/>
        <v>Modification nature de Principal1 vers Maxi-statut - Scénario id 3</v>
      </c>
    </row>
    <row r="19" spans="1:22" x14ac:dyDescent="0.25">
      <c r="B19" s="66">
        <v>4</v>
      </c>
      <c r="C19" s="66">
        <v>1</v>
      </c>
      <c r="D19" s="66" t="s">
        <v>91</v>
      </c>
      <c r="H19" s="67">
        <f>DATE($R19-$S19,$Q19+6,$P19)</f>
        <v>41640</v>
      </c>
      <c r="I19" s="66" t="s">
        <v>294</v>
      </c>
      <c r="K19" s="68">
        <f t="shared" si="1"/>
        <v>41456</v>
      </c>
      <c r="L19" s="66">
        <v>20141</v>
      </c>
      <c r="M19" s="69">
        <f>INDEX(barèmes!$D$2:$E$311,MATCH(T19,barèmes!$D$2:$D$311,0),2)</f>
        <v>301.22000000000003</v>
      </c>
      <c r="N19" s="70">
        <v>20151</v>
      </c>
      <c r="O19" s="69">
        <f>INDEX(barèmes!$D$2:$E$311,MATCH(U19,barèmes!$D$2:$D$311,0),2)</f>
        <v>308.55</v>
      </c>
      <c r="P19" s="66">
        <v>1</v>
      </c>
      <c r="Q19" s="66">
        <v>7</v>
      </c>
      <c r="R19" s="66">
        <v>2015</v>
      </c>
      <c r="S19" s="66">
        <v>2</v>
      </c>
      <c r="T19" s="71" t="s">
        <v>320</v>
      </c>
      <c r="U19" s="71" t="s">
        <v>321</v>
      </c>
      <c r="V19" s="66" t="str">
        <f t="shared" si="2"/>
        <v>Modification nature de Principal1 vers Maxi-statut - Scénario id 4</v>
      </c>
    </row>
    <row r="20" spans="1:22" x14ac:dyDescent="0.25">
      <c r="B20" s="66">
        <v>5</v>
      </c>
      <c r="C20" s="66">
        <v>1</v>
      </c>
      <c r="D20" s="66" t="s">
        <v>91</v>
      </c>
      <c r="H20" s="67">
        <f>DATE($R20-$S20,$Q20+6,$P20)</f>
        <v>41456</v>
      </c>
      <c r="I20" s="66" t="s">
        <v>294</v>
      </c>
      <c r="K20" s="68">
        <f t="shared" si="1"/>
        <v>41275</v>
      </c>
      <c r="L20" s="66">
        <v>20141</v>
      </c>
      <c r="M20" s="69">
        <f>INDEX(barèmes!$D$2:$E$311,MATCH(T20,barèmes!$D$2:$D$311,0),2)</f>
        <v>308.55</v>
      </c>
      <c r="N20" s="70">
        <v>20151</v>
      </c>
      <c r="O20" s="69">
        <f>INDEX(barèmes!$D$2:$E$311,MATCH(U20,barèmes!$D$2:$D$311,0),2)</f>
        <v>315.89999999999998</v>
      </c>
      <c r="P20" s="66">
        <v>1</v>
      </c>
      <c r="Q20" s="66">
        <v>1</v>
      </c>
      <c r="R20" s="66">
        <v>2015</v>
      </c>
      <c r="S20" s="66">
        <v>2</v>
      </c>
      <c r="T20" s="71" t="s">
        <v>323</v>
      </c>
      <c r="U20" s="71" t="s">
        <v>319</v>
      </c>
      <c r="V20" s="66" t="str">
        <f t="shared" si="2"/>
        <v>Modification nature de Principal1 vers Maxi-statut - Scénario id 5</v>
      </c>
    </row>
    <row r="21" spans="1:22" x14ac:dyDescent="0.25">
      <c r="B21" s="66">
        <v>6</v>
      </c>
      <c r="C21" s="66">
        <v>1</v>
      </c>
      <c r="D21" s="66" t="s">
        <v>91</v>
      </c>
      <c r="H21" s="67">
        <f>DATE($R21-$S21,$Q21-6,$P21)</f>
        <v>41275</v>
      </c>
      <c r="I21" s="66" t="s">
        <v>291</v>
      </c>
      <c r="J21" s="66" t="s">
        <v>93</v>
      </c>
      <c r="K21" s="68">
        <f>DATE($R21-$S21,$Q21,$P21)</f>
        <v>41456</v>
      </c>
      <c r="L21" s="66">
        <v>20141</v>
      </c>
      <c r="M21" s="69">
        <f>INDEX(barèmes!$D$2:$E$311,MATCH(T21,barèmes!$D$2:$D$311,0),2)</f>
        <v>359.18</v>
      </c>
      <c r="N21" s="70">
        <v>20151</v>
      </c>
      <c r="O21" s="69">
        <f>INDEX(barèmes!$D$2:$E$311,MATCH(U21,barèmes!$D$2:$D$311,0),2)</f>
        <v>367.94</v>
      </c>
      <c r="P21" s="66">
        <v>1</v>
      </c>
      <c r="Q21" s="66">
        <v>7</v>
      </c>
      <c r="R21" s="66">
        <v>2015</v>
      </c>
      <c r="S21" s="66">
        <v>2</v>
      </c>
      <c r="T21" s="71" t="s">
        <v>328</v>
      </c>
      <c r="U21" s="71" t="s">
        <v>333</v>
      </c>
      <c r="V21" s="66" t="str">
        <f t="shared" si="2"/>
        <v>Modification nature de Principal1 vers Principal RED - Scénario id 6</v>
      </c>
    </row>
    <row r="22" spans="1:22" x14ac:dyDescent="0.25">
      <c r="B22" s="66">
        <v>7</v>
      </c>
      <c r="C22" s="66">
        <v>1</v>
      </c>
      <c r="D22" s="66" t="s">
        <v>91</v>
      </c>
      <c r="H22" s="67">
        <f t="shared" ref="H22:H24" si="4">DATE($R22-$S22,$Q22-6,$P22)</f>
        <v>41456</v>
      </c>
      <c r="I22" s="66" t="s">
        <v>291</v>
      </c>
      <c r="J22" s="66" t="s">
        <v>93</v>
      </c>
      <c r="K22" s="68">
        <f t="shared" si="1"/>
        <v>41640</v>
      </c>
      <c r="L22" s="66">
        <v>20143</v>
      </c>
      <c r="M22" s="69">
        <f>INDEX(barèmes!$D$2:$E$311,MATCH(T22,barèmes!$D$2:$D$311,0),2)</f>
        <v>359.18</v>
      </c>
      <c r="N22" s="70">
        <v>20151</v>
      </c>
      <c r="O22" s="69">
        <f>INDEX(barèmes!$D$2:$E$311,MATCH(U22,barèmes!$D$2:$D$311,0),2)</f>
        <v>367.94</v>
      </c>
      <c r="P22" s="66">
        <v>1</v>
      </c>
      <c r="Q22" s="66">
        <v>1</v>
      </c>
      <c r="R22" s="66">
        <v>2015</v>
      </c>
      <c r="S22" s="66">
        <v>1</v>
      </c>
      <c r="T22" s="71" t="s">
        <v>328</v>
      </c>
      <c r="U22" s="71" t="s">
        <v>333</v>
      </c>
      <c r="V22" s="66" t="str">
        <f t="shared" si="2"/>
        <v>Modification nature de Principal1 vers Principal RED - Scénario id 7</v>
      </c>
    </row>
    <row r="23" spans="1:22" x14ac:dyDescent="0.25">
      <c r="B23" s="66">
        <v>8</v>
      </c>
      <c r="C23" s="66">
        <v>1</v>
      </c>
      <c r="D23" s="66" t="s">
        <v>91</v>
      </c>
      <c r="H23" s="67">
        <f t="shared" si="4"/>
        <v>41640</v>
      </c>
      <c r="I23" s="66" t="s">
        <v>291</v>
      </c>
      <c r="J23" s="66" t="s">
        <v>93</v>
      </c>
      <c r="K23" s="68">
        <f t="shared" si="1"/>
        <v>41821</v>
      </c>
      <c r="L23" s="66">
        <v>20143</v>
      </c>
      <c r="M23" s="69">
        <f>INDEX(barèmes!$D$2:$E$311,MATCH(T23,barèmes!$D$2:$D$311,0),2)</f>
        <v>359.18</v>
      </c>
      <c r="N23" s="70">
        <v>20151</v>
      </c>
      <c r="O23" s="69">
        <f>INDEX(barèmes!$D$2:$E$311,MATCH(U23,barèmes!$D$2:$D$311,0),2)</f>
        <v>359.18</v>
      </c>
      <c r="P23" s="66">
        <v>1</v>
      </c>
      <c r="Q23" s="66">
        <v>7</v>
      </c>
      <c r="R23" s="66">
        <v>2015</v>
      </c>
      <c r="S23" s="66">
        <v>1</v>
      </c>
      <c r="T23" s="71" t="s">
        <v>328</v>
      </c>
      <c r="U23" s="71" t="s">
        <v>334</v>
      </c>
      <c r="V23" s="66" t="str">
        <f t="shared" si="2"/>
        <v>Modification nature de Principal1 vers Principal RED - Scénario id 8</v>
      </c>
    </row>
    <row r="24" spans="1:22" x14ac:dyDescent="0.25">
      <c r="B24" s="66">
        <v>9</v>
      </c>
      <c r="C24" s="66">
        <v>1</v>
      </c>
      <c r="D24" s="66" t="s">
        <v>91</v>
      </c>
      <c r="H24" s="67">
        <f t="shared" si="4"/>
        <v>41821</v>
      </c>
      <c r="I24" s="66" t="s">
        <v>291</v>
      </c>
      <c r="J24" s="66" t="s">
        <v>93</v>
      </c>
      <c r="K24" s="68">
        <f t="shared" si="1"/>
        <v>42005</v>
      </c>
      <c r="L24" s="66">
        <v>20151</v>
      </c>
      <c r="M24" s="69">
        <f>INDEX(barèmes!$D$2:$E$311,MATCH(T24,barèmes!$D$2:$D$311,0),2)</f>
        <v>359.18</v>
      </c>
      <c r="N24" s="70">
        <v>20154</v>
      </c>
      <c r="O24" s="69">
        <f>INDEX(barèmes!$D$2:$E$311,MATCH(U24,barèmes!$D$2:$D$311,0),2)</f>
        <v>359.18</v>
      </c>
      <c r="P24" s="66">
        <v>1</v>
      </c>
      <c r="Q24" s="66">
        <v>1</v>
      </c>
      <c r="R24" s="66">
        <v>2015</v>
      </c>
      <c r="S24" s="66">
        <v>0</v>
      </c>
      <c r="T24" s="71" t="s">
        <v>334</v>
      </c>
      <c r="U24" s="71" t="s">
        <v>334</v>
      </c>
      <c r="V24" s="66" t="str">
        <f t="shared" si="2"/>
        <v>Modification nature de Principal1 vers Principal RED - Scénario id 9</v>
      </c>
    </row>
    <row r="25" spans="1:22" x14ac:dyDescent="0.25">
      <c r="B25" s="66">
        <v>10</v>
      </c>
      <c r="C25" s="66">
        <v>1</v>
      </c>
      <c r="D25" s="66" t="s">
        <v>91</v>
      </c>
      <c r="H25" s="67">
        <f>DATE($R25-$S25,$Q25+6,$P25)</f>
        <v>42005</v>
      </c>
      <c r="I25" s="66" t="s">
        <v>291</v>
      </c>
      <c r="J25" s="66" t="s">
        <v>93</v>
      </c>
      <c r="K25" s="68">
        <f t="shared" si="1"/>
        <v>41821</v>
      </c>
      <c r="L25" s="66">
        <v>20143</v>
      </c>
      <c r="M25" s="69">
        <f>INDEX(barèmes!$D$2:$E$311,MATCH(T25,barèmes!$D$2:$D$311,0),2)</f>
        <v>359.18</v>
      </c>
      <c r="N25" s="70">
        <v>20151</v>
      </c>
      <c r="O25" s="69">
        <f>INDEX(barèmes!$D$2:$E$311,MATCH(U25,barèmes!$D$2:$D$311,0),2)</f>
        <v>359.18</v>
      </c>
      <c r="P25" s="66">
        <v>1</v>
      </c>
      <c r="Q25" s="66">
        <v>7</v>
      </c>
      <c r="R25" s="66">
        <v>2015</v>
      </c>
      <c r="S25" s="66">
        <v>1</v>
      </c>
      <c r="T25" s="71" t="s">
        <v>328</v>
      </c>
      <c r="U25" s="71" t="s">
        <v>334</v>
      </c>
      <c r="V25" s="66" t="str">
        <f t="shared" si="2"/>
        <v>Modification nature de Principal1 vers Principal RED - Scénario id 10</v>
      </c>
    </row>
    <row r="26" spans="1:22" x14ac:dyDescent="0.25">
      <c r="A26" s="66" t="s">
        <v>476</v>
      </c>
      <c r="B26" s="66" t="s">
        <v>399</v>
      </c>
      <c r="C26" s="66" t="s">
        <v>290</v>
      </c>
      <c r="D26" s="66" t="s">
        <v>92</v>
      </c>
      <c r="E26" s="66" t="s">
        <v>285</v>
      </c>
      <c r="F26" s="66" t="s">
        <v>292</v>
      </c>
      <c r="G26" s="66" t="s">
        <v>286</v>
      </c>
      <c r="H26" s="67" t="s">
        <v>296</v>
      </c>
      <c r="I26" s="66" t="s">
        <v>298</v>
      </c>
      <c r="J26" s="66" t="s">
        <v>299</v>
      </c>
      <c r="K26" s="68" t="s">
        <v>297</v>
      </c>
      <c r="L26" s="66" t="s">
        <v>305</v>
      </c>
      <c r="M26" s="69" t="s">
        <v>306</v>
      </c>
      <c r="N26" s="70" t="s">
        <v>307</v>
      </c>
      <c r="O26" s="69" t="s">
        <v>308</v>
      </c>
      <c r="P26" s="66" t="s">
        <v>287</v>
      </c>
      <c r="Q26" s="66" t="s">
        <v>288</v>
      </c>
      <c r="R26" s="66" t="s">
        <v>289</v>
      </c>
      <c r="S26" s="66" t="s">
        <v>295</v>
      </c>
      <c r="T26" s="71" t="s">
        <v>309</v>
      </c>
      <c r="U26" s="71" t="s">
        <v>310</v>
      </c>
      <c r="V26" s="66" t="s">
        <v>457</v>
      </c>
    </row>
    <row r="27" spans="1:22" x14ac:dyDescent="0.25">
      <c r="B27" s="66">
        <v>1</v>
      </c>
      <c r="C27" s="66">
        <v>1</v>
      </c>
      <c r="D27" s="66" t="s">
        <v>91</v>
      </c>
      <c r="H27" s="67">
        <f>DATE($R27-$S27,$Q27+6,$P27)</f>
        <v>41821</v>
      </c>
      <c r="I27" s="66" t="s">
        <v>291</v>
      </c>
      <c r="J27" s="66" t="s">
        <v>93</v>
      </c>
      <c r="K27" s="68">
        <f t="shared" si="1"/>
        <v>41640</v>
      </c>
      <c r="L27" s="66">
        <v>20141</v>
      </c>
      <c r="M27" s="69">
        <f>INDEX(barèmes!$D$2:$E$311,MATCH(T27,barèmes!$D$2:$D$311,0),2)</f>
        <v>359.18</v>
      </c>
      <c r="N27" s="70">
        <v>20151</v>
      </c>
      <c r="O27" s="69">
        <f>INDEX(barèmes!$D$2:$E$311,MATCH(U27,barèmes!$D$2:$D$311,0),2)</f>
        <v>367.94</v>
      </c>
      <c r="P27" s="66">
        <v>1</v>
      </c>
      <c r="Q27" s="66">
        <v>1</v>
      </c>
      <c r="R27" s="66">
        <v>2015</v>
      </c>
      <c r="S27" s="66">
        <v>1</v>
      </c>
      <c r="T27" s="71" t="s">
        <v>328</v>
      </c>
      <c r="U27" s="71" t="s">
        <v>333</v>
      </c>
      <c r="V27" s="66" t="str">
        <f t="shared" si="2"/>
        <v>Modification nature de Principal1 vers Principal RED - Scénario id 1</v>
      </c>
    </row>
    <row r="28" spans="1:22" x14ac:dyDescent="0.25">
      <c r="B28" s="66">
        <v>2</v>
      </c>
      <c r="C28" s="66">
        <v>1</v>
      </c>
      <c r="D28" s="66" t="s">
        <v>91</v>
      </c>
      <c r="H28" s="67">
        <f>DATE($R28-$S28,$Q28+6,$P28)</f>
        <v>41640</v>
      </c>
      <c r="I28" s="66" t="s">
        <v>291</v>
      </c>
      <c r="J28" s="66" t="s">
        <v>93</v>
      </c>
      <c r="K28" s="68">
        <f t="shared" si="1"/>
        <v>41456</v>
      </c>
      <c r="L28" s="66">
        <v>20141</v>
      </c>
      <c r="M28" s="69">
        <f>INDEX(barèmes!$D$2:$E$311,MATCH(T28,barèmes!$D$2:$D$311,0),2)</f>
        <v>359.18</v>
      </c>
      <c r="N28" s="70">
        <v>20151</v>
      </c>
      <c r="O28" s="69">
        <f>INDEX(barèmes!$D$2:$E$311,MATCH(U28,barèmes!$D$2:$D$311,0),2)</f>
        <v>367.94</v>
      </c>
      <c r="P28" s="66">
        <v>1</v>
      </c>
      <c r="Q28" s="66">
        <v>7</v>
      </c>
      <c r="R28" s="66">
        <v>2015</v>
      </c>
      <c r="S28" s="66">
        <v>2</v>
      </c>
      <c r="T28" s="71" t="s">
        <v>328</v>
      </c>
      <c r="U28" s="71" t="s">
        <v>333</v>
      </c>
      <c r="V28" s="66" t="str">
        <f t="shared" si="2"/>
        <v>Modification nature de Principal1 vers Principal RED - Scénario id 2</v>
      </c>
    </row>
    <row r="29" spans="1:22" x14ac:dyDescent="0.25">
      <c r="B29" s="66">
        <v>3</v>
      </c>
      <c r="C29" s="66">
        <v>1</v>
      </c>
      <c r="D29" s="66" t="s">
        <v>91</v>
      </c>
      <c r="H29" s="67">
        <f>DATE($R29-$S29,$Q29+6,$P29)</f>
        <v>41456</v>
      </c>
      <c r="I29" s="66" t="s">
        <v>291</v>
      </c>
      <c r="J29" s="66" t="s">
        <v>93</v>
      </c>
      <c r="K29" s="68">
        <f t="shared" si="1"/>
        <v>41275</v>
      </c>
      <c r="L29" s="66">
        <v>20141</v>
      </c>
      <c r="M29" s="69">
        <f>INDEX(barèmes!$D$2:$E$311,MATCH(T29,barèmes!$D$2:$D$311,0),2)</f>
        <v>367.94</v>
      </c>
      <c r="N29" s="70">
        <v>20151</v>
      </c>
      <c r="O29" s="69">
        <f>INDEX(barèmes!$D$2:$E$311,MATCH(U29,barèmes!$D$2:$D$311,0),2)</f>
        <v>376.7</v>
      </c>
      <c r="P29" s="66">
        <v>1</v>
      </c>
      <c r="Q29" s="66">
        <v>1</v>
      </c>
      <c r="R29" s="66">
        <v>2015</v>
      </c>
      <c r="S29" s="66">
        <v>2</v>
      </c>
      <c r="T29" s="71" t="s">
        <v>327</v>
      </c>
      <c r="U29" s="71" t="s">
        <v>329</v>
      </c>
      <c r="V29" s="66" t="str">
        <f t="shared" si="2"/>
        <v>Modification nature de Principal1 vers Principal RED - Scénario id 3</v>
      </c>
    </row>
    <row r="30" spans="1:22" x14ac:dyDescent="0.25">
      <c r="B30" s="66">
        <v>4</v>
      </c>
      <c r="C30" s="66">
        <v>1</v>
      </c>
      <c r="D30" s="66" t="s">
        <v>91</v>
      </c>
      <c r="H30" s="67">
        <f>DATE($R30-$S30,$Q30-6,$P30)</f>
        <v>41275</v>
      </c>
      <c r="I30" s="66" t="s">
        <v>291</v>
      </c>
      <c r="J30" s="66" t="s">
        <v>90</v>
      </c>
      <c r="K30" s="68">
        <f>DATE($R30-$S30,$Q30,$P30)</f>
        <v>41456</v>
      </c>
      <c r="L30" s="66">
        <v>20141</v>
      </c>
      <c r="M30" s="69">
        <f>INDEX(barèmes!$D$2:$E$311,MATCH(T30,barèmes!$D$2:$D$311,0),2)</f>
        <v>0</v>
      </c>
      <c r="N30" s="70">
        <v>20151</v>
      </c>
      <c r="O30" s="69">
        <f>INDEX(barèmes!$D$2:$E$311,MATCH(U30,barèmes!$D$2:$D$311,0),2)</f>
        <v>0</v>
      </c>
      <c r="P30" s="66">
        <v>1</v>
      </c>
      <c r="Q30" s="66">
        <v>7</v>
      </c>
      <c r="R30" s="66">
        <v>2015</v>
      </c>
      <c r="S30" s="66">
        <v>2</v>
      </c>
      <c r="T30" s="71" t="s">
        <v>317</v>
      </c>
      <c r="U30" s="71" t="s">
        <v>317</v>
      </c>
      <c r="V30" s="66" t="str">
        <f t="shared" si="2"/>
        <v>Modification nature de Principal1 vers Principal EXO - Scénario id 4</v>
      </c>
    </row>
    <row r="31" spans="1:22" x14ac:dyDescent="0.25">
      <c r="B31" s="66">
        <v>5</v>
      </c>
      <c r="C31" s="66">
        <v>1</v>
      </c>
      <c r="D31" s="66" t="s">
        <v>91</v>
      </c>
      <c r="H31" s="67">
        <f t="shared" ref="H31:H33" si="5">DATE($R31-$S31,$Q31-6,$P31)</f>
        <v>41456</v>
      </c>
      <c r="I31" s="66" t="s">
        <v>293</v>
      </c>
      <c r="J31" s="66" t="s">
        <v>90</v>
      </c>
      <c r="K31" s="68">
        <f t="shared" si="1"/>
        <v>41640</v>
      </c>
      <c r="L31" s="66">
        <v>20143</v>
      </c>
      <c r="M31" s="69">
        <f>INDEX(barèmes!$D$2:$E$311,MATCH(T31,barèmes!$D$2:$D$311,0),2)</f>
        <v>0</v>
      </c>
      <c r="N31" s="70">
        <v>20151</v>
      </c>
      <c r="O31" s="69">
        <f>INDEX(barèmes!$D$2:$E$311,MATCH(U31,barèmes!$D$2:$D$311,0),2)</f>
        <v>0</v>
      </c>
      <c r="P31" s="66">
        <v>1</v>
      </c>
      <c r="Q31" s="66">
        <v>1</v>
      </c>
      <c r="R31" s="66">
        <v>2015</v>
      </c>
      <c r="S31" s="66">
        <v>1</v>
      </c>
      <c r="T31" s="71" t="s">
        <v>317</v>
      </c>
      <c r="U31" s="71" t="s">
        <v>317</v>
      </c>
      <c r="V31" s="66" t="str">
        <f t="shared" si="2"/>
        <v>Modification nature de Principal1 vers Complémentaire EXO - Scénario id 5</v>
      </c>
    </row>
    <row r="32" spans="1:22" x14ac:dyDescent="0.25">
      <c r="B32" s="66">
        <v>6</v>
      </c>
      <c r="C32" s="66">
        <v>1</v>
      </c>
      <c r="D32" s="66" t="s">
        <v>91</v>
      </c>
      <c r="H32" s="67">
        <f t="shared" si="5"/>
        <v>41640</v>
      </c>
      <c r="I32" s="66" t="s">
        <v>294</v>
      </c>
      <c r="J32" s="66" t="s">
        <v>90</v>
      </c>
      <c r="K32" s="68">
        <f t="shared" si="1"/>
        <v>41821</v>
      </c>
      <c r="L32" s="66">
        <v>20143</v>
      </c>
      <c r="M32" s="69">
        <f>INDEX(barèmes!$D$2:$E$311,MATCH(T32,barèmes!$D$2:$D$311,0),2)</f>
        <v>0</v>
      </c>
      <c r="N32" s="70">
        <v>20151</v>
      </c>
      <c r="O32" s="69">
        <f>INDEX(barèmes!$D$2:$E$311,MATCH(U32,barèmes!$D$2:$D$311,0),2)</f>
        <v>0</v>
      </c>
      <c r="P32" s="66">
        <v>1</v>
      </c>
      <c r="Q32" s="66">
        <v>7</v>
      </c>
      <c r="R32" s="66">
        <v>2015</v>
      </c>
      <c r="S32" s="66">
        <v>1</v>
      </c>
      <c r="T32" s="71" t="s">
        <v>317</v>
      </c>
      <c r="U32" s="71" t="s">
        <v>317</v>
      </c>
      <c r="V32" s="66" t="str">
        <f t="shared" si="2"/>
        <v>Modification nature de Principal1 vers Maxi-statut EXO - Scénario id 6</v>
      </c>
    </row>
    <row r="33" spans="1:22" x14ac:dyDescent="0.25">
      <c r="B33" s="66">
        <v>7</v>
      </c>
      <c r="C33" s="66">
        <v>1</v>
      </c>
      <c r="D33" s="66" t="s">
        <v>91</v>
      </c>
      <c r="H33" s="67">
        <f t="shared" si="5"/>
        <v>41821</v>
      </c>
      <c r="I33" s="66" t="s">
        <v>291</v>
      </c>
      <c r="J33" s="66" t="s">
        <v>90</v>
      </c>
      <c r="K33" s="68">
        <f t="shared" si="1"/>
        <v>42005</v>
      </c>
      <c r="L33" s="66">
        <v>20151</v>
      </c>
      <c r="M33" s="69">
        <f>INDEX(barèmes!$D$2:$E$311,MATCH(T33,barèmes!$D$2:$D$311,0),2)</f>
        <v>0</v>
      </c>
      <c r="N33" s="70">
        <v>20151</v>
      </c>
      <c r="O33" s="69">
        <f>INDEX(barèmes!$D$2:$E$311,MATCH(U33,barèmes!$D$2:$D$311,0),2)</f>
        <v>0</v>
      </c>
      <c r="P33" s="66">
        <v>1</v>
      </c>
      <c r="Q33" s="66">
        <v>1</v>
      </c>
      <c r="R33" s="66">
        <v>2015</v>
      </c>
      <c r="S33" s="66">
        <v>0</v>
      </c>
      <c r="T33" s="71" t="s">
        <v>317</v>
      </c>
      <c r="U33" s="71" t="s">
        <v>317</v>
      </c>
      <c r="V33" s="66" t="str">
        <f t="shared" si="2"/>
        <v>Modification nature de Principal1 vers Principal EXO - Scénario id 7</v>
      </c>
    </row>
    <row r="34" spans="1:22" x14ac:dyDescent="0.25">
      <c r="B34" s="66">
        <v>8</v>
      </c>
      <c r="C34" s="66">
        <v>1</v>
      </c>
      <c r="D34" s="66" t="s">
        <v>91</v>
      </c>
      <c r="H34" s="67">
        <f>DATE($R34-$S34,$Q34+6,$P34)</f>
        <v>42005</v>
      </c>
      <c r="I34" s="66" t="s">
        <v>293</v>
      </c>
      <c r="J34" s="66" t="s">
        <v>90</v>
      </c>
      <c r="K34" s="68">
        <f t="shared" si="1"/>
        <v>41821</v>
      </c>
      <c r="L34" s="66">
        <v>20143</v>
      </c>
      <c r="M34" s="69">
        <f>INDEX(barèmes!$D$2:$E$311,MATCH(T34,barèmes!$D$2:$D$311,0),2)</f>
        <v>0</v>
      </c>
      <c r="N34" s="70">
        <v>20151</v>
      </c>
      <c r="O34" s="69">
        <f>INDEX(barèmes!$D$2:$E$311,MATCH(U34,barèmes!$D$2:$D$311,0),2)</f>
        <v>0</v>
      </c>
      <c r="P34" s="66">
        <v>1</v>
      </c>
      <c r="Q34" s="66">
        <v>7</v>
      </c>
      <c r="R34" s="66">
        <v>2015</v>
      </c>
      <c r="S34" s="66">
        <v>1</v>
      </c>
      <c r="T34" s="71" t="s">
        <v>317</v>
      </c>
      <c r="U34" s="71" t="s">
        <v>317</v>
      </c>
      <c r="V34" s="66" t="str">
        <f t="shared" si="2"/>
        <v>Modification nature de Principal1 vers Complémentaire EXO - Scénario id 8</v>
      </c>
    </row>
    <row r="35" spans="1:22" x14ac:dyDescent="0.25">
      <c r="B35" s="66">
        <v>9</v>
      </c>
      <c r="C35" s="66">
        <v>1</v>
      </c>
      <c r="D35" s="66" t="s">
        <v>91</v>
      </c>
      <c r="H35" s="67">
        <f>DATE($R35-$S35,$Q35+6,$P35)</f>
        <v>41821</v>
      </c>
      <c r="I35" s="66" t="s">
        <v>294</v>
      </c>
      <c r="J35" s="66" t="s">
        <v>90</v>
      </c>
      <c r="K35" s="68">
        <f t="shared" si="1"/>
        <v>41640</v>
      </c>
      <c r="L35" s="66">
        <v>20141</v>
      </c>
      <c r="M35" s="69">
        <f>INDEX(barèmes!$D$2:$E$311,MATCH(T35,barèmes!$D$2:$D$311,0),2)</f>
        <v>0</v>
      </c>
      <c r="N35" s="70">
        <v>20151</v>
      </c>
      <c r="O35" s="69">
        <f>INDEX(barèmes!$D$2:$E$311,MATCH(U35,barèmes!$D$2:$D$311,0),2)</f>
        <v>0</v>
      </c>
      <c r="P35" s="66">
        <v>1</v>
      </c>
      <c r="Q35" s="66">
        <v>1</v>
      </c>
      <c r="R35" s="66">
        <v>2015</v>
      </c>
      <c r="S35" s="66">
        <v>1</v>
      </c>
      <c r="T35" s="71" t="s">
        <v>317</v>
      </c>
      <c r="U35" s="71" t="s">
        <v>317</v>
      </c>
      <c r="V35" s="66" t="str">
        <f t="shared" si="2"/>
        <v>Modification nature de Principal1 vers Maxi-statut EXO - Scénario id 9</v>
      </c>
    </row>
    <row r="36" spans="1:22" x14ac:dyDescent="0.25">
      <c r="B36" s="66">
        <v>10</v>
      </c>
      <c r="C36" s="66">
        <v>1</v>
      </c>
      <c r="D36" s="66" t="s">
        <v>91</v>
      </c>
      <c r="H36" s="67">
        <f>DATE($R36-$S36,$Q36+6,$P36)</f>
        <v>41640</v>
      </c>
      <c r="I36" s="66" t="s">
        <v>291</v>
      </c>
      <c r="J36" s="66" t="s">
        <v>90</v>
      </c>
      <c r="K36" s="68">
        <f t="shared" si="1"/>
        <v>41456</v>
      </c>
      <c r="L36" s="66">
        <v>20141</v>
      </c>
      <c r="M36" s="69">
        <f>INDEX(barèmes!$D$2:$E$311,MATCH(T36,barèmes!$D$2:$D$311,0),2)</f>
        <v>0</v>
      </c>
      <c r="N36" s="70">
        <v>20151</v>
      </c>
      <c r="O36" s="69">
        <f>INDEX(barèmes!$D$2:$E$311,MATCH(U36,barèmes!$D$2:$D$311,0),2)</f>
        <v>0</v>
      </c>
      <c r="P36" s="66">
        <v>1</v>
      </c>
      <c r="Q36" s="66">
        <v>7</v>
      </c>
      <c r="R36" s="66">
        <v>2015</v>
      </c>
      <c r="S36" s="66">
        <v>2</v>
      </c>
      <c r="T36" s="71" t="s">
        <v>317</v>
      </c>
      <c r="U36" s="71" t="s">
        <v>317</v>
      </c>
      <c r="V36" s="66" t="str">
        <f t="shared" si="2"/>
        <v>Modification nature de Principal1 vers Principal EXO - Scénario id 10</v>
      </c>
    </row>
    <row r="37" spans="1:22" x14ac:dyDescent="0.25">
      <c r="B37" s="66">
        <v>11</v>
      </c>
      <c r="C37" s="66">
        <v>1</v>
      </c>
      <c r="D37" s="66" t="s">
        <v>91</v>
      </c>
      <c r="H37" s="67">
        <f>DATE($R37-$S37,$Q37+6,$P37)</f>
        <v>41456</v>
      </c>
      <c r="I37" s="66" t="s">
        <v>293</v>
      </c>
      <c r="J37" s="66" t="s">
        <v>90</v>
      </c>
      <c r="K37" s="68">
        <f t="shared" si="1"/>
        <v>41275</v>
      </c>
      <c r="L37" s="66">
        <v>20141</v>
      </c>
      <c r="M37" s="69">
        <f>INDEX(barèmes!$D$2:$E$311,MATCH(T37,barèmes!$D$2:$D$311,0),2)</f>
        <v>0</v>
      </c>
      <c r="N37" s="70">
        <v>20151</v>
      </c>
      <c r="O37" s="69">
        <f>INDEX(barèmes!$D$2:$E$311,MATCH(U37,barèmes!$D$2:$D$311,0),2)</f>
        <v>0</v>
      </c>
      <c r="P37" s="66">
        <v>1</v>
      </c>
      <c r="Q37" s="66">
        <v>1</v>
      </c>
      <c r="R37" s="66">
        <v>2015</v>
      </c>
      <c r="S37" s="66">
        <v>2</v>
      </c>
      <c r="T37" s="71" t="s">
        <v>317</v>
      </c>
      <c r="U37" s="71" t="s">
        <v>317</v>
      </c>
      <c r="V37" s="66" t="str">
        <f t="shared" si="2"/>
        <v>Modification nature de Principal1 vers Complémentaire EXO - Scénario id 11</v>
      </c>
    </row>
    <row r="38" spans="1:22" x14ac:dyDescent="0.25">
      <c r="A38" s="66" t="s">
        <v>293</v>
      </c>
      <c r="B38" s="66" t="s">
        <v>399</v>
      </c>
      <c r="C38" s="66" t="s">
        <v>290</v>
      </c>
      <c r="D38" s="66" t="s">
        <v>92</v>
      </c>
      <c r="E38" s="66" t="s">
        <v>285</v>
      </c>
      <c r="F38" s="66" t="s">
        <v>292</v>
      </c>
      <c r="G38" s="66" t="s">
        <v>286</v>
      </c>
      <c r="H38" s="67" t="s">
        <v>296</v>
      </c>
      <c r="I38" s="66" t="s">
        <v>298</v>
      </c>
      <c r="J38" s="66" t="s">
        <v>299</v>
      </c>
      <c r="K38" s="68" t="s">
        <v>297</v>
      </c>
      <c r="L38" s="66" t="s">
        <v>305</v>
      </c>
      <c r="M38" s="69" t="s">
        <v>306</v>
      </c>
      <c r="N38" s="70" t="s">
        <v>307</v>
      </c>
      <c r="O38" s="69" t="s">
        <v>308</v>
      </c>
      <c r="P38" s="66" t="s">
        <v>287</v>
      </c>
      <c r="Q38" s="66" t="s">
        <v>288</v>
      </c>
      <c r="R38" s="66" t="s">
        <v>289</v>
      </c>
      <c r="S38" s="66" t="s">
        <v>295</v>
      </c>
      <c r="T38" s="71" t="s">
        <v>309</v>
      </c>
      <c r="U38" s="71" t="s">
        <v>310</v>
      </c>
      <c r="V38" s="66" t="s">
        <v>457</v>
      </c>
    </row>
    <row r="39" spans="1:22" x14ac:dyDescent="0.25">
      <c r="B39" s="66">
        <v>1</v>
      </c>
      <c r="C39" s="66">
        <v>4</v>
      </c>
      <c r="D39" s="66" t="s">
        <v>91</v>
      </c>
      <c r="H39" s="67">
        <f>DATE($R39-$S39,$Q39-6,$P39)</f>
        <v>41275</v>
      </c>
      <c r="I39" s="66" t="s">
        <v>291</v>
      </c>
      <c r="K39" s="68">
        <f>DATE($R39-$S39,$Q39,$P39)</f>
        <v>41456</v>
      </c>
      <c r="L39" s="66">
        <v>20141</v>
      </c>
      <c r="M39" s="69">
        <f>INDEX(barèmes!$D$2:$E$311,MATCH(T39,barèmes!$D$2:$D$311,0),2)</f>
        <v>685.66</v>
      </c>
      <c r="N39" s="70">
        <v>20151</v>
      </c>
      <c r="O39" s="69">
        <f>INDEX(barèmes!$D$2:$E$311,MATCH(U39,barèmes!$D$2:$D$311,0),2)</f>
        <v>702.39</v>
      </c>
      <c r="P39" s="66">
        <v>1</v>
      </c>
      <c r="Q39" s="66">
        <v>7</v>
      </c>
      <c r="R39" s="66">
        <v>2015</v>
      </c>
      <c r="S39" s="66">
        <v>2</v>
      </c>
      <c r="T39" s="71" t="s">
        <v>322</v>
      </c>
      <c r="U39" s="71" t="s">
        <v>331</v>
      </c>
      <c r="V39" s="66" t="str">
        <f t="shared" ref="V39:V46" si="6">TRIM($A$1&amp;" de "&amp;$A$38&amp;" vers "&amp;I39&amp;" "&amp;J39&amp;" - Scénario id "&amp;B39)</f>
        <v>Modification nature de Complémentaire vers Principal - Scénario id 1</v>
      </c>
    </row>
    <row r="40" spans="1:22" x14ac:dyDescent="0.25">
      <c r="B40" s="66">
        <v>2</v>
      </c>
      <c r="C40" s="66">
        <v>4</v>
      </c>
      <c r="D40" s="66" t="s">
        <v>91</v>
      </c>
      <c r="H40" s="67">
        <f t="shared" ref="H40:H42" si="7">DATE($R40-$S40,$Q40-6,$P40)</f>
        <v>41456</v>
      </c>
      <c r="I40" s="66" t="s">
        <v>291</v>
      </c>
      <c r="K40" s="68">
        <f t="shared" ref="K40:K46" si="8">DATE($R40-$S40,$Q40,$P40)</f>
        <v>41640</v>
      </c>
      <c r="L40" s="66">
        <v>20143</v>
      </c>
      <c r="M40" s="69">
        <f>INDEX(barèmes!$D$2:$E$311,MATCH(T40,barèmes!$D$2:$D$311,0),2)</f>
        <v>685.66</v>
      </c>
      <c r="N40" s="70">
        <v>20151</v>
      </c>
      <c r="O40" s="69">
        <f>INDEX(barèmes!$D$2:$E$311,MATCH(U40,barèmes!$D$2:$D$311,0),2)</f>
        <v>702.39</v>
      </c>
      <c r="P40" s="66">
        <v>1</v>
      </c>
      <c r="Q40" s="66">
        <v>1</v>
      </c>
      <c r="R40" s="66">
        <v>2015</v>
      </c>
      <c r="S40" s="66">
        <v>1</v>
      </c>
      <c r="T40" s="71" t="s">
        <v>322</v>
      </c>
      <c r="U40" s="71" t="s">
        <v>331</v>
      </c>
      <c r="V40" s="66" t="str">
        <f t="shared" si="6"/>
        <v>Modification nature de Complémentaire vers Principal - Scénario id 2</v>
      </c>
    </row>
    <row r="41" spans="1:22" x14ac:dyDescent="0.25">
      <c r="B41" s="66">
        <v>3</v>
      </c>
      <c r="C41" s="66">
        <v>4</v>
      </c>
      <c r="D41" s="66" t="s">
        <v>91</v>
      </c>
      <c r="H41" s="67">
        <f t="shared" si="7"/>
        <v>41640</v>
      </c>
      <c r="I41" s="66" t="s">
        <v>291</v>
      </c>
      <c r="K41" s="68">
        <f t="shared" si="8"/>
        <v>41821</v>
      </c>
      <c r="L41" s="66">
        <v>20143</v>
      </c>
      <c r="M41" s="69">
        <f>INDEX(barèmes!$D$2:$E$311,MATCH(T41,barèmes!$D$2:$D$311,0),2)</f>
        <v>685.66</v>
      </c>
      <c r="N41" s="70">
        <v>20151</v>
      </c>
      <c r="O41" s="69">
        <f>INDEX(barèmes!$D$2:$E$311,MATCH(U41,barèmes!$D$2:$D$311,0),2)</f>
        <v>685.66</v>
      </c>
      <c r="P41" s="66">
        <v>1</v>
      </c>
      <c r="Q41" s="66">
        <v>7</v>
      </c>
      <c r="R41" s="66">
        <v>2015</v>
      </c>
      <c r="S41" s="66">
        <v>1</v>
      </c>
      <c r="T41" s="71" t="s">
        <v>322</v>
      </c>
      <c r="U41" s="71" t="s">
        <v>332</v>
      </c>
      <c r="V41" s="66" t="str">
        <f t="shared" si="6"/>
        <v>Modification nature de Complémentaire vers Principal - Scénario id 3</v>
      </c>
    </row>
    <row r="42" spans="1:22" x14ac:dyDescent="0.25">
      <c r="B42" s="66">
        <v>4</v>
      </c>
      <c r="C42" s="66">
        <v>4</v>
      </c>
      <c r="D42" s="66" t="s">
        <v>91</v>
      </c>
      <c r="H42" s="67">
        <f t="shared" si="7"/>
        <v>41821</v>
      </c>
      <c r="I42" s="66" t="s">
        <v>291</v>
      </c>
      <c r="K42" s="68">
        <f t="shared" si="8"/>
        <v>42005</v>
      </c>
      <c r="L42" s="66">
        <v>20151</v>
      </c>
      <c r="M42" s="69">
        <f>INDEX(barèmes!$D$2:$E$311,MATCH(T42,barèmes!$D$2:$D$311,0),2)</f>
        <v>685.66</v>
      </c>
      <c r="N42" s="70">
        <v>20154</v>
      </c>
      <c r="O42" s="69">
        <f>INDEX(barèmes!$D$2:$E$311,MATCH(U42,barèmes!$D$2:$D$311,0),2)</f>
        <v>685.66</v>
      </c>
      <c r="P42" s="66">
        <v>1</v>
      </c>
      <c r="Q42" s="66">
        <v>1</v>
      </c>
      <c r="R42" s="66">
        <v>2015</v>
      </c>
      <c r="S42" s="66">
        <v>0</v>
      </c>
      <c r="T42" s="71" t="s">
        <v>332</v>
      </c>
      <c r="U42" s="71" t="s">
        <v>332</v>
      </c>
      <c r="V42" s="66" t="str">
        <f t="shared" si="6"/>
        <v>Modification nature de Complémentaire vers Principal - Scénario id 4</v>
      </c>
    </row>
    <row r="43" spans="1:22" x14ac:dyDescent="0.25">
      <c r="B43" s="66">
        <v>5</v>
      </c>
      <c r="C43" s="66">
        <v>4</v>
      </c>
      <c r="D43" s="66" t="s">
        <v>91</v>
      </c>
      <c r="H43" s="67">
        <f>DATE($R43-$S43,$Q43+6,$P43)</f>
        <v>42005</v>
      </c>
      <c r="I43" s="66" t="s">
        <v>291</v>
      </c>
      <c r="K43" s="68">
        <f t="shared" si="8"/>
        <v>41821</v>
      </c>
      <c r="L43" s="66">
        <v>20143</v>
      </c>
      <c r="M43" s="69">
        <f>INDEX(barèmes!$D$2:$E$311,MATCH(T43,barèmes!$D$2:$D$311,0),2)</f>
        <v>685.66</v>
      </c>
      <c r="N43" s="70">
        <v>20151</v>
      </c>
      <c r="O43" s="69">
        <f>INDEX(barèmes!$D$2:$E$311,MATCH(U43,barèmes!$D$2:$D$311,0),2)</f>
        <v>685.66</v>
      </c>
      <c r="P43" s="66">
        <v>1</v>
      </c>
      <c r="Q43" s="66">
        <v>7</v>
      </c>
      <c r="R43" s="66">
        <v>2015</v>
      </c>
      <c r="S43" s="66">
        <v>1</v>
      </c>
      <c r="T43" s="71" t="s">
        <v>322</v>
      </c>
      <c r="U43" s="71" t="s">
        <v>332</v>
      </c>
      <c r="V43" s="66" t="str">
        <f t="shared" si="6"/>
        <v>Modification nature de Complémentaire vers Principal - Scénario id 5</v>
      </c>
    </row>
    <row r="44" spans="1:22" x14ac:dyDescent="0.25">
      <c r="B44" s="66">
        <v>6</v>
      </c>
      <c r="C44" s="66">
        <v>4</v>
      </c>
      <c r="D44" s="66" t="s">
        <v>91</v>
      </c>
      <c r="H44" s="67">
        <f>DATE($R44-$S44,$Q44+6,$P44)</f>
        <v>41821</v>
      </c>
      <c r="I44" s="66" t="s">
        <v>291</v>
      </c>
      <c r="K44" s="68">
        <f t="shared" si="8"/>
        <v>41640</v>
      </c>
      <c r="L44" s="66">
        <v>20141</v>
      </c>
      <c r="M44" s="69">
        <f>INDEX(barèmes!$D$2:$E$311,MATCH(T44,barèmes!$D$2:$D$311,0),2)</f>
        <v>685.66</v>
      </c>
      <c r="N44" s="70">
        <v>20151</v>
      </c>
      <c r="O44" s="69">
        <f>INDEX(barèmes!$D$2:$E$311,MATCH(U44,barèmes!$D$2:$D$311,0),2)</f>
        <v>702.39</v>
      </c>
      <c r="P44" s="66">
        <v>1</v>
      </c>
      <c r="Q44" s="66">
        <v>1</v>
      </c>
      <c r="R44" s="66">
        <v>2015</v>
      </c>
      <c r="S44" s="66">
        <v>1</v>
      </c>
      <c r="T44" s="71" t="s">
        <v>322</v>
      </c>
      <c r="U44" s="71" t="s">
        <v>331</v>
      </c>
      <c r="V44" s="66" t="str">
        <f t="shared" si="6"/>
        <v>Modification nature de Complémentaire vers Principal - Scénario id 6</v>
      </c>
    </row>
    <row r="45" spans="1:22" x14ac:dyDescent="0.25">
      <c r="B45" s="66">
        <v>7</v>
      </c>
      <c r="C45" s="66">
        <v>4</v>
      </c>
      <c r="D45" s="66" t="s">
        <v>91</v>
      </c>
      <c r="H45" s="67">
        <f>DATE($R45-$S45,$Q45+6,$P45)</f>
        <v>41640</v>
      </c>
      <c r="I45" s="66" t="s">
        <v>291</v>
      </c>
      <c r="K45" s="68">
        <f t="shared" si="8"/>
        <v>41456</v>
      </c>
      <c r="L45" s="66">
        <v>20141</v>
      </c>
      <c r="M45" s="69">
        <f>INDEX(barèmes!$D$2:$E$311,MATCH(T45,barèmes!$D$2:$D$311,0),2)</f>
        <v>685.66</v>
      </c>
      <c r="N45" s="70">
        <v>20151</v>
      </c>
      <c r="O45" s="69">
        <f>INDEX(barèmes!$D$2:$E$311,MATCH(U45,barèmes!$D$2:$D$311,0),2)</f>
        <v>702.39</v>
      </c>
      <c r="P45" s="66">
        <v>1</v>
      </c>
      <c r="Q45" s="66">
        <v>7</v>
      </c>
      <c r="R45" s="66">
        <v>2015</v>
      </c>
      <c r="S45" s="66">
        <v>2</v>
      </c>
      <c r="T45" s="71" t="s">
        <v>322</v>
      </c>
      <c r="U45" s="71" t="s">
        <v>331</v>
      </c>
      <c r="V45" s="66" t="str">
        <f t="shared" si="6"/>
        <v>Modification nature de Complémentaire vers Principal - Scénario id 7</v>
      </c>
    </row>
    <row r="46" spans="1:22" x14ac:dyDescent="0.25">
      <c r="B46" s="66">
        <v>8</v>
      </c>
      <c r="C46" s="66">
        <v>4</v>
      </c>
      <c r="D46" s="66" t="s">
        <v>91</v>
      </c>
      <c r="H46" s="67">
        <f>DATE($R46-$S46,$Q46+6,$P46)</f>
        <v>41456</v>
      </c>
      <c r="I46" s="66" t="s">
        <v>291</v>
      </c>
      <c r="K46" s="68">
        <f t="shared" si="8"/>
        <v>41275</v>
      </c>
      <c r="L46" s="66">
        <v>20141</v>
      </c>
      <c r="M46" s="69">
        <f>INDEX(barèmes!$D$2:$E$311,MATCH(T46,barèmes!$D$2:$D$311,0),2)</f>
        <v>702.39</v>
      </c>
      <c r="N46" s="70">
        <v>20151</v>
      </c>
      <c r="O46" s="69">
        <f>INDEX(barèmes!$D$2:$E$311,MATCH(U46,barèmes!$D$2:$D$311,0),2)</f>
        <v>719.12</v>
      </c>
      <c r="P46" s="66">
        <v>1</v>
      </c>
      <c r="Q46" s="66">
        <v>1</v>
      </c>
      <c r="R46" s="66">
        <v>2015</v>
      </c>
      <c r="S46" s="66">
        <v>2</v>
      </c>
      <c r="T46" s="71" t="s">
        <v>312</v>
      </c>
      <c r="U46" s="71" t="s">
        <v>304</v>
      </c>
      <c r="V46" s="66" t="str">
        <f t="shared" si="6"/>
        <v>Modification nature de Complémentaire vers Principal - Scénario id 8</v>
      </c>
    </row>
  </sheetData>
  <conditionalFormatting sqref="V3:V14 V16:V25 V27:V46">
    <cfRule type="containsText" dxfId="2" priority="3" operator="containsText" text="F">
      <formula>NOT(ISERROR(SEARCH("F",V3)))</formula>
    </cfRule>
  </conditionalFormatting>
  <conditionalFormatting sqref="V15">
    <cfRule type="containsText" dxfId="1" priority="2" operator="containsText" text="F">
      <formula>NOT(ISERROR(SEARCH("F",V15)))</formula>
    </cfRule>
  </conditionalFormatting>
  <conditionalFormatting sqref="V26">
    <cfRule type="containsText" dxfId="0" priority="1" operator="containsText" text="F">
      <formula>NOT(ISERROR(SEARCH("F",V26)))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zoomScale="60" zoomScaleNormal="60" workbookViewId="0">
      <selection activeCell="K46" sqref="K46"/>
    </sheetView>
  </sheetViews>
  <sheetFormatPr baseColWidth="10" defaultColWidth="11.42578125" defaultRowHeight="15" x14ac:dyDescent="0.25"/>
  <cols>
    <col min="1" max="1" width="20" style="17" customWidth="1"/>
    <col min="2" max="2" width="20" style="51" customWidth="1"/>
    <col min="3" max="7" width="11.42578125" style="17"/>
    <col min="8" max="8" width="11.42578125" style="28"/>
    <col min="9" max="9" width="19.7109375" style="17" customWidth="1"/>
    <col min="10" max="10" width="16.140625" style="17" bestFit="1" customWidth="1"/>
    <col min="11" max="11" width="16.140625" style="17" customWidth="1"/>
    <col min="12" max="12" width="15.42578125" style="32" customWidth="1"/>
    <col min="13" max="13" width="11.42578125" style="32"/>
    <col min="14" max="14" width="11.42578125" style="19"/>
    <col min="15" max="15" width="11.42578125" style="15"/>
    <col min="16" max="16" width="13.42578125" style="15" bestFit="1" customWidth="1"/>
    <col min="17" max="17" width="11.42578125" style="20"/>
    <col min="18" max="18" width="12.7109375" style="15" bestFit="1" customWidth="1"/>
    <col min="19" max="19" width="14" style="15" bestFit="1" customWidth="1"/>
    <col min="20" max="20" width="11.42578125" style="17"/>
    <col min="21" max="21" width="15.28515625" style="19" bestFit="1" customWidth="1"/>
    <col min="22" max="22" width="11.42578125" style="17" customWidth="1"/>
    <col min="23" max="23" width="11.42578125" style="19" customWidth="1"/>
    <col min="24" max="24" width="14.7109375" style="21" bestFit="1" customWidth="1"/>
    <col min="25" max="25" width="15.85546875" style="21" bestFit="1" customWidth="1"/>
    <col min="26" max="26" width="15.140625" style="21" bestFit="1" customWidth="1"/>
    <col min="27" max="27" width="16.28515625" style="21" bestFit="1" customWidth="1"/>
    <col min="28" max="28" width="44.7109375" style="17" customWidth="1"/>
    <col min="29" max="16384" width="11.42578125" style="17"/>
  </cols>
  <sheetData>
    <row r="1" spans="1:28" x14ac:dyDescent="0.25">
      <c r="A1" s="17" t="s">
        <v>407</v>
      </c>
      <c r="D1" s="31"/>
      <c r="G1" s="31"/>
    </row>
    <row r="3" spans="1:28" x14ac:dyDescent="0.25">
      <c r="A3" s="17" t="s">
        <v>291</v>
      </c>
      <c r="B3" s="51" t="s">
        <v>399</v>
      </c>
      <c r="C3" s="17" t="s">
        <v>290</v>
      </c>
      <c r="D3" s="17" t="s">
        <v>92</v>
      </c>
      <c r="E3" s="17" t="s">
        <v>285</v>
      </c>
      <c r="F3" s="17" t="s">
        <v>292</v>
      </c>
      <c r="G3" s="17" t="s">
        <v>286</v>
      </c>
      <c r="H3" s="28" t="s">
        <v>296</v>
      </c>
      <c r="I3" s="17" t="s">
        <v>298</v>
      </c>
      <c r="J3" s="17" t="s">
        <v>299</v>
      </c>
      <c r="K3" s="17" t="s">
        <v>340</v>
      </c>
      <c r="L3" s="32" t="s">
        <v>297</v>
      </c>
      <c r="M3" s="32" t="s">
        <v>339</v>
      </c>
      <c r="N3" s="19" t="s">
        <v>305</v>
      </c>
      <c r="O3" s="15" t="s">
        <v>306</v>
      </c>
      <c r="P3" s="15" t="s">
        <v>484</v>
      </c>
      <c r="Q3" s="20" t="s">
        <v>307</v>
      </c>
      <c r="R3" s="15" t="s">
        <v>308</v>
      </c>
      <c r="S3" s="15" t="s">
        <v>485</v>
      </c>
      <c r="T3" s="17" t="s">
        <v>287</v>
      </c>
      <c r="U3" s="19" t="s">
        <v>288</v>
      </c>
      <c r="V3" s="17" t="s">
        <v>289</v>
      </c>
      <c r="W3" s="19" t="s">
        <v>295</v>
      </c>
      <c r="X3" s="21" t="s">
        <v>309</v>
      </c>
      <c r="Y3" s="21" t="s">
        <v>486</v>
      </c>
      <c r="Z3" s="21" t="s">
        <v>310</v>
      </c>
      <c r="AA3" s="21" t="s">
        <v>487</v>
      </c>
      <c r="AB3" s="17" t="s">
        <v>457</v>
      </c>
    </row>
    <row r="4" spans="1:28" s="18" customFormat="1" x14ac:dyDescent="0.25">
      <c r="B4" s="52">
        <v>1</v>
      </c>
      <c r="C4" s="18">
        <v>1</v>
      </c>
      <c r="D4" s="18" t="s">
        <v>91</v>
      </c>
      <c r="H4" s="29">
        <f>DATE($V4-2,1,1)</f>
        <v>41275</v>
      </c>
      <c r="I4" s="18" t="s">
        <v>291</v>
      </c>
      <c r="J4" s="18" t="s">
        <v>93</v>
      </c>
      <c r="K4" s="18" t="s">
        <v>341</v>
      </c>
      <c r="L4" s="33">
        <f>DATE($V4-$W4,$U4,$T4)</f>
        <v>41640</v>
      </c>
      <c r="M4" s="33">
        <f>DATE($V4-1,12,31)</f>
        <v>42004</v>
      </c>
      <c r="N4" s="19">
        <v>20141</v>
      </c>
      <c r="O4" s="30">
        <v>0</v>
      </c>
      <c r="P4" s="30"/>
      <c r="Q4" s="20">
        <v>20151</v>
      </c>
      <c r="R4" s="30">
        <f>INDEX(barèmes!$D$2:$E$311,MATCH(Z4,barèmes!$D$2:$D$311,0),2)</f>
        <v>719.12</v>
      </c>
      <c r="S4" s="30"/>
      <c r="T4" s="18">
        <v>1</v>
      </c>
      <c r="U4" s="19">
        <v>1</v>
      </c>
      <c r="V4" s="18">
        <v>2015</v>
      </c>
      <c r="W4" s="19">
        <v>1</v>
      </c>
      <c r="X4" s="21" t="s">
        <v>327</v>
      </c>
      <c r="Y4" s="21"/>
      <c r="Z4" s="21" t="s">
        <v>304</v>
      </c>
      <c r="AA4" s="21"/>
      <c r="AB4" s="18" t="str">
        <f>"Ajout "&amp;J4&amp;" à nature "&amp;I4&amp;" - Scénario id "&amp;B4</f>
        <v>Ajout RED à nature Principal - Scénario id 1</v>
      </c>
    </row>
    <row r="5" spans="1:28" s="18" customFormat="1" x14ac:dyDescent="0.25">
      <c r="B5" s="52">
        <v>2</v>
      </c>
      <c r="C5" s="18">
        <v>1</v>
      </c>
      <c r="D5" s="18" t="s">
        <v>91</v>
      </c>
      <c r="H5" s="29">
        <f t="shared" ref="H5:H15" si="0">DATE($V5-2,1,1)</f>
        <v>41275</v>
      </c>
      <c r="I5" s="18" t="s">
        <v>291</v>
      </c>
      <c r="J5" s="18" t="s">
        <v>93</v>
      </c>
      <c r="K5" s="18" t="s">
        <v>341</v>
      </c>
      <c r="L5" s="33">
        <f t="shared" ref="L5:L15" si="1">DATE($V5-$W5,$U5,$T5)</f>
        <v>41821</v>
      </c>
      <c r="M5" s="55">
        <f t="shared" ref="M5:M22" si="2">DATE($V5-1,12,31)</f>
        <v>42004</v>
      </c>
      <c r="N5" s="19">
        <v>20143</v>
      </c>
      <c r="O5" s="30">
        <v>0</v>
      </c>
      <c r="P5" s="30"/>
      <c r="Q5" s="20">
        <v>20151</v>
      </c>
      <c r="R5" s="30">
        <f>INDEX(barèmes!$D$2:$E$311,MATCH(Z5,barèmes!$D$2:$D$311,0),2)</f>
        <v>719.12</v>
      </c>
      <c r="S5" s="30"/>
      <c r="T5" s="18">
        <v>1</v>
      </c>
      <c r="U5" s="19">
        <v>7</v>
      </c>
      <c r="V5" s="52">
        <v>2015</v>
      </c>
      <c r="W5" s="19">
        <v>1</v>
      </c>
      <c r="X5" s="21" t="s">
        <v>327</v>
      </c>
      <c r="Y5" s="21"/>
      <c r="Z5" s="21" t="s">
        <v>304</v>
      </c>
      <c r="AA5" s="21"/>
      <c r="AB5" s="52" t="str">
        <f t="shared" ref="AB5:AB23" si="3">"Ajout "&amp;J5&amp;" à nature "&amp;I5&amp;" - Scénario id "&amp;B5</f>
        <v>Ajout RED à nature Principal - Scénario id 2</v>
      </c>
    </row>
    <row r="6" spans="1:28" s="18" customFormat="1" x14ac:dyDescent="0.25">
      <c r="B6" s="52">
        <v>3</v>
      </c>
      <c r="C6" s="18">
        <v>1</v>
      </c>
      <c r="D6" s="18" t="s">
        <v>91</v>
      </c>
      <c r="H6" s="29">
        <f t="shared" si="0"/>
        <v>41275</v>
      </c>
      <c r="I6" s="18" t="s">
        <v>291</v>
      </c>
      <c r="J6" s="18" t="s">
        <v>93</v>
      </c>
      <c r="K6" s="18" t="s">
        <v>341</v>
      </c>
      <c r="L6" s="33">
        <f t="shared" si="1"/>
        <v>42005</v>
      </c>
      <c r="M6" s="55">
        <f>DATE($V6,12,31)</f>
        <v>42369</v>
      </c>
      <c r="N6" s="19">
        <v>20151</v>
      </c>
      <c r="O6" s="30">
        <v>0</v>
      </c>
      <c r="P6" s="30"/>
      <c r="Q6" s="20"/>
      <c r="R6" s="30"/>
      <c r="S6" s="30"/>
      <c r="T6" s="18">
        <v>1</v>
      </c>
      <c r="U6" s="19">
        <v>1</v>
      </c>
      <c r="V6" s="52">
        <v>2015</v>
      </c>
      <c r="W6" s="19">
        <v>0</v>
      </c>
      <c r="X6" s="21" t="s">
        <v>329</v>
      </c>
      <c r="Y6" s="21"/>
      <c r="Z6" s="21"/>
      <c r="AA6" s="21"/>
      <c r="AB6" s="52" t="str">
        <f t="shared" si="3"/>
        <v>Ajout RED à nature Principal - Scénario id 3</v>
      </c>
    </row>
    <row r="7" spans="1:28" s="18" customFormat="1" x14ac:dyDescent="0.25">
      <c r="B7" s="52">
        <v>4</v>
      </c>
      <c r="C7" s="18">
        <v>1</v>
      </c>
      <c r="D7" s="18" t="s">
        <v>91</v>
      </c>
      <c r="H7" s="29">
        <f t="shared" si="0"/>
        <v>41275</v>
      </c>
      <c r="I7" s="18" t="s">
        <v>291</v>
      </c>
      <c r="J7" s="18" t="s">
        <v>90</v>
      </c>
      <c r="K7" s="18" t="s">
        <v>341</v>
      </c>
      <c r="L7" s="33">
        <f t="shared" si="1"/>
        <v>41640</v>
      </c>
      <c r="M7" s="55">
        <f t="shared" si="2"/>
        <v>42004</v>
      </c>
      <c r="N7" s="19">
        <v>20141</v>
      </c>
      <c r="O7" s="30">
        <f>INDEX(barèmes!$D$2:$E$311,MATCH(X7,barèmes!$D$2:$D$311,0),2)</f>
        <v>0</v>
      </c>
      <c r="P7" s="30"/>
      <c r="Q7" s="20"/>
      <c r="R7" s="30"/>
      <c r="S7" s="30"/>
      <c r="T7" s="18">
        <v>1</v>
      </c>
      <c r="U7" s="19">
        <v>1</v>
      </c>
      <c r="V7" s="52">
        <v>2015</v>
      </c>
      <c r="W7" s="19">
        <v>1</v>
      </c>
      <c r="X7" s="21" t="s">
        <v>317</v>
      </c>
      <c r="Y7" s="21"/>
      <c r="Z7" s="21" t="s">
        <v>304</v>
      </c>
      <c r="AA7" s="21"/>
      <c r="AB7" s="52" t="str">
        <f t="shared" si="3"/>
        <v>Ajout EXO à nature Principal - Scénario id 4</v>
      </c>
    </row>
    <row r="8" spans="1:28" s="18" customFormat="1" x14ac:dyDescent="0.25">
      <c r="B8" s="52">
        <v>5</v>
      </c>
      <c r="C8" s="18">
        <v>1</v>
      </c>
      <c r="D8" s="18" t="s">
        <v>91</v>
      </c>
      <c r="H8" s="29">
        <f t="shared" si="0"/>
        <v>41275</v>
      </c>
      <c r="I8" s="18" t="s">
        <v>291</v>
      </c>
      <c r="J8" s="18" t="s">
        <v>90</v>
      </c>
      <c r="K8" s="18" t="s">
        <v>341</v>
      </c>
      <c r="L8" s="33">
        <f t="shared" si="1"/>
        <v>41821</v>
      </c>
      <c r="M8" s="55">
        <f t="shared" si="2"/>
        <v>42004</v>
      </c>
      <c r="N8" s="19">
        <v>20143</v>
      </c>
      <c r="O8" s="30">
        <f>INDEX(barèmes!$D$2:$E$311,MATCH(X8,barèmes!$D$2:$D$311,0),2)</f>
        <v>0</v>
      </c>
      <c r="P8" s="30"/>
      <c r="Q8" s="20"/>
      <c r="R8" s="30"/>
      <c r="S8" s="30"/>
      <c r="T8" s="18">
        <v>1</v>
      </c>
      <c r="U8" s="19">
        <v>7</v>
      </c>
      <c r="V8" s="52">
        <v>2015</v>
      </c>
      <c r="W8" s="19">
        <v>1</v>
      </c>
      <c r="X8" s="21" t="s">
        <v>317</v>
      </c>
      <c r="Y8" s="21"/>
      <c r="Z8" s="21" t="s">
        <v>304</v>
      </c>
      <c r="AA8" s="21"/>
      <c r="AB8" s="52" t="str">
        <f t="shared" si="3"/>
        <v>Ajout EXO à nature Principal - Scénario id 5</v>
      </c>
    </row>
    <row r="9" spans="1:28" s="18" customFormat="1" x14ac:dyDescent="0.25">
      <c r="B9" s="52">
        <v>6</v>
      </c>
      <c r="C9" s="18">
        <v>1</v>
      </c>
      <c r="D9" s="18" t="s">
        <v>91</v>
      </c>
      <c r="H9" s="29">
        <f t="shared" si="0"/>
        <v>41275</v>
      </c>
      <c r="I9" s="18" t="s">
        <v>291</v>
      </c>
      <c r="J9" s="18" t="s">
        <v>90</v>
      </c>
      <c r="K9" s="18" t="s">
        <v>341</v>
      </c>
      <c r="L9" s="33">
        <f t="shared" si="1"/>
        <v>42005</v>
      </c>
      <c r="M9" s="55">
        <f>DATE($V9,12,31)</f>
        <v>42369</v>
      </c>
      <c r="N9" s="19">
        <v>20151</v>
      </c>
      <c r="O9" s="30">
        <f>INDEX(barèmes!$D$2:$E$311,MATCH(X9,barèmes!$D$2:$D$311,0),2)</f>
        <v>0</v>
      </c>
      <c r="P9" s="30"/>
      <c r="Q9" s="20"/>
      <c r="R9" s="30"/>
      <c r="S9" s="30"/>
      <c r="T9" s="18">
        <v>1</v>
      </c>
      <c r="U9" s="19">
        <v>1</v>
      </c>
      <c r="V9" s="52">
        <v>2015</v>
      </c>
      <c r="W9" s="19">
        <v>0</v>
      </c>
      <c r="X9" s="21" t="s">
        <v>317</v>
      </c>
      <c r="Y9" s="21"/>
      <c r="Z9" s="21"/>
      <c r="AA9" s="21"/>
      <c r="AB9" s="52" t="str">
        <f t="shared" si="3"/>
        <v>Ajout EXO à nature Principal - Scénario id 6</v>
      </c>
    </row>
    <row r="10" spans="1:28" s="18" customFormat="1" x14ac:dyDescent="0.25">
      <c r="B10" s="52">
        <v>7</v>
      </c>
      <c r="C10" s="18">
        <v>1</v>
      </c>
      <c r="D10" s="18" t="s">
        <v>91</v>
      </c>
      <c r="E10" s="18" t="s">
        <v>90</v>
      </c>
      <c r="H10" s="29">
        <f>DATE($V10-2,1,1)</f>
        <v>41275</v>
      </c>
      <c r="I10" s="18" t="s">
        <v>291</v>
      </c>
      <c r="J10" s="18" t="s">
        <v>93</v>
      </c>
      <c r="K10" s="18" t="s">
        <v>341</v>
      </c>
      <c r="L10" s="33">
        <f>DATE($V10-$W10,$U10,$T10)</f>
        <v>41640</v>
      </c>
      <c r="M10" s="55">
        <f t="shared" si="2"/>
        <v>42004</v>
      </c>
      <c r="N10" s="19">
        <v>20141</v>
      </c>
      <c r="O10" s="30">
        <v>0</v>
      </c>
      <c r="P10" s="30"/>
      <c r="Q10" s="20">
        <v>20151</v>
      </c>
      <c r="R10" s="30">
        <v>719.12</v>
      </c>
      <c r="S10" s="30">
        <v>0</v>
      </c>
      <c r="T10" s="18">
        <v>1</v>
      </c>
      <c r="U10" s="19">
        <v>1</v>
      </c>
      <c r="V10" s="52">
        <v>2015</v>
      </c>
      <c r="W10" s="19">
        <v>1</v>
      </c>
      <c r="X10" s="21" t="s">
        <v>327</v>
      </c>
      <c r="Y10" s="21"/>
      <c r="Z10" s="21" t="s">
        <v>317</v>
      </c>
      <c r="AA10" s="21"/>
      <c r="AB10" s="52" t="str">
        <f t="shared" si="3"/>
        <v>Ajout RED à nature Principal - Scénario id 7</v>
      </c>
    </row>
    <row r="11" spans="1:28" s="18" customFormat="1" x14ac:dyDescent="0.25">
      <c r="B11" s="52">
        <v>8</v>
      </c>
      <c r="C11" s="18">
        <v>1</v>
      </c>
      <c r="D11" s="18" t="s">
        <v>91</v>
      </c>
      <c r="E11" s="18" t="s">
        <v>90</v>
      </c>
      <c r="H11" s="29">
        <f t="shared" si="0"/>
        <v>41275</v>
      </c>
      <c r="I11" s="18" t="s">
        <v>291</v>
      </c>
      <c r="J11" s="18" t="s">
        <v>93</v>
      </c>
      <c r="K11" s="18" t="s">
        <v>341</v>
      </c>
      <c r="L11" s="33">
        <f t="shared" si="1"/>
        <v>41821</v>
      </c>
      <c r="M11" s="55">
        <f t="shared" si="2"/>
        <v>42004</v>
      </c>
      <c r="N11" s="19">
        <v>20143</v>
      </c>
      <c r="O11" s="30">
        <v>0</v>
      </c>
      <c r="P11" s="30"/>
      <c r="Q11" s="20">
        <v>20151</v>
      </c>
      <c r="R11" s="30">
        <v>719.12</v>
      </c>
      <c r="S11" s="30">
        <v>0</v>
      </c>
      <c r="T11" s="18">
        <v>1</v>
      </c>
      <c r="U11" s="19">
        <v>7</v>
      </c>
      <c r="V11" s="52">
        <v>2015</v>
      </c>
      <c r="W11" s="19">
        <v>1</v>
      </c>
      <c r="X11" s="21" t="s">
        <v>327</v>
      </c>
      <c r="Y11" s="21"/>
      <c r="Z11" s="21" t="s">
        <v>317</v>
      </c>
      <c r="AA11" s="21"/>
      <c r="AB11" s="52" t="str">
        <f t="shared" si="3"/>
        <v>Ajout RED à nature Principal - Scénario id 8</v>
      </c>
    </row>
    <row r="12" spans="1:28" s="18" customFormat="1" x14ac:dyDescent="0.25">
      <c r="B12" s="52">
        <v>9</v>
      </c>
      <c r="C12" s="18">
        <v>1</v>
      </c>
      <c r="D12" s="18" t="s">
        <v>91</v>
      </c>
      <c r="E12" s="18" t="s">
        <v>90</v>
      </c>
      <c r="H12" s="29">
        <f t="shared" si="0"/>
        <v>41275</v>
      </c>
      <c r="I12" s="18" t="s">
        <v>291</v>
      </c>
      <c r="J12" s="18" t="s">
        <v>93</v>
      </c>
      <c r="K12" s="18" t="s">
        <v>341</v>
      </c>
      <c r="L12" s="33">
        <f t="shared" si="1"/>
        <v>42005</v>
      </c>
      <c r="M12" s="55">
        <f>DATE($V12,12,31)</f>
        <v>42369</v>
      </c>
      <c r="N12" s="19">
        <v>20151</v>
      </c>
      <c r="O12" s="30">
        <v>0</v>
      </c>
      <c r="P12" s="30"/>
      <c r="Q12" s="20"/>
      <c r="R12" s="30"/>
      <c r="S12" s="30"/>
      <c r="T12" s="18">
        <v>1</v>
      </c>
      <c r="U12" s="19">
        <v>1</v>
      </c>
      <c r="V12" s="52">
        <v>2015</v>
      </c>
      <c r="W12" s="19">
        <v>0</v>
      </c>
      <c r="X12" s="21" t="s">
        <v>329</v>
      </c>
      <c r="Y12" s="21"/>
      <c r="Z12" s="21"/>
      <c r="AA12" s="21"/>
      <c r="AB12" s="52" t="str">
        <f t="shared" si="3"/>
        <v>Ajout RED à nature Principal - Scénario id 9</v>
      </c>
    </row>
    <row r="13" spans="1:28" s="18" customFormat="1" x14ac:dyDescent="0.25">
      <c r="B13" s="52">
        <v>10</v>
      </c>
      <c r="C13" s="18">
        <v>1</v>
      </c>
      <c r="D13" s="18" t="s">
        <v>91</v>
      </c>
      <c r="E13" s="18" t="s">
        <v>93</v>
      </c>
      <c r="H13" s="29">
        <f>DATE($V13-2,1,1)</f>
        <v>41275</v>
      </c>
      <c r="I13" s="18" t="s">
        <v>291</v>
      </c>
      <c r="J13" s="18" t="s">
        <v>90</v>
      </c>
      <c r="K13" s="18" t="s">
        <v>341</v>
      </c>
      <c r="L13" s="33">
        <f>DATE($V13-$W13,$U13,$T13)</f>
        <v>41640</v>
      </c>
      <c r="M13" s="55">
        <f t="shared" si="2"/>
        <v>42004</v>
      </c>
      <c r="N13" s="19">
        <v>20141</v>
      </c>
      <c r="O13" s="30">
        <f>INDEX(barèmes!$D$2:$E$311,MATCH(X13,barèmes!$D$2:$D$311,0),2)</f>
        <v>0</v>
      </c>
      <c r="P13" s="30"/>
      <c r="Q13" s="20">
        <v>20151</v>
      </c>
      <c r="R13" s="30">
        <f>INDEX(barèmes!$D$2:$E$311,MATCH(Z13,barèmes!$D$2:$D$311,0),2)</f>
        <v>376.7</v>
      </c>
      <c r="S13" s="30">
        <f>INDEX(barèmes!$D$2:$E$311,MATCH(AA13,barèmes!$D$2:$D$311,0),2)</f>
        <v>719.12</v>
      </c>
      <c r="T13" s="18">
        <v>1</v>
      </c>
      <c r="U13" s="19">
        <v>1</v>
      </c>
      <c r="V13" s="52">
        <v>2015</v>
      </c>
      <c r="W13" s="19">
        <v>1</v>
      </c>
      <c r="X13" s="21" t="s">
        <v>317</v>
      </c>
      <c r="Y13" s="21"/>
      <c r="Z13" s="21" t="s">
        <v>329</v>
      </c>
      <c r="AA13" s="21" t="s">
        <v>304</v>
      </c>
      <c r="AB13" s="52" t="str">
        <f t="shared" si="3"/>
        <v>Ajout EXO à nature Principal - Scénario id 10</v>
      </c>
    </row>
    <row r="14" spans="1:28" s="18" customFormat="1" x14ac:dyDescent="0.25">
      <c r="B14" s="52">
        <v>11</v>
      </c>
      <c r="C14" s="18">
        <v>1</v>
      </c>
      <c r="D14" s="18" t="s">
        <v>91</v>
      </c>
      <c r="E14" s="18" t="s">
        <v>93</v>
      </c>
      <c r="H14" s="29">
        <f t="shared" si="0"/>
        <v>41275</v>
      </c>
      <c r="I14" s="18" t="s">
        <v>291</v>
      </c>
      <c r="J14" s="18" t="s">
        <v>90</v>
      </c>
      <c r="K14" s="18" t="s">
        <v>341</v>
      </c>
      <c r="L14" s="33">
        <f t="shared" si="1"/>
        <v>41821</v>
      </c>
      <c r="M14" s="55">
        <f t="shared" si="2"/>
        <v>42004</v>
      </c>
      <c r="N14" s="19">
        <v>20143</v>
      </c>
      <c r="O14" s="30">
        <f>INDEX(barèmes!$D$2:$E$311,MATCH(X14,barèmes!$D$2:$D$311,0),2)</f>
        <v>0</v>
      </c>
      <c r="P14" s="30"/>
      <c r="Q14" s="20">
        <v>20151</v>
      </c>
      <c r="R14" s="30">
        <f>INDEX(barèmes!$D$2:$E$311,MATCH(Z14,barèmes!$D$2:$D$311,0),2)</f>
        <v>376.7</v>
      </c>
      <c r="S14" s="30">
        <f>INDEX(barèmes!$D$2:$E$311,MATCH(AA14,barèmes!$D$2:$D$311,0),2)</f>
        <v>719.12</v>
      </c>
      <c r="T14" s="18">
        <v>1</v>
      </c>
      <c r="U14" s="19">
        <v>7</v>
      </c>
      <c r="V14" s="52">
        <v>2015</v>
      </c>
      <c r="W14" s="19">
        <v>1</v>
      </c>
      <c r="X14" s="21" t="s">
        <v>317</v>
      </c>
      <c r="Y14" s="21"/>
      <c r="Z14" s="21" t="s">
        <v>329</v>
      </c>
      <c r="AA14" s="21" t="s">
        <v>304</v>
      </c>
      <c r="AB14" s="52" t="str">
        <f t="shared" si="3"/>
        <v>Ajout EXO à nature Principal - Scénario id 11</v>
      </c>
    </row>
    <row r="15" spans="1:28" s="18" customFormat="1" x14ac:dyDescent="0.25">
      <c r="B15" s="52">
        <v>12</v>
      </c>
      <c r="C15" s="18">
        <v>1</v>
      </c>
      <c r="D15" s="18" t="s">
        <v>91</v>
      </c>
      <c r="E15" s="18" t="s">
        <v>93</v>
      </c>
      <c r="H15" s="29">
        <f t="shared" si="0"/>
        <v>41275</v>
      </c>
      <c r="I15" s="18" t="s">
        <v>291</v>
      </c>
      <c r="J15" s="18" t="s">
        <v>90</v>
      </c>
      <c r="K15" s="18" t="s">
        <v>341</v>
      </c>
      <c r="L15" s="33">
        <f t="shared" si="1"/>
        <v>42005</v>
      </c>
      <c r="M15" s="55">
        <f>DATE($V15,12,31)</f>
        <v>42369</v>
      </c>
      <c r="N15" s="19">
        <v>20151</v>
      </c>
      <c r="O15" s="30">
        <f>INDEX(barèmes!$D$2:$E$311,MATCH(X15,barèmes!$D$2:$D$311,0),2)</f>
        <v>0</v>
      </c>
      <c r="P15" s="30"/>
      <c r="Q15" s="20"/>
      <c r="R15" s="30"/>
      <c r="S15" s="30"/>
      <c r="T15" s="18">
        <v>1</v>
      </c>
      <c r="U15" s="19">
        <v>1</v>
      </c>
      <c r="V15" s="52">
        <v>2015</v>
      </c>
      <c r="W15" s="19">
        <v>0</v>
      </c>
      <c r="X15" s="21" t="s">
        <v>317</v>
      </c>
      <c r="Y15" s="21"/>
      <c r="Z15" s="21"/>
      <c r="AA15" s="21"/>
      <c r="AB15" s="52" t="str">
        <f t="shared" si="3"/>
        <v>Ajout EXO à nature Principal - Scénario id 12</v>
      </c>
    </row>
    <row r="16" spans="1:28" s="18" customFormat="1" x14ac:dyDescent="0.25">
      <c r="A16" s="17" t="s">
        <v>293</v>
      </c>
      <c r="B16" s="51" t="s">
        <v>399</v>
      </c>
      <c r="C16" s="17" t="s">
        <v>290</v>
      </c>
      <c r="D16" s="17" t="s">
        <v>92</v>
      </c>
      <c r="E16" s="17" t="s">
        <v>285</v>
      </c>
      <c r="F16" s="17" t="s">
        <v>292</v>
      </c>
      <c r="G16" s="17" t="s">
        <v>286</v>
      </c>
      <c r="H16" s="28" t="s">
        <v>296</v>
      </c>
      <c r="I16" s="17" t="s">
        <v>298</v>
      </c>
      <c r="J16" s="17" t="s">
        <v>299</v>
      </c>
      <c r="K16" s="17" t="s">
        <v>340</v>
      </c>
      <c r="L16" s="32" t="s">
        <v>297</v>
      </c>
      <c r="M16" s="32"/>
      <c r="N16" s="19" t="s">
        <v>305</v>
      </c>
      <c r="O16" s="15" t="s">
        <v>306</v>
      </c>
      <c r="P16" s="15" t="s">
        <v>484</v>
      </c>
      <c r="Q16" s="20" t="s">
        <v>307</v>
      </c>
      <c r="R16" s="15" t="s">
        <v>308</v>
      </c>
      <c r="S16" s="15" t="s">
        <v>485</v>
      </c>
      <c r="T16" s="17" t="s">
        <v>287</v>
      </c>
      <c r="U16" s="19" t="s">
        <v>288</v>
      </c>
      <c r="V16" s="51" t="s">
        <v>289</v>
      </c>
      <c r="W16" s="19" t="s">
        <v>295</v>
      </c>
      <c r="X16" s="21" t="s">
        <v>309</v>
      </c>
      <c r="Y16" s="21" t="s">
        <v>486</v>
      </c>
      <c r="Z16" s="21" t="s">
        <v>310</v>
      </c>
      <c r="AA16" s="21" t="s">
        <v>487</v>
      </c>
      <c r="AB16" s="18" t="s">
        <v>457</v>
      </c>
    </row>
    <row r="17" spans="1:28" x14ac:dyDescent="0.25">
      <c r="A17" s="18"/>
      <c r="B17" s="52">
        <v>1</v>
      </c>
      <c r="C17" s="18">
        <v>4</v>
      </c>
      <c r="D17" s="18" t="s">
        <v>91</v>
      </c>
      <c r="E17" s="18"/>
      <c r="F17" s="18"/>
      <c r="G17" s="18"/>
      <c r="H17" s="29">
        <f t="shared" ref="H17:H19" si="4">DATE($V17-2,1,1)</f>
        <v>41275</v>
      </c>
      <c r="I17" s="18" t="s">
        <v>293</v>
      </c>
      <c r="J17" s="18" t="s">
        <v>90</v>
      </c>
      <c r="K17" s="18"/>
      <c r="L17" s="33">
        <f t="shared" ref="L17:L19" si="5">DATE($V17-$W17,$U17,$T17)</f>
        <v>41640</v>
      </c>
      <c r="M17" s="55">
        <f t="shared" si="2"/>
        <v>42004</v>
      </c>
      <c r="N17" s="19">
        <v>20141</v>
      </c>
      <c r="O17" s="30">
        <f>INDEX(barèmes!$D$2:$E$311,MATCH(X17,barèmes!$D$2:$D$311,0),2)</f>
        <v>0</v>
      </c>
      <c r="P17" s="30"/>
      <c r="R17" s="30"/>
      <c r="S17" s="30"/>
      <c r="T17" s="18">
        <v>1</v>
      </c>
      <c r="U17" s="19">
        <v>1</v>
      </c>
      <c r="V17" s="18">
        <v>2015</v>
      </c>
      <c r="W17" s="19">
        <v>1</v>
      </c>
      <c r="X17" s="21" t="s">
        <v>317</v>
      </c>
      <c r="Z17" s="21" t="s">
        <v>316</v>
      </c>
      <c r="AB17" s="52" t="str">
        <f t="shared" si="3"/>
        <v>Ajout EXO à nature Complémentaire - Scénario id 1</v>
      </c>
    </row>
    <row r="18" spans="1:28" x14ac:dyDescent="0.25">
      <c r="A18" s="18"/>
      <c r="B18" s="52">
        <v>2</v>
      </c>
      <c r="C18" s="18">
        <v>4</v>
      </c>
      <c r="D18" s="18" t="s">
        <v>91</v>
      </c>
      <c r="E18" s="18"/>
      <c r="F18" s="18"/>
      <c r="G18" s="18"/>
      <c r="H18" s="29">
        <f t="shared" si="4"/>
        <v>41275</v>
      </c>
      <c r="I18" s="18" t="s">
        <v>293</v>
      </c>
      <c r="J18" s="18" t="s">
        <v>90</v>
      </c>
      <c r="K18" s="18"/>
      <c r="L18" s="33">
        <f t="shared" si="5"/>
        <v>41821</v>
      </c>
      <c r="M18" s="55">
        <f t="shared" si="2"/>
        <v>42004</v>
      </c>
      <c r="N18" s="19">
        <v>20143</v>
      </c>
      <c r="O18" s="30">
        <f>INDEX(barèmes!$D$2:$E$311,MATCH(X18,barèmes!$D$2:$D$311,0),2)</f>
        <v>0</v>
      </c>
      <c r="P18" s="30"/>
      <c r="R18" s="30"/>
      <c r="S18" s="30"/>
      <c r="T18" s="18">
        <v>1</v>
      </c>
      <c r="U18" s="19">
        <v>7</v>
      </c>
      <c r="V18" s="52">
        <v>2015</v>
      </c>
      <c r="W18" s="19">
        <v>1</v>
      </c>
      <c r="X18" s="21" t="s">
        <v>317</v>
      </c>
      <c r="Z18" s="21" t="s">
        <v>316</v>
      </c>
      <c r="AB18" s="52" t="str">
        <f t="shared" si="3"/>
        <v>Ajout EXO à nature Complémentaire - Scénario id 2</v>
      </c>
    </row>
    <row r="19" spans="1:28" x14ac:dyDescent="0.25">
      <c r="A19" s="18"/>
      <c r="B19" s="52">
        <v>3</v>
      </c>
      <c r="C19" s="18">
        <v>4</v>
      </c>
      <c r="D19" s="18" t="s">
        <v>91</v>
      </c>
      <c r="E19" s="18"/>
      <c r="F19" s="18"/>
      <c r="G19" s="18"/>
      <c r="H19" s="29">
        <f t="shared" si="4"/>
        <v>41275</v>
      </c>
      <c r="I19" s="18" t="s">
        <v>293</v>
      </c>
      <c r="J19" s="18" t="s">
        <v>90</v>
      </c>
      <c r="K19" s="18"/>
      <c r="L19" s="33">
        <f t="shared" si="5"/>
        <v>42005</v>
      </c>
      <c r="M19" s="55">
        <f>DATE($V19,12,31)</f>
        <v>42369</v>
      </c>
      <c r="N19" s="19">
        <v>20151</v>
      </c>
      <c r="O19" s="30">
        <f>INDEX(barèmes!$D$2:$E$311,MATCH(X19,barèmes!$D$2:$D$311,0),2)</f>
        <v>0</v>
      </c>
      <c r="P19" s="30"/>
      <c r="R19" s="30"/>
      <c r="S19" s="30"/>
      <c r="T19" s="18">
        <v>1</v>
      </c>
      <c r="U19" s="19">
        <v>1</v>
      </c>
      <c r="V19" s="52">
        <v>2015</v>
      </c>
      <c r="W19" s="19">
        <v>0</v>
      </c>
      <c r="X19" s="21" t="s">
        <v>317</v>
      </c>
      <c r="AB19" s="52" t="str">
        <f t="shared" si="3"/>
        <v>Ajout EXO à nature Complémentaire - Scénario id 3</v>
      </c>
    </row>
    <row r="20" spans="1:28" x14ac:dyDescent="0.25">
      <c r="A20" s="17" t="s">
        <v>294</v>
      </c>
      <c r="B20" s="51" t="s">
        <v>399</v>
      </c>
      <c r="C20" s="17" t="s">
        <v>290</v>
      </c>
      <c r="D20" s="17" t="s">
        <v>92</v>
      </c>
      <c r="E20" s="17" t="s">
        <v>285</v>
      </c>
      <c r="F20" s="17" t="s">
        <v>292</v>
      </c>
      <c r="G20" s="17" t="s">
        <v>286</v>
      </c>
      <c r="H20" s="28" t="s">
        <v>296</v>
      </c>
      <c r="I20" s="17" t="s">
        <v>298</v>
      </c>
      <c r="J20" s="17" t="s">
        <v>299</v>
      </c>
      <c r="K20" s="17" t="s">
        <v>340</v>
      </c>
      <c r="L20" s="32" t="s">
        <v>297</v>
      </c>
      <c r="N20" s="19" t="s">
        <v>305</v>
      </c>
      <c r="O20" s="15" t="s">
        <v>306</v>
      </c>
      <c r="P20" s="15" t="s">
        <v>484</v>
      </c>
      <c r="Q20" s="20" t="s">
        <v>307</v>
      </c>
      <c r="R20" s="15" t="s">
        <v>308</v>
      </c>
      <c r="S20" s="15" t="s">
        <v>485</v>
      </c>
      <c r="T20" s="17" t="s">
        <v>287</v>
      </c>
      <c r="U20" s="19" t="s">
        <v>288</v>
      </c>
      <c r="V20" s="51" t="s">
        <v>289</v>
      </c>
      <c r="W20" s="19" t="s">
        <v>295</v>
      </c>
      <c r="X20" s="21" t="s">
        <v>309</v>
      </c>
      <c r="Y20" s="21" t="s">
        <v>486</v>
      </c>
      <c r="Z20" s="21" t="s">
        <v>310</v>
      </c>
      <c r="AA20" s="21" t="s">
        <v>487</v>
      </c>
      <c r="AB20" s="17" t="s">
        <v>457</v>
      </c>
    </row>
    <row r="21" spans="1:28" x14ac:dyDescent="0.25">
      <c r="A21" s="18"/>
      <c r="B21" s="52">
        <v>1</v>
      </c>
      <c r="C21" s="18">
        <v>5</v>
      </c>
      <c r="D21" s="18" t="s">
        <v>91</v>
      </c>
      <c r="E21" s="18"/>
      <c r="F21" s="18"/>
      <c r="G21" s="18"/>
      <c r="H21" s="29">
        <f t="shared" ref="H21:H23" si="6">DATE($V21-2,1,1)</f>
        <v>41275</v>
      </c>
      <c r="I21" s="18" t="s">
        <v>294</v>
      </c>
      <c r="J21" s="18" t="s">
        <v>90</v>
      </c>
      <c r="K21" s="18" t="s">
        <v>341</v>
      </c>
      <c r="L21" s="33">
        <f t="shared" ref="L21:L23" si="7">DATE($V21-$W21,$U21,$T21)</f>
        <v>41640</v>
      </c>
      <c r="M21" s="55">
        <f t="shared" si="2"/>
        <v>42004</v>
      </c>
      <c r="N21" s="19">
        <v>20141</v>
      </c>
      <c r="O21" s="30">
        <f>INDEX(barèmes!$D$2:$E$311,MATCH(X21,barèmes!$D$2:$D$311,0),2)</f>
        <v>0</v>
      </c>
      <c r="P21" s="30"/>
      <c r="R21" s="30"/>
      <c r="S21" s="30"/>
      <c r="T21" s="18">
        <v>1</v>
      </c>
      <c r="U21" s="19">
        <v>1</v>
      </c>
      <c r="V21" s="18">
        <v>2015</v>
      </c>
      <c r="W21" s="19">
        <v>1</v>
      </c>
      <c r="X21" s="21" t="s">
        <v>317</v>
      </c>
      <c r="Z21" s="21" t="s">
        <v>319</v>
      </c>
      <c r="AB21" s="52" t="str">
        <f t="shared" si="3"/>
        <v>Ajout EXO à nature Maxi-statut - Scénario id 1</v>
      </c>
    </row>
    <row r="22" spans="1:28" x14ac:dyDescent="0.25">
      <c r="A22" s="18"/>
      <c r="B22" s="52">
        <v>2</v>
      </c>
      <c r="C22" s="18">
        <v>5</v>
      </c>
      <c r="D22" s="18" t="s">
        <v>91</v>
      </c>
      <c r="E22" s="18"/>
      <c r="F22" s="18"/>
      <c r="G22" s="18"/>
      <c r="H22" s="29">
        <f t="shared" si="6"/>
        <v>41275</v>
      </c>
      <c r="I22" s="18" t="s">
        <v>294</v>
      </c>
      <c r="J22" s="18" t="s">
        <v>90</v>
      </c>
      <c r="K22" s="18" t="s">
        <v>341</v>
      </c>
      <c r="L22" s="33">
        <f t="shared" si="7"/>
        <v>41821</v>
      </c>
      <c r="M22" s="55">
        <f t="shared" si="2"/>
        <v>42004</v>
      </c>
      <c r="N22" s="19">
        <v>20143</v>
      </c>
      <c r="O22" s="30">
        <f>INDEX(barèmes!$D$2:$E$311,MATCH(X22,barèmes!$D$2:$D$311,0),2)</f>
        <v>0</v>
      </c>
      <c r="P22" s="30"/>
      <c r="R22" s="30"/>
      <c r="S22" s="30"/>
      <c r="T22" s="18">
        <v>1</v>
      </c>
      <c r="U22" s="19">
        <v>7</v>
      </c>
      <c r="V22" s="52">
        <v>2015</v>
      </c>
      <c r="W22" s="19">
        <v>1</v>
      </c>
      <c r="X22" s="21" t="s">
        <v>317</v>
      </c>
      <c r="Z22" s="21" t="s">
        <v>319</v>
      </c>
      <c r="AB22" s="52" t="str">
        <f t="shared" si="3"/>
        <v>Ajout EXO à nature Maxi-statut - Scénario id 2</v>
      </c>
    </row>
    <row r="23" spans="1:28" x14ac:dyDescent="0.25">
      <c r="A23" s="18"/>
      <c r="B23" s="52">
        <v>3</v>
      </c>
      <c r="C23" s="18">
        <v>5</v>
      </c>
      <c r="D23" s="18" t="s">
        <v>91</v>
      </c>
      <c r="E23" s="18"/>
      <c r="F23" s="18"/>
      <c r="G23" s="18"/>
      <c r="H23" s="29">
        <f t="shared" si="6"/>
        <v>41275</v>
      </c>
      <c r="I23" s="18" t="s">
        <v>294</v>
      </c>
      <c r="J23" s="18" t="s">
        <v>90</v>
      </c>
      <c r="K23" s="18" t="s">
        <v>341</v>
      </c>
      <c r="L23" s="33">
        <f t="shared" si="7"/>
        <v>42005</v>
      </c>
      <c r="M23" s="55">
        <f>DATE($V23,12,31)</f>
        <v>42369</v>
      </c>
      <c r="N23" s="19">
        <v>20151</v>
      </c>
      <c r="O23" s="30">
        <f>INDEX(barèmes!$D$2:$E$311,MATCH(X23,barèmes!$D$2:$D$311,0),2)</f>
        <v>0</v>
      </c>
      <c r="P23" s="30"/>
      <c r="R23" s="30"/>
      <c r="S23" s="30"/>
      <c r="T23" s="18">
        <v>1</v>
      </c>
      <c r="U23" s="19">
        <v>1</v>
      </c>
      <c r="V23" s="52">
        <v>2015</v>
      </c>
      <c r="W23" s="19">
        <v>0</v>
      </c>
      <c r="X23" s="21" t="s">
        <v>317</v>
      </c>
      <c r="AB23" s="52" t="str">
        <f t="shared" si="3"/>
        <v>Ajout EXO à nature Maxi-statut - Scénario id 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Révision PROFIL v2</vt:lpstr>
      <vt:lpstr>modèle</vt:lpstr>
      <vt:lpstr>Feuil1</vt:lpstr>
      <vt:lpstr>changement nature RDA</vt:lpstr>
      <vt:lpstr>changement nature RDE</vt:lpstr>
      <vt:lpstr>chang multiple - supprimer</vt:lpstr>
      <vt:lpstr>chang multiple - ajouter</vt:lpstr>
      <vt:lpstr>modification nature</vt:lpstr>
      <vt:lpstr>ajout exo</vt:lpstr>
      <vt:lpstr>supprimer nature</vt:lpstr>
      <vt:lpstr>barèmes</vt:lpstr>
      <vt:lpstr>parametres</vt:lpstr>
      <vt:lpstr>idx</vt:lpstr>
      <vt:lpstr>tx</vt:lpstr>
      <vt:lpstr>fg</vt:lpstr>
      <vt:lpstr>paliers</vt:lpstr>
      <vt:lpstr>tx_niv4</vt:lpstr>
      <vt:lpstr>plaf_niv4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UCM JIRA</dc:title>
  <dc:creator>Peter Arnould</dc:creator>
  <cp:lastModifiedBy>CASTIGLIONE Giuseppe</cp:lastModifiedBy>
  <cp:lastPrinted>2015-12-15T10:45:17Z</cp:lastPrinted>
  <dcterms:created xsi:type="dcterms:W3CDTF">2015-10-30T09:18:19Z</dcterms:created>
  <dcterms:modified xsi:type="dcterms:W3CDTF">2017-07-07T12:30:55Z</dcterms:modified>
</cp:coreProperties>
</file>