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O:\Факультет ИТиАБД\ПИ19-4\Жевагина Анастасия Владимировна - 191758\"/>
    </mc:Choice>
  </mc:AlternateContent>
  <xr:revisionPtr revIDLastSave="0" documentId="13_ncr:1_{AB5B8956-632F-4CBB-8603-566E14939ECB}" xr6:coauthVersionLast="36" xr6:coauthVersionMax="36" xr10:uidLastSave="{00000000-0000-0000-0000-000000000000}"/>
  <bookViews>
    <workbookView xWindow="0" yWindow="0" windowWidth="21570" windowHeight="7980" firstSheet="54" activeTab="57" xr2:uid="{00000000-000D-0000-FFFF-FFFF00000000}"/>
  </bookViews>
  <sheets>
    <sheet name="Лист4" sheetId="5" r:id="rId1"/>
    <sheet name="№9 с.17" sheetId="1" r:id="rId2"/>
    <sheet name="№2 с.56" sheetId="2" r:id="rId3"/>
    <sheet name="№5 с. 57" sheetId="9" r:id="rId4"/>
    <sheet name="№6 с. 57" sheetId="10" r:id="rId5"/>
    <sheet name="№7 с. 57" sheetId="11" r:id="rId6"/>
    <sheet name="№1 с. 60" sheetId="12" r:id="rId7"/>
    <sheet name="№2 с. 60" sheetId="13" r:id="rId8"/>
    <sheet name="№3 с. 60" sheetId="14" r:id="rId9"/>
    <sheet name="№4 с.60" sheetId="3" r:id="rId10"/>
    <sheet name="6" sheetId="4" r:id="rId11"/>
    <sheet name="№2 с.60" sheetId="6" r:id="rId12"/>
    <sheet name="№1 с. 63" sheetId="7" r:id="rId13"/>
    <sheet name="№ 2 с. 63" sheetId="15" r:id="rId14"/>
    <sheet name="№3 с. 63" sheetId="8" r:id="rId15"/>
    <sheet name="№4 с. 63" sheetId="16" r:id="rId16"/>
    <sheet name="№5 с. 63" sheetId="17" r:id="rId17"/>
    <sheet name="№1 с. 65" sheetId="18" r:id="rId18"/>
    <sheet name="№2 с. 65" sheetId="19" r:id="rId19"/>
    <sheet name="№3 с. 65" sheetId="20" r:id="rId20"/>
    <sheet name="№4 с. 65" sheetId="21" r:id="rId21"/>
    <sheet name="№5 с. 65" sheetId="22" r:id="rId22"/>
    <sheet name="№6 с. 65" sheetId="23" r:id="rId23"/>
    <sheet name="№7 с. 65" sheetId="24" r:id="rId24"/>
    <sheet name="№8 с. 65" sheetId="25" r:id="rId25"/>
    <sheet name="№9 с. 65" sheetId="26" r:id="rId26"/>
    <sheet name="Лист7" sheetId="32" r:id="rId27"/>
    <sheet name="Лист7 (2)" sheetId="35" r:id="rId28"/>
    <sheet name="Лист6" sheetId="37" r:id="rId29"/>
    <sheet name="№1 c.78" sheetId="38" r:id="rId30"/>
    <sheet name="№2 c.78" sheetId="39" r:id="rId31"/>
    <sheet name="№3 c.78" sheetId="40" r:id="rId32"/>
    <sheet name="Лист1" sheetId="41" r:id="rId33"/>
    <sheet name="№1 с. 81" sheetId="42" r:id="rId34"/>
    <sheet name="№2 с. 81" sheetId="43" r:id="rId35"/>
    <sheet name="№3 с. 81" sheetId="44" r:id="rId36"/>
    <sheet name="Лист8" sheetId="45" r:id="rId37"/>
    <sheet name="№1 с. 83" sheetId="46" r:id="rId38"/>
    <sheet name="№2 с. 84" sheetId="47" r:id="rId39"/>
    <sheet name="№3 с. 84" sheetId="48" r:id="rId40"/>
    <sheet name="№4.1 с. 84" sheetId="49" r:id="rId41"/>
    <sheet name="№4.2 с. 84" sheetId="55" r:id="rId42"/>
    <sheet name="№5 с. 84" sheetId="50" r:id="rId43"/>
    <sheet name="№6 с. 84" sheetId="51" r:id="rId44"/>
    <sheet name="№7 с. 85" sheetId="52" r:id="rId45"/>
    <sheet name="№8 с. 85" sheetId="53" r:id="rId46"/>
    <sheet name="№9 с. 85" sheetId="54" r:id="rId47"/>
    <sheet name="№10 с. 85" sheetId="56" r:id="rId48"/>
    <sheet name="№11 с. 86" sheetId="59" r:id="rId49"/>
    <sheet name="№12 с. 86" sheetId="57" r:id="rId50"/>
    <sheet name="№13 с. 86" sheetId="58" r:id="rId51"/>
    <sheet name="Лист5" sheetId="60" r:id="rId52"/>
    <sheet name="№1 с. 90" sheetId="61" r:id="rId53"/>
    <sheet name="№2 с. 90" sheetId="62" r:id="rId54"/>
    <sheet name="№3 с. 90" sheetId="63" r:id="rId55"/>
    <sheet name="№4 с. 91" sheetId="64" r:id="rId56"/>
    <sheet name="№6 с. 91" sheetId="65" r:id="rId57"/>
    <sheet name="№7 с. 91" sheetId="66" r:id="rId58"/>
  </sheets>
  <definedNames>
    <definedName name="_xlchart.v1.0" hidden="1">'Лист7 (2)'!$S$9:$S$265</definedName>
    <definedName name="_xlchart.v1.1" hidden="1">'Лист7 (2)'!$S$9:$S$265</definedName>
    <definedName name="_xlnm._FilterDatabase" localSheetId="27" hidden="1">'Лист7 (2)'!$E$1:$E$300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5" l="1"/>
  <c r="C7" i="66"/>
  <c r="B5" i="66"/>
  <c r="D5" i="66"/>
  <c r="D5" i="65"/>
  <c r="B5" i="65"/>
  <c r="C7" i="64"/>
  <c r="C7" i="63"/>
  <c r="C7" i="62"/>
  <c r="C7" i="61"/>
  <c r="D5" i="63"/>
  <c r="D5" i="62"/>
  <c r="D2" i="62"/>
  <c r="B2" i="62"/>
  <c r="B5" i="62" s="1"/>
  <c r="D5" i="64"/>
  <c r="B5" i="64"/>
  <c r="D2" i="64"/>
  <c r="B2" i="64"/>
  <c r="B5" i="63"/>
  <c r="D7" i="60"/>
  <c r="D5" i="61"/>
  <c r="B5" i="61"/>
  <c r="D5" i="60"/>
  <c r="B5" i="60"/>
  <c r="B7" i="59" l="1"/>
  <c r="D7" i="54"/>
  <c r="B7" i="53"/>
  <c r="D7" i="52"/>
  <c r="D7" i="59"/>
  <c r="B4" i="57"/>
  <c r="B9" i="57" s="1"/>
  <c r="B2" i="54"/>
  <c r="B7" i="54" s="1"/>
  <c r="B4" i="54"/>
  <c r="J2" i="57"/>
  <c r="D9" i="57"/>
  <c r="D9" i="58"/>
  <c r="B4" i="58"/>
  <c r="B9" i="58" s="1"/>
  <c r="J2" i="58"/>
  <c r="F7" i="50"/>
  <c r="H2" i="56" l="1"/>
  <c r="B4" i="56" s="1"/>
  <c r="B9" i="56" s="1"/>
  <c r="D9" i="56"/>
  <c r="D7" i="55"/>
  <c r="B7" i="55"/>
  <c r="B7" i="50"/>
  <c r="B4" i="50"/>
  <c r="D7" i="53"/>
  <c r="B7" i="52"/>
  <c r="D8" i="51"/>
  <c r="D7" i="51"/>
  <c r="B7" i="51"/>
  <c r="B2" i="50"/>
  <c r="D7" i="50" s="1"/>
  <c r="D7" i="49"/>
  <c r="B7" i="49"/>
  <c r="B7" i="48"/>
  <c r="D7" i="48"/>
  <c r="B4" i="48"/>
  <c r="B2" i="48"/>
  <c r="D7" i="47"/>
  <c r="B7" i="47"/>
  <c r="D7" i="46"/>
  <c r="B7" i="46"/>
  <c r="B5" i="45" l="1"/>
  <c r="E9" i="45"/>
  <c r="C9" i="45"/>
  <c r="C10" i="43"/>
  <c r="C10" i="44" l="1"/>
  <c r="B6" i="44"/>
  <c r="E10" i="44" s="1"/>
  <c r="B6" i="43"/>
  <c r="E10" i="43" s="1"/>
  <c r="C10" i="41"/>
  <c r="C10" i="42"/>
  <c r="B6" i="41"/>
  <c r="E10" i="41" s="1"/>
  <c r="B6" i="42"/>
  <c r="E10" i="42" s="1"/>
  <c r="C10" i="40" l="1"/>
  <c r="C10" i="38"/>
  <c r="C10" i="39"/>
  <c r="B6" i="40" l="1"/>
  <c r="E10" i="40" s="1"/>
  <c r="B6" i="39"/>
  <c r="E10" i="39" s="1"/>
  <c r="B2" i="38"/>
  <c r="B6" i="38" s="1"/>
  <c r="E10" i="38" s="1"/>
  <c r="C14" i="37"/>
  <c r="C15" i="37"/>
  <c r="C10" i="37"/>
  <c r="B4" i="37"/>
  <c r="B6" i="37" s="1"/>
  <c r="B2" i="37"/>
  <c r="E10" i="37" l="1"/>
  <c r="E15" i="37"/>
  <c r="E14" i="37"/>
  <c r="H1" i="35" l="1"/>
  <c r="I1" i="32"/>
  <c r="H1" i="32"/>
  <c r="G5" i="32"/>
  <c r="G1" i="35"/>
  <c r="P4" i="35"/>
  <c r="O4" i="35"/>
  <c r="I11" i="35"/>
  <c r="G11" i="35"/>
  <c r="C1" i="35"/>
  <c r="G5" i="35"/>
  <c r="J4" i="35"/>
  <c r="J8" i="35" s="1"/>
  <c r="G4" i="35"/>
  <c r="K1" i="35"/>
  <c r="J1" i="35"/>
  <c r="I1" i="35"/>
  <c r="I4" i="35" l="1"/>
  <c r="J6" i="35"/>
  <c r="I8" i="35"/>
  <c r="I11" i="32"/>
  <c r="G11" i="32"/>
  <c r="P4" i="32"/>
  <c r="O4" i="32"/>
  <c r="J4" i="32"/>
  <c r="J8" i="32" s="1"/>
  <c r="G4" i="32"/>
  <c r="K1" i="32"/>
  <c r="J1" i="32"/>
  <c r="G1" i="32"/>
  <c r="M269" i="35" l="1"/>
  <c r="M5" i="35"/>
  <c r="J6" i="32"/>
  <c r="M268" i="35"/>
  <c r="M265" i="35"/>
  <c r="M262" i="35"/>
  <c r="M259" i="35"/>
  <c r="M256" i="35"/>
  <c r="M253" i="35"/>
  <c r="M250" i="35"/>
  <c r="M247" i="35"/>
  <c r="M244" i="35"/>
  <c r="M241" i="35"/>
  <c r="M238" i="35"/>
  <c r="M235" i="35"/>
  <c r="M232" i="35"/>
  <c r="M229" i="35"/>
  <c r="M226" i="35"/>
  <c r="M223" i="35"/>
  <c r="M220" i="35"/>
  <c r="M217" i="35"/>
  <c r="M214" i="35"/>
  <c r="M211" i="35"/>
  <c r="M208" i="35"/>
  <c r="M205" i="35"/>
  <c r="M202" i="35"/>
  <c r="M199" i="35"/>
  <c r="M196" i="35"/>
  <c r="M193" i="35"/>
  <c r="M190" i="35"/>
  <c r="M187" i="35"/>
  <c r="M184" i="35"/>
  <c r="M181" i="35"/>
  <c r="M178" i="35"/>
  <c r="M175" i="35"/>
  <c r="M172" i="35"/>
  <c r="M169" i="35"/>
  <c r="M166" i="35"/>
  <c r="M163" i="35"/>
  <c r="M160" i="35"/>
  <c r="M157" i="35"/>
  <c r="M154" i="35"/>
  <c r="M151" i="35"/>
  <c r="M148" i="35"/>
  <c r="M145" i="35"/>
  <c r="M142" i="35"/>
  <c r="M139" i="35"/>
  <c r="M136" i="35"/>
  <c r="M133" i="35"/>
  <c r="M130" i="35"/>
  <c r="M127" i="35"/>
  <c r="M124" i="35"/>
  <c r="M121" i="35"/>
  <c r="M118" i="35"/>
  <c r="M115" i="35"/>
  <c r="M112" i="35"/>
  <c r="M109" i="35"/>
  <c r="M106" i="35"/>
  <c r="M103" i="35"/>
  <c r="M100" i="35"/>
  <c r="M97" i="35"/>
  <c r="M94" i="35"/>
  <c r="M91" i="35"/>
  <c r="M88" i="35"/>
  <c r="M85" i="35"/>
  <c r="M82" i="35"/>
  <c r="M79" i="35"/>
  <c r="M76" i="35"/>
  <c r="M73" i="35"/>
  <c r="M70" i="35"/>
  <c r="M67" i="35"/>
  <c r="M64" i="35"/>
  <c r="M61" i="35"/>
  <c r="M58" i="35"/>
  <c r="M55" i="35"/>
  <c r="M52" i="35"/>
  <c r="M49" i="35"/>
  <c r="M46" i="35"/>
  <c r="M43" i="35"/>
  <c r="M40" i="35"/>
  <c r="M37" i="35"/>
  <c r="M34" i="35"/>
  <c r="M31" i="35"/>
  <c r="M28" i="35"/>
  <c r="M25" i="35"/>
  <c r="M22" i="35"/>
  <c r="M267" i="35"/>
  <c r="M264" i="35"/>
  <c r="M261" i="35"/>
  <c r="M258" i="35"/>
  <c r="M255" i="35"/>
  <c r="M252" i="35"/>
  <c r="M249" i="35"/>
  <c r="M246" i="35"/>
  <c r="M243" i="35"/>
  <c r="M240" i="35"/>
  <c r="M237" i="35"/>
  <c r="M234" i="35"/>
  <c r="M231" i="35"/>
  <c r="M228" i="35"/>
  <c r="M225" i="35"/>
  <c r="M222" i="35"/>
  <c r="M219" i="35"/>
  <c r="M216" i="35"/>
  <c r="M213" i="35"/>
  <c r="M210" i="35"/>
  <c r="M207" i="35"/>
  <c r="M204" i="35"/>
  <c r="M201" i="35"/>
  <c r="M198" i="35"/>
  <c r="M195" i="35"/>
  <c r="M192" i="35"/>
  <c r="M189" i="35"/>
  <c r="M186" i="35"/>
  <c r="M183" i="35"/>
  <c r="M180" i="35"/>
  <c r="M177" i="35"/>
  <c r="M174" i="35"/>
  <c r="M171" i="35"/>
  <c r="M168" i="35"/>
  <c r="M165" i="35"/>
  <c r="M162" i="35"/>
  <c r="M159" i="35"/>
  <c r="M156" i="35"/>
  <c r="M153" i="35"/>
  <c r="M150" i="35"/>
  <c r="M147" i="35"/>
  <c r="M144" i="35"/>
  <c r="M141" i="35"/>
  <c r="M138" i="35"/>
  <c r="M135" i="35"/>
  <c r="M132" i="35"/>
  <c r="M129" i="35"/>
  <c r="M126" i="35"/>
  <c r="M123" i="35"/>
  <c r="M120" i="35"/>
  <c r="M117" i="35"/>
  <c r="M114" i="35"/>
  <c r="M111" i="35"/>
  <c r="M108" i="35"/>
  <c r="M105" i="35"/>
  <c r="M102" i="35"/>
  <c r="M99" i="35"/>
  <c r="M96" i="35"/>
  <c r="M93" i="35"/>
  <c r="M90" i="35"/>
  <c r="M87" i="35"/>
  <c r="M84" i="35"/>
  <c r="M81" i="35"/>
  <c r="M78" i="35"/>
  <c r="M75" i="35"/>
  <c r="M72" i="35"/>
  <c r="M69" i="35"/>
  <c r="M66" i="35"/>
  <c r="M63" i="35"/>
  <c r="M60" i="35"/>
  <c r="M57" i="35"/>
  <c r="M54" i="35"/>
  <c r="M51" i="35"/>
  <c r="M48" i="35"/>
  <c r="M45" i="35"/>
  <c r="M42" i="35"/>
  <c r="M39" i="35"/>
  <c r="M36" i="35"/>
  <c r="M33" i="35"/>
  <c r="M30" i="35"/>
  <c r="M27" i="35"/>
  <c r="M24" i="35"/>
  <c r="M21" i="35"/>
  <c r="M18" i="35"/>
  <c r="M15" i="35"/>
  <c r="M266" i="35"/>
  <c r="M257" i="35"/>
  <c r="M248" i="35"/>
  <c r="M239" i="35"/>
  <c r="M230" i="35"/>
  <c r="M221" i="35"/>
  <c r="M212" i="35"/>
  <c r="M203" i="35"/>
  <c r="M194" i="35"/>
  <c r="M185" i="35"/>
  <c r="M176" i="35"/>
  <c r="M167" i="35"/>
  <c r="M158" i="35"/>
  <c r="M149" i="35"/>
  <c r="M140" i="35"/>
  <c r="M131" i="35"/>
  <c r="M122" i="35"/>
  <c r="M113" i="35"/>
  <c r="M104" i="35"/>
  <c r="M95" i="35"/>
  <c r="M86" i="35"/>
  <c r="M77" i="35"/>
  <c r="M68" i="35"/>
  <c r="M59" i="35"/>
  <c r="M50" i="35"/>
  <c r="M41" i="35"/>
  <c r="M32" i="35"/>
  <c r="M23" i="35"/>
  <c r="M17" i="35"/>
  <c r="M13" i="35"/>
  <c r="M263" i="35"/>
  <c r="M254" i="35"/>
  <c r="M245" i="35"/>
  <c r="M236" i="35"/>
  <c r="M227" i="35"/>
  <c r="M218" i="35"/>
  <c r="M209" i="35"/>
  <c r="M200" i="35"/>
  <c r="M191" i="35"/>
  <c r="M182" i="35"/>
  <c r="M173" i="35"/>
  <c r="M164" i="35"/>
  <c r="M155" i="35"/>
  <c r="M146" i="35"/>
  <c r="M137" i="35"/>
  <c r="M128" i="35"/>
  <c r="M119" i="35"/>
  <c r="M110" i="35"/>
  <c r="M101" i="35"/>
  <c r="M92" i="35"/>
  <c r="M83" i="35"/>
  <c r="M74" i="35"/>
  <c r="M65" i="35"/>
  <c r="M56" i="35"/>
  <c r="M47" i="35"/>
  <c r="M38" i="35"/>
  <c r="M29" i="35"/>
  <c r="M20" i="35"/>
  <c r="M16" i="35"/>
  <c r="M12" i="35"/>
  <c r="M10" i="35"/>
  <c r="M8" i="35"/>
  <c r="M6" i="35"/>
  <c r="M260" i="35"/>
  <c r="M251" i="35"/>
  <c r="M242" i="35"/>
  <c r="M233" i="35"/>
  <c r="M224" i="35"/>
  <c r="M215" i="35"/>
  <c r="M206" i="35"/>
  <c r="M197" i="35"/>
  <c r="M188" i="35"/>
  <c r="M179" i="35"/>
  <c r="M170" i="35"/>
  <c r="M161" i="35"/>
  <c r="M152" i="35"/>
  <c r="M143" i="35"/>
  <c r="M134" i="35"/>
  <c r="M125" i="35"/>
  <c r="M116" i="35"/>
  <c r="M107" i="35"/>
  <c r="M98" i="35"/>
  <c r="M89" i="35"/>
  <c r="M80" i="35"/>
  <c r="M71" i="35"/>
  <c r="M62" i="35"/>
  <c r="M53" i="35"/>
  <c r="M44" i="35"/>
  <c r="M35" i="35"/>
  <c r="M26" i="35"/>
  <c r="M19" i="35"/>
  <c r="M14" i="35"/>
  <c r="M11" i="35"/>
  <c r="M9" i="35"/>
  <c r="M7" i="35"/>
  <c r="I6" i="35"/>
  <c r="I4" i="32"/>
  <c r="I6" i="32" s="1"/>
  <c r="C1" i="32"/>
  <c r="L268" i="35" l="1"/>
  <c r="L269" i="35"/>
  <c r="L5" i="35"/>
  <c r="M270" i="35"/>
  <c r="I8" i="32"/>
  <c r="M13" i="32" s="1"/>
  <c r="L265" i="35"/>
  <c r="L262" i="35"/>
  <c r="L259" i="35"/>
  <c r="L256" i="35"/>
  <c r="L253" i="35"/>
  <c r="L250" i="35"/>
  <c r="L247" i="35"/>
  <c r="L244" i="35"/>
  <c r="L241" i="35"/>
  <c r="L238" i="35"/>
  <c r="L235" i="35"/>
  <c r="L232" i="35"/>
  <c r="L229" i="35"/>
  <c r="L226" i="35"/>
  <c r="L223" i="35"/>
  <c r="L220" i="35"/>
  <c r="L217" i="35"/>
  <c r="L214" i="35"/>
  <c r="L211" i="35"/>
  <c r="L208" i="35"/>
  <c r="L205" i="35"/>
  <c r="L202" i="35"/>
  <c r="L199" i="35"/>
  <c r="L196" i="35"/>
  <c r="L193" i="35"/>
  <c r="L190" i="35"/>
  <c r="L187" i="35"/>
  <c r="L184" i="35"/>
  <c r="L181" i="35"/>
  <c r="L178" i="35"/>
  <c r="L175" i="35"/>
  <c r="L172" i="35"/>
  <c r="L169" i="35"/>
  <c r="L166" i="35"/>
  <c r="L163" i="35"/>
  <c r="L160" i="35"/>
  <c r="L157" i="35"/>
  <c r="L154" i="35"/>
  <c r="L151" i="35"/>
  <c r="L148" i="35"/>
  <c r="L145" i="35"/>
  <c r="L142" i="35"/>
  <c r="L139" i="35"/>
  <c r="L136" i="35"/>
  <c r="L133" i="35"/>
  <c r="L130" i="35"/>
  <c r="L127" i="35"/>
  <c r="L124" i="35"/>
  <c r="L121" i="35"/>
  <c r="L118" i="35"/>
  <c r="L115" i="35"/>
  <c r="L112" i="35"/>
  <c r="L109" i="35"/>
  <c r="L106" i="35"/>
  <c r="L103" i="35"/>
  <c r="L100" i="35"/>
  <c r="L97" i="35"/>
  <c r="L94" i="35"/>
  <c r="L91" i="35"/>
  <c r="L88" i="35"/>
  <c r="L85" i="35"/>
  <c r="L82" i="35"/>
  <c r="L79" i="35"/>
  <c r="L76" i="35"/>
  <c r="L73" i="35"/>
  <c r="L70" i="35"/>
  <c r="L67" i="35"/>
  <c r="L64" i="35"/>
  <c r="L61" i="35"/>
  <c r="L58" i="35"/>
  <c r="L55" i="35"/>
  <c r="L52" i="35"/>
  <c r="L49" i="35"/>
  <c r="L46" i="35"/>
  <c r="L43" i="35"/>
  <c r="L40" i="35"/>
  <c r="L37" i="35"/>
  <c r="L34" i="35"/>
  <c r="L31" i="35"/>
  <c r="L28" i="35"/>
  <c r="L25" i="35"/>
  <c r="L22" i="35"/>
  <c r="L267" i="35"/>
  <c r="L264" i="35"/>
  <c r="L261" i="35"/>
  <c r="L258" i="35"/>
  <c r="L255" i="35"/>
  <c r="L252" i="35"/>
  <c r="L249" i="35"/>
  <c r="L246" i="35"/>
  <c r="L243" i="35"/>
  <c r="L240" i="35"/>
  <c r="L237" i="35"/>
  <c r="L234" i="35"/>
  <c r="L231" i="35"/>
  <c r="L228" i="35"/>
  <c r="L225" i="35"/>
  <c r="L222" i="35"/>
  <c r="L219" i="35"/>
  <c r="L216" i="35"/>
  <c r="L213" i="35"/>
  <c r="L210" i="35"/>
  <c r="L207" i="35"/>
  <c r="L204" i="35"/>
  <c r="L201" i="35"/>
  <c r="L198" i="35"/>
  <c r="L195" i="35"/>
  <c r="L192" i="35"/>
  <c r="L189" i="35"/>
  <c r="L186" i="35"/>
  <c r="L183" i="35"/>
  <c r="L180" i="35"/>
  <c r="L177" i="35"/>
  <c r="L174" i="35"/>
  <c r="L171" i="35"/>
  <c r="L168" i="35"/>
  <c r="L165" i="35"/>
  <c r="L162" i="35"/>
  <c r="L159" i="35"/>
  <c r="L156" i="35"/>
  <c r="L153" i="35"/>
  <c r="L150" i="35"/>
  <c r="L147" i="35"/>
  <c r="L144" i="35"/>
  <c r="L141" i="35"/>
  <c r="L138" i="35"/>
  <c r="L135" i="35"/>
  <c r="L132" i="35"/>
  <c r="L129" i="35"/>
  <c r="L126" i="35"/>
  <c r="L123" i="35"/>
  <c r="L120" i="35"/>
  <c r="L117" i="35"/>
  <c r="L114" i="35"/>
  <c r="L111" i="35"/>
  <c r="L108" i="35"/>
  <c r="L105" i="35"/>
  <c r="L102" i="35"/>
  <c r="L99" i="35"/>
  <c r="L96" i="35"/>
  <c r="L93" i="35"/>
  <c r="L90" i="35"/>
  <c r="L87" i="35"/>
  <c r="L84" i="35"/>
  <c r="L81" i="35"/>
  <c r="L78" i="35"/>
  <c r="L75" i="35"/>
  <c r="L72" i="35"/>
  <c r="L69" i="35"/>
  <c r="L66" i="35"/>
  <c r="L63" i="35"/>
  <c r="L60" i="35"/>
  <c r="L57" i="35"/>
  <c r="L54" i="35"/>
  <c r="L51" i="35"/>
  <c r="L48" i="35"/>
  <c r="L45" i="35"/>
  <c r="L42" i="35"/>
  <c r="L39" i="35"/>
  <c r="L36" i="35"/>
  <c r="L33" i="35"/>
  <c r="L30" i="35"/>
  <c r="L27" i="35"/>
  <c r="L24" i="35"/>
  <c r="L21" i="35"/>
  <c r="L18" i="35"/>
  <c r="L15" i="35"/>
  <c r="L266" i="35"/>
  <c r="L257" i="35"/>
  <c r="L248" i="35"/>
  <c r="L239" i="35"/>
  <c r="L230" i="35"/>
  <c r="L221" i="35"/>
  <c r="L212" i="35"/>
  <c r="L203" i="35"/>
  <c r="L194" i="35"/>
  <c r="L185" i="35"/>
  <c r="L176" i="35"/>
  <c r="L167" i="35"/>
  <c r="L158" i="35"/>
  <c r="L149" i="35"/>
  <c r="L140" i="35"/>
  <c r="L131" i="35"/>
  <c r="L122" i="35"/>
  <c r="L113" i="35"/>
  <c r="L104" i="35"/>
  <c r="L95" i="35"/>
  <c r="L86" i="35"/>
  <c r="L77" i="35"/>
  <c r="L68" i="35"/>
  <c r="L59" i="35"/>
  <c r="L50" i="35"/>
  <c r="L41" i="35"/>
  <c r="L32" i="35"/>
  <c r="L23" i="35"/>
  <c r="L17" i="35"/>
  <c r="L13" i="35"/>
  <c r="L263" i="35"/>
  <c r="L254" i="35"/>
  <c r="L245" i="35"/>
  <c r="L236" i="35"/>
  <c r="L227" i="35"/>
  <c r="L218" i="35"/>
  <c r="L209" i="35"/>
  <c r="L200" i="35"/>
  <c r="L191" i="35"/>
  <c r="L182" i="35"/>
  <c r="L173" i="35"/>
  <c r="L164" i="35"/>
  <c r="L155" i="35"/>
  <c r="L146" i="35"/>
  <c r="L137" i="35"/>
  <c r="L128" i="35"/>
  <c r="L119" i="35"/>
  <c r="L110" i="35"/>
  <c r="L101" i="35"/>
  <c r="L92" i="35"/>
  <c r="L83" i="35"/>
  <c r="L74" i="35"/>
  <c r="L65" i="35"/>
  <c r="L56" i="35"/>
  <c r="L47" i="35"/>
  <c r="L38" i="35"/>
  <c r="L29" i="35"/>
  <c r="L20" i="35"/>
  <c r="L16" i="35"/>
  <c r="L12" i="35"/>
  <c r="L10" i="35"/>
  <c r="L260" i="35"/>
  <c r="L251" i="35"/>
  <c r="L233" i="35"/>
  <c r="L224" i="35"/>
  <c r="L215" i="35"/>
  <c r="L206" i="35"/>
  <c r="L197" i="35"/>
  <c r="L188" i="35"/>
  <c r="L179" i="35"/>
  <c r="L161" i="35"/>
  <c r="L152" i="35"/>
  <c r="L143" i="35"/>
  <c r="L134" i="35"/>
  <c r="L125" i="35"/>
  <c r="L116" i="35"/>
  <c r="L107" i="35"/>
  <c r="L89" i="35"/>
  <c r="L80" i="35"/>
  <c r="L71" i="35"/>
  <c r="L62" i="35"/>
  <c r="L53" i="35"/>
  <c r="L44" i="35"/>
  <c r="L35" i="35"/>
  <c r="L19" i="35"/>
  <c r="L14" i="35"/>
  <c r="L11" i="35"/>
  <c r="L9" i="35"/>
  <c r="L7" i="35"/>
  <c r="L242" i="35"/>
  <c r="L170" i="35"/>
  <c r="L98" i="35"/>
  <c r="L26" i="35"/>
  <c r="L8" i="35"/>
  <c r="L6" i="35"/>
  <c r="M7" i="32"/>
  <c r="M37" i="32"/>
  <c r="M55" i="32"/>
  <c r="M67" i="32"/>
  <c r="M79" i="32"/>
  <c r="M91" i="32"/>
  <c r="M109" i="32"/>
  <c r="M115" i="32"/>
  <c r="M133" i="32"/>
  <c r="M139" i="32"/>
  <c r="M151" i="32"/>
  <c r="M169" i="32"/>
  <c r="M181" i="32"/>
  <c r="M199" i="32"/>
  <c r="M205" i="32"/>
  <c r="M211" i="32"/>
  <c r="M241" i="32"/>
  <c r="M247" i="32"/>
  <c r="M253" i="32"/>
  <c r="M259" i="32"/>
  <c r="M8" i="32"/>
  <c r="M32" i="32"/>
  <c r="M44" i="32"/>
  <c r="M50" i="32"/>
  <c r="M62" i="32"/>
  <c r="M80" i="32"/>
  <c r="M92" i="32"/>
  <c r="M104" i="32"/>
  <c r="M116" i="32"/>
  <c r="M128" i="32"/>
  <c r="M134" i="32"/>
  <c r="M158" i="32"/>
  <c r="M164" i="32"/>
  <c r="M176" i="32"/>
  <c r="M194" i="32"/>
  <c r="M200" i="32"/>
  <c r="M212" i="32"/>
  <c r="M236" i="32"/>
  <c r="M242" i="32"/>
  <c r="M248" i="32"/>
  <c r="M260" i="32"/>
  <c r="M23" i="32"/>
  <c r="M41" i="32"/>
  <c r="M51" i="32"/>
  <c r="M59" i="32"/>
  <c r="M77" i="32"/>
  <c r="M113" i="32"/>
  <c r="M123" i="32"/>
  <c r="M149" i="32"/>
  <c r="M159" i="32"/>
  <c r="M177" i="32"/>
  <c r="M213" i="32"/>
  <c r="M221" i="32"/>
  <c r="M231" i="32"/>
  <c r="M257" i="32"/>
  <c r="M6" i="32"/>
  <c r="M24" i="32"/>
  <c r="M42" i="32"/>
  <c r="M70" i="32"/>
  <c r="M78" i="32"/>
  <c r="M96" i="32"/>
  <c r="M114" i="32"/>
  <c r="M150" i="32"/>
  <c r="M160" i="32"/>
  <c r="M168" i="32"/>
  <c r="M178" i="32"/>
  <c r="M222" i="32"/>
  <c r="M232" i="32"/>
  <c r="M240" i="32"/>
  <c r="M268" i="32"/>
  <c r="M9" i="32"/>
  <c r="M45" i="32"/>
  <c r="M63" i="32"/>
  <c r="M71" i="32"/>
  <c r="M81" i="32"/>
  <c r="M107" i="32"/>
  <c r="M135" i="32"/>
  <c r="M153" i="32"/>
  <c r="M161" i="32"/>
  <c r="M179" i="32"/>
  <c r="M189" i="32"/>
  <c r="M215" i="32"/>
  <c r="M225" i="32"/>
  <c r="M243" i="32"/>
  <c r="M261" i="32"/>
  <c r="M4" i="32"/>
  <c r="M18" i="32"/>
  <c r="M46" i="32"/>
  <c r="M54" i="32"/>
  <c r="M64" i="32"/>
  <c r="M72" i="32"/>
  <c r="M108" i="32"/>
  <c r="M118" i="32"/>
  <c r="M126" i="32"/>
  <c r="M136" i="32"/>
  <c r="M154" i="32"/>
  <c r="M180" i="32"/>
  <c r="M190" i="32"/>
  <c r="M208" i="32"/>
  <c r="M216" i="32"/>
  <c r="M234" i="32"/>
  <c r="M262" i="32"/>
  <c r="M11" i="32"/>
  <c r="M21" i="32"/>
  <c r="M39" i="32"/>
  <c r="M57" i="32"/>
  <c r="M75" i="32"/>
  <c r="M83" i="32"/>
  <c r="M111" i="32"/>
  <c r="M119" i="32"/>
  <c r="M129" i="32"/>
  <c r="M147" i="32"/>
  <c r="M173" i="32"/>
  <c r="M183" i="32"/>
  <c r="M201" i="32"/>
  <c r="M209" i="32"/>
  <c r="M156" i="32"/>
  <c r="M202" i="32"/>
  <c r="M238" i="32"/>
  <c r="M12" i="32"/>
  <c r="M22" i="32"/>
  <c r="M30" i="32"/>
  <c r="M138" i="32"/>
  <c r="M191" i="32"/>
  <c r="M228" i="32"/>
  <c r="M58" i="32"/>
  <c r="M210" i="32"/>
  <c r="M245" i="32"/>
  <c r="M66" i="32"/>
  <c r="M220" i="32"/>
  <c r="M246" i="32"/>
  <c r="M184" i="32"/>
  <c r="M255" i="32"/>
  <c r="M148" i="32"/>
  <c r="M192" i="32"/>
  <c r="M237" i="32"/>
  <c r="L6" i="32"/>
  <c r="L12" i="32"/>
  <c r="L18" i="32"/>
  <c r="L24" i="32"/>
  <c r="L30" i="32"/>
  <c r="L36" i="32"/>
  <c r="L42" i="32"/>
  <c r="L48" i="32"/>
  <c r="L54" i="32"/>
  <c r="L60" i="32"/>
  <c r="L66" i="32"/>
  <c r="L72" i="32"/>
  <c r="L78" i="32"/>
  <c r="L84" i="32"/>
  <c r="L90" i="32"/>
  <c r="L96" i="32"/>
  <c r="L102" i="32"/>
  <c r="L108" i="32"/>
  <c r="L114" i="32"/>
  <c r="L120" i="32"/>
  <c r="L126" i="32"/>
  <c r="L132" i="32"/>
  <c r="L138" i="32"/>
  <c r="L144" i="32"/>
  <c r="L150" i="32"/>
  <c r="L156" i="32"/>
  <c r="L162" i="32"/>
  <c r="L168" i="32"/>
  <c r="L174" i="32"/>
  <c r="L180" i="32"/>
  <c r="L186" i="32"/>
  <c r="L192" i="32"/>
  <c r="L198" i="32"/>
  <c r="L204" i="32"/>
  <c r="L210" i="32"/>
  <c r="L216" i="32"/>
  <c r="L222" i="32"/>
  <c r="L228" i="32"/>
  <c r="L234" i="32"/>
  <c r="L240" i="32"/>
  <c r="L246" i="32"/>
  <c r="L7" i="32"/>
  <c r="L13" i="32"/>
  <c r="L19" i="32"/>
  <c r="L25" i="32"/>
  <c r="L31" i="32"/>
  <c r="L37" i="32"/>
  <c r="L43" i="32"/>
  <c r="L49" i="32"/>
  <c r="L55" i="32"/>
  <c r="L61" i="32"/>
  <c r="L67" i="32"/>
  <c r="L73" i="32"/>
  <c r="L79" i="32"/>
  <c r="L85" i="32"/>
  <c r="L91" i="32"/>
  <c r="L97" i="32"/>
  <c r="L103" i="32"/>
  <c r="L109" i="32"/>
  <c r="L115" i="32"/>
  <c r="L121" i="32"/>
  <c r="L127" i="32"/>
  <c r="L133" i="32"/>
  <c r="L139" i="32"/>
  <c r="L145" i="32"/>
  <c r="L151" i="32"/>
  <c r="L157" i="32"/>
  <c r="L163" i="32"/>
  <c r="L169" i="32"/>
  <c r="L175" i="32"/>
  <c r="L181" i="32"/>
  <c r="L187" i="32"/>
  <c r="L193" i="32"/>
  <c r="L199" i="32"/>
  <c r="L205" i="32"/>
  <c r="L211" i="32"/>
  <c r="L217" i="32"/>
  <c r="L4" i="32"/>
  <c r="L10" i="32"/>
  <c r="L20" i="32"/>
  <c r="L28" i="32"/>
  <c r="L38" i="32"/>
  <c r="L46" i="32"/>
  <c r="L56" i="32"/>
  <c r="L64" i="32"/>
  <c r="L74" i="32"/>
  <c r="L82" i="32"/>
  <c r="L92" i="32"/>
  <c r="L100" i="32"/>
  <c r="L110" i="32"/>
  <c r="L118" i="32"/>
  <c r="L128" i="32"/>
  <c r="L136" i="32"/>
  <c r="L146" i="32"/>
  <c r="L154" i="32"/>
  <c r="L164" i="32"/>
  <c r="L172" i="32"/>
  <c r="L182" i="32"/>
  <c r="L190" i="32"/>
  <c r="L200" i="32"/>
  <c r="L208" i="32"/>
  <c r="L218" i="32"/>
  <c r="L225" i="32"/>
  <c r="L232" i="32"/>
  <c r="L239" i="32"/>
  <c r="L247" i="32"/>
  <c r="L253" i="32"/>
  <c r="L259" i="32"/>
  <c r="L265" i="32"/>
  <c r="L11" i="32"/>
  <c r="L21" i="32"/>
  <c r="L29" i="32"/>
  <c r="L39" i="32"/>
  <c r="L47" i="32"/>
  <c r="L57" i="32"/>
  <c r="L65" i="32"/>
  <c r="L75" i="32"/>
  <c r="L83" i="32"/>
  <c r="L93" i="32"/>
  <c r="L101" i="32"/>
  <c r="L111" i="32"/>
  <c r="L119" i="32"/>
  <c r="L129" i="32"/>
  <c r="L137" i="32"/>
  <c r="L147" i="32"/>
  <c r="L155" i="32"/>
  <c r="L165" i="32"/>
  <c r="L173" i="32"/>
  <c r="L183" i="32"/>
  <c r="L191" i="32"/>
  <c r="L201" i="32"/>
  <c r="L209" i="32"/>
  <c r="L219" i="32"/>
  <c r="L226" i="32"/>
  <c r="L233" i="32"/>
  <c r="L241" i="32"/>
  <c r="L248" i="32"/>
  <c r="L254" i="32"/>
  <c r="L260" i="32"/>
  <c r="L266" i="32"/>
  <c r="L14" i="32"/>
  <c r="L22" i="32"/>
  <c r="L32" i="32"/>
  <c r="L40" i="32"/>
  <c r="L50" i="32"/>
  <c r="L58" i="32"/>
  <c r="L68" i="32"/>
  <c r="L76" i="32"/>
  <c r="L86" i="32"/>
  <c r="L94" i="32"/>
  <c r="L104" i="32"/>
  <c r="L112" i="32"/>
  <c r="L122" i="32"/>
  <c r="L130" i="32"/>
  <c r="L140" i="32"/>
  <c r="L148" i="32"/>
  <c r="L158" i="32"/>
  <c r="L166" i="32"/>
  <c r="L176" i="32"/>
  <c r="L184" i="32"/>
  <c r="L194" i="32"/>
  <c r="L202" i="32"/>
  <c r="L212" i="32"/>
  <c r="L220" i="32"/>
  <c r="L227" i="32"/>
  <c r="L235" i="32"/>
  <c r="L242" i="32"/>
  <c r="L249" i="32"/>
  <c r="L255" i="32"/>
  <c r="L261" i="32"/>
  <c r="L267" i="32"/>
  <c r="L5" i="32"/>
  <c r="L15" i="32"/>
  <c r="L23" i="32"/>
  <c r="L33" i="32"/>
  <c r="L41" i="32"/>
  <c r="L51" i="32"/>
  <c r="L59" i="32"/>
  <c r="L69" i="32"/>
  <c r="L77" i="32"/>
  <c r="L87" i="32"/>
  <c r="L95" i="32"/>
  <c r="L105" i="32"/>
  <c r="L113" i="32"/>
  <c r="L123" i="32"/>
  <c r="L131" i="32"/>
  <c r="L141" i="32"/>
  <c r="L149" i="32"/>
  <c r="L159" i="32"/>
  <c r="L167" i="32"/>
  <c r="L177" i="32"/>
  <c r="L185" i="32"/>
  <c r="L195" i="32"/>
  <c r="L203" i="32"/>
  <c r="L213" i="32"/>
  <c r="L221" i="32"/>
  <c r="L229" i="32"/>
  <c r="L236" i="32"/>
  <c r="L243" i="32"/>
  <c r="L250" i="32"/>
  <c r="L256" i="32"/>
  <c r="L262" i="32"/>
  <c r="L268" i="32"/>
  <c r="L27" i="32"/>
  <c r="L53" i="32"/>
  <c r="L81" i="32"/>
  <c r="L107" i="32"/>
  <c r="L135" i="32"/>
  <c r="L161" i="32"/>
  <c r="L189" i="32"/>
  <c r="L215" i="32"/>
  <c r="L238" i="32"/>
  <c r="L258" i="32"/>
  <c r="L196" i="32"/>
  <c r="L244" i="32"/>
  <c r="L263" i="32"/>
  <c r="L117" i="32"/>
  <c r="L224" i="32"/>
  <c r="L16" i="32"/>
  <c r="L70" i="32"/>
  <c r="L124" i="32"/>
  <c r="L178" i="32"/>
  <c r="L230" i="32"/>
  <c r="L17" i="32"/>
  <c r="L45" i="32"/>
  <c r="L71" i="32"/>
  <c r="L99" i="32"/>
  <c r="L125" i="32"/>
  <c r="L153" i="32"/>
  <c r="L179" i="32"/>
  <c r="L207" i="32"/>
  <c r="L231" i="32"/>
  <c r="L252" i="32"/>
  <c r="L8" i="32"/>
  <c r="L34" i="32"/>
  <c r="L62" i="32"/>
  <c r="L88" i="32"/>
  <c r="L116" i="32"/>
  <c r="L142" i="32"/>
  <c r="L170" i="32"/>
  <c r="L223" i="32"/>
  <c r="L9" i="32"/>
  <c r="L35" i="32"/>
  <c r="L63" i="32"/>
  <c r="L89" i="32"/>
  <c r="L143" i="32"/>
  <c r="L171" i="32"/>
  <c r="L197" i="32"/>
  <c r="L245" i="32"/>
  <c r="L264" i="32"/>
  <c r="L44" i="32"/>
  <c r="L98" i="32"/>
  <c r="L152" i="32"/>
  <c r="L206" i="32"/>
  <c r="L251" i="32"/>
  <c r="L26" i="32"/>
  <c r="L52" i="32"/>
  <c r="L80" i="32"/>
  <c r="L106" i="32"/>
  <c r="L134" i="32"/>
  <c r="L160" i="32"/>
  <c r="L188" i="32"/>
  <c r="L214" i="32"/>
  <c r="L237" i="32"/>
  <c r="L257" i="32"/>
  <c r="B8" i="26"/>
  <c r="B11" i="26" s="1"/>
  <c r="B7" i="26"/>
  <c r="B10" i="26" s="1"/>
  <c r="B5" i="26"/>
  <c r="B16" i="26" s="1"/>
  <c r="B4" i="26"/>
  <c r="B8" i="25"/>
  <c r="B11" i="25" s="1"/>
  <c r="B7" i="25"/>
  <c r="B10" i="25" s="1"/>
  <c r="B5" i="25"/>
  <c r="B16" i="25" s="1"/>
  <c r="B4" i="25"/>
  <c r="B8" i="24"/>
  <c r="B11" i="24" s="1"/>
  <c r="B14" i="24" s="1"/>
  <c r="B7" i="24"/>
  <c r="B10" i="24" s="1"/>
  <c r="B5" i="24"/>
  <c r="B16" i="24" s="1"/>
  <c r="B4" i="24"/>
  <c r="L270" i="35" l="1"/>
  <c r="M263" i="32"/>
  <c r="M76" i="32"/>
  <c r="M166" i="32"/>
  <c r="M227" i="32"/>
  <c r="M48" i="32"/>
  <c r="M137" i="32"/>
  <c r="M65" i="32"/>
  <c r="M244" i="32"/>
  <c r="M172" i="32"/>
  <c r="M82" i="32"/>
  <c r="M10" i="32"/>
  <c r="M207" i="32"/>
  <c r="M125" i="32"/>
  <c r="M27" i="32"/>
  <c r="M204" i="32"/>
  <c r="M106" i="32"/>
  <c r="M16" i="32"/>
  <c r="M185" i="32"/>
  <c r="M105" i="32"/>
  <c r="M266" i="32"/>
  <c r="M206" i="32"/>
  <c r="M152" i="32"/>
  <c r="M86" i="32"/>
  <c r="M26" i="32"/>
  <c r="M217" i="32"/>
  <c r="M163" i="32"/>
  <c r="M97" i="32"/>
  <c r="M31" i="32"/>
  <c r="M94" i="32"/>
  <c r="M120" i="32"/>
  <c r="M256" i="32"/>
  <c r="M130" i="32"/>
  <c r="M102" i="32"/>
  <c r="M165" i="32"/>
  <c r="M93" i="32"/>
  <c r="M29" i="32"/>
  <c r="M226" i="32"/>
  <c r="M162" i="32"/>
  <c r="M100" i="32"/>
  <c r="M28" i="32"/>
  <c r="M233" i="32"/>
  <c r="M171" i="32"/>
  <c r="M99" i="32"/>
  <c r="M17" i="32"/>
  <c r="M214" i="32"/>
  <c r="M132" i="32"/>
  <c r="M52" i="32"/>
  <c r="M239" i="32"/>
  <c r="M167" i="32"/>
  <c r="M95" i="32"/>
  <c r="M15" i="32"/>
  <c r="M224" i="32"/>
  <c r="M170" i="32"/>
  <c r="M122" i="32"/>
  <c r="M68" i="32"/>
  <c r="M20" i="32"/>
  <c r="M223" i="32"/>
  <c r="M175" i="32"/>
  <c r="M127" i="32"/>
  <c r="M73" i="32"/>
  <c r="M25" i="32"/>
  <c r="M43" i="32"/>
  <c r="M117" i="32"/>
  <c r="M53" i="32"/>
  <c r="M258" i="32"/>
  <c r="M186" i="32"/>
  <c r="M124" i="32"/>
  <c r="M60" i="32"/>
  <c r="M267" i="32"/>
  <c r="M203" i="32"/>
  <c r="M131" i="32"/>
  <c r="M69" i="32"/>
  <c r="M5" i="32"/>
  <c r="M230" i="32"/>
  <c r="M188" i="32"/>
  <c r="M140" i="32"/>
  <c r="M98" i="32"/>
  <c r="M56" i="32"/>
  <c r="M14" i="32"/>
  <c r="M235" i="32"/>
  <c r="M187" i="32"/>
  <c r="M145" i="32"/>
  <c r="M103" i="32"/>
  <c r="M61" i="32"/>
  <c r="M19" i="32"/>
  <c r="M40" i="32"/>
  <c r="M174" i="32"/>
  <c r="M112" i="32"/>
  <c r="M84" i="32"/>
  <c r="M264" i="32"/>
  <c r="M219" i="32"/>
  <c r="M155" i="32"/>
  <c r="M101" i="32"/>
  <c r="M47" i="32"/>
  <c r="M252" i="32"/>
  <c r="M198" i="32"/>
  <c r="M144" i="32"/>
  <c r="M90" i="32"/>
  <c r="M36" i="32"/>
  <c r="M251" i="32"/>
  <c r="M197" i="32"/>
  <c r="M143" i="32"/>
  <c r="M89" i="32"/>
  <c r="M35" i="32"/>
  <c r="M250" i="32"/>
  <c r="M196" i="32"/>
  <c r="M142" i="32"/>
  <c r="M88" i="32"/>
  <c r="M34" i="32"/>
  <c r="M249" i="32"/>
  <c r="M195" i="32"/>
  <c r="M141" i="32"/>
  <c r="M87" i="32"/>
  <c r="M33" i="32"/>
  <c r="M254" i="32"/>
  <c r="M218" i="32"/>
  <c r="M182" i="32"/>
  <c r="M146" i="32"/>
  <c r="M110" i="32"/>
  <c r="M74" i="32"/>
  <c r="M38" i="32"/>
  <c r="M265" i="32"/>
  <c r="M229" i="32"/>
  <c r="M193" i="32"/>
  <c r="M157" i="32"/>
  <c r="M121" i="32"/>
  <c r="M85" i="32"/>
  <c r="M49" i="32"/>
  <c r="L269" i="32"/>
  <c r="B14" i="25"/>
  <c r="B13" i="26"/>
  <c r="B19" i="26"/>
  <c r="B18" i="26"/>
  <c r="B14" i="26"/>
  <c r="B19" i="25"/>
  <c r="B18" i="25"/>
  <c r="B13" i="25"/>
  <c r="B13" i="24"/>
  <c r="B19" i="24"/>
  <c r="B18" i="24"/>
  <c r="M269" i="32" l="1"/>
  <c r="D4" i="23"/>
  <c r="B2" i="6"/>
  <c r="B4" i="23"/>
  <c r="B7" i="23"/>
  <c r="B9" i="23" s="1"/>
  <c r="B6" i="23"/>
  <c r="B10" i="23" s="1"/>
  <c r="B12" i="23" s="1"/>
  <c r="B7" i="22"/>
  <c r="B9" i="22" s="1"/>
  <c r="B6" i="22"/>
  <c r="B10" i="22" s="1"/>
  <c r="B4" i="22"/>
  <c r="E7" i="21"/>
  <c r="E9" i="21" s="1"/>
  <c r="E6" i="21"/>
  <c r="E10" i="21" s="1"/>
  <c r="E4" i="21"/>
  <c r="B4" i="21"/>
  <c r="B7" i="21"/>
  <c r="B9" i="21" s="1"/>
  <c r="B6" i="21"/>
  <c r="B10" i="21" s="1"/>
  <c r="B7" i="20"/>
  <c r="B9" i="20" s="1"/>
  <c r="B6" i="20"/>
  <c r="B10" i="20" s="1"/>
  <c r="B4" i="20"/>
  <c r="B7" i="19"/>
  <c r="B9" i="19" s="1"/>
  <c r="B6" i="19"/>
  <c r="B10" i="19" s="1"/>
  <c r="B4" i="19"/>
  <c r="B7" i="18"/>
  <c r="B9" i="18" s="1"/>
  <c r="B6" i="18"/>
  <c r="B10" i="18" s="1"/>
  <c r="B4" i="18"/>
  <c r="E6" i="13"/>
  <c r="E1" i="13"/>
  <c r="E8" i="13" s="1"/>
  <c r="B6" i="3"/>
  <c r="B2" i="4"/>
  <c r="B5" i="17"/>
  <c r="B7" i="17" s="1"/>
  <c r="B11" i="17" s="1"/>
  <c r="B4" i="17"/>
  <c r="B8" i="17" s="1"/>
  <c r="B10" i="17" s="1"/>
  <c r="E5" i="16"/>
  <c r="E7" i="16" s="1"/>
  <c r="E11" i="16" s="1"/>
  <c r="E4" i="16"/>
  <c r="E8" i="16" s="1"/>
  <c r="E10" i="16" s="1"/>
  <c r="B5" i="16"/>
  <c r="B7" i="16" s="1"/>
  <c r="B11" i="16" s="1"/>
  <c r="B4" i="16"/>
  <c r="B8" i="16" s="1"/>
  <c r="B10" i="16" s="1"/>
  <c r="B12" i="18" l="1"/>
  <c r="B13" i="21"/>
  <c r="B12" i="21"/>
  <c r="B13" i="18"/>
  <c r="B12" i="19"/>
  <c r="E12" i="21"/>
  <c r="D6" i="23"/>
  <c r="E7" i="23" s="1"/>
  <c r="B13" i="23"/>
  <c r="B12" i="22"/>
  <c r="B13" i="22"/>
  <c r="E13" i="21"/>
  <c r="B13" i="20"/>
  <c r="B12" i="20"/>
  <c r="B13" i="19"/>
  <c r="E7" i="13"/>
  <c r="B5" i="15"/>
  <c r="B7" i="15" s="1"/>
  <c r="B11" i="15" s="1"/>
  <c r="B4" i="15"/>
  <c r="B8" i="15" s="1"/>
  <c r="B10" i="15" s="1"/>
  <c r="D7" i="23" l="1"/>
  <c r="B2" i="3"/>
  <c r="B1" i="3"/>
  <c r="B6" i="14"/>
  <c r="B1" i="14"/>
  <c r="B8" i="14" s="1"/>
  <c r="B6" i="13"/>
  <c r="B1" i="13"/>
  <c r="B8" i="13" s="1"/>
  <c r="B6" i="12"/>
  <c r="B1" i="12"/>
  <c r="B8" i="12" s="1"/>
  <c r="B6" i="11"/>
  <c r="B1" i="11"/>
  <c r="B8" i="11" s="1"/>
  <c r="B6" i="10"/>
  <c r="B1" i="10"/>
  <c r="B8" i="10" s="1"/>
  <c r="C6" i="2"/>
  <c r="B6" i="2"/>
  <c r="B7" i="2" s="1"/>
  <c r="B6" i="9"/>
  <c r="B1" i="9"/>
  <c r="B8" i="9" s="1"/>
  <c r="B7" i="3" l="1"/>
  <c r="B8" i="3"/>
  <c r="B7" i="14"/>
  <c r="B7" i="13"/>
  <c r="B7" i="12"/>
  <c r="B7" i="11"/>
  <c r="B7" i="10"/>
  <c r="B7" i="9"/>
  <c r="B6" i="8" l="1"/>
  <c r="B8" i="8" s="1"/>
  <c r="B12" i="8" s="1"/>
  <c r="B5" i="8"/>
  <c r="B9" i="8" s="1"/>
  <c r="B11" i="8" s="1"/>
  <c r="B6" i="7"/>
  <c r="B8" i="7" s="1"/>
  <c r="B12" i="7" s="1"/>
  <c r="B5" i="7"/>
  <c r="B9" i="7" s="1"/>
  <c r="B11" i="7" s="1"/>
  <c r="F6" i="6"/>
  <c r="B6" i="6"/>
  <c r="B8" i="6" s="1"/>
  <c r="F2" i="6"/>
  <c r="F9" i="6" l="1"/>
  <c r="F8" i="6"/>
  <c r="B9" i="6"/>
  <c r="C13" i="4" l="1"/>
  <c r="F9" i="4"/>
  <c r="B9" i="4"/>
  <c r="F8" i="4"/>
  <c r="B8" i="4"/>
  <c r="F7" i="4"/>
  <c r="B7" i="4"/>
  <c r="F2" i="4"/>
  <c r="F3" i="4" s="1"/>
  <c r="B3" i="4"/>
  <c r="F1" i="4"/>
  <c r="B1" i="4"/>
  <c r="B10" i="4" l="1"/>
  <c r="A12" i="4" s="1"/>
  <c r="F10" i="4"/>
  <c r="G12" i="4" s="1"/>
  <c r="C12" i="4" l="1"/>
  <c r="C14" i="4" s="1"/>
  <c r="E12" i="4"/>
  <c r="G14" i="4" s="1"/>
  <c r="G13" i="4" l="1"/>
  <c r="B14" i="1"/>
  <c r="B15" i="1" s="1"/>
  <c r="B19" i="1" s="1"/>
  <c r="B16" i="1"/>
  <c r="B17" i="1" s="1"/>
  <c r="B20" i="1" s="1"/>
  <c r="B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1" description="Соединение с запросом &quot;1&quot; в книге." type="5" refreshedVersion="6" background="1">
    <dbPr connection="Provider=Microsoft.Mashup.OleDb.1;Data Source=$Workbook$;Location=1;Extended Properties=&quot;&quot;" command="SELECT * FROM [1]"/>
  </connection>
  <connection id="2" xr16:uid="{00000000-0015-0000-FFFF-FFFF01000000}" keepAlive="1" name="Запрос — data" description="Соединение с запросом &quot;data&quot; в книге." type="5" refreshedVersion="6" background="1">
    <dbPr connection="Provider=Microsoft.Mashup.OleDb.1;Data Source=$Workbook$;Location=data;Extended Properties=&quot;&quot;" command="SELECT * FROM [data]"/>
  </connection>
  <connection id="3" xr16:uid="{00000000-0015-0000-FFFF-FFFF02000000}" keepAlive="1" name="Запрос — data (2)" description="Соединение с запросом &quot;data (2)&quot; в книге." type="5" refreshedVersion="6" background="1" saveData="1">
    <dbPr connection="Provider=Microsoft.Mashup.OleDb.1;Data Source=$Workbook$;Location=data (2);Extended Properties=&quot;&quot;" command="SELECT * FROM [data (2)]"/>
  </connection>
</connections>
</file>

<file path=xl/sharedStrings.xml><?xml version="1.0" encoding="utf-8"?>
<sst xmlns="http://schemas.openxmlformats.org/spreadsheetml/2006/main" count="1233" uniqueCount="391">
  <si>
    <t>Cov =</t>
  </si>
  <si>
    <t xml:space="preserve">σ(Y) = </t>
  </si>
  <si>
    <t xml:space="preserve">σ(X) = </t>
  </si>
  <si>
    <t>D(y) =</t>
  </si>
  <si>
    <t>D(x) =</t>
  </si>
  <si>
    <t>m i</t>
  </si>
  <si>
    <t>y i</t>
  </si>
  <si>
    <t>n i</t>
  </si>
  <si>
    <t>x i</t>
  </si>
  <si>
    <t>Эмпирическое распределение признаков</t>
  </si>
  <si>
    <t xml:space="preserve"> Y = 3</t>
  </si>
  <si>
    <t xml:space="preserve"> Y = 2</t>
  </si>
  <si>
    <t xml:space="preserve"> Y = 1</t>
  </si>
  <si>
    <t>X = 6</t>
  </si>
  <si>
    <t>X = 5</t>
  </si>
  <si>
    <t>X = 3</t>
  </si>
  <si>
    <t>X = 1</t>
  </si>
  <si>
    <t>Станд откл</t>
  </si>
  <si>
    <t>Выборка</t>
  </si>
  <si>
    <t>средн колво</t>
  </si>
  <si>
    <t>довер инт</t>
  </si>
  <si>
    <t>z</t>
  </si>
  <si>
    <t>лев гр</t>
  </si>
  <si>
    <t>прав гр</t>
  </si>
  <si>
    <t xml:space="preserve"> </t>
  </si>
  <si>
    <t>X=</t>
  </si>
  <si>
    <t>s^2</t>
  </si>
  <si>
    <t>s=</t>
  </si>
  <si>
    <t>g =</t>
  </si>
  <si>
    <t>n=</t>
  </si>
  <si>
    <t>a=</t>
  </si>
  <si>
    <t>k=</t>
  </si>
  <si>
    <t>t=</t>
  </si>
  <si>
    <t>Δ</t>
  </si>
  <si>
    <t>Ответ:</t>
  </si>
  <si>
    <t>&lt;X&lt;</t>
  </si>
  <si>
    <t>Ошибка оц.:</t>
  </si>
  <si>
    <t>Ширина:</t>
  </si>
  <si>
    <t>&lt;</t>
  </si>
  <si>
    <t>Вариационный ряд:</t>
  </si>
  <si>
    <t>среденее</t>
  </si>
  <si>
    <t>выборка</t>
  </si>
  <si>
    <t>S</t>
  </si>
  <si>
    <t>нижняя граница</t>
  </si>
  <si>
    <t>верхняя граница</t>
  </si>
  <si>
    <t>корень(n)</t>
  </si>
  <si>
    <t>надежность</t>
  </si>
  <si>
    <t>t значение</t>
  </si>
  <si>
    <t>n</t>
  </si>
  <si>
    <t>S^2</t>
  </si>
  <si>
    <t>y</t>
  </si>
  <si>
    <t>(1+y)/2</t>
  </si>
  <si>
    <t>X^2(1-y)/2</t>
  </si>
  <si>
    <t>X^2(1+y)/2</t>
  </si>
  <si>
    <t>z(1+y)/2</t>
  </si>
  <si>
    <t>корень из n</t>
  </si>
  <si>
    <t>станд. отклонение</t>
  </si>
  <si>
    <t>t(1+y)/2</t>
  </si>
  <si>
    <t>(1-y)/2</t>
  </si>
  <si>
    <t>t(y)</t>
  </si>
  <si>
    <t>центр</t>
  </si>
  <si>
    <t>x</t>
  </si>
  <si>
    <t>x^2(1+y)/y</t>
  </si>
  <si>
    <t>x^2(1-y)/y</t>
  </si>
  <si>
    <t>Левая граница</t>
  </si>
  <si>
    <t>Правая граница</t>
  </si>
  <si>
    <t>левая часть</t>
  </si>
  <si>
    <t>правая часть</t>
  </si>
  <si>
    <t>-356.6345</t>
  </si>
  <si>
    <t>-238.9</t>
  </si>
  <si>
    <t>-196.896</t>
  </si>
  <si>
    <t>-282.804</t>
  </si>
  <si>
    <t>-263.564</t>
  </si>
  <si>
    <t>NA</t>
  </si>
  <si>
    <t>-238.07</t>
  </si>
  <si>
    <t>-247.351</t>
  </si>
  <si>
    <t>-284.354</t>
  </si>
  <si>
    <t>-239.255</t>
  </si>
  <si>
    <t>-269.083</t>
  </si>
  <si>
    <t>8.33674999999974</t>
  </si>
  <si>
    <t>-252.467</t>
  </si>
  <si>
    <t>-175.3</t>
  </si>
  <si>
    <t>-221.515</t>
  </si>
  <si>
    <t>-253.267</t>
  </si>
  <si>
    <t>-239.924</t>
  </si>
  <si>
    <t>-260.723</t>
  </si>
  <si>
    <t>-212.507</t>
  </si>
  <si>
    <t>-241.799</t>
  </si>
  <si>
    <t>-27.3992500000002</t>
  </si>
  <si>
    <t>-284.732</t>
  </si>
  <si>
    <t>-254.628</t>
  </si>
  <si>
    <t>-205.276</t>
  </si>
  <si>
    <t>-296.156</t>
  </si>
  <si>
    <t>-194.819</t>
  </si>
  <si>
    <t>-254.656</t>
  </si>
  <si>
    <t>-231.073</t>
  </si>
  <si>
    <t>-211.505</t>
  </si>
  <si>
    <t>-254.736</t>
  </si>
  <si>
    <t>-222.557</t>
  </si>
  <si>
    <t>-231.997</t>
  </si>
  <si>
    <t>-242.366</t>
  </si>
  <si>
    <t>-208.556</t>
  </si>
  <si>
    <t>-243.896</t>
  </si>
  <si>
    <t>-349.02325</t>
  </si>
  <si>
    <t>-256.612</t>
  </si>
  <si>
    <t>-205.886</t>
  </si>
  <si>
    <t>-247.308</t>
  </si>
  <si>
    <t>-291.819</t>
  </si>
  <si>
    <t>-310.852</t>
  </si>
  <si>
    <t>-216.312</t>
  </si>
  <si>
    <t>-294.06</t>
  </si>
  <si>
    <t>-244.323</t>
  </si>
  <si>
    <t>-210.425</t>
  </si>
  <si>
    <t>-297.044</t>
  </si>
  <si>
    <t>-210.498</t>
  </si>
  <si>
    <t>-230.895</t>
  </si>
  <si>
    <t>-284.114</t>
  </si>
  <si>
    <t>-266.616</t>
  </si>
  <si>
    <t>-267.998</t>
  </si>
  <si>
    <t>-175.732</t>
  </si>
  <si>
    <t>-234.209</t>
  </si>
  <si>
    <t>-243.918</t>
  </si>
  <si>
    <t>-225.867</t>
  </si>
  <si>
    <t>-256.133</t>
  </si>
  <si>
    <t>-270.905</t>
  </si>
  <si>
    <t>-252.554</t>
  </si>
  <si>
    <t>-259.975</t>
  </si>
  <si>
    <t>-248.922</t>
  </si>
  <si>
    <t>-230.666</t>
  </si>
  <si>
    <t>-213.163</t>
  </si>
  <si>
    <t>-251.765</t>
  </si>
  <si>
    <t>-250.009</t>
  </si>
  <si>
    <t>-269.349</t>
  </si>
  <si>
    <t>-184.831</t>
  </si>
  <si>
    <t>-225.816</t>
  </si>
  <si>
    <t>-180.909</t>
  </si>
  <si>
    <t>-295.094</t>
  </si>
  <si>
    <t>-230.144</t>
  </si>
  <si>
    <t>-250.548</t>
  </si>
  <si>
    <t>-268.273</t>
  </si>
  <si>
    <t>-221.032</t>
  </si>
  <si>
    <t>-190.912</t>
  </si>
  <si>
    <t>-235.405</t>
  </si>
  <si>
    <t>-248.426</t>
  </si>
  <si>
    <t>-257.74</t>
  </si>
  <si>
    <t>-215.04</t>
  </si>
  <si>
    <t>-278.891</t>
  </si>
  <si>
    <t>-251.732</t>
  </si>
  <si>
    <t>-214.228</t>
  </si>
  <si>
    <t>-244.703</t>
  </si>
  <si>
    <t>-302.429</t>
  </si>
  <si>
    <t>-242.419</t>
  </si>
  <si>
    <t>-244.543</t>
  </si>
  <si>
    <t>-217.378</t>
  </si>
  <si>
    <t>-231.795</t>
  </si>
  <si>
    <t>-245.22</t>
  </si>
  <si>
    <t>-265.767</t>
  </si>
  <si>
    <t>-244.943</t>
  </si>
  <si>
    <t>-257.938</t>
  </si>
  <si>
    <t>-281.275</t>
  </si>
  <si>
    <t>-262.71</t>
  </si>
  <si>
    <t>-240.387</t>
  </si>
  <si>
    <t>-286.255</t>
  </si>
  <si>
    <t>-244.255</t>
  </si>
  <si>
    <t>-214.656</t>
  </si>
  <si>
    <t>-297.046</t>
  </si>
  <si>
    <t>-242.766</t>
  </si>
  <si>
    <t>-213.664</t>
  </si>
  <si>
    <t>-200.974</t>
  </si>
  <si>
    <t>-219.584</t>
  </si>
  <si>
    <t>-239.511</t>
  </si>
  <si>
    <t>-228.223</t>
  </si>
  <si>
    <t>-249.86</t>
  </si>
  <si>
    <t>-212.109</t>
  </si>
  <si>
    <t>-244.351</t>
  </si>
  <si>
    <t>-209.764</t>
  </si>
  <si>
    <t>-226.435</t>
  </si>
  <si>
    <t>-260.741</t>
  </si>
  <si>
    <t>-244.856</t>
  </si>
  <si>
    <t>-235.376</t>
  </si>
  <si>
    <t>-244.858</t>
  </si>
  <si>
    <t>-222.321</t>
  </si>
  <si>
    <t>-276.532</t>
  </si>
  <si>
    <t>-269.364</t>
  </si>
  <si>
    <t>-244.961</t>
  </si>
  <si>
    <t>-384.75925</t>
  </si>
  <si>
    <t>-206.08</t>
  </si>
  <si>
    <t>-252.26</t>
  </si>
  <si>
    <t>-217.796</t>
  </si>
  <si>
    <t>-227.525</t>
  </si>
  <si>
    <t>-279.105</t>
  </si>
  <si>
    <t>-226.923</t>
  </si>
  <si>
    <t>-223.4</t>
  </si>
  <si>
    <t>-262.957</t>
  </si>
  <si>
    <t>-251.155</t>
  </si>
  <si>
    <t>-230.794</t>
  </si>
  <si>
    <t>-279.806</t>
  </si>
  <si>
    <t>-267.551</t>
  </si>
  <si>
    <t>-200.905</t>
  </si>
  <si>
    <t>-241.21</t>
  </si>
  <si>
    <t>-223.503</t>
  </si>
  <si>
    <t>-227.448</t>
  </si>
  <si>
    <t>-271.358</t>
  </si>
  <si>
    <t>-243.723</t>
  </si>
  <si>
    <t>-63.1352500000002</t>
  </si>
  <si>
    <t>-243.46</t>
  </si>
  <si>
    <t>-308.702</t>
  </si>
  <si>
    <t>-222.721</t>
  </si>
  <si>
    <t>-214.94</t>
  </si>
  <si>
    <t>-228.663</t>
  </si>
  <si>
    <t>-273.329</t>
  </si>
  <si>
    <t>-273.381</t>
  </si>
  <si>
    <t>-203.353</t>
  </si>
  <si>
    <t>-241.462</t>
  </si>
  <si>
    <t>-246.117</t>
  </si>
  <si>
    <t>-287.179</t>
  </si>
  <si>
    <t>-230.64</t>
  </si>
  <si>
    <t>-244.301</t>
  </si>
  <si>
    <t>-243.843</t>
  </si>
  <si>
    <t>-230.996</t>
  </si>
  <si>
    <t>-232.939</t>
  </si>
  <si>
    <t>-219.427</t>
  </si>
  <si>
    <t>-286.41</t>
  </si>
  <si>
    <t>-225.66</t>
  </si>
  <si>
    <t>-244.537</t>
  </si>
  <si>
    <t>-207.96</t>
  </si>
  <si>
    <t>-255.275</t>
  </si>
  <si>
    <t>-233.983</t>
  </si>
  <si>
    <t>-258.934</t>
  </si>
  <si>
    <t>-233.15</t>
  </si>
  <si>
    <t>-259.419</t>
  </si>
  <si>
    <t>-281.407</t>
  </si>
  <si>
    <t>-234.976</t>
  </si>
  <si>
    <t>-238.076</t>
  </si>
  <si>
    <t>-246.364</t>
  </si>
  <si>
    <t>-259.657</t>
  </si>
  <si>
    <t>-313.167</t>
  </si>
  <si>
    <t>-253.219</t>
  </si>
  <si>
    <t>-305.582</t>
  </si>
  <si>
    <t>-252.832</t>
  </si>
  <si>
    <t>-277.428</t>
  </si>
  <si>
    <t>-227.475</t>
  </si>
  <si>
    <t>-259.622</t>
  </si>
  <si>
    <t>-241.97</t>
  </si>
  <si>
    <t>-200.237</t>
  </si>
  <si>
    <t>-260.846</t>
  </si>
  <si>
    <t>-240.275</t>
  </si>
  <si>
    <t>-248.601</t>
  </si>
  <si>
    <t>-232.171</t>
  </si>
  <si>
    <t>-258.943</t>
  </si>
  <si>
    <t>-272.25</t>
  </si>
  <si>
    <t>-245.851</t>
  </si>
  <si>
    <t>-179.789</t>
  </si>
  <si>
    <t>-232.933</t>
  </si>
  <si>
    <t>-201.532</t>
  </si>
  <si>
    <t>-293.108</t>
  </si>
  <si>
    <t>-227.343</t>
  </si>
  <si>
    <t>-249.412</t>
  </si>
  <si>
    <t>-286.856</t>
  </si>
  <si>
    <t>-228.197</t>
  </si>
  <si>
    <t>-285.311</t>
  </si>
  <si>
    <t>-219.045</t>
  </si>
  <si>
    <t>-281.955</t>
  </si>
  <si>
    <t>-267.337</t>
  </si>
  <si>
    <t>-217.852</t>
  </si>
  <si>
    <t>-215.412</t>
  </si>
  <si>
    <t>-256.068</t>
  </si>
  <si>
    <t>-252.147</t>
  </si>
  <si>
    <t>-207.306</t>
  </si>
  <si>
    <t>-259.692</t>
  </si>
  <si>
    <t>-274.014</t>
  </si>
  <si>
    <t>-241.265</t>
  </si>
  <si>
    <t>-237.343</t>
  </si>
  <si>
    <t>-271.409</t>
  </si>
  <si>
    <t>-352.2965</t>
  </si>
  <si>
    <t>-234.991</t>
  </si>
  <si>
    <t>-204.274</t>
  </si>
  <si>
    <t>-236.49</t>
  </si>
  <si>
    <t>-196.246</t>
  </si>
  <si>
    <t>-240.38</t>
  </si>
  <si>
    <t>-222.025</t>
  </si>
  <si>
    <t>-255.042</t>
  </si>
  <si>
    <t>-183.411</t>
  </si>
  <si>
    <t>-246.569</t>
  </si>
  <si>
    <t>-237.431</t>
  </si>
  <si>
    <t>-281.74</t>
  </si>
  <si>
    <t>-294.039</t>
  </si>
  <si>
    <t>-253.144</t>
  </si>
  <si>
    <t>-298.184</t>
  </si>
  <si>
    <t>-224.263</t>
  </si>
  <si>
    <t>-248.402</t>
  </si>
  <si>
    <t>-281.44</t>
  </si>
  <si>
    <t>-257.762</t>
  </si>
  <si>
    <t>-239.675</t>
  </si>
  <si>
    <t>-209.093</t>
  </si>
  <si>
    <t>-242.132</t>
  </si>
  <si>
    <t>-184.132</t>
  </si>
  <si>
    <t>-204.006</t>
  </si>
  <si>
    <t>-223.842</t>
  </si>
  <si>
    <t>-187.567</t>
  </si>
  <si>
    <t>-249.384</t>
  </si>
  <si>
    <t>-185.93</t>
  </si>
  <si>
    <t>-238.022</t>
  </si>
  <si>
    <t>-284.811</t>
  </si>
  <si>
    <t>-249.639</t>
  </si>
  <si>
    <t>-273.466</t>
  </si>
  <si>
    <t>-241.147</t>
  </si>
  <si>
    <t>-352.1845</t>
  </si>
  <si>
    <t>-250.25</t>
  </si>
  <si>
    <t>-229.85</t>
  </si>
  <si>
    <t>-278.106</t>
  </si>
  <si>
    <t>-221.188</t>
  </si>
  <si>
    <t>-238.718</t>
  </si>
  <si>
    <t>-248.259</t>
  </si>
  <si>
    <t>-283.38</t>
  </si>
  <si>
    <t>-225.02</t>
  </si>
  <si>
    <t>-253.801</t>
  </si>
  <si>
    <t>-256.553</t>
  </si>
  <si>
    <t>-248.1</t>
  </si>
  <si>
    <t>-219.498</t>
  </si>
  <si>
    <t>-211.854</t>
  </si>
  <si>
    <t>-242.274</t>
  </si>
  <si>
    <t>-216.459</t>
  </si>
  <si>
    <t>-293.146</t>
  </si>
  <si>
    <t>-220.496</t>
  </si>
  <si>
    <t>-226.084</t>
  </si>
  <si>
    <t>-240.816</t>
  </si>
  <si>
    <t>-264.309</t>
  </si>
  <si>
    <t>-226.102</t>
  </si>
  <si>
    <t>-226.51</t>
  </si>
  <si>
    <t>-208.349</t>
  </si>
  <si>
    <t>-243.509</t>
  </si>
  <si>
    <t>-287.603</t>
  </si>
  <si>
    <t>квартили</t>
  </si>
  <si>
    <t>Межквартильное</t>
  </si>
  <si>
    <t>Граница нижняя</t>
  </si>
  <si>
    <t>Граница верхняя</t>
  </si>
  <si>
    <t>выб снизу</t>
  </si>
  <si>
    <t>выб сверху</t>
  </si>
  <si>
    <t>эксцесс</t>
  </si>
  <si>
    <t>коэфф ассим</t>
  </si>
  <si>
    <t>станд откл</t>
  </si>
  <si>
    <t>несм дисп</t>
  </si>
  <si>
    <t>σ</t>
  </si>
  <si>
    <t>µ0</t>
  </si>
  <si>
    <t>µ1</t>
  </si>
  <si>
    <t>Z</t>
  </si>
  <si>
    <t>тест односторонний правый</t>
  </si>
  <si>
    <t>альфа</t>
  </si>
  <si>
    <t>z-критерий  справа</t>
  </si>
  <si>
    <t>крит</t>
  </si>
  <si>
    <t>стат</t>
  </si>
  <si>
    <t>тест двухсторонний</t>
  </si>
  <si>
    <t>Нулевая гепотеза не верна</t>
  </si>
  <si>
    <t>&gt;</t>
  </si>
  <si>
    <t>z-критерий</t>
  </si>
  <si>
    <t>X_</t>
  </si>
  <si>
    <t>тест односторонний</t>
  </si>
  <si>
    <t>тест двустороний</t>
  </si>
  <si>
    <t>z-критерий правый</t>
  </si>
  <si>
    <t>z-критерий слева</t>
  </si>
  <si>
    <t>t</t>
  </si>
  <si>
    <t>t-критерий</t>
  </si>
  <si>
    <t>Нулевая гепотеза верна</t>
  </si>
  <si>
    <t>Нулевая гепотеза не верна, разница не случайна</t>
  </si>
  <si>
    <t>Нулевая гепотеза верна, разница случайна</t>
  </si>
  <si>
    <t>σ0^2</t>
  </si>
  <si>
    <t>X^2</t>
  </si>
  <si>
    <t>µ</t>
  </si>
  <si>
    <t>σ^2</t>
  </si>
  <si>
    <t>Xнабл</t>
  </si>
  <si>
    <t>Xкрит</t>
  </si>
  <si>
    <t>Гипотеза принимается</t>
  </si>
  <si>
    <t>Гипотеза принимается, согласится</t>
  </si>
  <si>
    <t>XкритВ</t>
  </si>
  <si>
    <t>XкритН</t>
  </si>
  <si>
    <t>Гипотеза не принимается</t>
  </si>
  <si>
    <t>Гипотеза не принимается, партия не принимается</t>
  </si>
  <si>
    <t>К. разм</t>
  </si>
  <si>
    <t>Частота</t>
  </si>
  <si>
    <t>Хср</t>
  </si>
  <si>
    <t>Гипотеза не принимается, не обеспечивает</t>
  </si>
  <si>
    <t>m</t>
  </si>
  <si>
    <t>X1^2</t>
  </si>
  <si>
    <t>X2^2</t>
  </si>
  <si>
    <t>Fнабл</t>
  </si>
  <si>
    <t>Fкрит</t>
  </si>
  <si>
    <t>P-знач</t>
  </si>
  <si>
    <t>Гипотеза не отвергается</t>
  </si>
  <si>
    <t>S1^2</t>
  </si>
  <si>
    <t>S2^2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</si>
</sst>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5" fillId="3" borderId="1" xfId="0" applyFont="1" applyFill="1" applyBorder="1" applyAlignment="1">
      <alignment horizontal="center"/>
    </xf>
    <xf numFmtId="0" fontId="5" fillId="0" borderId="0" xfId="0" applyFont="1" applyAlignment="1"/>
    <xf numFmtId="0" fontId="0" fillId="0" borderId="1" xfId="0" applyNumberForma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3" fillId="0" borderId="5" xfId="0" applyFont="1" applyFill="1" applyBorder="1"/>
    <xf numFmtId="0" fontId="0" fillId="0" borderId="6" xfId="0" applyBorder="1"/>
    <xf numFmtId="0" fontId="7" fillId="0" borderId="1" xfId="0" applyFont="1" applyBorder="1"/>
    <xf numFmtId="0" fontId="7" fillId="0" borderId="4" xfId="0" applyFont="1" applyBorder="1"/>
    <xf numFmtId="0" fontId="0" fillId="3" borderId="3" xfId="0" applyFill="1" applyBorder="1"/>
    <xf numFmtId="0" fontId="0" fillId="3" borderId="1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5" fillId="0" borderId="1" xfId="0" applyFont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E435D960-76E1-44B6-A3A2-3A4D7821F62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A4C964B-84B3-41E1-ADCB-AE2D89F5F5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13</xdr:row>
      <xdr:rowOff>14287</xdr:rowOff>
    </xdr:from>
    <xdr:ext cx="286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15</xdr:row>
      <xdr:rowOff>14287</xdr:rowOff>
    </xdr:from>
    <xdr:ext cx="288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:a14="http://schemas.microsoft.com/office/drawing/2010/main" xmlns="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8</xdr:row>
      <xdr:rowOff>4762</xdr:rowOff>
    </xdr:from>
    <xdr:to>
      <xdr:col>29</xdr:col>
      <xdr:colOff>304800</xdr:colOff>
      <xdr:row>22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55C3B90B-A3AF-46CB-B558-65989E35AB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1528762"/>
              <a:ext cx="4438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24</xdr:row>
      <xdr:rowOff>0</xdr:rowOff>
    </xdr:from>
    <xdr:to>
      <xdr:col>32</xdr:col>
      <xdr:colOff>28758</xdr:colOff>
      <xdr:row>45</xdr:row>
      <xdr:rowOff>177759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A5B651C9-FA06-4B45-86CA-E40924758F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4572000"/>
              <a:ext cx="5934258" cy="4178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defaultColWidth="8.85546875" defaultRowHeight="15" x14ac:dyDescent="0.25"/>
  <sheetData>
    <row r="1" spans="1:1" x14ac:dyDescent="0.25">
      <c r="A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"/>
  <sheetViews>
    <sheetView workbookViewId="0">
      <selection activeCell="B39" sqref="B39"/>
    </sheetView>
  </sheetViews>
  <sheetFormatPr defaultColWidth="8.85546875" defaultRowHeight="15" x14ac:dyDescent="0.25"/>
  <cols>
    <col min="1" max="1" width="17.7109375" customWidth="1"/>
  </cols>
  <sheetData>
    <row r="1" spans="1:16" x14ac:dyDescent="0.25">
      <c r="A1" t="s">
        <v>57</v>
      </c>
      <c r="B1">
        <f>_xlfn.T.INV((1+0.95)/2, B3-1)</f>
        <v>2.2621571627982049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t="s">
        <v>40</v>
      </c>
      <c r="B2" s="37">
        <f>SUM(125, 78, 102, 140, 90, 45, 50, 125, 115, 112)/B3</f>
        <v>98.2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x14ac:dyDescent="0.25">
      <c r="A3" t="s">
        <v>41</v>
      </c>
      <c r="B3">
        <v>10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x14ac:dyDescent="0.25">
      <c r="A4" t="s">
        <v>42</v>
      </c>
      <c r="B4">
        <v>10.1709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25"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25">
      <c r="A6" t="s">
        <v>55</v>
      </c>
      <c r="B6">
        <f>SQRT(B3)</f>
        <v>3.1622776601683795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x14ac:dyDescent="0.25">
      <c r="A7" t="s">
        <v>43</v>
      </c>
      <c r="B7">
        <f>B2-((B1*B4)/B6)</f>
        <v>90.924176445062969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x14ac:dyDescent="0.25">
      <c r="A8" t="s">
        <v>44</v>
      </c>
      <c r="B8">
        <f>B2+((B1*B4)/B6)</f>
        <v>105.47582355493704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4"/>
  <sheetViews>
    <sheetView workbookViewId="0">
      <selection activeCell="B3" sqref="B3"/>
    </sheetView>
  </sheetViews>
  <sheetFormatPr defaultColWidth="8.85546875" defaultRowHeight="15" x14ac:dyDescent="0.25"/>
  <cols>
    <col min="3" max="3" width="12" bestFit="1" customWidth="1"/>
  </cols>
  <sheetData>
    <row r="1" spans="1:10" ht="20.25" x14ac:dyDescent="0.3">
      <c r="A1" s="3" t="s">
        <v>25</v>
      </c>
      <c r="B1" s="4">
        <f>(313+320+319+340+325+310+321+329+317+311+307+318)/12</f>
        <v>319.16666666666669</v>
      </c>
      <c r="C1" s="5"/>
      <c r="E1" s="3" t="s">
        <v>25</v>
      </c>
      <c r="F1" s="4">
        <f>(313+320+319+340+325+310+321+329+317+311+307+318)/12</f>
        <v>319.16666666666669</v>
      </c>
      <c r="G1" s="6"/>
    </row>
    <row r="2" spans="1:10" ht="20.25" x14ac:dyDescent="0.3">
      <c r="A2" s="3" t="s">
        <v>26</v>
      </c>
      <c r="B2" s="4">
        <f>_xlfn.VAR.S(313,320,319,340,325,310,321,329,317,311,307,318)</f>
        <v>82.87878787878789</v>
      </c>
      <c r="C2" s="5"/>
      <c r="E2" s="3" t="s">
        <v>26</v>
      </c>
      <c r="F2" s="4">
        <f>_xlfn.VAR.S(313,320,319,340,325,310,321,329,317,311,307,318)</f>
        <v>82.87878787878789</v>
      </c>
      <c r="G2" s="6"/>
    </row>
    <row r="3" spans="1:10" ht="20.25" x14ac:dyDescent="0.3">
      <c r="A3" s="3" t="s">
        <v>27</v>
      </c>
      <c r="B3" s="4">
        <f>SQRT(B2)</f>
        <v>9.1037787692137986</v>
      </c>
      <c r="C3" s="5"/>
      <c r="E3" s="3" t="s">
        <v>27</v>
      </c>
      <c r="F3" s="4">
        <f>SQRT(F2)</f>
        <v>9.1037787692137986</v>
      </c>
      <c r="G3" s="6"/>
    </row>
    <row r="4" spans="1:10" ht="20.25" x14ac:dyDescent="0.3">
      <c r="A4" s="4" t="s">
        <v>28</v>
      </c>
      <c r="B4" s="7">
        <v>0.9</v>
      </c>
      <c r="C4" s="5"/>
      <c r="E4" s="4" t="s">
        <v>28</v>
      </c>
      <c r="F4" s="7">
        <v>0.99</v>
      </c>
      <c r="G4" s="6"/>
    </row>
    <row r="5" spans="1:10" ht="20.25" x14ac:dyDescent="0.3">
      <c r="A5" s="3" t="s">
        <v>29</v>
      </c>
      <c r="B5" s="4">
        <v>12</v>
      </c>
      <c r="C5" s="5"/>
      <c r="E5" s="3" t="s">
        <v>29</v>
      </c>
      <c r="F5" s="4">
        <v>12</v>
      </c>
      <c r="G5" s="6"/>
    </row>
    <row r="6" spans="1:10" ht="20.25" x14ac:dyDescent="0.3">
      <c r="A6" s="4"/>
      <c r="B6" s="4"/>
      <c r="C6" s="5"/>
      <c r="E6" s="4"/>
      <c r="F6" s="4"/>
      <c r="G6" s="6"/>
    </row>
    <row r="7" spans="1:10" ht="20.25" x14ac:dyDescent="0.3">
      <c r="A7" s="3" t="s">
        <v>30</v>
      </c>
      <c r="B7" s="4">
        <f>1-B4</f>
        <v>9.9999999999999978E-2</v>
      </c>
      <c r="C7" s="5"/>
      <c r="E7" s="3" t="s">
        <v>30</v>
      </c>
      <c r="F7" s="4">
        <f>1-F4</f>
        <v>1.0000000000000009E-2</v>
      </c>
      <c r="G7" s="6"/>
    </row>
    <row r="8" spans="1:10" ht="20.25" x14ac:dyDescent="0.3">
      <c r="A8" s="3" t="s">
        <v>31</v>
      </c>
      <c r="B8" s="4">
        <f>B5-1</f>
        <v>11</v>
      </c>
      <c r="C8" s="5"/>
      <c r="E8" s="3" t="s">
        <v>31</v>
      </c>
      <c r="F8" s="4">
        <f>F5-1</f>
        <v>11</v>
      </c>
      <c r="G8" s="6"/>
    </row>
    <row r="9" spans="1:10" ht="20.25" x14ac:dyDescent="0.3">
      <c r="A9" s="3" t="s">
        <v>32</v>
      </c>
      <c r="B9" s="4">
        <f>_xlfn.T.INV((1+B4)/2, B5-1)</f>
        <v>1.795884818704043</v>
      </c>
      <c r="C9" s="6"/>
      <c r="E9" s="3" t="s">
        <v>32</v>
      </c>
      <c r="F9" s="4">
        <f>_xlfn.T.INV((1+F4)/2, F5-1)</f>
        <v>3.10580651553928</v>
      </c>
      <c r="G9" s="6"/>
    </row>
    <row r="10" spans="1:10" ht="20.25" x14ac:dyDescent="0.3">
      <c r="A10" s="8" t="s">
        <v>33</v>
      </c>
      <c r="B10" s="9">
        <f>B9*(B3/SQRT(B5))</f>
        <v>4.7196473720708356</v>
      </c>
      <c r="C10" s="6"/>
      <c r="E10" s="8" t="s">
        <v>33</v>
      </c>
      <c r="F10" s="9">
        <f>F9*(F3/SQRT(F5))</f>
        <v>8.162166864244254</v>
      </c>
      <c r="G10" s="6"/>
    </row>
    <row r="11" spans="1:10" ht="20.25" x14ac:dyDescent="0.3">
      <c r="A11" s="10" t="s">
        <v>34</v>
      </c>
      <c r="B11" s="4"/>
      <c r="C11" s="4"/>
      <c r="E11" s="10" t="s">
        <v>34</v>
      </c>
      <c r="F11" s="4"/>
      <c r="G11" s="4"/>
    </row>
    <row r="12" spans="1:10" ht="20.25" x14ac:dyDescent="0.3">
      <c r="A12" s="4">
        <f>B1-B10</f>
        <v>314.44701929459586</v>
      </c>
      <c r="B12" s="11" t="s">
        <v>35</v>
      </c>
      <c r="C12" s="4">
        <f>B1+B10</f>
        <v>323.88631403873751</v>
      </c>
      <c r="E12" s="4">
        <f>F1-F10</f>
        <v>311.00449980242246</v>
      </c>
      <c r="F12" s="11" t="s">
        <v>35</v>
      </c>
      <c r="G12" s="4">
        <f>F1+F10</f>
        <v>327.32883353091091</v>
      </c>
    </row>
    <row r="13" spans="1:10" ht="21" customHeight="1" x14ac:dyDescent="0.3">
      <c r="A13" s="42" t="s">
        <v>36</v>
      </c>
      <c r="B13" s="42"/>
      <c r="C13" s="12">
        <f>_xlfn.STDEV.S(313,320,319,340,325,310,321,329,317,311,307,318)</f>
        <v>9.1037787692137986</v>
      </c>
      <c r="D13" s="13"/>
      <c r="E13" s="42" t="s">
        <v>36</v>
      </c>
      <c r="F13" s="42"/>
      <c r="G13" s="12">
        <f>(G12-E12)/2</f>
        <v>8.1621668642442273</v>
      </c>
    </row>
    <row r="14" spans="1:10" ht="20.25" x14ac:dyDescent="0.3">
      <c r="A14" s="42" t="s">
        <v>37</v>
      </c>
      <c r="B14" s="42"/>
      <c r="C14" s="12">
        <f>(C12-A12)/2</f>
        <v>4.7196473720708241</v>
      </c>
      <c r="D14" s="14" t="s">
        <v>38</v>
      </c>
      <c r="E14" s="42" t="s">
        <v>37</v>
      </c>
      <c r="F14" s="42"/>
      <c r="G14" s="12">
        <f>(G12-E12)/2</f>
        <v>8.1621668642442273</v>
      </c>
      <c r="I14" s="15"/>
      <c r="J14" s="15"/>
    </row>
  </sheetData>
  <mergeCells count="4">
    <mergeCell ref="A13:B13"/>
    <mergeCell ref="E13:F13"/>
    <mergeCell ref="A14:B14"/>
    <mergeCell ref="E14:F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>
      <selection activeCell="B3" sqref="B3"/>
    </sheetView>
  </sheetViews>
  <sheetFormatPr defaultColWidth="8.85546875" defaultRowHeight="15" x14ac:dyDescent="0.25"/>
  <cols>
    <col min="1" max="1" width="17.7109375" customWidth="1"/>
    <col min="5" max="5" width="17.7109375" customWidth="1"/>
  </cols>
  <sheetData>
    <row r="1" spans="1:7" ht="20.25" x14ac:dyDescent="0.3">
      <c r="A1" s="2" t="s">
        <v>46</v>
      </c>
      <c r="B1" s="32">
        <v>0.95</v>
      </c>
      <c r="C1" s="28"/>
      <c r="D1" s="29"/>
      <c r="E1" s="27" t="s">
        <v>46</v>
      </c>
      <c r="F1" s="33">
        <v>0.99</v>
      </c>
      <c r="G1" s="6"/>
    </row>
    <row r="2" spans="1:7" ht="20.25" x14ac:dyDescent="0.3">
      <c r="A2" s="2" t="s">
        <v>47</v>
      </c>
      <c r="B2" s="25">
        <f>_xlfn.T.INV((1+B1)/2, B4-1)</f>
        <v>2.1447866879178035</v>
      </c>
      <c r="C2" s="28"/>
      <c r="D2" s="29"/>
      <c r="E2" s="27" t="s">
        <v>47</v>
      </c>
      <c r="F2" s="2">
        <f>_xlfn.T.INV((1+F1)/2, F4-1)</f>
        <v>2.9768427343708344</v>
      </c>
      <c r="G2" s="6"/>
    </row>
    <row r="3" spans="1:7" ht="20.25" x14ac:dyDescent="0.3">
      <c r="A3" s="2" t="s">
        <v>40</v>
      </c>
      <c r="B3" s="26">
        <v>10.37</v>
      </c>
      <c r="C3" s="28"/>
      <c r="D3" s="29"/>
      <c r="E3" s="27" t="s">
        <v>40</v>
      </c>
      <c r="F3" s="16">
        <v>10.37</v>
      </c>
      <c r="G3" s="6"/>
    </row>
    <row r="4" spans="1:7" ht="20.25" x14ac:dyDescent="0.3">
      <c r="A4" s="2" t="s">
        <v>41</v>
      </c>
      <c r="B4" s="25">
        <v>15</v>
      </c>
      <c r="C4" s="28"/>
      <c r="D4" s="29"/>
      <c r="E4" s="27" t="s">
        <v>41</v>
      </c>
      <c r="F4" s="2">
        <v>15</v>
      </c>
      <c r="G4" s="6"/>
    </row>
    <row r="5" spans="1:7" ht="20.25" x14ac:dyDescent="0.3">
      <c r="A5" s="2" t="s">
        <v>42</v>
      </c>
      <c r="B5" s="25">
        <v>3.5</v>
      </c>
      <c r="C5" s="28"/>
      <c r="D5" s="29"/>
      <c r="E5" s="27" t="s">
        <v>42</v>
      </c>
      <c r="F5" s="2">
        <v>3.5</v>
      </c>
      <c r="G5" s="6"/>
    </row>
    <row r="6" spans="1:7" ht="20.25" x14ac:dyDescent="0.3">
      <c r="A6" s="2" t="s">
        <v>45</v>
      </c>
      <c r="B6" s="25">
        <f>SQRT(B4)</f>
        <v>3.872983346207417</v>
      </c>
      <c r="C6" s="28"/>
      <c r="D6" s="29"/>
      <c r="E6" s="27" t="s">
        <v>45</v>
      </c>
      <c r="F6" s="2">
        <f>SQRT(F4)</f>
        <v>3.872983346207417</v>
      </c>
      <c r="G6" s="6"/>
    </row>
    <row r="7" spans="1:7" ht="20.25" x14ac:dyDescent="0.3">
      <c r="A7" s="2"/>
      <c r="B7" s="25"/>
      <c r="C7" s="28"/>
      <c r="D7" s="29"/>
      <c r="E7" s="27"/>
      <c r="F7" s="2"/>
      <c r="G7" s="6"/>
    </row>
    <row r="8" spans="1:7" ht="20.25" x14ac:dyDescent="0.3">
      <c r="A8" s="30" t="s">
        <v>43</v>
      </c>
      <c r="B8" s="25">
        <f>B3-((B2*B5)/B6)</f>
        <v>8.4317646045229626</v>
      </c>
      <c r="C8" s="28"/>
      <c r="D8" s="29"/>
      <c r="E8" s="31" t="s">
        <v>43</v>
      </c>
      <c r="F8" s="2">
        <f>F3-((F2*F5)/F6)</f>
        <v>7.6798387886174151</v>
      </c>
      <c r="G8" s="6"/>
    </row>
    <row r="9" spans="1:7" ht="20.25" x14ac:dyDescent="0.3">
      <c r="A9" s="30" t="s">
        <v>44</v>
      </c>
      <c r="B9" s="2">
        <f>B3+((B2*B5)/B6)</f>
        <v>12.308235395477036</v>
      </c>
      <c r="C9" s="28"/>
      <c r="D9" s="29"/>
      <c r="E9" s="30" t="s">
        <v>44</v>
      </c>
      <c r="F9" s="2">
        <f>F3+((F2*F5)/F6)</f>
        <v>13.060161211382583</v>
      </c>
      <c r="G9" s="6"/>
    </row>
    <row r="10" spans="1:7" ht="14.1" customHeight="1" x14ac:dyDescent="0.3">
      <c r="A10" s="17"/>
      <c r="B10" s="18"/>
      <c r="C10" s="18"/>
      <c r="D10" s="19"/>
      <c r="E10" s="17"/>
      <c r="F10" s="18"/>
      <c r="G10" s="18"/>
    </row>
    <row r="11" spans="1:7" ht="14.45" customHeight="1" x14ac:dyDescent="0.3">
      <c r="A11" s="20"/>
      <c r="B11" s="18"/>
      <c r="C11" s="18"/>
      <c r="D11" s="19"/>
      <c r="E11" s="20"/>
      <c r="F11" s="18"/>
      <c r="G11" s="18"/>
    </row>
    <row r="12" spans="1:7" ht="14.45" customHeight="1" x14ac:dyDescent="0.3">
      <c r="A12" s="18"/>
      <c r="B12" s="21"/>
      <c r="C12" s="18"/>
      <c r="D12" s="19"/>
      <c r="E12" s="18"/>
      <c r="F12" s="21"/>
      <c r="G12" s="18"/>
    </row>
    <row r="13" spans="1:7" ht="14.45" customHeight="1" x14ac:dyDescent="0.3">
      <c r="A13" s="24"/>
      <c r="B13" s="24"/>
      <c r="C13" s="22"/>
      <c r="D13" s="22"/>
      <c r="E13" s="24"/>
      <c r="F13" s="24"/>
      <c r="G13" s="22"/>
    </row>
    <row r="14" spans="1:7" ht="14.45" customHeight="1" x14ac:dyDescent="0.3">
      <c r="A14" s="24"/>
      <c r="B14" s="24"/>
      <c r="C14" s="22"/>
      <c r="D14" s="23"/>
      <c r="E14" s="24"/>
      <c r="F14" s="24"/>
      <c r="G14" s="2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12"/>
  <sheetViews>
    <sheetView workbookViewId="0">
      <selection activeCell="D21" sqref="D21"/>
    </sheetView>
  </sheetViews>
  <sheetFormatPr defaultColWidth="8.85546875" defaultRowHeight="15" x14ac:dyDescent="0.25"/>
  <cols>
    <col min="1" max="1" width="17.7109375" customWidth="1"/>
  </cols>
  <sheetData>
    <row r="2" spans="1:2" x14ac:dyDescent="0.25">
      <c r="A2" t="s">
        <v>48</v>
      </c>
      <c r="B2">
        <v>30</v>
      </c>
    </row>
    <row r="3" spans="1:2" x14ac:dyDescent="0.25">
      <c r="A3" t="s">
        <v>49</v>
      </c>
      <c r="B3">
        <v>18.54</v>
      </c>
    </row>
    <row r="4" spans="1:2" x14ac:dyDescent="0.25">
      <c r="A4" t="s">
        <v>50</v>
      </c>
      <c r="B4">
        <v>0.95</v>
      </c>
    </row>
    <row r="5" spans="1:2" x14ac:dyDescent="0.25">
      <c r="A5" t="s">
        <v>51</v>
      </c>
      <c r="B5">
        <f>(1+B4)/2</f>
        <v>0.97499999999999998</v>
      </c>
    </row>
    <row r="6" spans="1:2" x14ac:dyDescent="0.25">
      <c r="A6" t="s">
        <v>58</v>
      </c>
      <c r="B6">
        <f>(1-B4)/2</f>
        <v>2.5000000000000022E-2</v>
      </c>
    </row>
    <row r="8" spans="1:2" x14ac:dyDescent="0.25">
      <c r="A8" t="s">
        <v>52</v>
      </c>
      <c r="B8">
        <f>_xlfn.CHISQ.INV(B6,B2)</f>
        <v>16.79077226556663</v>
      </c>
    </row>
    <row r="9" spans="1:2" x14ac:dyDescent="0.25">
      <c r="A9" t="s">
        <v>53</v>
      </c>
      <c r="B9">
        <f>_xlfn.CHISQ.INV(B5,B2)</f>
        <v>46.979242243671159</v>
      </c>
    </row>
    <row r="11" spans="1:2" x14ac:dyDescent="0.25">
      <c r="A11" t="s">
        <v>22</v>
      </c>
      <c r="B11">
        <f>B2*B3/B9</f>
        <v>11.83927141938797</v>
      </c>
    </row>
    <row r="12" spans="1:2" x14ac:dyDescent="0.25">
      <c r="A12" t="s">
        <v>23</v>
      </c>
      <c r="B12">
        <f>B2*B3/B8</f>
        <v>33.125337608241935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1"/>
  <sheetViews>
    <sheetView workbookViewId="0">
      <selection activeCell="A6" sqref="A6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48</v>
      </c>
      <c r="B1">
        <v>28</v>
      </c>
    </row>
    <row r="2" spans="1:2" x14ac:dyDescent="0.25">
      <c r="A2" t="s">
        <v>49</v>
      </c>
      <c r="B2">
        <v>16.34</v>
      </c>
    </row>
    <row r="3" spans="1:2" x14ac:dyDescent="0.25">
      <c r="A3" t="s">
        <v>50</v>
      </c>
      <c r="B3">
        <v>0.98</v>
      </c>
    </row>
    <row r="4" spans="1:2" x14ac:dyDescent="0.25">
      <c r="A4" t="s">
        <v>51</v>
      </c>
      <c r="B4">
        <f>(1+B3)/2</f>
        <v>0.99</v>
      </c>
    </row>
    <row r="5" spans="1:2" x14ac:dyDescent="0.25">
      <c r="A5" t="s">
        <v>58</v>
      </c>
      <c r="B5">
        <f>(1-B3)/2</f>
        <v>1.0000000000000009E-2</v>
      </c>
    </row>
    <row r="7" spans="1:2" x14ac:dyDescent="0.25">
      <c r="A7" t="s">
        <v>52</v>
      </c>
      <c r="B7">
        <f>_xlfn.CHISQ.INV(B5,B1)</f>
        <v>13.564709754618816</v>
      </c>
    </row>
    <row r="8" spans="1:2" x14ac:dyDescent="0.25">
      <c r="A8" t="s">
        <v>53</v>
      </c>
      <c r="B8">
        <f>_xlfn.CHISQ.INV(B4,B1)</f>
        <v>48.278235770315511</v>
      </c>
    </row>
    <row r="10" spans="1:2" x14ac:dyDescent="0.25">
      <c r="A10" t="s">
        <v>22</v>
      </c>
      <c r="B10">
        <f>B1*B2/B8</f>
        <v>9.4767340334609322</v>
      </c>
    </row>
    <row r="11" spans="1:2" x14ac:dyDescent="0.25">
      <c r="A11" t="s">
        <v>23</v>
      </c>
      <c r="B11">
        <f>B1*B2/B7</f>
        <v>33.72869809058858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"/>
  <sheetViews>
    <sheetView workbookViewId="0">
      <selection activeCell="B4" sqref="B4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34"/>
      <c r="B1" s="35"/>
    </row>
    <row r="2" spans="1:2" x14ac:dyDescent="0.25">
      <c r="A2" s="2" t="s">
        <v>48</v>
      </c>
      <c r="B2" s="2">
        <v>60</v>
      </c>
    </row>
    <row r="3" spans="1:2" x14ac:dyDescent="0.25">
      <c r="A3" s="2" t="s">
        <v>49</v>
      </c>
      <c r="B3" s="2">
        <v>21.34</v>
      </c>
    </row>
    <row r="4" spans="1:2" x14ac:dyDescent="0.25">
      <c r="A4" s="2" t="s">
        <v>50</v>
      </c>
      <c r="B4" s="2">
        <v>0.95</v>
      </c>
    </row>
    <row r="5" spans="1:2" x14ac:dyDescent="0.25">
      <c r="A5" s="2" t="s">
        <v>51</v>
      </c>
      <c r="B5" s="2">
        <f>(1+B4)/2</f>
        <v>0.97499999999999998</v>
      </c>
    </row>
    <row r="6" spans="1:2" x14ac:dyDescent="0.25">
      <c r="A6" s="2" t="s">
        <v>58</v>
      </c>
      <c r="B6" s="2">
        <f>(1-B4)/2</f>
        <v>2.5000000000000022E-2</v>
      </c>
    </row>
    <row r="7" spans="1:2" x14ac:dyDescent="0.25">
      <c r="A7" s="36"/>
      <c r="B7" s="29"/>
    </row>
    <row r="8" spans="1:2" x14ac:dyDescent="0.25">
      <c r="A8" s="2" t="s">
        <v>52</v>
      </c>
      <c r="B8" s="2">
        <f>_xlfn.CHISQ.INV(B6,B2)</f>
        <v>40.481748042841829</v>
      </c>
    </row>
    <row r="9" spans="1:2" x14ac:dyDescent="0.25">
      <c r="A9" s="2" t="s">
        <v>53</v>
      </c>
      <c r="B9" s="2">
        <f>_xlfn.CHISQ.INV(B5,B2)</f>
        <v>83.297674877173193</v>
      </c>
    </row>
    <row r="10" spans="1:2" x14ac:dyDescent="0.25">
      <c r="A10" s="36"/>
      <c r="B10" s="29"/>
    </row>
    <row r="11" spans="1:2" x14ac:dyDescent="0.25">
      <c r="A11" s="30" t="s">
        <v>22</v>
      </c>
      <c r="B11" s="2">
        <f>B2*B3/B9</f>
        <v>15.371377435060669</v>
      </c>
    </row>
    <row r="12" spans="1:2" x14ac:dyDescent="0.25">
      <c r="A12" s="30" t="s">
        <v>23</v>
      </c>
      <c r="B12" s="2">
        <f>B2*B3/B8</f>
        <v>31.629068948429619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1"/>
  <sheetViews>
    <sheetView workbookViewId="0">
      <selection activeCell="E39" sqref="E39"/>
    </sheetView>
  </sheetViews>
  <sheetFormatPr defaultColWidth="8.85546875" defaultRowHeight="15" x14ac:dyDescent="0.25"/>
  <cols>
    <col min="1" max="1" width="17.7109375" customWidth="1"/>
    <col min="4" max="4" width="17.7109375" customWidth="1"/>
  </cols>
  <sheetData>
    <row r="1" spans="1:5" x14ac:dyDescent="0.25">
      <c r="A1" s="2" t="s">
        <v>48</v>
      </c>
      <c r="B1" s="2">
        <v>50</v>
      </c>
      <c r="D1" s="2" t="s">
        <v>48</v>
      </c>
      <c r="E1" s="2">
        <v>50</v>
      </c>
    </row>
    <row r="2" spans="1:5" x14ac:dyDescent="0.25">
      <c r="A2" s="2" t="s">
        <v>49</v>
      </c>
      <c r="B2" s="2">
        <v>68.7</v>
      </c>
      <c r="D2" s="2" t="s">
        <v>49</v>
      </c>
      <c r="E2" s="2">
        <v>68.7</v>
      </c>
    </row>
    <row r="3" spans="1:5" x14ac:dyDescent="0.25">
      <c r="A3" s="2" t="s">
        <v>50</v>
      </c>
      <c r="B3" s="33">
        <v>0.98</v>
      </c>
      <c r="D3" s="2" t="s">
        <v>50</v>
      </c>
      <c r="E3" s="33">
        <v>0.95</v>
      </c>
    </row>
    <row r="4" spans="1:5" x14ac:dyDescent="0.25">
      <c r="A4" s="2" t="s">
        <v>51</v>
      </c>
      <c r="B4" s="2">
        <f>(1+B3)/2</f>
        <v>0.99</v>
      </c>
      <c r="D4" s="2" t="s">
        <v>51</v>
      </c>
      <c r="E4" s="2">
        <f>(1+E3)/2</f>
        <v>0.97499999999999998</v>
      </c>
    </row>
    <row r="5" spans="1:5" x14ac:dyDescent="0.25">
      <c r="A5" s="2" t="s">
        <v>58</v>
      </c>
      <c r="B5" s="2">
        <f>(1-B3)/2</f>
        <v>1.0000000000000009E-2</v>
      </c>
      <c r="D5" s="2" t="s">
        <v>58</v>
      </c>
      <c r="E5" s="2">
        <f>(1-E3)/2</f>
        <v>2.5000000000000022E-2</v>
      </c>
    </row>
    <row r="6" spans="1:5" x14ac:dyDescent="0.25">
      <c r="A6" s="36"/>
      <c r="B6" s="29"/>
      <c r="D6" s="36"/>
      <c r="E6" s="29"/>
    </row>
    <row r="7" spans="1:5" x14ac:dyDescent="0.25">
      <c r="A7" s="2" t="s">
        <v>52</v>
      </c>
      <c r="B7" s="2">
        <f>_xlfn.CHISQ.INV(B5,B1)</f>
        <v>29.706682698841295</v>
      </c>
      <c r="D7" s="2" t="s">
        <v>52</v>
      </c>
      <c r="E7" s="2">
        <f>_xlfn.CHISQ.INV(E5,E1)</f>
        <v>32.357363695658648</v>
      </c>
    </row>
    <row r="8" spans="1:5" x14ac:dyDescent="0.25">
      <c r="A8" s="2" t="s">
        <v>53</v>
      </c>
      <c r="B8" s="2">
        <f>_xlfn.CHISQ.INV(B4,B1)</f>
        <v>76.153891249012702</v>
      </c>
      <c r="D8" s="2" t="s">
        <v>53</v>
      </c>
      <c r="E8" s="2">
        <f>_xlfn.CHISQ.INV(E4,E1)</f>
        <v>71.420195187506422</v>
      </c>
    </row>
    <row r="9" spans="1:5" x14ac:dyDescent="0.25">
      <c r="A9" s="36"/>
      <c r="B9" s="29"/>
      <c r="D9" s="36"/>
      <c r="E9" s="29"/>
    </row>
    <row r="10" spans="1:5" x14ac:dyDescent="0.25">
      <c r="A10" s="30" t="s">
        <v>22</v>
      </c>
      <c r="B10" s="2">
        <f>B1*B2/B8</f>
        <v>45.10603389612784</v>
      </c>
      <c r="D10" s="30" t="s">
        <v>22</v>
      </c>
      <c r="E10" s="2">
        <f>E1*E2/E8</f>
        <v>48.095640049453223</v>
      </c>
    </row>
    <row r="11" spans="1:5" x14ac:dyDescent="0.25">
      <c r="A11" s="30" t="s">
        <v>23</v>
      </c>
      <c r="B11" s="2">
        <f>B1*B2/B7</f>
        <v>115.63054800911789</v>
      </c>
      <c r="D11" s="30" t="s">
        <v>23</v>
      </c>
      <c r="E11" s="2">
        <f>E1*E2/E7</f>
        <v>106.15821586419509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1"/>
  <sheetViews>
    <sheetView workbookViewId="0">
      <selection activeCell="B11" sqref="B11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40</v>
      </c>
    </row>
    <row r="2" spans="1:2" x14ac:dyDescent="0.25">
      <c r="A2" s="2" t="s">
        <v>49</v>
      </c>
      <c r="B2" s="2">
        <v>9.34</v>
      </c>
    </row>
    <row r="3" spans="1:2" x14ac:dyDescent="0.25">
      <c r="A3" s="2" t="s">
        <v>50</v>
      </c>
      <c r="B3" s="2">
        <v>0.98</v>
      </c>
    </row>
    <row r="4" spans="1:2" x14ac:dyDescent="0.25">
      <c r="A4" s="2" t="s">
        <v>51</v>
      </c>
      <c r="B4" s="2">
        <f>(1+B3)/2</f>
        <v>0.99</v>
      </c>
    </row>
    <row r="5" spans="1:2" x14ac:dyDescent="0.25">
      <c r="A5" s="2" t="s">
        <v>58</v>
      </c>
      <c r="B5" s="2">
        <f>(1-B3)/2</f>
        <v>1.0000000000000009E-2</v>
      </c>
    </row>
    <row r="6" spans="1:2" x14ac:dyDescent="0.25">
      <c r="A6" s="36"/>
      <c r="B6" s="29"/>
    </row>
    <row r="7" spans="1:2" x14ac:dyDescent="0.25">
      <c r="A7" s="2" t="s">
        <v>52</v>
      </c>
      <c r="B7" s="2">
        <f>_xlfn.CHISQ.INV(B5,B1)</f>
        <v>22.164261252975162</v>
      </c>
    </row>
    <row r="8" spans="1:2" x14ac:dyDescent="0.25">
      <c r="A8" s="2" t="s">
        <v>53</v>
      </c>
      <c r="B8" s="2">
        <f>_xlfn.CHISQ.INV(B4,B1)</f>
        <v>63.690739751564493</v>
      </c>
    </row>
    <row r="9" spans="1:2" x14ac:dyDescent="0.25">
      <c r="A9" s="36"/>
      <c r="B9" s="29"/>
    </row>
    <row r="10" spans="1:2" x14ac:dyDescent="0.25">
      <c r="A10" s="30" t="s">
        <v>22</v>
      </c>
      <c r="B10" s="2">
        <f>B1*B2/B8</f>
        <v>5.8658448851007883</v>
      </c>
    </row>
    <row r="11" spans="1:2" x14ac:dyDescent="0.25">
      <c r="A11" s="30" t="s">
        <v>23</v>
      </c>
      <c r="B11" s="2">
        <f>B1*B2/B7</f>
        <v>16.85596446170074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3"/>
  <sheetViews>
    <sheetView workbookViewId="0">
      <selection activeCell="D23" sqref="D2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101</v>
      </c>
    </row>
    <row r="2" spans="1:2" x14ac:dyDescent="0.25">
      <c r="A2" s="2" t="s">
        <v>42</v>
      </c>
      <c r="B2" s="2">
        <v>4</v>
      </c>
    </row>
    <row r="3" spans="1:2" x14ac:dyDescent="0.25">
      <c r="A3" s="2" t="s">
        <v>50</v>
      </c>
      <c r="B3" s="2">
        <v>0.95</v>
      </c>
    </row>
    <row r="4" spans="1:2" x14ac:dyDescent="0.25">
      <c r="A4" s="2" t="s">
        <v>49</v>
      </c>
      <c r="B4" s="2">
        <f>B2^2</f>
        <v>16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0.97499999999999998</v>
      </c>
    </row>
    <row r="7" spans="1:2" x14ac:dyDescent="0.25">
      <c r="A7" s="2" t="s">
        <v>58</v>
      </c>
      <c r="B7" s="2">
        <f>(1-B3)/2</f>
        <v>2.5000000000000022E-2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74.221927474923731</v>
      </c>
    </row>
    <row r="10" spans="1:2" x14ac:dyDescent="0.25">
      <c r="A10" s="2" t="s">
        <v>53</v>
      </c>
      <c r="B10" s="2">
        <f>_xlfn.CHISQ.INV(B6,B1-1)</f>
        <v>129.56119718583659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3.5141679627433891</v>
      </c>
    </row>
    <row r="13" spans="1:2" x14ac:dyDescent="0.25">
      <c r="A13" s="30" t="s">
        <v>23</v>
      </c>
      <c r="B13" s="2">
        <f>SQRT((B1-1)*B4/B9)</f>
        <v>4.642948614127933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3"/>
  <sheetViews>
    <sheetView workbookViewId="0">
      <selection sqref="A1:B1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61</v>
      </c>
    </row>
    <row r="2" spans="1:2" x14ac:dyDescent="0.25">
      <c r="A2" s="2" t="s">
        <v>42</v>
      </c>
      <c r="B2" s="2">
        <v>4</v>
      </c>
    </row>
    <row r="3" spans="1:2" x14ac:dyDescent="0.25">
      <c r="A3" s="2" t="s">
        <v>50</v>
      </c>
      <c r="B3" s="2">
        <v>0.95</v>
      </c>
    </row>
    <row r="4" spans="1:2" x14ac:dyDescent="0.25">
      <c r="A4" s="2" t="s">
        <v>49</v>
      </c>
      <c r="B4" s="2">
        <f>B2^2</f>
        <v>16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0.97499999999999998</v>
      </c>
    </row>
    <row r="7" spans="1:2" x14ac:dyDescent="0.25">
      <c r="A7" s="2" t="s">
        <v>58</v>
      </c>
      <c r="B7" s="2">
        <f>(1-B3)/2</f>
        <v>2.5000000000000022E-2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40.481748042841829</v>
      </c>
    </row>
    <row r="10" spans="1:2" x14ac:dyDescent="0.25">
      <c r="A10" s="2" t="s">
        <v>53</v>
      </c>
      <c r="B10" s="2">
        <f>_xlfn.CHISQ.INV(B6,B1-1)</f>
        <v>83.297674877173193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3.3948389557077308</v>
      </c>
    </row>
    <row r="13" spans="1:2" x14ac:dyDescent="0.25">
      <c r="A13" s="30" t="s">
        <v>23</v>
      </c>
      <c r="B13" s="2">
        <f>SQRT((B1-1)*B4/B9)</f>
        <v>4.8697423919696119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I24" sqref="I24"/>
    </sheetView>
  </sheetViews>
  <sheetFormatPr defaultColWidth="8.85546875" defaultRowHeight="15" x14ac:dyDescent="0.25"/>
  <sheetData>
    <row r="1" spans="1:5" x14ac:dyDescent="0.25">
      <c r="A1" s="2"/>
      <c r="B1" s="2" t="s">
        <v>16</v>
      </c>
      <c r="C1" s="2" t="s">
        <v>15</v>
      </c>
      <c r="D1" s="2" t="s">
        <v>14</v>
      </c>
      <c r="E1" s="2" t="s">
        <v>13</v>
      </c>
    </row>
    <row r="2" spans="1:5" x14ac:dyDescent="0.25">
      <c r="A2" s="2" t="s">
        <v>12</v>
      </c>
      <c r="B2" s="2">
        <v>4</v>
      </c>
      <c r="C2" s="2">
        <v>2</v>
      </c>
      <c r="D2" s="2">
        <v>2</v>
      </c>
      <c r="E2" s="2">
        <v>4</v>
      </c>
    </row>
    <row r="3" spans="1:5" x14ac:dyDescent="0.25">
      <c r="A3" s="2" t="s">
        <v>11</v>
      </c>
      <c r="B3" s="2">
        <v>1</v>
      </c>
      <c r="C3" s="2">
        <v>0</v>
      </c>
      <c r="D3" s="2">
        <v>0</v>
      </c>
      <c r="E3" s="2">
        <v>1</v>
      </c>
    </row>
    <row r="4" spans="1:5" x14ac:dyDescent="0.25">
      <c r="A4" s="2" t="s">
        <v>10</v>
      </c>
      <c r="B4" s="2">
        <v>0</v>
      </c>
      <c r="C4" s="2">
        <v>1</v>
      </c>
      <c r="D4" s="2">
        <v>1</v>
      </c>
      <c r="E4" s="2">
        <v>0</v>
      </c>
    </row>
    <row r="6" spans="1:5" x14ac:dyDescent="0.25">
      <c r="A6" t="s">
        <v>9</v>
      </c>
    </row>
    <row r="8" spans="1:5" x14ac:dyDescent="0.25">
      <c r="A8" s="2" t="s">
        <v>8</v>
      </c>
      <c r="B8" s="2">
        <v>1</v>
      </c>
      <c r="C8" s="2">
        <v>3</v>
      </c>
      <c r="D8" s="2">
        <v>5</v>
      </c>
      <c r="E8" s="2">
        <v>6</v>
      </c>
    </row>
    <row r="9" spans="1:5" x14ac:dyDescent="0.25">
      <c r="A9" s="2" t="s">
        <v>7</v>
      </c>
      <c r="B9" s="2">
        <v>5</v>
      </c>
      <c r="C9" s="2">
        <v>3</v>
      </c>
      <c r="D9" s="2">
        <v>3</v>
      </c>
      <c r="E9" s="2">
        <v>5</v>
      </c>
    </row>
    <row r="11" spans="1:5" x14ac:dyDescent="0.25">
      <c r="A11" s="2" t="s">
        <v>6</v>
      </c>
      <c r="B11" s="2">
        <v>1</v>
      </c>
      <c r="C11" s="2">
        <v>2</v>
      </c>
      <c r="D11" s="2">
        <v>3</v>
      </c>
    </row>
    <row r="12" spans="1:5" x14ac:dyDescent="0.25">
      <c r="A12" s="2" t="s">
        <v>5</v>
      </c>
      <c r="B12" s="2">
        <v>12</v>
      </c>
      <c r="C12" s="2">
        <v>2</v>
      </c>
      <c r="D12" s="2">
        <v>2</v>
      </c>
    </row>
    <row r="14" spans="1:5" x14ac:dyDescent="0.25">
      <c r="B14">
        <f xml:space="preserve"> SUM(PRODUCT(B8:B9),PRODUCT(C8:C9),PRODUCT(D8:D9),PRODUCT(E8:E9))/SUM(B9:E9)</f>
        <v>3.6875</v>
      </c>
    </row>
    <row r="15" spans="1:5" x14ac:dyDescent="0.25">
      <c r="A15" t="s">
        <v>4</v>
      </c>
      <c r="B15">
        <f xml:space="preserve"> (SUM(B9*(B8^2),C9*(C8^2),D9*(D8^2),E9*(E8^2)) - B9:E9*(B14^2))/B9:E9</f>
        <v>43.802343749999999</v>
      </c>
    </row>
    <row r="16" spans="1:5" x14ac:dyDescent="0.25">
      <c r="B16">
        <f xml:space="preserve"> SUM(PRODUCT(B11:B12),PRODUCT(C11:C12),PRODUCT(D11:D12))/SUM(B12:D12)</f>
        <v>1.375</v>
      </c>
    </row>
    <row r="17" spans="1:2" x14ac:dyDescent="0.25">
      <c r="A17" t="s">
        <v>3</v>
      </c>
      <c r="B17">
        <f>(B12*(B11^2) + C12*(C11^2) + D12*(D11^2) - 16*(B16^2))/16</f>
        <v>0.484375</v>
      </c>
    </row>
    <row r="19" spans="1:2" x14ac:dyDescent="0.25">
      <c r="A19" s="1" t="s">
        <v>2</v>
      </c>
      <c r="B19">
        <f xml:space="preserve"> SQRT(B15)</f>
        <v>6.6183339104339547</v>
      </c>
    </row>
    <row r="20" spans="1:2" x14ac:dyDescent="0.25">
      <c r="A20" s="1" t="s">
        <v>1</v>
      </c>
      <c r="B20">
        <f xml:space="preserve"> SQRT(B17)</f>
        <v>0.69597054535375269</v>
      </c>
    </row>
    <row r="21" spans="1:2" x14ac:dyDescent="0.25">
      <c r="B21">
        <f xml:space="preserve"> 1*1*4 + 3*2*1 + 5*2*1 + 6*4*1</f>
        <v>44</v>
      </c>
    </row>
    <row r="22" spans="1:2" x14ac:dyDescent="0.25">
      <c r="A2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3"/>
  <sheetViews>
    <sheetView workbookViewId="0">
      <selection activeCell="C13" sqref="C1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25</v>
      </c>
    </row>
    <row r="2" spans="1:2" x14ac:dyDescent="0.25">
      <c r="A2" s="2" t="s">
        <v>42</v>
      </c>
      <c r="B2" s="2">
        <v>3</v>
      </c>
    </row>
    <row r="3" spans="1:2" x14ac:dyDescent="0.25">
      <c r="A3" s="2" t="s">
        <v>50</v>
      </c>
      <c r="B3" s="2">
        <v>0.98</v>
      </c>
    </row>
    <row r="4" spans="1:2" x14ac:dyDescent="0.25">
      <c r="A4" s="2" t="s">
        <v>49</v>
      </c>
      <c r="B4" s="2">
        <f>B2^2</f>
        <v>9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0.99</v>
      </c>
    </row>
    <row r="7" spans="1:2" x14ac:dyDescent="0.25">
      <c r="A7" s="2" t="s">
        <v>58</v>
      </c>
      <c r="B7" s="2">
        <f>(1-B3)/2</f>
        <v>1.0000000000000009E-2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10.85636147553228</v>
      </c>
    </row>
    <row r="10" spans="1:2" x14ac:dyDescent="0.25">
      <c r="A10" s="2" t="s">
        <v>53</v>
      </c>
      <c r="B10" s="2">
        <f>_xlfn.CHISQ.INV(B6,B1-1)</f>
        <v>42.979820139351617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2.2417881992194135</v>
      </c>
    </row>
    <row r="13" spans="1:2" x14ac:dyDescent="0.25">
      <c r="A13" s="30" t="s">
        <v>23</v>
      </c>
      <c r="B13" s="2">
        <f>SQRT((B1-1)*B4/B9)</f>
        <v>4.4605121630385254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3"/>
  <sheetViews>
    <sheetView workbookViewId="0">
      <selection activeCell="F16" sqref="F16"/>
    </sheetView>
  </sheetViews>
  <sheetFormatPr defaultColWidth="8.85546875" defaultRowHeight="15" x14ac:dyDescent="0.25"/>
  <cols>
    <col min="1" max="1" width="17.7109375" customWidth="1"/>
    <col min="4" max="4" width="17.7109375" customWidth="1"/>
  </cols>
  <sheetData>
    <row r="1" spans="1:5" x14ac:dyDescent="0.25">
      <c r="A1" s="2" t="s">
        <v>48</v>
      </c>
      <c r="B1" s="33">
        <v>20</v>
      </c>
      <c r="D1" s="2" t="s">
        <v>48</v>
      </c>
      <c r="E1" s="33">
        <v>101</v>
      </c>
    </row>
    <row r="2" spans="1:5" x14ac:dyDescent="0.25">
      <c r="A2" s="2" t="s">
        <v>42</v>
      </c>
      <c r="B2" s="2">
        <v>15</v>
      </c>
      <c r="D2" s="2" t="s">
        <v>42</v>
      </c>
      <c r="E2" s="2">
        <v>15</v>
      </c>
    </row>
    <row r="3" spans="1:5" x14ac:dyDescent="0.25">
      <c r="A3" s="2" t="s">
        <v>50</v>
      </c>
      <c r="B3" s="2">
        <v>0.9</v>
      </c>
      <c r="D3" s="2" t="s">
        <v>50</v>
      </c>
      <c r="E3" s="2">
        <v>0.9</v>
      </c>
    </row>
    <row r="4" spans="1:5" x14ac:dyDescent="0.25">
      <c r="A4" s="2" t="s">
        <v>49</v>
      </c>
      <c r="B4" s="2">
        <f>B2^2</f>
        <v>225</v>
      </c>
      <c r="D4" s="2" t="s">
        <v>49</v>
      </c>
      <c r="E4" s="2">
        <f>E2^2</f>
        <v>225</v>
      </c>
    </row>
    <row r="5" spans="1:5" x14ac:dyDescent="0.25">
      <c r="A5" s="36"/>
      <c r="B5" s="29"/>
      <c r="D5" s="36"/>
      <c r="E5" s="29"/>
    </row>
    <row r="6" spans="1:5" x14ac:dyDescent="0.25">
      <c r="A6" s="2" t="s">
        <v>51</v>
      </c>
      <c r="B6" s="2">
        <f>(1+B3)/2</f>
        <v>0.95</v>
      </c>
      <c r="D6" s="2" t="s">
        <v>51</v>
      </c>
      <c r="E6" s="2">
        <f>(1+E3)/2</f>
        <v>0.95</v>
      </c>
    </row>
    <row r="7" spans="1:5" x14ac:dyDescent="0.25">
      <c r="A7" s="2" t="s">
        <v>58</v>
      </c>
      <c r="B7" s="2">
        <f>(1-B3)/2</f>
        <v>4.9999999999999989E-2</v>
      </c>
      <c r="D7" s="2" t="s">
        <v>58</v>
      </c>
      <c r="E7" s="2">
        <f>(1-E3)/2</f>
        <v>4.9999999999999989E-2</v>
      </c>
    </row>
    <row r="8" spans="1:5" x14ac:dyDescent="0.25">
      <c r="A8" s="36"/>
      <c r="B8" s="29"/>
      <c r="D8" s="36"/>
      <c r="E8" s="29"/>
    </row>
    <row r="9" spans="1:5" x14ac:dyDescent="0.25">
      <c r="A9" s="2" t="s">
        <v>52</v>
      </c>
      <c r="B9" s="2">
        <f>_xlfn.CHISQ.INV(B7,B1-1)</f>
        <v>10.117013063859043</v>
      </c>
      <c r="D9" s="2" t="s">
        <v>52</v>
      </c>
      <c r="E9" s="2">
        <f>_xlfn.CHISQ.INV(E7,E1-1)</f>
        <v>77.929465165017263</v>
      </c>
    </row>
    <row r="10" spans="1:5" x14ac:dyDescent="0.25">
      <c r="A10" s="2" t="s">
        <v>53</v>
      </c>
      <c r="B10" s="2">
        <f>_xlfn.CHISQ.INV(B6,B1-1)</f>
        <v>30.143527205646159</v>
      </c>
      <c r="D10" s="2" t="s">
        <v>53</v>
      </c>
      <c r="E10" s="2">
        <f>_xlfn.CHISQ.INV(E6,E1-1)</f>
        <v>124.34211340400408</v>
      </c>
    </row>
    <row r="11" spans="1:5" x14ac:dyDescent="0.25">
      <c r="A11" s="36"/>
      <c r="B11" s="29"/>
      <c r="D11" s="36"/>
      <c r="E11" s="29"/>
    </row>
    <row r="12" spans="1:5" x14ac:dyDescent="0.25">
      <c r="A12" s="30" t="s">
        <v>22</v>
      </c>
      <c r="B12" s="2">
        <f>(B1-1)*B4/B10</f>
        <v>141.82149191881081</v>
      </c>
      <c r="D12" s="30" t="s">
        <v>22</v>
      </c>
      <c r="E12" s="2">
        <f>(E1-1)*E4/E10</f>
        <v>180.95236910518406</v>
      </c>
    </row>
    <row r="13" spans="1:5" x14ac:dyDescent="0.25">
      <c r="A13" s="30" t="s">
        <v>23</v>
      </c>
      <c r="B13" s="2">
        <f>(B1-1)*B4/B9</f>
        <v>422.55554806700428</v>
      </c>
      <c r="D13" s="30" t="s">
        <v>23</v>
      </c>
      <c r="E13" s="2">
        <f>(E1-1)*E4/E9</f>
        <v>288.72262824280625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3"/>
  <sheetViews>
    <sheetView workbookViewId="0">
      <selection sqref="A1:B1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16</v>
      </c>
    </row>
    <row r="2" spans="1:2" x14ac:dyDescent="0.25">
      <c r="A2" s="2" t="s">
        <v>42</v>
      </c>
      <c r="B2" s="2">
        <v>1</v>
      </c>
    </row>
    <row r="3" spans="1:2" x14ac:dyDescent="0.25">
      <c r="A3" s="2" t="s">
        <v>50</v>
      </c>
      <c r="B3" s="2">
        <v>0.95</v>
      </c>
    </row>
    <row r="4" spans="1:2" x14ac:dyDescent="0.25">
      <c r="A4" s="2" t="s">
        <v>49</v>
      </c>
      <c r="B4" s="2">
        <f>B2^2</f>
        <v>1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0.97499999999999998</v>
      </c>
    </row>
    <row r="7" spans="1:2" x14ac:dyDescent="0.25">
      <c r="A7" s="2" t="s">
        <v>58</v>
      </c>
      <c r="B7" s="2">
        <f>(1-B3)/2</f>
        <v>2.5000000000000022E-2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6.2621377950432535</v>
      </c>
    </row>
    <row r="10" spans="1:2" x14ac:dyDescent="0.25">
      <c r="A10" s="2" t="s">
        <v>53</v>
      </c>
      <c r="B10" s="2">
        <f>_xlfn.CHISQ.INV(B6,B1-1)</f>
        <v>27.488392863442972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0.73870485775054118</v>
      </c>
    </row>
    <row r="13" spans="1:2" x14ac:dyDescent="0.25">
      <c r="A13" s="30" t="s">
        <v>23</v>
      </c>
      <c r="B13" s="2">
        <f>SQRT((B1-1)*B4/B9)</f>
        <v>1.5476912227160358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workbookViewId="0">
      <selection activeCell="D7" sqref="D7"/>
    </sheetView>
  </sheetViews>
  <sheetFormatPr defaultColWidth="8.85546875" defaultRowHeight="15" x14ac:dyDescent="0.25"/>
  <cols>
    <col min="1" max="1" width="17.7109375" customWidth="1"/>
  </cols>
  <sheetData>
    <row r="1" spans="1:5" x14ac:dyDescent="0.25">
      <c r="A1" s="2" t="s">
        <v>48</v>
      </c>
      <c r="B1" s="2">
        <v>16</v>
      </c>
    </row>
    <row r="2" spans="1:5" x14ac:dyDescent="0.25">
      <c r="A2" s="2" t="s">
        <v>42</v>
      </c>
      <c r="B2" s="2">
        <v>8</v>
      </c>
    </row>
    <row r="3" spans="1:5" x14ac:dyDescent="0.25">
      <c r="A3" s="2" t="s">
        <v>50</v>
      </c>
      <c r="B3" s="2">
        <v>0.95</v>
      </c>
    </row>
    <row r="4" spans="1:5" x14ac:dyDescent="0.25">
      <c r="A4" s="2" t="s">
        <v>49</v>
      </c>
      <c r="B4" s="2">
        <f>B2^2</f>
        <v>64</v>
      </c>
      <c r="C4" s="2" t="s">
        <v>59</v>
      </c>
      <c r="D4" s="2">
        <f>_xlfn.T.INV((1+B3)/2, B1-1)</f>
        <v>2.1314495455597742</v>
      </c>
      <c r="E4" s="35"/>
    </row>
    <row r="5" spans="1:5" x14ac:dyDescent="0.25">
      <c r="A5" s="36"/>
      <c r="B5" s="29"/>
      <c r="C5" s="36"/>
      <c r="D5" s="19"/>
      <c r="E5" s="29"/>
    </row>
    <row r="6" spans="1:5" x14ac:dyDescent="0.25">
      <c r="A6" s="2" t="s">
        <v>51</v>
      </c>
      <c r="B6" s="2">
        <f>(1+B3)/2</f>
        <v>0.97499999999999998</v>
      </c>
      <c r="C6" s="2" t="s">
        <v>60</v>
      </c>
      <c r="D6" s="2">
        <f>D4*B2/SQRT(B1)</f>
        <v>4.2628990911195483</v>
      </c>
      <c r="E6" s="2"/>
    </row>
    <row r="7" spans="1:5" x14ac:dyDescent="0.25">
      <c r="A7" s="2" t="s">
        <v>58</v>
      </c>
      <c r="B7" s="2">
        <f>(1-B3)/2</f>
        <v>2.5000000000000022E-2</v>
      </c>
      <c r="C7" s="2"/>
      <c r="D7" s="2">
        <f>42.8-D6</f>
        <v>38.537100908880447</v>
      </c>
      <c r="E7" s="2">
        <f>42.8+D6</f>
        <v>47.062899091119547</v>
      </c>
    </row>
    <row r="8" spans="1:5" x14ac:dyDescent="0.25">
      <c r="A8" s="36"/>
      <c r="B8" s="29"/>
    </row>
    <row r="9" spans="1:5" x14ac:dyDescent="0.25">
      <c r="A9" s="2" t="s">
        <v>52</v>
      </c>
      <c r="B9" s="2">
        <f>_xlfn.CHISQ.INV(B7,B1-1)</f>
        <v>6.2621377950432535</v>
      </c>
    </row>
    <row r="10" spans="1:5" x14ac:dyDescent="0.25">
      <c r="A10" s="2" t="s">
        <v>53</v>
      </c>
      <c r="B10" s="2">
        <f>_xlfn.CHISQ.INV(B6,B1-1)</f>
        <v>27.488392863442972</v>
      </c>
    </row>
    <row r="11" spans="1:5" x14ac:dyDescent="0.25">
      <c r="A11" s="36"/>
      <c r="B11" s="29"/>
    </row>
    <row r="12" spans="1:5" x14ac:dyDescent="0.25">
      <c r="A12" s="30" t="s">
        <v>22</v>
      </c>
      <c r="B12" s="2">
        <f>SQRT((B1-1)*B4/B10)</f>
        <v>5.9096388620043294</v>
      </c>
    </row>
    <row r="13" spans="1:5" x14ac:dyDescent="0.25">
      <c r="A13" s="30" t="s">
        <v>23</v>
      </c>
      <c r="B13" s="2">
        <f>SQRT((B1-1)*B4/B9)</f>
        <v>12.381529781728286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9"/>
  <sheetViews>
    <sheetView workbookViewId="0">
      <selection activeCell="F34" sqref="F34"/>
    </sheetView>
  </sheetViews>
  <sheetFormatPr defaultColWidth="8.85546875" defaultRowHeight="15" x14ac:dyDescent="0.25"/>
  <cols>
    <col min="1" max="1" width="17.7109375" customWidth="1"/>
    <col min="2" max="2" width="10.28515625" bestFit="1" customWidth="1"/>
  </cols>
  <sheetData>
    <row r="1" spans="1:5" x14ac:dyDescent="0.25">
      <c r="A1" s="2" t="s">
        <v>48</v>
      </c>
      <c r="B1" s="2">
        <v>9</v>
      </c>
      <c r="C1" s="19"/>
    </row>
    <row r="2" spans="1:5" x14ac:dyDescent="0.25">
      <c r="A2" s="2" t="s">
        <v>42</v>
      </c>
      <c r="B2" s="2">
        <v>6</v>
      </c>
      <c r="C2" s="19"/>
    </row>
    <row r="3" spans="1:5" x14ac:dyDescent="0.25">
      <c r="A3" s="2" t="s">
        <v>50</v>
      </c>
      <c r="B3" s="2">
        <v>0.99</v>
      </c>
      <c r="C3" s="19"/>
    </row>
    <row r="4" spans="1:5" x14ac:dyDescent="0.25">
      <c r="A4" s="2" t="s">
        <v>26</v>
      </c>
      <c r="B4" s="2">
        <f>B2*B2</f>
        <v>36</v>
      </c>
      <c r="C4" s="19"/>
      <c r="D4" s="19"/>
      <c r="E4" s="19"/>
    </row>
    <row r="5" spans="1:5" x14ac:dyDescent="0.25">
      <c r="A5" s="2" t="s">
        <v>47</v>
      </c>
      <c r="B5" s="2">
        <f>_xlfn.T.INV((1+B3)/2,B1-1)</f>
        <v>3.3553873313333948</v>
      </c>
      <c r="C5" s="19"/>
      <c r="D5" s="19"/>
      <c r="E5" s="19"/>
    </row>
    <row r="6" spans="1:5" x14ac:dyDescent="0.25">
      <c r="A6" s="2" t="s">
        <v>61</v>
      </c>
      <c r="B6" s="2">
        <v>30.1</v>
      </c>
      <c r="C6" s="19"/>
      <c r="D6" s="19"/>
      <c r="E6" s="19"/>
    </row>
    <row r="7" spans="1:5" x14ac:dyDescent="0.25">
      <c r="A7" s="2" t="s">
        <v>51</v>
      </c>
      <c r="B7" s="2">
        <f>(1+B3)/2</f>
        <v>0.995</v>
      </c>
      <c r="C7" s="19"/>
      <c r="D7" s="19"/>
      <c r="E7" s="19"/>
    </row>
    <row r="8" spans="1:5" x14ac:dyDescent="0.25">
      <c r="A8" s="2" t="s">
        <v>58</v>
      </c>
      <c r="B8" s="2">
        <f>(1-B3)/2</f>
        <v>5.0000000000000044E-3</v>
      </c>
      <c r="C8" s="19"/>
      <c r="D8" s="19"/>
      <c r="E8" s="19"/>
    </row>
    <row r="9" spans="1:5" x14ac:dyDescent="0.25">
      <c r="A9" s="2"/>
      <c r="B9" s="2"/>
      <c r="C9" s="19"/>
    </row>
    <row r="10" spans="1:5" x14ac:dyDescent="0.25">
      <c r="A10" s="2" t="s">
        <v>62</v>
      </c>
      <c r="B10" s="2">
        <f>_xlfn.CHISQ.INV(B7,B1-1)</f>
        <v>21.954954990659523</v>
      </c>
    </row>
    <row r="11" spans="1:5" x14ac:dyDescent="0.25">
      <c r="A11" s="2" t="s">
        <v>63</v>
      </c>
      <c r="B11" s="2">
        <f>_xlfn.CHISQ.INV(B8,B1-1)</f>
        <v>1.3444130870148105</v>
      </c>
    </row>
    <row r="12" spans="1:5" x14ac:dyDescent="0.25">
      <c r="A12" s="2"/>
      <c r="B12" s="2"/>
    </row>
    <row r="13" spans="1:5" x14ac:dyDescent="0.25">
      <c r="A13" s="2" t="s">
        <v>64</v>
      </c>
      <c r="B13" s="2">
        <f>SQRT((B1-1)*B4/B10)</f>
        <v>3.6218459003520898</v>
      </c>
    </row>
    <row r="14" spans="1:5" x14ac:dyDescent="0.25">
      <c r="A14" s="2" t="s">
        <v>65</v>
      </c>
      <c r="B14" s="2">
        <f>SQRT((B1-1)*B4/B11)</f>
        <v>14.636251994100425</v>
      </c>
    </row>
    <row r="15" spans="1:5" x14ac:dyDescent="0.25">
      <c r="A15" s="2"/>
      <c r="B15" s="2"/>
    </row>
    <row r="16" spans="1:5" x14ac:dyDescent="0.25">
      <c r="A16" s="2" t="s">
        <v>60</v>
      </c>
      <c r="B16" s="2">
        <f>B5*B2/SQRT(B1)</f>
        <v>6.7107746626667897</v>
      </c>
    </row>
    <row r="17" spans="1:2" x14ac:dyDescent="0.25">
      <c r="A17" s="2"/>
      <c r="B17" s="2"/>
    </row>
    <row r="18" spans="1:2" x14ac:dyDescent="0.25">
      <c r="A18" s="2" t="s">
        <v>66</v>
      </c>
      <c r="B18" s="2">
        <f>B6-B16</f>
        <v>23.389225337333212</v>
      </c>
    </row>
    <row r="19" spans="1:2" x14ac:dyDescent="0.25">
      <c r="A19" s="2" t="s">
        <v>67</v>
      </c>
      <c r="B19" s="2">
        <f>B6+B16</f>
        <v>36.810774662666788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9"/>
  <sheetViews>
    <sheetView workbookViewId="0">
      <selection activeCell="C19" sqref="C19"/>
    </sheetView>
  </sheetViews>
  <sheetFormatPr defaultColWidth="8.85546875" defaultRowHeight="15" x14ac:dyDescent="0.25"/>
  <cols>
    <col min="1" max="1" width="17.7109375" customWidth="1"/>
  </cols>
  <sheetData>
    <row r="1" spans="1:3" x14ac:dyDescent="0.25">
      <c r="A1" s="2" t="s">
        <v>48</v>
      </c>
      <c r="B1" s="25">
        <v>16</v>
      </c>
      <c r="C1" s="36"/>
    </row>
    <row r="2" spans="1:3" x14ac:dyDescent="0.25">
      <c r="A2" s="2" t="s">
        <v>42</v>
      </c>
      <c r="B2" s="25">
        <v>8</v>
      </c>
      <c r="C2" s="36"/>
    </row>
    <row r="3" spans="1:3" x14ac:dyDescent="0.25">
      <c r="A3" s="2" t="s">
        <v>50</v>
      </c>
      <c r="B3" s="25">
        <v>0.999</v>
      </c>
      <c r="C3" s="36"/>
    </row>
    <row r="4" spans="1:3" x14ac:dyDescent="0.25">
      <c r="A4" s="2" t="s">
        <v>26</v>
      </c>
      <c r="B4" s="25">
        <f>B2*B2</f>
        <v>64</v>
      </c>
      <c r="C4" s="36"/>
    </row>
    <row r="5" spans="1:3" x14ac:dyDescent="0.25">
      <c r="A5" s="2" t="s">
        <v>47</v>
      </c>
      <c r="B5" s="25">
        <f>_xlfn.T.INV((1+B3)/2,B1-1)</f>
        <v>4.0727651959038447</v>
      </c>
      <c r="C5" s="36"/>
    </row>
    <row r="6" spans="1:3" x14ac:dyDescent="0.25">
      <c r="A6" s="2" t="s">
        <v>61</v>
      </c>
      <c r="B6" s="25">
        <v>42.8</v>
      </c>
      <c r="C6" s="36"/>
    </row>
    <row r="7" spans="1:3" x14ac:dyDescent="0.25">
      <c r="A7" s="2" t="s">
        <v>51</v>
      </c>
      <c r="B7" s="25">
        <f>(1+B3)/2</f>
        <v>0.99950000000000006</v>
      </c>
      <c r="C7" s="36"/>
    </row>
    <row r="8" spans="1:3" x14ac:dyDescent="0.25">
      <c r="A8" s="2" t="s">
        <v>58</v>
      </c>
      <c r="B8" s="25">
        <f>(1-B3)/2</f>
        <v>5.0000000000000044E-4</v>
      </c>
      <c r="C8" s="36"/>
    </row>
    <row r="9" spans="1:3" x14ac:dyDescent="0.25">
      <c r="A9" s="2"/>
      <c r="B9" s="25"/>
      <c r="C9" s="36"/>
    </row>
    <row r="10" spans="1:3" x14ac:dyDescent="0.25">
      <c r="A10" s="2" t="s">
        <v>62</v>
      </c>
      <c r="B10" s="2">
        <f>_xlfn.CHISQ.INV(B7,B1-1)</f>
        <v>39.718759789632472</v>
      </c>
    </row>
    <row r="11" spans="1:3" x14ac:dyDescent="0.25">
      <c r="A11" s="2" t="s">
        <v>63</v>
      </c>
      <c r="B11" s="2">
        <f>_xlfn.CHISQ.INV(B8,B1-1)</f>
        <v>3.1075185692182328</v>
      </c>
    </row>
    <row r="12" spans="1:3" x14ac:dyDescent="0.25">
      <c r="A12" s="2"/>
      <c r="B12" s="2"/>
    </row>
    <row r="13" spans="1:3" x14ac:dyDescent="0.25">
      <c r="A13" s="2" t="s">
        <v>64</v>
      </c>
      <c r="B13" s="2">
        <f>SQRT((B1-1)*B4/B10)</f>
        <v>4.9162932142009446</v>
      </c>
    </row>
    <row r="14" spans="1:3" x14ac:dyDescent="0.25">
      <c r="A14" s="2" t="s">
        <v>65</v>
      </c>
      <c r="B14" s="2">
        <f>SQRT((B1-1)*B4/B11)</f>
        <v>17.57635235223248</v>
      </c>
    </row>
    <row r="15" spans="1:3" x14ac:dyDescent="0.25">
      <c r="A15" s="2"/>
      <c r="B15" s="2"/>
    </row>
    <row r="16" spans="1:3" x14ac:dyDescent="0.25">
      <c r="A16" s="2" t="s">
        <v>60</v>
      </c>
      <c r="B16" s="2">
        <f>B5*B2/SQRT(B1)</f>
        <v>8.1455303918076893</v>
      </c>
    </row>
    <row r="17" spans="1:2" x14ac:dyDescent="0.25">
      <c r="A17" s="2"/>
      <c r="B17" s="2"/>
    </row>
    <row r="18" spans="1:2" x14ac:dyDescent="0.25">
      <c r="A18" s="2" t="s">
        <v>66</v>
      </c>
      <c r="B18" s="2">
        <f>B6-B16</f>
        <v>34.654469608192308</v>
      </c>
    </row>
    <row r="19" spans="1:2" x14ac:dyDescent="0.25">
      <c r="A19" s="2" t="s">
        <v>67</v>
      </c>
      <c r="B19" s="2">
        <f>B6+B16</f>
        <v>50.945530391807686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9"/>
  <sheetViews>
    <sheetView workbookViewId="0">
      <selection activeCell="H23" sqref="H2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16</v>
      </c>
    </row>
    <row r="2" spans="1:2" x14ac:dyDescent="0.25">
      <c r="A2" s="2" t="s">
        <v>42</v>
      </c>
      <c r="B2" s="2">
        <v>8</v>
      </c>
    </row>
    <row r="3" spans="1:2" x14ac:dyDescent="0.25">
      <c r="A3" s="2" t="s">
        <v>50</v>
      </c>
      <c r="B3" s="2">
        <v>0.9</v>
      </c>
    </row>
    <row r="4" spans="1:2" x14ac:dyDescent="0.25">
      <c r="A4" s="2" t="s">
        <v>26</v>
      </c>
      <c r="B4" s="2">
        <f>B2*B2</f>
        <v>64</v>
      </c>
    </row>
    <row r="5" spans="1:2" x14ac:dyDescent="0.25">
      <c r="A5" s="2" t="s">
        <v>47</v>
      </c>
      <c r="B5" s="2">
        <f>_xlfn.T.INV((1+B3)/2,B1-1)</f>
        <v>1.7530503556925723</v>
      </c>
    </row>
    <row r="6" spans="1:2" x14ac:dyDescent="0.25">
      <c r="A6" s="2" t="s">
        <v>61</v>
      </c>
      <c r="B6" s="2">
        <v>42.8</v>
      </c>
    </row>
    <row r="7" spans="1:2" x14ac:dyDescent="0.25">
      <c r="A7" s="2" t="s">
        <v>51</v>
      </c>
      <c r="B7" s="2">
        <f>(1+B3)/2</f>
        <v>0.95</v>
      </c>
    </row>
    <row r="8" spans="1:2" x14ac:dyDescent="0.25">
      <c r="A8" s="2" t="s">
        <v>58</v>
      </c>
      <c r="B8" s="2">
        <f>(1-B3)/2</f>
        <v>4.9999999999999989E-2</v>
      </c>
    </row>
    <row r="9" spans="1:2" x14ac:dyDescent="0.25">
      <c r="A9" s="2"/>
      <c r="B9" s="2"/>
    </row>
    <row r="10" spans="1:2" x14ac:dyDescent="0.25">
      <c r="A10" s="2" t="s">
        <v>62</v>
      </c>
      <c r="B10" s="2">
        <f>_xlfn.CHISQ.INV(B7,B1-1)</f>
        <v>24.995790139728623</v>
      </c>
    </row>
    <row r="11" spans="1:2" x14ac:dyDescent="0.25">
      <c r="A11" s="2" t="s">
        <v>63</v>
      </c>
      <c r="B11" s="2">
        <f>_xlfn.CHISQ.INV(B8,B1-1)</f>
        <v>7.2609439276700316</v>
      </c>
    </row>
    <row r="12" spans="1:2" x14ac:dyDescent="0.25">
      <c r="A12" s="2"/>
      <c r="B12" s="2"/>
    </row>
    <row r="13" spans="1:2" x14ac:dyDescent="0.25">
      <c r="A13" s="2" t="s">
        <v>64</v>
      </c>
      <c r="B13" s="2">
        <f>SQRT((B1-1)*B4/B10)</f>
        <v>6.1972951708351482</v>
      </c>
    </row>
    <row r="14" spans="1:2" x14ac:dyDescent="0.25">
      <c r="A14" s="2" t="s">
        <v>65</v>
      </c>
      <c r="B14" s="2">
        <f>SQRT((B1-1)*B4/B11)</f>
        <v>11.498444015853414</v>
      </c>
    </row>
    <row r="15" spans="1:2" x14ac:dyDescent="0.25">
      <c r="A15" s="2"/>
      <c r="B15" s="2"/>
    </row>
    <row r="16" spans="1:2" x14ac:dyDescent="0.25">
      <c r="A16" s="2" t="s">
        <v>60</v>
      </c>
      <c r="B16" s="2">
        <f>B5*B2/SQRT(B1)</f>
        <v>3.5061007113851446</v>
      </c>
    </row>
    <row r="17" spans="1:2" x14ac:dyDescent="0.25">
      <c r="A17" s="2"/>
      <c r="B17" s="2"/>
    </row>
    <row r="18" spans="1:2" x14ac:dyDescent="0.25">
      <c r="A18" s="2" t="s">
        <v>66</v>
      </c>
      <c r="B18" s="2">
        <f>B6-B16</f>
        <v>39.293899288614853</v>
      </c>
    </row>
    <row r="19" spans="1:2" x14ac:dyDescent="0.25">
      <c r="A19" s="2" t="s">
        <v>67</v>
      </c>
      <c r="B19" s="2">
        <f>B6+B16</f>
        <v>46.306100711385142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289"/>
  <sheetViews>
    <sheetView workbookViewId="0">
      <selection activeCell="I1" sqref="I1"/>
    </sheetView>
  </sheetViews>
  <sheetFormatPr defaultColWidth="8.85546875" defaultRowHeight="15" x14ac:dyDescent="0.25"/>
  <sheetData>
    <row r="1" spans="1:16" x14ac:dyDescent="0.25">
      <c r="A1" t="s">
        <v>68</v>
      </c>
      <c r="C1">
        <f>COUNTIF(A1:A289,"NA")</f>
        <v>24</v>
      </c>
      <c r="E1" t="s">
        <v>81</v>
      </c>
      <c r="G1">
        <f>COUNT(E1:E289)</f>
        <v>0</v>
      </c>
      <c r="H1" t="e">
        <f>AVERAGE(E1:E265)</f>
        <v>#DIV/0!</v>
      </c>
      <c r="I1" t="e">
        <f>MEDIAN(E:E)</f>
        <v>#NUM!</v>
      </c>
      <c r="J1">
        <f>MAX(E:E)</f>
        <v>0</v>
      </c>
      <c r="K1">
        <f>MIN(E:E)</f>
        <v>0</v>
      </c>
    </row>
    <row r="2" spans="1:16" x14ac:dyDescent="0.25">
      <c r="A2" t="s">
        <v>69</v>
      </c>
      <c r="E2" t="s">
        <v>119</v>
      </c>
    </row>
    <row r="3" spans="1:16" x14ac:dyDescent="0.25">
      <c r="A3" t="s">
        <v>70</v>
      </c>
      <c r="E3" t="s">
        <v>252</v>
      </c>
      <c r="G3" t="s">
        <v>333</v>
      </c>
      <c r="I3" s="43" t="s">
        <v>334</v>
      </c>
      <c r="J3" s="43"/>
      <c r="L3" t="s">
        <v>337</v>
      </c>
      <c r="M3" t="s">
        <v>338</v>
      </c>
      <c r="O3" t="s">
        <v>339</v>
      </c>
      <c r="P3" t="s">
        <v>340</v>
      </c>
    </row>
    <row r="4" spans="1:16" x14ac:dyDescent="0.25">
      <c r="A4" t="s">
        <v>71</v>
      </c>
      <c r="E4" t="s">
        <v>135</v>
      </c>
      <c r="F4">
        <v>1</v>
      </c>
      <c r="G4" t="e">
        <f>_xlfn.QUARTILE.INC(E:E,1)</f>
        <v>#NUM!</v>
      </c>
      <c r="I4" t="e">
        <f>G5-G4</f>
        <v>#NUM!</v>
      </c>
      <c r="J4">
        <f>H4-H6</f>
        <v>0</v>
      </c>
      <c r="L4" t="e">
        <f>IF(E1&lt;I$6,"ВЫБРОС",0)</f>
        <v>#NUM!</v>
      </c>
      <c r="M4" t="e">
        <f>IF(E1&gt;I$8,"ВЫБРОС",0)</f>
        <v>#NUM!</v>
      </c>
      <c r="O4" t="e">
        <f>KURT(E1:E265)</f>
        <v>#DIV/0!</v>
      </c>
      <c r="P4" t="e">
        <f>SKEW(E1:E265)</f>
        <v>#DIV/0!</v>
      </c>
    </row>
    <row r="5" spans="1:16" x14ac:dyDescent="0.25">
      <c r="A5" t="s">
        <v>72</v>
      </c>
      <c r="E5" t="s">
        <v>282</v>
      </c>
      <c r="F5">
        <v>3</v>
      </c>
      <c r="G5" t="e">
        <f>_xlfn.QUARTILE.INC(E:E,3)</f>
        <v>#NUM!</v>
      </c>
      <c r="I5" s="43" t="s">
        <v>335</v>
      </c>
      <c r="J5" s="43"/>
      <c r="L5" t="e">
        <f t="shared" ref="L5:L68" si="0">IF(E2&lt;I$6,"ВЫБРОС",0)</f>
        <v>#NUM!</v>
      </c>
      <c r="M5" t="e">
        <f t="shared" ref="M5:M68" si="1">IF(E2&gt;I$8,"ВЫБРОС",0)</f>
        <v>#NUM!</v>
      </c>
    </row>
    <row r="6" spans="1:16" x14ac:dyDescent="0.25">
      <c r="A6" t="s">
        <v>73</v>
      </c>
      <c r="E6" t="s">
        <v>296</v>
      </c>
      <c r="I6" t="e">
        <f>G4-I4*1.5</f>
        <v>#NUM!</v>
      </c>
      <c r="J6">
        <f>H6-J4*1.5</f>
        <v>0</v>
      </c>
      <c r="L6" t="e">
        <f t="shared" si="0"/>
        <v>#NUM!</v>
      </c>
      <c r="M6" t="e">
        <f t="shared" si="1"/>
        <v>#NUM!</v>
      </c>
    </row>
    <row r="7" spans="1:16" x14ac:dyDescent="0.25">
      <c r="A7" t="s">
        <v>74</v>
      </c>
      <c r="E7" t="s">
        <v>133</v>
      </c>
      <c r="I7" s="43" t="s">
        <v>336</v>
      </c>
      <c r="J7" s="43"/>
      <c r="L7" t="e">
        <f t="shared" si="0"/>
        <v>#NUM!</v>
      </c>
      <c r="M7" t="e">
        <f t="shared" si="1"/>
        <v>#NUM!</v>
      </c>
    </row>
    <row r="8" spans="1:16" x14ac:dyDescent="0.25">
      <c r="A8" t="s">
        <v>75</v>
      </c>
      <c r="E8" t="s">
        <v>301</v>
      </c>
      <c r="I8" t="e">
        <f>G5+I4*1.5</f>
        <v>#NUM!</v>
      </c>
      <c r="J8">
        <f>H4+J4*1.5</f>
        <v>0</v>
      </c>
      <c r="L8" t="e">
        <f t="shared" si="0"/>
        <v>#NUM!</v>
      </c>
      <c r="M8" t="e">
        <f t="shared" si="1"/>
        <v>#NUM!</v>
      </c>
    </row>
    <row r="9" spans="1:16" x14ac:dyDescent="0.25">
      <c r="A9" t="s">
        <v>76</v>
      </c>
      <c r="E9" t="s">
        <v>299</v>
      </c>
      <c r="L9" t="e">
        <f t="shared" si="0"/>
        <v>#NUM!</v>
      </c>
      <c r="M9" t="e">
        <f t="shared" si="1"/>
        <v>#NUM!</v>
      </c>
    </row>
    <row r="10" spans="1:16" x14ac:dyDescent="0.25">
      <c r="A10" t="s">
        <v>77</v>
      </c>
      <c r="E10" t="s">
        <v>141</v>
      </c>
      <c r="G10" t="s">
        <v>341</v>
      </c>
      <c r="I10" t="s">
        <v>342</v>
      </c>
      <c r="L10" t="e">
        <f t="shared" si="0"/>
        <v>#NUM!</v>
      </c>
      <c r="M10" t="e">
        <f t="shared" si="1"/>
        <v>#NUM!</v>
      </c>
    </row>
    <row r="11" spans="1:16" x14ac:dyDescent="0.25">
      <c r="A11" t="s">
        <v>78</v>
      </c>
      <c r="E11" t="s">
        <v>93</v>
      </c>
      <c r="G11" t="e">
        <f>_xlfn.STDEV.S(E1:E265)</f>
        <v>#DIV/0!</v>
      </c>
      <c r="I11" t="e">
        <f>_xlfn.VAR.S(E1:E265)</f>
        <v>#DIV/0!</v>
      </c>
      <c r="L11" t="e">
        <f t="shared" si="0"/>
        <v>#NUM!</v>
      </c>
      <c r="M11" t="e">
        <f t="shared" si="1"/>
        <v>#NUM!</v>
      </c>
    </row>
    <row r="12" spans="1:16" x14ac:dyDescent="0.25">
      <c r="A12" t="s">
        <v>79</v>
      </c>
      <c r="E12" t="s">
        <v>278</v>
      </c>
      <c r="L12" t="e">
        <f t="shared" si="0"/>
        <v>#NUM!</v>
      </c>
      <c r="M12" t="e">
        <f t="shared" si="1"/>
        <v>#NUM!</v>
      </c>
    </row>
    <row r="13" spans="1:16" x14ac:dyDescent="0.25">
      <c r="A13" t="s">
        <v>80</v>
      </c>
      <c r="E13" t="s">
        <v>70</v>
      </c>
      <c r="L13" t="e">
        <f t="shared" si="0"/>
        <v>#NUM!</v>
      </c>
      <c r="M13" t="e">
        <f t="shared" si="1"/>
        <v>#NUM!</v>
      </c>
    </row>
    <row r="14" spans="1:16" x14ac:dyDescent="0.25">
      <c r="A14" t="s">
        <v>81</v>
      </c>
      <c r="E14" t="s">
        <v>244</v>
      </c>
      <c r="L14" t="e">
        <f t="shared" si="0"/>
        <v>#NUM!</v>
      </c>
      <c r="M14" t="e">
        <f t="shared" si="1"/>
        <v>#NUM!</v>
      </c>
    </row>
    <row r="15" spans="1:16" x14ac:dyDescent="0.25">
      <c r="A15" t="s">
        <v>73</v>
      </c>
      <c r="E15" t="s">
        <v>198</v>
      </c>
      <c r="L15" t="e">
        <f t="shared" si="0"/>
        <v>#NUM!</v>
      </c>
      <c r="M15" t="e">
        <f t="shared" si="1"/>
        <v>#NUM!</v>
      </c>
    </row>
    <row r="16" spans="1:16" x14ac:dyDescent="0.25">
      <c r="A16" t="s">
        <v>82</v>
      </c>
      <c r="E16" t="s">
        <v>168</v>
      </c>
      <c r="L16" t="e">
        <f t="shared" si="0"/>
        <v>#NUM!</v>
      </c>
      <c r="M16" t="e">
        <f t="shared" si="1"/>
        <v>#NUM!</v>
      </c>
    </row>
    <row r="17" spans="1:13" x14ac:dyDescent="0.25">
      <c r="A17" t="s">
        <v>83</v>
      </c>
      <c r="E17" t="s">
        <v>168</v>
      </c>
      <c r="L17" t="e">
        <f t="shared" si="0"/>
        <v>#NUM!</v>
      </c>
      <c r="M17" t="e">
        <f t="shared" si="1"/>
        <v>#NUM!</v>
      </c>
    </row>
    <row r="18" spans="1:13" x14ac:dyDescent="0.25">
      <c r="A18" t="s">
        <v>84</v>
      </c>
      <c r="E18" t="s">
        <v>254</v>
      </c>
      <c r="L18" t="e">
        <f t="shared" si="0"/>
        <v>#NUM!</v>
      </c>
      <c r="M18" t="e">
        <f t="shared" si="1"/>
        <v>#NUM!</v>
      </c>
    </row>
    <row r="19" spans="1:13" x14ac:dyDescent="0.25">
      <c r="A19" t="s">
        <v>85</v>
      </c>
      <c r="E19" t="s">
        <v>212</v>
      </c>
      <c r="L19" t="e">
        <f t="shared" si="0"/>
        <v>#NUM!</v>
      </c>
      <c r="M19" t="e">
        <f t="shared" si="1"/>
        <v>#NUM!</v>
      </c>
    </row>
    <row r="20" spans="1:13" x14ac:dyDescent="0.25">
      <c r="A20" t="s">
        <v>86</v>
      </c>
      <c r="E20" t="s">
        <v>297</v>
      </c>
      <c r="L20" t="e">
        <f t="shared" si="0"/>
        <v>#NUM!</v>
      </c>
      <c r="M20" t="e">
        <f t="shared" si="1"/>
        <v>#NUM!</v>
      </c>
    </row>
    <row r="21" spans="1:13" x14ac:dyDescent="0.25">
      <c r="A21" t="s">
        <v>87</v>
      </c>
      <c r="E21" t="s">
        <v>276</v>
      </c>
      <c r="L21" t="e">
        <f t="shared" si="0"/>
        <v>#NUM!</v>
      </c>
      <c r="M21" t="e">
        <f t="shared" si="1"/>
        <v>#NUM!</v>
      </c>
    </row>
    <row r="22" spans="1:13" x14ac:dyDescent="0.25">
      <c r="A22" t="s">
        <v>88</v>
      </c>
      <c r="E22" t="s">
        <v>91</v>
      </c>
      <c r="L22" t="e">
        <f t="shared" si="0"/>
        <v>#NUM!</v>
      </c>
      <c r="M22" t="e">
        <f t="shared" si="1"/>
        <v>#NUM!</v>
      </c>
    </row>
    <row r="23" spans="1:13" x14ac:dyDescent="0.25">
      <c r="A23" t="s">
        <v>89</v>
      </c>
      <c r="E23" t="s">
        <v>105</v>
      </c>
      <c r="L23" t="e">
        <f t="shared" si="0"/>
        <v>#NUM!</v>
      </c>
      <c r="M23" t="e">
        <f t="shared" si="1"/>
        <v>#NUM!</v>
      </c>
    </row>
    <row r="24" spans="1:13" x14ac:dyDescent="0.25">
      <c r="A24" t="s">
        <v>90</v>
      </c>
      <c r="E24" t="s">
        <v>186</v>
      </c>
      <c r="L24" t="e">
        <f t="shared" si="0"/>
        <v>#NUM!</v>
      </c>
      <c r="M24" t="e">
        <f t="shared" si="1"/>
        <v>#NUM!</v>
      </c>
    </row>
    <row r="25" spans="1:13" x14ac:dyDescent="0.25">
      <c r="A25" t="s">
        <v>73</v>
      </c>
      <c r="E25" t="s">
        <v>268</v>
      </c>
      <c r="L25" t="e">
        <f t="shared" si="0"/>
        <v>#NUM!</v>
      </c>
      <c r="M25" t="e">
        <f t="shared" si="1"/>
        <v>#NUM!</v>
      </c>
    </row>
    <row r="26" spans="1:13" x14ac:dyDescent="0.25">
      <c r="A26" t="s">
        <v>91</v>
      </c>
      <c r="E26" t="s">
        <v>225</v>
      </c>
      <c r="L26" t="e">
        <f t="shared" si="0"/>
        <v>#NUM!</v>
      </c>
      <c r="M26" t="e">
        <f t="shared" si="1"/>
        <v>#NUM!</v>
      </c>
    </row>
    <row r="27" spans="1:13" x14ac:dyDescent="0.25">
      <c r="A27" t="s">
        <v>92</v>
      </c>
      <c r="E27" t="s">
        <v>330</v>
      </c>
      <c r="L27" t="e">
        <f t="shared" si="0"/>
        <v>#NUM!</v>
      </c>
      <c r="M27" t="e">
        <f t="shared" si="1"/>
        <v>#NUM!</v>
      </c>
    </row>
    <row r="28" spans="1:13" x14ac:dyDescent="0.25">
      <c r="A28" t="s">
        <v>93</v>
      </c>
      <c r="E28" t="s">
        <v>101</v>
      </c>
      <c r="L28" t="e">
        <f t="shared" si="0"/>
        <v>#NUM!</v>
      </c>
      <c r="M28" t="e">
        <f t="shared" si="1"/>
        <v>#NUM!</v>
      </c>
    </row>
    <row r="29" spans="1:13" x14ac:dyDescent="0.25">
      <c r="A29" t="s">
        <v>94</v>
      </c>
      <c r="E29" t="s">
        <v>294</v>
      </c>
      <c r="L29" t="e">
        <f t="shared" si="0"/>
        <v>#NUM!</v>
      </c>
      <c r="M29" t="e">
        <f t="shared" si="1"/>
        <v>#NUM!</v>
      </c>
    </row>
    <row r="30" spans="1:13" x14ac:dyDescent="0.25">
      <c r="A30" t="s">
        <v>95</v>
      </c>
      <c r="E30" t="s">
        <v>175</v>
      </c>
      <c r="L30" t="e">
        <f t="shared" si="0"/>
        <v>#NUM!</v>
      </c>
      <c r="M30" t="e">
        <f t="shared" si="1"/>
        <v>#NUM!</v>
      </c>
    </row>
    <row r="31" spans="1:13" x14ac:dyDescent="0.25">
      <c r="A31" t="s">
        <v>96</v>
      </c>
      <c r="E31" t="s">
        <v>112</v>
      </c>
      <c r="L31" t="e">
        <f t="shared" si="0"/>
        <v>#NUM!</v>
      </c>
      <c r="M31" t="e">
        <f t="shared" si="1"/>
        <v>#NUM!</v>
      </c>
    </row>
    <row r="32" spans="1:13" x14ac:dyDescent="0.25">
      <c r="A32" t="s">
        <v>97</v>
      </c>
      <c r="E32" t="s">
        <v>114</v>
      </c>
      <c r="L32" t="e">
        <f t="shared" si="0"/>
        <v>#NUM!</v>
      </c>
      <c r="M32" t="e">
        <f t="shared" si="1"/>
        <v>#NUM!</v>
      </c>
    </row>
    <row r="33" spans="1:13" x14ac:dyDescent="0.25">
      <c r="A33" t="s">
        <v>98</v>
      </c>
      <c r="E33" t="s">
        <v>96</v>
      </c>
      <c r="L33" t="e">
        <f t="shared" si="0"/>
        <v>#NUM!</v>
      </c>
      <c r="M33" t="e">
        <f t="shared" si="1"/>
        <v>#NUM!</v>
      </c>
    </row>
    <row r="34" spans="1:13" x14ac:dyDescent="0.25">
      <c r="A34" t="s">
        <v>99</v>
      </c>
      <c r="E34" t="s">
        <v>320</v>
      </c>
      <c r="L34" t="e">
        <f t="shared" si="0"/>
        <v>#NUM!</v>
      </c>
      <c r="M34" t="e">
        <f t="shared" si="1"/>
        <v>#NUM!</v>
      </c>
    </row>
    <row r="35" spans="1:13" x14ac:dyDescent="0.25">
      <c r="A35" t="s">
        <v>100</v>
      </c>
      <c r="E35" t="s">
        <v>173</v>
      </c>
      <c r="L35" t="e">
        <f t="shared" si="0"/>
        <v>#NUM!</v>
      </c>
      <c r="M35" t="e">
        <f t="shared" si="1"/>
        <v>#NUM!</v>
      </c>
    </row>
    <row r="36" spans="1:13" x14ac:dyDescent="0.25">
      <c r="A36" t="s">
        <v>101</v>
      </c>
      <c r="E36" t="s">
        <v>86</v>
      </c>
      <c r="L36" t="e">
        <f t="shared" si="0"/>
        <v>#NUM!</v>
      </c>
      <c r="M36" t="e">
        <f t="shared" si="1"/>
        <v>#NUM!</v>
      </c>
    </row>
    <row r="37" spans="1:13" x14ac:dyDescent="0.25">
      <c r="A37" t="s">
        <v>102</v>
      </c>
      <c r="E37" t="s">
        <v>129</v>
      </c>
      <c r="L37" t="e">
        <f t="shared" si="0"/>
        <v>#NUM!</v>
      </c>
      <c r="M37" t="e">
        <f t="shared" si="1"/>
        <v>#NUM!</v>
      </c>
    </row>
    <row r="38" spans="1:13" x14ac:dyDescent="0.25">
      <c r="A38" t="s">
        <v>103</v>
      </c>
      <c r="E38" t="s">
        <v>167</v>
      </c>
      <c r="L38" t="e">
        <f t="shared" si="0"/>
        <v>#NUM!</v>
      </c>
      <c r="M38" t="e">
        <f t="shared" si="1"/>
        <v>#NUM!</v>
      </c>
    </row>
    <row r="39" spans="1:13" x14ac:dyDescent="0.25">
      <c r="A39" t="s">
        <v>104</v>
      </c>
      <c r="E39" t="s">
        <v>148</v>
      </c>
      <c r="L39" t="e">
        <f t="shared" si="0"/>
        <v>#NUM!</v>
      </c>
      <c r="M39" t="e">
        <f t="shared" si="1"/>
        <v>#NUM!</v>
      </c>
    </row>
    <row r="40" spans="1:13" x14ac:dyDescent="0.25">
      <c r="A40" t="s">
        <v>105</v>
      </c>
      <c r="E40" t="s">
        <v>164</v>
      </c>
      <c r="L40" t="e">
        <f t="shared" si="0"/>
        <v>#NUM!</v>
      </c>
      <c r="M40" t="e">
        <f t="shared" si="1"/>
        <v>#NUM!</v>
      </c>
    </row>
    <row r="41" spans="1:13" x14ac:dyDescent="0.25">
      <c r="A41" t="s">
        <v>106</v>
      </c>
      <c r="E41" t="s">
        <v>208</v>
      </c>
      <c r="L41" t="e">
        <f t="shared" si="0"/>
        <v>#NUM!</v>
      </c>
      <c r="M41" t="e">
        <f t="shared" si="1"/>
        <v>#NUM!</v>
      </c>
    </row>
    <row r="42" spans="1:13" x14ac:dyDescent="0.25">
      <c r="A42" t="s">
        <v>107</v>
      </c>
      <c r="E42" t="s">
        <v>145</v>
      </c>
      <c r="L42" t="e">
        <f t="shared" si="0"/>
        <v>#NUM!</v>
      </c>
      <c r="M42" t="e">
        <f t="shared" si="1"/>
        <v>#NUM!</v>
      </c>
    </row>
    <row r="43" spans="1:13" x14ac:dyDescent="0.25">
      <c r="A43" t="s">
        <v>108</v>
      </c>
      <c r="E43" t="s">
        <v>265</v>
      </c>
      <c r="L43" t="e">
        <f t="shared" si="0"/>
        <v>#NUM!</v>
      </c>
      <c r="M43" t="e">
        <f t="shared" si="1"/>
        <v>#NUM!</v>
      </c>
    </row>
    <row r="44" spans="1:13" x14ac:dyDescent="0.25">
      <c r="A44" t="s">
        <v>109</v>
      </c>
      <c r="E44" t="s">
        <v>109</v>
      </c>
      <c r="L44" t="e">
        <f t="shared" si="0"/>
        <v>#NUM!</v>
      </c>
      <c r="M44" t="e">
        <f t="shared" si="1"/>
        <v>#NUM!</v>
      </c>
    </row>
    <row r="45" spans="1:13" x14ac:dyDescent="0.25">
      <c r="A45" t="s">
        <v>110</v>
      </c>
      <c r="E45" t="s">
        <v>322</v>
      </c>
      <c r="L45" t="e">
        <f t="shared" si="0"/>
        <v>#NUM!</v>
      </c>
      <c r="M45" t="e">
        <f t="shared" si="1"/>
        <v>#NUM!</v>
      </c>
    </row>
    <row r="46" spans="1:13" x14ac:dyDescent="0.25">
      <c r="A46" t="s">
        <v>111</v>
      </c>
      <c r="E46" t="s">
        <v>153</v>
      </c>
      <c r="L46" t="e">
        <f t="shared" si="0"/>
        <v>#NUM!</v>
      </c>
      <c r="M46" t="e">
        <f t="shared" si="1"/>
        <v>#NUM!</v>
      </c>
    </row>
    <row r="47" spans="1:13" x14ac:dyDescent="0.25">
      <c r="A47" t="s">
        <v>112</v>
      </c>
      <c r="E47" t="s">
        <v>188</v>
      </c>
      <c r="L47" t="e">
        <f t="shared" si="0"/>
        <v>#NUM!</v>
      </c>
      <c r="M47" t="e">
        <f t="shared" si="1"/>
        <v>#NUM!</v>
      </c>
    </row>
    <row r="48" spans="1:13" x14ac:dyDescent="0.25">
      <c r="A48" t="s">
        <v>113</v>
      </c>
      <c r="E48" t="s">
        <v>264</v>
      </c>
      <c r="L48" t="e">
        <f t="shared" si="0"/>
        <v>#NUM!</v>
      </c>
      <c r="M48" t="e">
        <f t="shared" si="1"/>
        <v>#NUM!</v>
      </c>
    </row>
    <row r="49" spans="1:13" x14ac:dyDescent="0.25">
      <c r="A49" t="s">
        <v>73</v>
      </c>
      <c r="E49" t="s">
        <v>261</v>
      </c>
      <c r="L49" t="e">
        <f t="shared" si="0"/>
        <v>#NUM!</v>
      </c>
      <c r="M49" t="e">
        <f t="shared" si="1"/>
        <v>#NUM!</v>
      </c>
    </row>
    <row r="50" spans="1:13" x14ac:dyDescent="0.25">
      <c r="A50" t="s">
        <v>114</v>
      </c>
      <c r="E50" t="s">
        <v>221</v>
      </c>
      <c r="L50" t="e">
        <f t="shared" si="0"/>
        <v>#NUM!</v>
      </c>
      <c r="M50" t="e">
        <f t="shared" si="1"/>
        <v>#NUM!</v>
      </c>
    </row>
    <row r="51" spans="1:13" x14ac:dyDescent="0.25">
      <c r="A51" t="s">
        <v>115</v>
      </c>
      <c r="E51" t="s">
        <v>319</v>
      </c>
      <c r="L51" t="e">
        <f t="shared" si="0"/>
        <v>#NUM!</v>
      </c>
      <c r="M51" t="e">
        <f t="shared" si="1"/>
        <v>#NUM!</v>
      </c>
    </row>
    <row r="52" spans="1:13" x14ac:dyDescent="0.25">
      <c r="A52" t="s">
        <v>116</v>
      </c>
      <c r="E52" t="s">
        <v>169</v>
      </c>
      <c r="L52" t="e">
        <f t="shared" si="0"/>
        <v>#NUM!</v>
      </c>
      <c r="M52" t="e">
        <f t="shared" si="1"/>
        <v>#NUM!</v>
      </c>
    </row>
    <row r="53" spans="1:13" x14ac:dyDescent="0.25">
      <c r="A53" t="s">
        <v>117</v>
      </c>
      <c r="E53" t="s">
        <v>324</v>
      </c>
      <c r="L53" t="e">
        <f t="shared" si="0"/>
        <v>#NUM!</v>
      </c>
      <c r="M53" t="e">
        <f t="shared" si="1"/>
        <v>#NUM!</v>
      </c>
    </row>
    <row r="54" spans="1:13" x14ac:dyDescent="0.25">
      <c r="A54" t="s">
        <v>118</v>
      </c>
      <c r="E54" t="s">
        <v>140</v>
      </c>
      <c r="L54" t="e">
        <f t="shared" si="0"/>
        <v>#NUM!</v>
      </c>
      <c r="M54" t="e">
        <f t="shared" si="1"/>
        <v>#NUM!</v>
      </c>
    </row>
    <row r="55" spans="1:13" x14ac:dyDescent="0.25">
      <c r="A55" t="s">
        <v>119</v>
      </c>
      <c r="E55" t="s">
        <v>311</v>
      </c>
      <c r="L55" t="e">
        <f t="shared" si="0"/>
        <v>#NUM!</v>
      </c>
      <c r="M55" t="e">
        <f t="shared" si="1"/>
        <v>#NUM!</v>
      </c>
    </row>
    <row r="56" spans="1:13" x14ac:dyDescent="0.25">
      <c r="A56" t="s">
        <v>73</v>
      </c>
      <c r="E56" t="s">
        <v>82</v>
      </c>
      <c r="L56" t="e">
        <f t="shared" si="0"/>
        <v>#NUM!</v>
      </c>
      <c r="M56" t="e">
        <f t="shared" si="1"/>
        <v>#NUM!</v>
      </c>
    </row>
    <row r="57" spans="1:13" x14ac:dyDescent="0.25">
      <c r="A57" t="s">
        <v>120</v>
      </c>
      <c r="E57" t="s">
        <v>280</v>
      </c>
      <c r="L57" t="e">
        <f t="shared" si="0"/>
        <v>#NUM!</v>
      </c>
      <c r="M57" t="e">
        <f t="shared" si="1"/>
        <v>#NUM!</v>
      </c>
    </row>
    <row r="58" spans="1:13" x14ac:dyDescent="0.25">
      <c r="A58" t="s">
        <v>121</v>
      </c>
      <c r="E58" t="s">
        <v>181</v>
      </c>
      <c r="L58" t="e">
        <f t="shared" si="0"/>
        <v>#NUM!</v>
      </c>
      <c r="M58" t="e">
        <f t="shared" si="1"/>
        <v>#NUM!</v>
      </c>
    </row>
    <row r="59" spans="1:13" x14ac:dyDescent="0.25">
      <c r="A59" t="s">
        <v>122</v>
      </c>
      <c r="E59" t="s">
        <v>98</v>
      </c>
      <c r="L59" t="e">
        <f t="shared" si="0"/>
        <v>#NUM!</v>
      </c>
      <c r="M59" t="e">
        <f t="shared" si="1"/>
        <v>#NUM!</v>
      </c>
    </row>
    <row r="60" spans="1:13" x14ac:dyDescent="0.25">
      <c r="A60" t="s">
        <v>123</v>
      </c>
      <c r="E60" t="s">
        <v>207</v>
      </c>
      <c r="L60" t="e">
        <f t="shared" si="0"/>
        <v>#NUM!</v>
      </c>
      <c r="M60" t="e">
        <f t="shared" si="1"/>
        <v>#NUM!</v>
      </c>
    </row>
    <row r="61" spans="1:13" x14ac:dyDescent="0.25">
      <c r="A61" t="s">
        <v>124</v>
      </c>
      <c r="E61" t="s">
        <v>192</v>
      </c>
      <c r="L61" t="e">
        <f t="shared" si="0"/>
        <v>#NUM!</v>
      </c>
      <c r="M61" t="e">
        <f t="shared" si="1"/>
        <v>#NUM!</v>
      </c>
    </row>
    <row r="62" spans="1:13" x14ac:dyDescent="0.25">
      <c r="A62" t="s">
        <v>73</v>
      </c>
      <c r="E62" t="s">
        <v>200</v>
      </c>
      <c r="L62" t="e">
        <f t="shared" si="0"/>
        <v>#NUM!</v>
      </c>
      <c r="M62" t="e">
        <f t="shared" si="1"/>
        <v>#NUM!</v>
      </c>
    </row>
    <row r="63" spans="1:13" x14ac:dyDescent="0.25">
      <c r="A63" t="s">
        <v>125</v>
      </c>
      <c r="E63" t="s">
        <v>298</v>
      </c>
      <c r="L63" t="e">
        <f t="shared" si="0"/>
        <v>#NUM!</v>
      </c>
      <c r="M63" t="e">
        <f t="shared" si="1"/>
        <v>#NUM!</v>
      </c>
    </row>
    <row r="64" spans="1:13" x14ac:dyDescent="0.25">
      <c r="A64" t="s">
        <v>126</v>
      </c>
      <c r="E64" t="s">
        <v>289</v>
      </c>
      <c r="L64" t="e">
        <f t="shared" si="0"/>
        <v>#NUM!</v>
      </c>
      <c r="M64" t="e">
        <f t="shared" si="1"/>
        <v>#NUM!</v>
      </c>
    </row>
    <row r="65" spans="1:13" x14ac:dyDescent="0.25">
      <c r="A65" t="s">
        <v>127</v>
      </c>
      <c r="E65" t="s">
        <v>315</v>
      </c>
      <c r="L65" t="e">
        <f t="shared" si="0"/>
        <v>#NUM!</v>
      </c>
      <c r="M65" t="e">
        <f t="shared" si="1"/>
        <v>#NUM!</v>
      </c>
    </row>
    <row r="66" spans="1:13" x14ac:dyDescent="0.25">
      <c r="A66" t="s">
        <v>73</v>
      </c>
      <c r="E66" t="s">
        <v>223</v>
      </c>
      <c r="L66" t="e">
        <f t="shared" si="0"/>
        <v>#NUM!</v>
      </c>
      <c r="M66" t="e">
        <f t="shared" si="1"/>
        <v>#NUM!</v>
      </c>
    </row>
    <row r="67" spans="1:13" x14ac:dyDescent="0.25">
      <c r="A67" t="s">
        <v>128</v>
      </c>
      <c r="E67" t="s">
        <v>134</v>
      </c>
      <c r="L67" t="e">
        <f t="shared" si="0"/>
        <v>#NUM!</v>
      </c>
      <c r="M67" t="e">
        <f t="shared" si="1"/>
        <v>#NUM!</v>
      </c>
    </row>
    <row r="68" spans="1:13" x14ac:dyDescent="0.25">
      <c r="A68" t="s">
        <v>129</v>
      </c>
      <c r="E68" t="s">
        <v>122</v>
      </c>
      <c r="L68" t="e">
        <f t="shared" si="0"/>
        <v>#NUM!</v>
      </c>
      <c r="M68" t="e">
        <f t="shared" si="1"/>
        <v>#NUM!</v>
      </c>
    </row>
    <row r="69" spans="1:13" x14ac:dyDescent="0.25">
      <c r="A69" t="s">
        <v>130</v>
      </c>
      <c r="E69" t="s">
        <v>325</v>
      </c>
      <c r="L69" t="e">
        <f t="shared" ref="L69:L132" si="2">IF(E66&lt;I$6,"ВЫБРОС",0)</f>
        <v>#NUM!</v>
      </c>
      <c r="M69" t="e">
        <f t="shared" ref="M69:M132" si="3">IF(E66&gt;I$8,"ВЫБРОС",0)</f>
        <v>#NUM!</v>
      </c>
    </row>
    <row r="70" spans="1:13" x14ac:dyDescent="0.25">
      <c r="A70" t="s">
        <v>131</v>
      </c>
      <c r="E70" t="s">
        <v>328</v>
      </c>
      <c r="L70" t="e">
        <f t="shared" si="2"/>
        <v>#NUM!</v>
      </c>
      <c r="M70" t="e">
        <f t="shared" si="3"/>
        <v>#NUM!</v>
      </c>
    </row>
    <row r="71" spans="1:13" x14ac:dyDescent="0.25">
      <c r="A71" t="s">
        <v>132</v>
      </c>
      <c r="E71" t="s">
        <v>176</v>
      </c>
      <c r="L71" t="e">
        <f t="shared" si="2"/>
        <v>#NUM!</v>
      </c>
      <c r="M71" t="e">
        <f t="shared" si="3"/>
        <v>#NUM!</v>
      </c>
    </row>
    <row r="72" spans="1:13" x14ac:dyDescent="0.25">
      <c r="A72" t="s">
        <v>73</v>
      </c>
      <c r="E72" t="s">
        <v>329</v>
      </c>
      <c r="L72" t="e">
        <f t="shared" si="2"/>
        <v>#NUM!</v>
      </c>
      <c r="M72" t="e">
        <f t="shared" si="3"/>
        <v>#NUM!</v>
      </c>
    </row>
    <row r="73" spans="1:13" x14ac:dyDescent="0.25">
      <c r="A73" t="s">
        <v>133</v>
      </c>
      <c r="E73" t="s">
        <v>191</v>
      </c>
      <c r="L73" t="e">
        <f t="shared" si="2"/>
        <v>#NUM!</v>
      </c>
      <c r="M73" t="e">
        <f t="shared" si="3"/>
        <v>#NUM!</v>
      </c>
    </row>
    <row r="74" spans="1:13" x14ac:dyDescent="0.25">
      <c r="A74" t="s">
        <v>134</v>
      </c>
      <c r="E74" t="s">
        <v>256</v>
      </c>
      <c r="L74" t="e">
        <f t="shared" si="2"/>
        <v>#NUM!</v>
      </c>
      <c r="M74" t="e">
        <f t="shared" si="3"/>
        <v>#NUM!</v>
      </c>
    </row>
    <row r="75" spans="1:13" x14ac:dyDescent="0.25">
      <c r="A75" t="s">
        <v>135</v>
      </c>
      <c r="E75" t="s">
        <v>201</v>
      </c>
      <c r="L75" t="e">
        <f t="shared" si="2"/>
        <v>#NUM!</v>
      </c>
      <c r="M75" t="e">
        <f t="shared" si="3"/>
        <v>#NUM!</v>
      </c>
    </row>
    <row r="76" spans="1:13" x14ac:dyDescent="0.25">
      <c r="A76" t="s">
        <v>136</v>
      </c>
      <c r="E76" t="s">
        <v>241</v>
      </c>
      <c r="L76" t="e">
        <f t="shared" si="2"/>
        <v>#NUM!</v>
      </c>
      <c r="M76" t="e">
        <f t="shared" si="3"/>
        <v>#NUM!</v>
      </c>
    </row>
    <row r="77" spans="1:13" x14ac:dyDescent="0.25">
      <c r="A77" t="s">
        <v>137</v>
      </c>
      <c r="E77" t="s">
        <v>189</v>
      </c>
      <c r="L77" t="e">
        <f t="shared" si="2"/>
        <v>#NUM!</v>
      </c>
      <c r="M77" t="e">
        <f t="shared" si="3"/>
        <v>#NUM!</v>
      </c>
    </row>
    <row r="78" spans="1:13" x14ac:dyDescent="0.25">
      <c r="A78" t="s">
        <v>138</v>
      </c>
      <c r="E78" t="s">
        <v>259</v>
      </c>
      <c r="L78" t="e">
        <f t="shared" si="2"/>
        <v>#NUM!</v>
      </c>
      <c r="M78" t="e">
        <f t="shared" si="3"/>
        <v>#NUM!</v>
      </c>
    </row>
    <row r="79" spans="1:13" x14ac:dyDescent="0.25">
      <c r="A79" t="s">
        <v>139</v>
      </c>
      <c r="E79" t="s">
        <v>171</v>
      </c>
      <c r="L79" t="e">
        <f t="shared" si="2"/>
        <v>#NUM!</v>
      </c>
      <c r="M79" t="e">
        <f t="shared" si="3"/>
        <v>#NUM!</v>
      </c>
    </row>
    <row r="80" spans="1:13" x14ac:dyDescent="0.25">
      <c r="A80" t="s">
        <v>140</v>
      </c>
      <c r="E80" t="s">
        <v>209</v>
      </c>
      <c r="L80" t="e">
        <f t="shared" si="2"/>
        <v>#NUM!</v>
      </c>
      <c r="M80" t="e">
        <f t="shared" si="3"/>
        <v>#NUM!</v>
      </c>
    </row>
    <row r="81" spans="1:13" x14ac:dyDescent="0.25">
      <c r="A81" t="s">
        <v>141</v>
      </c>
      <c r="E81" t="s">
        <v>309</v>
      </c>
      <c r="L81" t="e">
        <f t="shared" si="2"/>
        <v>#NUM!</v>
      </c>
      <c r="M81" t="e">
        <f t="shared" si="3"/>
        <v>#NUM!</v>
      </c>
    </row>
    <row r="82" spans="1:13" x14ac:dyDescent="0.25">
      <c r="A82" t="s">
        <v>142</v>
      </c>
      <c r="E82" t="s">
        <v>137</v>
      </c>
      <c r="L82" t="e">
        <f t="shared" si="2"/>
        <v>#NUM!</v>
      </c>
      <c r="M82" t="e">
        <f t="shared" si="3"/>
        <v>#NUM!</v>
      </c>
    </row>
    <row r="83" spans="1:13" x14ac:dyDescent="0.25">
      <c r="A83" t="s">
        <v>143</v>
      </c>
      <c r="E83" t="s">
        <v>216</v>
      </c>
      <c r="L83" t="e">
        <f t="shared" si="2"/>
        <v>#NUM!</v>
      </c>
      <c r="M83" t="e">
        <f t="shared" si="3"/>
        <v>#NUM!</v>
      </c>
    </row>
    <row r="84" spans="1:13" x14ac:dyDescent="0.25">
      <c r="A84" t="s">
        <v>144</v>
      </c>
      <c r="E84" t="s">
        <v>128</v>
      </c>
      <c r="L84" t="e">
        <f t="shared" si="2"/>
        <v>#NUM!</v>
      </c>
      <c r="M84" t="e">
        <f t="shared" si="3"/>
        <v>#NUM!</v>
      </c>
    </row>
    <row r="85" spans="1:13" x14ac:dyDescent="0.25">
      <c r="A85" t="s">
        <v>145</v>
      </c>
      <c r="E85" t="s">
        <v>195</v>
      </c>
      <c r="L85" t="e">
        <f t="shared" si="2"/>
        <v>#NUM!</v>
      </c>
      <c r="M85" t="e">
        <f t="shared" si="3"/>
        <v>#NUM!</v>
      </c>
    </row>
    <row r="86" spans="1:13" x14ac:dyDescent="0.25">
      <c r="A86" t="s">
        <v>146</v>
      </c>
      <c r="E86" t="s">
        <v>115</v>
      </c>
      <c r="L86" t="e">
        <f t="shared" si="2"/>
        <v>#NUM!</v>
      </c>
      <c r="M86" t="e">
        <f t="shared" si="3"/>
        <v>#NUM!</v>
      </c>
    </row>
    <row r="87" spans="1:13" x14ac:dyDescent="0.25">
      <c r="A87" t="s">
        <v>147</v>
      </c>
      <c r="E87" t="s">
        <v>219</v>
      </c>
      <c r="L87" t="e">
        <f t="shared" si="2"/>
        <v>#NUM!</v>
      </c>
      <c r="M87" t="e">
        <f t="shared" si="3"/>
        <v>#NUM!</v>
      </c>
    </row>
    <row r="88" spans="1:13" x14ac:dyDescent="0.25">
      <c r="A88" t="s">
        <v>148</v>
      </c>
      <c r="E88" t="s">
        <v>95</v>
      </c>
      <c r="L88" t="e">
        <f t="shared" si="2"/>
        <v>#NUM!</v>
      </c>
      <c r="M88" t="e">
        <f t="shared" si="3"/>
        <v>#NUM!</v>
      </c>
    </row>
    <row r="89" spans="1:13" x14ac:dyDescent="0.25">
      <c r="A89" t="s">
        <v>149</v>
      </c>
      <c r="E89" t="s">
        <v>154</v>
      </c>
      <c r="L89" t="e">
        <f t="shared" si="2"/>
        <v>#NUM!</v>
      </c>
      <c r="M89" t="e">
        <f t="shared" si="3"/>
        <v>#NUM!</v>
      </c>
    </row>
    <row r="90" spans="1:13" x14ac:dyDescent="0.25">
      <c r="A90" t="s">
        <v>150</v>
      </c>
      <c r="E90" t="s">
        <v>99</v>
      </c>
      <c r="L90" t="e">
        <f t="shared" si="2"/>
        <v>#NUM!</v>
      </c>
      <c r="M90" t="e">
        <f t="shared" si="3"/>
        <v>#NUM!</v>
      </c>
    </row>
    <row r="91" spans="1:13" x14ac:dyDescent="0.25">
      <c r="A91" t="s">
        <v>73</v>
      </c>
      <c r="E91" t="s">
        <v>248</v>
      </c>
      <c r="L91" t="e">
        <f t="shared" si="2"/>
        <v>#NUM!</v>
      </c>
      <c r="M91" t="e">
        <f t="shared" si="3"/>
        <v>#NUM!</v>
      </c>
    </row>
    <row r="92" spans="1:13" x14ac:dyDescent="0.25">
      <c r="A92" t="s">
        <v>151</v>
      </c>
      <c r="E92" t="s">
        <v>253</v>
      </c>
      <c r="L92" t="e">
        <f t="shared" si="2"/>
        <v>#NUM!</v>
      </c>
      <c r="M92" t="e">
        <f t="shared" si="3"/>
        <v>#NUM!</v>
      </c>
    </row>
    <row r="93" spans="1:13" x14ac:dyDescent="0.25">
      <c r="A93" t="s">
        <v>152</v>
      </c>
      <c r="E93" t="s">
        <v>220</v>
      </c>
      <c r="L93" t="e">
        <f t="shared" si="2"/>
        <v>#NUM!</v>
      </c>
      <c r="M93" t="e">
        <f t="shared" si="3"/>
        <v>#NUM!</v>
      </c>
    </row>
    <row r="94" spans="1:13" x14ac:dyDescent="0.25">
      <c r="A94" t="s">
        <v>153</v>
      </c>
      <c r="E94" t="s">
        <v>229</v>
      </c>
      <c r="L94" t="e">
        <f t="shared" si="2"/>
        <v>#NUM!</v>
      </c>
      <c r="M94" t="e">
        <f t="shared" si="3"/>
        <v>#NUM!</v>
      </c>
    </row>
    <row r="95" spans="1:13" x14ac:dyDescent="0.25">
      <c r="A95" t="s">
        <v>154</v>
      </c>
      <c r="E95" t="s">
        <v>227</v>
      </c>
      <c r="L95" t="e">
        <f t="shared" si="2"/>
        <v>#NUM!</v>
      </c>
      <c r="M95" t="e">
        <f t="shared" si="3"/>
        <v>#NUM!</v>
      </c>
    </row>
    <row r="96" spans="1:13" x14ac:dyDescent="0.25">
      <c r="A96" t="s">
        <v>155</v>
      </c>
      <c r="E96" t="s">
        <v>120</v>
      </c>
      <c r="L96" t="e">
        <f t="shared" si="2"/>
        <v>#NUM!</v>
      </c>
      <c r="M96" t="e">
        <f t="shared" si="3"/>
        <v>#NUM!</v>
      </c>
    </row>
    <row r="97" spans="1:13" x14ac:dyDescent="0.25">
      <c r="A97" t="s">
        <v>156</v>
      </c>
      <c r="E97" t="s">
        <v>232</v>
      </c>
      <c r="L97" t="e">
        <f t="shared" si="2"/>
        <v>#NUM!</v>
      </c>
      <c r="M97" t="e">
        <f t="shared" si="3"/>
        <v>#NUM!</v>
      </c>
    </row>
    <row r="98" spans="1:13" x14ac:dyDescent="0.25">
      <c r="A98" t="s">
        <v>157</v>
      </c>
      <c r="E98" t="s">
        <v>275</v>
      </c>
      <c r="L98" t="e">
        <f t="shared" si="2"/>
        <v>#NUM!</v>
      </c>
      <c r="M98" t="e">
        <f t="shared" si="3"/>
        <v>#NUM!</v>
      </c>
    </row>
    <row r="99" spans="1:13" x14ac:dyDescent="0.25">
      <c r="A99" t="s">
        <v>158</v>
      </c>
      <c r="E99" t="s">
        <v>179</v>
      </c>
      <c r="L99" t="e">
        <f t="shared" si="2"/>
        <v>#NUM!</v>
      </c>
      <c r="M99" t="e">
        <f t="shared" si="3"/>
        <v>#NUM!</v>
      </c>
    </row>
    <row r="100" spans="1:13" x14ac:dyDescent="0.25">
      <c r="A100" t="s">
        <v>159</v>
      </c>
      <c r="E100" t="s">
        <v>142</v>
      </c>
      <c r="L100" t="e">
        <f t="shared" si="2"/>
        <v>#NUM!</v>
      </c>
      <c r="M100" t="e">
        <f t="shared" si="3"/>
        <v>#NUM!</v>
      </c>
    </row>
    <row r="101" spans="1:13" x14ac:dyDescent="0.25">
      <c r="A101" t="s">
        <v>160</v>
      </c>
      <c r="E101" t="s">
        <v>277</v>
      </c>
      <c r="L101" t="e">
        <f t="shared" si="2"/>
        <v>#NUM!</v>
      </c>
      <c r="M101" t="e">
        <f t="shared" si="3"/>
        <v>#NUM!</v>
      </c>
    </row>
    <row r="102" spans="1:13" x14ac:dyDescent="0.25">
      <c r="A102" t="s">
        <v>73</v>
      </c>
      <c r="E102" t="s">
        <v>272</v>
      </c>
      <c r="L102" t="e">
        <f t="shared" si="2"/>
        <v>#NUM!</v>
      </c>
      <c r="M102" t="e">
        <f t="shared" si="3"/>
        <v>#NUM!</v>
      </c>
    </row>
    <row r="103" spans="1:13" x14ac:dyDescent="0.25">
      <c r="A103" t="s">
        <v>161</v>
      </c>
      <c r="E103" t="s">
        <v>284</v>
      </c>
      <c r="L103" t="e">
        <f t="shared" si="2"/>
        <v>#NUM!</v>
      </c>
      <c r="M103" t="e">
        <f t="shared" si="3"/>
        <v>#NUM!</v>
      </c>
    </row>
    <row r="104" spans="1:13" x14ac:dyDescent="0.25">
      <c r="A104" t="s">
        <v>162</v>
      </c>
      <c r="E104" t="s">
        <v>302</v>
      </c>
      <c r="L104" t="e">
        <f t="shared" si="2"/>
        <v>#NUM!</v>
      </c>
      <c r="M104" t="e">
        <f t="shared" si="3"/>
        <v>#NUM!</v>
      </c>
    </row>
    <row r="105" spans="1:13" x14ac:dyDescent="0.25">
      <c r="A105" t="s">
        <v>163</v>
      </c>
      <c r="E105" t="s">
        <v>74</v>
      </c>
      <c r="L105" t="e">
        <f t="shared" si="2"/>
        <v>#NUM!</v>
      </c>
      <c r="M105" t="e">
        <f t="shared" si="3"/>
        <v>#NUM!</v>
      </c>
    </row>
    <row r="106" spans="1:13" x14ac:dyDescent="0.25">
      <c r="A106" t="s">
        <v>164</v>
      </c>
      <c r="E106" t="s">
        <v>233</v>
      </c>
      <c r="L106" t="e">
        <f t="shared" si="2"/>
        <v>#NUM!</v>
      </c>
      <c r="M106" t="e">
        <f t="shared" si="3"/>
        <v>#NUM!</v>
      </c>
    </row>
    <row r="107" spans="1:13" x14ac:dyDescent="0.25">
      <c r="A107" t="s">
        <v>165</v>
      </c>
      <c r="E107" t="s">
        <v>312</v>
      </c>
      <c r="L107" t="e">
        <f t="shared" si="2"/>
        <v>#NUM!</v>
      </c>
      <c r="M107" t="e">
        <f t="shared" si="3"/>
        <v>#NUM!</v>
      </c>
    </row>
    <row r="108" spans="1:13" x14ac:dyDescent="0.25">
      <c r="A108" t="s">
        <v>166</v>
      </c>
      <c r="E108" t="s">
        <v>69</v>
      </c>
      <c r="L108" t="e">
        <f t="shared" si="2"/>
        <v>#NUM!</v>
      </c>
      <c r="M108" t="e">
        <f t="shared" si="3"/>
        <v>#NUM!</v>
      </c>
    </row>
    <row r="109" spans="1:13" x14ac:dyDescent="0.25">
      <c r="A109" t="s">
        <v>167</v>
      </c>
      <c r="E109" t="s">
        <v>77</v>
      </c>
      <c r="L109" t="e">
        <f t="shared" si="2"/>
        <v>#NUM!</v>
      </c>
      <c r="M109" t="e">
        <f t="shared" si="3"/>
        <v>#NUM!</v>
      </c>
    </row>
    <row r="110" spans="1:13" x14ac:dyDescent="0.25">
      <c r="A110" t="s">
        <v>168</v>
      </c>
      <c r="E110" t="s">
        <v>170</v>
      </c>
      <c r="L110" t="e">
        <f t="shared" si="2"/>
        <v>#NUM!</v>
      </c>
      <c r="M110" t="e">
        <f t="shared" si="3"/>
        <v>#NUM!</v>
      </c>
    </row>
    <row r="111" spans="1:13" x14ac:dyDescent="0.25">
      <c r="A111" t="s">
        <v>73</v>
      </c>
      <c r="E111" t="s">
        <v>293</v>
      </c>
      <c r="L111" t="e">
        <f t="shared" si="2"/>
        <v>#NUM!</v>
      </c>
      <c r="M111" t="e">
        <f t="shared" si="3"/>
        <v>#NUM!</v>
      </c>
    </row>
    <row r="112" spans="1:13" x14ac:dyDescent="0.25">
      <c r="A112" t="s">
        <v>169</v>
      </c>
      <c r="E112" t="s">
        <v>84</v>
      </c>
      <c r="L112" t="e">
        <f t="shared" si="2"/>
        <v>#NUM!</v>
      </c>
      <c r="M112" t="e">
        <f t="shared" si="3"/>
        <v>#NUM!</v>
      </c>
    </row>
    <row r="113" spans="1:13" x14ac:dyDescent="0.25">
      <c r="A113" t="s">
        <v>170</v>
      </c>
      <c r="E113" t="s">
        <v>246</v>
      </c>
      <c r="L113" t="e">
        <f t="shared" si="2"/>
        <v>#NUM!</v>
      </c>
      <c r="M113" t="e">
        <f t="shared" si="3"/>
        <v>#NUM!</v>
      </c>
    </row>
    <row r="114" spans="1:13" x14ac:dyDescent="0.25">
      <c r="A114" t="s">
        <v>171</v>
      </c>
      <c r="E114" t="s">
        <v>279</v>
      </c>
      <c r="L114" t="e">
        <f t="shared" si="2"/>
        <v>#NUM!</v>
      </c>
      <c r="M114" t="e">
        <f t="shared" si="3"/>
        <v>#NUM!</v>
      </c>
    </row>
    <row r="115" spans="1:13" x14ac:dyDescent="0.25">
      <c r="A115" t="s">
        <v>172</v>
      </c>
      <c r="E115" t="s">
        <v>161</v>
      </c>
      <c r="L115" t="e">
        <f t="shared" si="2"/>
        <v>#NUM!</v>
      </c>
      <c r="M115" t="e">
        <f t="shared" si="3"/>
        <v>#NUM!</v>
      </c>
    </row>
    <row r="116" spans="1:13" x14ac:dyDescent="0.25">
      <c r="A116" t="s">
        <v>73</v>
      </c>
      <c r="E116" t="s">
        <v>326</v>
      </c>
      <c r="L116" t="e">
        <f t="shared" si="2"/>
        <v>#NUM!</v>
      </c>
      <c r="M116" t="e">
        <f t="shared" si="3"/>
        <v>#NUM!</v>
      </c>
    </row>
    <row r="117" spans="1:13" x14ac:dyDescent="0.25">
      <c r="A117" t="s">
        <v>73</v>
      </c>
      <c r="E117" t="s">
        <v>306</v>
      </c>
      <c r="L117" t="e">
        <f t="shared" si="2"/>
        <v>#NUM!</v>
      </c>
      <c r="M117" t="e">
        <f t="shared" si="3"/>
        <v>#NUM!</v>
      </c>
    </row>
    <row r="118" spans="1:13" x14ac:dyDescent="0.25">
      <c r="A118" t="s">
        <v>173</v>
      </c>
      <c r="E118" t="s">
        <v>199</v>
      </c>
      <c r="L118" t="e">
        <f t="shared" si="2"/>
        <v>#NUM!</v>
      </c>
      <c r="M118" t="e">
        <f t="shared" si="3"/>
        <v>#NUM!</v>
      </c>
    </row>
    <row r="119" spans="1:13" x14ac:dyDescent="0.25">
      <c r="A119" t="s">
        <v>174</v>
      </c>
      <c r="E119" t="s">
        <v>271</v>
      </c>
      <c r="L119" t="e">
        <f t="shared" si="2"/>
        <v>#NUM!</v>
      </c>
      <c r="M119" t="e">
        <f t="shared" si="3"/>
        <v>#NUM!</v>
      </c>
    </row>
    <row r="120" spans="1:13" x14ac:dyDescent="0.25">
      <c r="A120" t="s">
        <v>175</v>
      </c>
      <c r="E120" t="s">
        <v>213</v>
      </c>
      <c r="L120" t="e">
        <f t="shared" si="2"/>
        <v>#NUM!</v>
      </c>
      <c r="M120" t="e">
        <f t="shared" si="3"/>
        <v>#NUM!</v>
      </c>
    </row>
    <row r="121" spans="1:13" x14ac:dyDescent="0.25">
      <c r="A121" t="s">
        <v>176</v>
      </c>
      <c r="E121" t="s">
        <v>87</v>
      </c>
      <c r="L121" t="e">
        <f t="shared" si="2"/>
        <v>#NUM!</v>
      </c>
      <c r="M121" t="e">
        <f t="shared" si="3"/>
        <v>#NUM!</v>
      </c>
    </row>
    <row r="122" spans="1:13" x14ac:dyDescent="0.25">
      <c r="A122" t="s">
        <v>177</v>
      </c>
      <c r="E122" t="s">
        <v>243</v>
      </c>
      <c r="L122" t="e">
        <f t="shared" si="2"/>
        <v>#NUM!</v>
      </c>
      <c r="M122" t="e">
        <f t="shared" si="3"/>
        <v>#NUM!</v>
      </c>
    </row>
    <row r="123" spans="1:13" x14ac:dyDescent="0.25">
      <c r="A123" t="s">
        <v>178</v>
      </c>
      <c r="E123" t="s">
        <v>295</v>
      </c>
      <c r="L123" t="e">
        <f t="shared" si="2"/>
        <v>#NUM!</v>
      </c>
      <c r="M123" t="e">
        <f t="shared" si="3"/>
        <v>#NUM!</v>
      </c>
    </row>
    <row r="124" spans="1:13" x14ac:dyDescent="0.25">
      <c r="A124" t="s">
        <v>179</v>
      </c>
      <c r="E124" t="s">
        <v>321</v>
      </c>
      <c r="L124" t="e">
        <f t="shared" si="2"/>
        <v>#NUM!</v>
      </c>
      <c r="M124" t="e">
        <f t="shared" si="3"/>
        <v>#NUM!</v>
      </c>
    </row>
    <row r="125" spans="1:13" x14ac:dyDescent="0.25">
      <c r="A125" t="s">
        <v>180</v>
      </c>
      <c r="E125" t="s">
        <v>100</v>
      </c>
      <c r="L125" t="e">
        <f t="shared" si="2"/>
        <v>#NUM!</v>
      </c>
      <c r="M125" t="e">
        <f t="shared" si="3"/>
        <v>#NUM!</v>
      </c>
    </row>
    <row r="126" spans="1:13" x14ac:dyDescent="0.25">
      <c r="A126" t="s">
        <v>181</v>
      </c>
      <c r="E126" t="s">
        <v>151</v>
      </c>
      <c r="L126" t="e">
        <f t="shared" si="2"/>
        <v>#NUM!</v>
      </c>
      <c r="M126" t="e">
        <f t="shared" si="3"/>
        <v>#NUM!</v>
      </c>
    </row>
    <row r="127" spans="1:13" x14ac:dyDescent="0.25">
      <c r="A127" t="s">
        <v>182</v>
      </c>
      <c r="E127" t="s">
        <v>166</v>
      </c>
      <c r="L127" t="e">
        <f t="shared" si="2"/>
        <v>#NUM!</v>
      </c>
      <c r="M127" t="e">
        <f t="shared" si="3"/>
        <v>#NUM!</v>
      </c>
    </row>
    <row r="128" spans="1:13" x14ac:dyDescent="0.25">
      <c r="A128" t="s">
        <v>183</v>
      </c>
      <c r="E128" t="s">
        <v>205</v>
      </c>
      <c r="L128" t="e">
        <f t="shared" si="2"/>
        <v>#NUM!</v>
      </c>
      <c r="M128" t="e">
        <f t="shared" si="3"/>
        <v>#NUM!</v>
      </c>
    </row>
    <row r="129" spans="1:13" x14ac:dyDescent="0.25">
      <c r="A129" t="s">
        <v>184</v>
      </c>
      <c r="E129" t="s">
        <v>331</v>
      </c>
      <c r="L129" t="e">
        <f t="shared" si="2"/>
        <v>#NUM!</v>
      </c>
      <c r="M129" t="e">
        <f t="shared" si="3"/>
        <v>#NUM!</v>
      </c>
    </row>
    <row r="130" spans="1:13" x14ac:dyDescent="0.25">
      <c r="A130" t="s">
        <v>185</v>
      </c>
      <c r="E130" t="s">
        <v>203</v>
      </c>
      <c r="L130" t="e">
        <f t="shared" si="2"/>
        <v>#NUM!</v>
      </c>
      <c r="M130" t="e">
        <f t="shared" si="3"/>
        <v>#NUM!</v>
      </c>
    </row>
    <row r="131" spans="1:13" x14ac:dyDescent="0.25">
      <c r="A131" t="s">
        <v>186</v>
      </c>
      <c r="E131" t="s">
        <v>218</v>
      </c>
      <c r="L131" t="e">
        <f t="shared" si="2"/>
        <v>#NUM!</v>
      </c>
      <c r="M131" t="e">
        <f t="shared" si="3"/>
        <v>#NUM!</v>
      </c>
    </row>
    <row r="132" spans="1:13" x14ac:dyDescent="0.25">
      <c r="A132" t="s">
        <v>187</v>
      </c>
      <c r="E132" t="s">
        <v>102</v>
      </c>
      <c r="L132" t="e">
        <f t="shared" si="2"/>
        <v>#NUM!</v>
      </c>
      <c r="M132" t="e">
        <f t="shared" si="3"/>
        <v>#NUM!</v>
      </c>
    </row>
    <row r="133" spans="1:13" x14ac:dyDescent="0.25">
      <c r="A133" t="s">
        <v>188</v>
      </c>
      <c r="E133" t="s">
        <v>121</v>
      </c>
      <c r="L133" t="e">
        <f t="shared" ref="L133:L196" si="4">IF(E130&lt;I$6,"ВЫБРОС",0)</f>
        <v>#NUM!</v>
      </c>
      <c r="M133" t="e">
        <f t="shared" ref="M133:M196" si="5">IF(E130&gt;I$8,"ВЫБРОС",0)</f>
        <v>#NUM!</v>
      </c>
    </row>
    <row r="134" spans="1:13" x14ac:dyDescent="0.25">
      <c r="A134" t="s">
        <v>189</v>
      </c>
      <c r="E134" t="s">
        <v>163</v>
      </c>
      <c r="L134" t="e">
        <f t="shared" si="4"/>
        <v>#NUM!</v>
      </c>
      <c r="M134" t="e">
        <f t="shared" si="5"/>
        <v>#NUM!</v>
      </c>
    </row>
    <row r="135" spans="1:13" x14ac:dyDescent="0.25">
      <c r="A135" t="s">
        <v>190</v>
      </c>
      <c r="E135" t="s">
        <v>217</v>
      </c>
      <c r="L135" t="e">
        <f t="shared" si="4"/>
        <v>#NUM!</v>
      </c>
      <c r="M135" t="e">
        <f t="shared" si="5"/>
        <v>#NUM!</v>
      </c>
    </row>
    <row r="136" spans="1:13" x14ac:dyDescent="0.25">
      <c r="A136" t="s">
        <v>191</v>
      </c>
      <c r="E136" t="s">
        <v>111</v>
      </c>
      <c r="L136" t="e">
        <f t="shared" si="4"/>
        <v>#NUM!</v>
      </c>
      <c r="M136" t="e">
        <f t="shared" si="5"/>
        <v>#NUM!</v>
      </c>
    </row>
    <row r="137" spans="1:13" x14ac:dyDescent="0.25">
      <c r="A137" t="s">
        <v>192</v>
      </c>
      <c r="E137" t="s">
        <v>174</v>
      </c>
      <c r="L137" t="e">
        <f t="shared" si="4"/>
        <v>#NUM!</v>
      </c>
      <c r="M137" t="e">
        <f t="shared" si="5"/>
        <v>#NUM!</v>
      </c>
    </row>
    <row r="138" spans="1:13" x14ac:dyDescent="0.25">
      <c r="A138" t="s">
        <v>193</v>
      </c>
      <c r="E138" t="s">
        <v>224</v>
      </c>
      <c r="L138" t="e">
        <f t="shared" si="4"/>
        <v>#NUM!</v>
      </c>
      <c r="M138" t="e">
        <f t="shared" si="5"/>
        <v>#NUM!</v>
      </c>
    </row>
    <row r="139" spans="1:13" x14ac:dyDescent="0.25">
      <c r="A139" t="s">
        <v>194</v>
      </c>
      <c r="E139" t="s">
        <v>152</v>
      </c>
      <c r="L139" t="e">
        <f t="shared" si="4"/>
        <v>#NUM!</v>
      </c>
      <c r="M139" t="e">
        <f t="shared" si="5"/>
        <v>#NUM!</v>
      </c>
    </row>
    <row r="140" spans="1:13" x14ac:dyDescent="0.25">
      <c r="A140" t="s">
        <v>168</v>
      </c>
      <c r="E140" t="s">
        <v>149</v>
      </c>
      <c r="L140" t="e">
        <f t="shared" si="4"/>
        <v>#NUM!</v>
      </c>
      <c r="M140" t="e">
        <f t="shared" si="5"/>
        <v>#NUM!</v>
      </c>
    </row>
    <row r="141" spans="1:13" x14ac:dyDescent="0.25">
      <c r="A141" t="s">
        <v>195</v>
      </c>
      <c r="E141" t="s">
        <v>178</v>
      </c>
      <c r="L141" t="e">
        <f t="shared" si="4"/>
        <v>#NUM!</v>
      </c>
      <c r="M141" t="e">
        <f t="shared" si="5"/>
        <v>#NUM!</v>
      </c>
    </row>
    <row r="142" spans="1:13" x14ac:dyDescent="0.25">
      <c r="A142" t="s">
        <v>196</v>
      </c>
      <c r="E142" t="s">
        <v>180</v>
      </c>
      <c r="L142" t="e">
        <f t="shared" si="4"/>
        <v>#NUM!</v>
      </c>
      <c r="M142" t="e">
        <f t="shared" si="5"/>
        <v>#NUM!</v>
      </c>
    </row>
    <row r="143" spans="1:13" x14ac:dyDescent="0.25">
      <c r="A143" t="s">
        <v>197</v>
      </c>
      <c r="E143" t="s">
        <v>157</v>
      </c>
      <c r="L143" t="e">
        <f t="shared" si="4"/>
        <v>#NUM!</v>
      </c>
      <c r="M143" t="e">
        <f t="shared" si="5"/>
        <v>#NUM!</v>
      </c>
    </row>
    <row r="144" spans="1:13" x14ac:dyDescent="0.25">
      <c r="A144" t="s">
        <v>198</v>
      </c>
      <c r="E144" t="s">
        <v>184</v>
      </c>
      <c r="L144" t="e">
        <f t="shared" si="4"/>
        <v>#NUM!</v>
      </c>
      <c r="M144" t="e">
        <f t="shared" si="5"/>
        <v>#NUM!</v>
      </c>
    </row>
    <row r="145" spans="1:13" x14ac:dyDescent="0.25">
      <c r="A145" t="s">
        <v>199</v>
      </c>
      <c r="E145" t="s">
        <v>155</v>
      </c>
      <c r="L145" t="e">
        <f t="shared" si="4"/>
        <v>#NUM!</v>
      </c>
      <c r="M145" t="e">
        <f t="shared" si="5"/>
        <v>#NUM!</v>
      </c>
    </row>
    <row r="146" spans="1:13" x14ac:dyDescent="0.25">
      <c r="A146" t="s">
        <v>200</v>
      </c>
      <c r="E146" t="s">
        <v>251</v>
      </c>
      <c r="L146" t="e">
        <f t="shared" si="4"/>
        <v>#NUM!</v>
      </c>
      <c r="M146" t="e">
        <f t="shared" si="5"/>
        <v>#NUM!</v>
      </c>
    </row>
    <row r="147" spans="1:13" x14ac:dyDescent="0.25">
      <c r="A147" t="s">
        <v>201</v>
      </c>
      <c r="E147" t="s">
        <v>214</v>
      </c>
      <c r="L147" t="e">
        <f t="shared" si="4"/>
        <v>#NUM!</v>
      </c>
      <c r="M147" t="e">
        <f t="shared" si="5"/>
        <v>#NUM!</v>
      </c>
    </row>
    <row r="148" spans="1:13" x14ac:dyDescent="0.25">
      <c r="A148" t="s">
        <v>202</v>
      </c>
      <c r="E148" t="s">
        <v>234</v>
      </c>
      <c r="L148" t="e">
        <f t="shared" si="4"/>
        <v>#NUM!</v>
      </c>
      <c r="M148" t="e">
        <f t="shared" si="5"/>
        <v>#NUM!</v>
      </c>
    </row>
    <row r="149" spans="1:13" x14ac:dyDescent="0.25">
      <c r="A149" t="s">
        <v>203</v>
      </c>
      <c r="E149" t="s">
        <v>283</v>
      </c>
      <c r="L149" t="e">
        <f t="shared" si="4"/>
        <v>#NUM!</v>
      </c>
      <c r="M149" t="e">
        <f t="shared" si="5"/>
        <v>#NUM!</v>
      </c>
    </row>
    <row r="150" spans="1:13" x14ac:dyDescent="0.25">
      <c r="A150" t="s">
        <v>204</v>
      </c>
      <c r="E150" t="s">
        <v>106</v>
      </c>
      <c r="L150" t="e">
        <f t="shared" si="4"/>
        <v>#NUM!</v>
      </c>
      <c r="M150" t="e">
        <f t="shared" si="5"/>
        <v>#NUM!</v>
      </c>
    </row>
    <row r="151" spans="1:13" x14ac:dyDescent="0.25">
      <c r="A151" t="s">
        <v>205</v>
      </c>
      <c r="E151" t="s">
        <v>75</v>
      </c>
      <c r="L151" t="e">
        <f t="shared" si="4"/>
        <v>#NUM!</v>
      </c>
      <c r="M151" t="e">
        <f t="shared" si="5"/>
        <v>#NUM!</v>
      </c>
    </row>
    <row r="152" spans="1:13" x14ac:dyDescent="0.25">
      <c r="A152" t="s">
        <v>206</v>
      </c>
      <c r="E152" t="s">
        <v>318</v>
      </c>
      <c r="L152" t="e">
        <f t="shared" si="4"/>
        <v>#NUM!</v>
      </c>
      <c r="M152" t="e">
        <f t="shared" si="5"/>
        <v>#NUM!</v>
      </c>
    </row>
    <row r="153" spans="1:13" x14ac:dyDescent="0.25">
      <c r="A153" t="s">
        <v>207</v>
      </c>
      <c r="E153" t="s">
        <v>313</v>
      </c>
      <c r="L153" t="e">
        <f t="shared" si="4"/>
        <v>#NUM!</v>
      </c>
      <c r="M153" t="e">
        <f t="shared" si="5"/>
        <v>#NUM!</v>
      </c>
    </row>
    <row r="154" spans="1:13" x14ac:dyDescent="0.25">
      <c r="A154" t="s">
        <v>208</v>
      </c>
      <c r="E154" t="s">
        <v>290</v>
      </c>
      <c r="L154" t="e">
        <f t="shared" si="4"/>
        <v>#NUM!</v>
      </c>
      <c r="M154" t="e">
        <f t="shared" si="5"/>
        <v>#NUM!</v>
      </c>
    </row>
    <row r="155" spans="1:13" x14ac:dyDescent="0.25">
      <c r="A155" t="s">
        <v>209</v>
      </c>
      <c r="E155" t="s">
        <v>143</v>
      </c>
      <c r="L155" t="e">
        <f t="shared" si="4"/>
        <v>#NUM!</v>
      </c>
      <c r="M155" t="e">
        <f t="shared" si="5"/>
        <v>#NUM!</v>
      </c>
    </row>
    <row r="156" spans="1:13" x14ac:dyDescent="0.25">
      <c r="A156" t="s">
        <v>210</v>
      </c>
      <c r="E156" t="s">
        <v>247</v>
      </c>
      <c r="L156" t="e">
        <f t="shared" si="4"/>
        <v>#NUM!</v>
      </c>
      <c r="M156" t="e">
        <f t="shared" si="5"/>
        <v>#NUM!</v>
      </c>
    </row>
    <row r="157" spans="1:13" x14ac:dyDescent="0.25">
      <c r="A157" t="s">
        <v>211</v>
      </c>
      <c r="E157" t="s">
        <v>127</v>
      </c>
      <c r="L157" t="e">
        <f t="shared" si="4"/>
        <v>#NUM!</v>
      </c>
      <c r="M157" t="e">
        <f t="shared" si="5"/>
        <v>#NUM!</v>
      </c>
    </row>
    <row r="158" spans="1:13" x14ac:dyDescent="0.25">
      <c r="A158" t="s">
        <v>212</v>
      </c>
      <c r="E158" t="s">
        <v>300</v>
      </c>
      <c r="L158" t="e">
        <f t="shared" si="4"/>
        <v>#NUM!</v>
      </c>
      <c r="M158" t="e">
        <f t="shared" si="5"/>
        <v>#NUM!</v>
      </c>
    </row>
    <row r="159" spans="1:13" x14ac:dyDescent="0.25">
      <c r="A159" t="s">
        <v>213</v>
      </c>
      <c r="E159" t="s">
        <v>257</v>
      </c>
      <c r="L159" t="e">
        <f t="shared" si="4"/>
        <v>#NUM!</v>
      </c>
      <c r="M159" t="e">
        <f t="shared" si="5"/>
        <v>#NUM!</v>
      </c>
    </row>
    <row r="160" spans="1:13" x14ac:dyDescent="0.25">
      <c r="A160" t="s">
        <v>214</v>
      </c>
      <c r="E160" t="s">
        <v>304</v>
      </c>
      <c r="L160" t="e">
        <f t="shared" si="4"/>
        <v>#NUM!</v>
      </c>
      <c r="M160" t="e">
        <f t="shared" si="5"/>
        <v>#NUM!</v>
      </c>
    </row>
    <row r="161" spans="1:13" x14ac:dyDescent="0.25">
      <c r="A161" t="s">
        <v>215</v>
      </c>
      <c r="E161" t="s">
        <v>172</v>
      </c>
      <c r="L161" t="e">
        <f t="shared" si="4"/>
        <v>#NUM!</v>
      </c>
      <c r="M161" t="e">
        <f t="shared" si="5"/>
        <v>#NUM!</v>
      </c>
    </row>
    <row r="162" spans="1:13" x14ac:dyDescent="0.25">
      <c r="A162" t="s">
        <v>216</v>
      </c>
      <c r="E162" t="s">
        <v>131</v>
      </c>
      <c r="L162" t="e">
        <f t="shared" si="4"/>
        <v>#NUM!</v>
      </c>
      <c r="M162" t="e">
        <f t="shared" si="5"/>
        <v>#NUM!</v>
      </c>
    </row>
    <row r="163" spans="1:13" x14ac:dyDescent="0.25">
      <c r="A163" t="s">
        <v>217</v>
      </c>
      <c r="E163" t="s">
        <v>308</v>
      </c>
      <c r="L163" t="e">
        <f t="shared" si="4"/>
        <v>#NUM!</v>
      </c>
      <c r="M163" t="e">
        <f t="shared" si="5"/>
        <v>#NUM!</v>
      </c>
    </row>
    <row r="164" spans="1:13" x14ac:dyDescent="0.25">
      <c r="A164" t="s">
        <v>218</v>
      </c>
      <c r="E164" t="s">
        <v>138</v>
      </c>
      <c r="L164" t="e">
        <f t="shared" si="4"/>
        <v>#NUM!</v>
      </c>
      <c r="M164" t="e">
        <f t="shared" si="5"/>
        <v>#NUM!</v>
      </c>
    </row>
    <row r="165" spans="1:13" x14ac:dyDescent="0.25">
      <c r="A165" t="s">
        <v>219</v>
      </c>
      <c r="E165" t="s">
        <v>194</v>
      </c>
      <c r="L165" t="e">
        <f t="shared" si="4"/>
        <v>#NUM!</v>
      </c>
      <c r="M165" t="e">
        <f t="shared" si="5"/>
        <v>#NUM!</v>
      </c>
    </row>
    <row r="166" spans="1:13" x14ac:dyDescent="0.25">
      <c r="A166" t="s">
        <v>220</v>
      </c>
      <c r="E166" t="s">
        <v>147</v>
      </c>
      <c r="L166" t="e">
        <f t="shared" si="4"/>
        <v>#NUM!</v>
      </c>
      <c r="M166" t="e">
        <f t="shared" si="5"/>
        <v>#NUM!</v>
      </c>
    </row>
    <row r="167" spans="1:13" x14ac:dyDescent="0.25">
      <c r="A167" t="s">
        <v>221</v>
      </c>
      <c r="E167" t="s">
        <v>130</v>
      </c>
      <c r="L167" t="e">
        <f t="shared" si="4"/>
        <v>#NUM!</v>
      </c>
      <c r="M167" t="e">
        <f t="shared" si="5"/>
        <v>#NUM!</v>
      </c>
    </row>
    <row r="168" spans="1:13" x14ac:dyDescent="0.25">
      <c r="A168" t="s">
        <v>222</v>
      </c>
      <c r="E168" t="s">
        <v>267</v>
      </c>
      <c r="L168" t="e">
        <f t="shared" si="4"/>
        <v>#NUM!</v>
      </c>
      <c r="M168" t="e">
        <f t="shared" si="5"/>
        <v>#NUM!</v>
      </c>
    </row>
    <row r="169" spans="1:13" x14ac:dyDescent="0.25">
      <c r="A169" t="s">
        <v>223</v>
      </c>
      <c r="E169" t="s">
        <v>187</v>
      </c>
      <c r="L169" t="e">
        <f t="shared" si="4"/>
        <v>#NUM!</v>
      </c>
      <c r="M169" t="e">
        <f t="shared" si="5"/>
        <v>#NUM!</v>
      </c>
    </row>
    <row r="170" spans="1:13" x14ac:dyDescent="0.25">
      <c r="A170" t="s">
        <v>73</v>
      </c>
      <c r="E170" t="s">
        <v>80</v>
      </c>
      <c r="L170" t="e">
        <f t="shared" si="4"/>
        <v>#NUM!</v>
      </c>
      <c r="M170" t="e">
        <f t="shared" si="5"/>
        <v>#NUM!</v>
      </c>
    </row>
    <row r="171" spans="1:13" x14ac:dyDescent="0.25">
      <c r="A171" t="s">
        <v>224</v>
      </c>
      <c r="E171" t="s">
        <v>125</v>
      </c>
      <c r="L171" t="e">
        <f t="shared" si="4"/>
        <v>#NUM!</v>
      </c>
      <c r="M171" t="e">
        <f t="shared" si="5"/>
        <v>#NUM!</v>
      </c>
    </row>
    <row r="172" spans="1:13" x14ac:dyDescent="0.25">
      <c r="A172" t="s">
        <v>225</v>
      </c>
      <c r="E172" t="s">
        <v>239</v>
      </c>
      <c r="L172" t="e">
        <f t="shared" si="4"/>
        <v>#NUM!</v>
      </c>
      <c r="M172" t="e">
        <f t="shared" si="5"/>
        <v>#NUM!</v>
      </c>
    </row>
    <row r="173" spans="1:13" x14ac:dyDescent="0.25">
      <c r="A173" t="s">
        <v>226</v>
      </c>
      <c r="E173" t="s">
        <v>287</v>
      </c>
      <c r="L173" t="e">
        <f t="shared" si="4"/>
        <v>#NUM!</v>
      </c>
      <c r="M173" t="e">
        <f t="shared" si="5"/>
        <v>#NUM!</v>
      </c>
    </row>
    <row r="174" spans="1:13" x14ac:dyDescent="0.25">
      <c r="A174" t="s">
        <v>227</v>
      </c>
      <c r="E174" t="s">
        <v>237</v>
      </c>
      <c r="L174" t="e">
        <f t="shared" si="4"/>
        <v>#NUM!</v>
      </c>
      <c r="M174" t="e">
        <f t="shared" si="5"/>
        <v>#NUM!</v>
      </c>
    </row>
    <row r="175" spans="1:13" x14ac:dyDescent="0.25">
      <c r="A175" t="s">
        <v>228</v>
      </c>
      <c r="E175" t="s">
        <v>83</v>
      </c>
      <c r="L175" t="e">
        <f t="shared" si="4"/>
        <v>#NUM!</v>
      </c>
      <c r="M175" t="e">
        <f t="shared" si="5"/>
        <v>#NUM!</v>
      </c>
    </row>
    <row r="176" spans="1:13" x14ac:dyDescent="0.25">
      <c r="A176" t="s">
        <v>229</v>
      </c>
      <c r="E176" t="s">
        <v>316</v>
      </c>
      <c r="L176" t="e">
        <f t="shared" si="4"/>
        <v>#NUM!</v>
      </c>
      <c r="M176" t="e">
        <f t="shared" si="5"/>
        <v>#NUM!</v>
      </c>
    </row>
    <row r="177" spans="1:13" x14ac:dyDescent="0.25">
      <c r="A177" t="s">
        <v>230</v>
      </c>
      <c r="E177" t="s">
        <v>90</v>
      </c>
      <c r="L177" t="e">
        <f t="shared" si="4"/>
        <v>#NUM!</v>
      </c>
      <c r="M177" t="e">
        <f t="shared" si="5"/>
        <v>#NUM!</v>
      </c>
    </row>
    <row r="178" spans="1:13" x14ac:dyDescent="0.25">
      <c r="A178" t="s">
        <v>231</v>
      </c>
      <c r="E178" t="s">
        <v>94</v>
      </c>
      <c r="L178" t="e">
        <f t="shared" si="4"/>
        <v>#NUM!</v>
      </c>
      <c r="M178" t="e">
        <f t="shared" si="5"/>
        <v>#NUM!</v>
      </c>
    </row>
    <row r="179" spans="1:13" x14ac:dyDescent="0.25">
      <c r="A179" t="s">
        <v>232</v>
      </c>
      <c r="E179" t="s">
        <v>97</v>
      </c>
      <c r="L179" t="e">
        <f t="shared" si="4"/>
        <v>#NUM!</v>
      </c>
      <c r="M179" t="e">
        <f t="shared" si="5"/>
        <v>#NUM!</v>
      </c>
    </row>
    <row r="180" spans="1:13" x14ac:dyDescent="0.25">
      <c r="A180" t="s">
        <v>233</v>
      </c>
      <c r="E180" t="s">
        <v>281</v>
      </c>
      <c r="L180" t="e">
        <f t="shared" si="4"/>
        <v>#NUM!</v>
      </c>
      <c r="M180" t="e">
        <f t="shared" si="5"/>
        <v>#NUM!</v>
      </c>
    </row>
    <row r="181" spans="1:13" x14ac:dyDescent="0.25">
      <c r="A181" t="s">
        <v>234</v>
      </c>
      <c r="E181" t="s">
        <v>226</v>
      </c>
      <c r="L181" t="e">
        <f t="shared" si="4"/>
        <v>#NUM!</v>
      </c>
      <c r="M181" t="e">
        <f t="shared" si="5"/>
        <v>#NUM!</v>
      </c>
    </row>
    <row r="182" spans="1:13" x14ac:dyDescent="0.25">
      <c r="A182" t="s">
        <v>235</v>
      </c>
      <c r="E182" t="s">
        <v>266</v>
      </c>
      <c r="L182" t="e">
        <f t="shared" si="4"/>
        <v>#NUM!</v>
      </c>
      <c r="M182" t="e">
        <f t="shared" si="5"/>
        <v>#NUM!</v>
      </c>
    </row>
    <row r="183" spans="1:13" x14ac:dyDescent="0.25">
      <c r="A183" t="s">
        <v>236</v>
      </c>
      <c r="E183" t="s">
        <v>123</v>
      </c>
      <c r="L183" t="e">
        <f t="shared" si="4"/>
        <v>#NUM!</v>
      </c>
      <c r="M183" t="e">
        <f t="shared" si="5"/>
        <v>#NUM!</v>
      </c>
    </row>
    <row r="184" spans="1:13" x14ac:dyDescent="0.25">
      <c r="A184" t="s">
        <v>237</v>
      </c>
      <c r="E184" t="s">
        <v>317</v>
      </c>
      <c r="L184" t="e">
        <f t="shared" si="4"/>
        <v>#NUM!</v>
      </c>
      <c r="M184" t="e">
        <f t="shared" si="5"/>
        <v>#NUM!</v>
      </c>
    </row>
    <row r="185" spans="1:13" x14ac:dyDescent="0.25">
      <c r="A185" t="s">
        <v>238</v>
      </c>
      <c r="E185" t="s">
        <v>104</v>
      </c>
      <c r="L185" t="e">
        <f t="shared" si="4"/>
        <v>#NUM!</v>
      </c>
      <c r="M185" t="e">
        <f t="shared" si="5"/>
        <v>#NUM!</v>
      </c>
    </row>
    <row r="186" spans="1:13" x14ac:dyDescent="0.25">
      <c r="A186" t="s">
        <v>239</v>
      </c>
      <c r="E186" t="s">
        <v>144</v>
      </c>
      <c r="L186" t="e">
        <f t="shared" si="4"/>
        <v>#NUM!</v>
      </c>
      <c r="M186" t="e">
        <f t="shared" si="5"/>
        <v>#NUM!</v>
      </c>
    </row>
    <row r="187" spans="1:13" x14ac:dyDescent="0.25">
      <c r="A187" t="s">
        <v>240</v>
      </c>
      <c r="E187" t="s">
        <v>292</v>
      </c>
      <c r="L187" t="e">
        <f t="shared" si="4"/>
        <v>#NUM!</v>
      </c>
      <c r="M187" t="e">
        <f t="shared" si="5"/>
        <v>#NUM!</v>
      </c>
    </row>
    <row r="188" spans="1:13" x14ac:dyDescent="0.25">
      <c r="A188" t="s">
        <v>73</v>
      </c>
      <c r="E188" t="s">
        <v>158</v>
      </c>
      <c r="L188" t="e">
        <f t="shared" si="4"/>
        <v>#NUM!</v>
      </c>
      <c r="M188" t="e">
        <f t="shared" si="5"/>
        <v>#NUM!</v>
      </c>
    </row>
    <row r="189" spans="1:13" x14ac:dyDescent="0.25">
      <c r="A189" t="s">
        <v>241</v>
      </c>
      <c r="E189" t="s">
        <v>228</v>
      </c>
      <c r="L189" t="e">
        <f t="shared" si="4"/>
        <v>#NUM!</v>
      </c>
      <c r="M189" t="e">
        <f t="shared" si="5"/>
        <v>#NUM!</v>
      </c>
    </row>
    <row r="190" spans="1:13" x14ac:dyDescent="0.25">
      <c r="A190" t="s">
        <v>242</v>
      </c>
      <c r="E190" t="s">
        <v>249</v>
      </c>
      <c r="L190" t="e">
        <f t="shared" si="4"/>
        <v>#NUM!</v>
      </c>
      <c r="M190" t="e">
        <f t="shared" si="5"/>
        <v>#NUM!</v>
      </c>
    </row>
    <row r="191" spans="1:13" x14ac:dyDescent="0.25">
      <c r="A191" t="s">
        <v>243</v>
      </c>
      <c r="E191" t="s">
        <v>230</v>
      </c>
      <c r="L191" t="e">
        <f t="shared" si="4"/>
        <v>#NUM!</v>
      </c>
      <c r="M191" t="e">
        <f t="shared" si="5"/>
        <v>#NUM!</v>
      </c>
    </row>
    <row r="192" spans="1:13" x14ac:dyDescent="0.25">
      <c r="A192" t="s">
        <v>73</v>
      </c>
      <c r="E192" t="s">
        <v>242</v>
      </c>
      <c r="L192" t="e">
        <f t="shared" si="4"/>
        <v>#NUM!</v>
      </c>
      <c r="M192" t="e">
        <f t="shared" si="5"/>
        <v>#NUM!</v>
      </c>
    </row>
    <row r="193" spans="1:13" x14ac:dyDescent="0.25">
      <c r="A193" t="s">
        <v>244</v>
      </c>
      <c r="E193" t="s">
        <v>235</v>
      </c>
      <c r="L193" t="e">
        <f t="shared" si="4"/>
        <v>#NUM!</v>
      </c>
      <c r="M193" t="e">
        <f t="shared" si="5"/>
        <v>#NUM!</v>
      </c>
    </row>
    <row r="194" spans="1:13" x14ac:dyDescent="0.25">
      <c r="A194" t="s">
        <v>245</v>
      </c>
      <c r="E194" t="s">
        <v>269</v>
      </c>
      <c r="L194" t="e">
        <f t="shared" si="4"/>
        <v>#NUM!</v>
      </c>
      <c r="M194" t="e">
        <f t="shared" si="5"/>
        <v>#NUM!</v>
      </c>
    </row>
    <row r="195" spans="1:13" x14ac:dyDescent="0.25">
      <c r="A195" t="s">
        <v>246</v>
      </c>
      <c r="E195" t="s">
        <v>126</v>
      </c>
      <c r="L195" t="e">
        <f t="shared" si="4"/>
        <v>#NUM!</v>
      </c>
      <c r="M195" t="e">
        <f t="shared" si="5"/>
        <v>#NUM!</v>
      </c>
    </row>
    <row r="196" spans="1:13" x14ac:dyDescent="0.25">
      <c r="A196" t="s">
        <v>247</v>
      </c>
      <c r="E196" t="s">
        <v>85</v>
      </c>
      <c r="L196" t="e">
        <f t="shared" si="4"/>
        <v>#NUM!</v>
      </c>
      <c r="M196" t="e">
        <f t="shared" si="5"/>
        <v>#NUM!</v>
      </c>
    </row>
    <row r="197" spans="1:13" x14ac:dyDescent="0.25">
      <c r="A197" t="s">
        <v>248</v>
      </c>
      <c r="E197" t="s">
        <v>177</v>
      </c>
      <c r="L197" t="e">
        <f t="shared" ref="L197:L260" si="6">IF(E194&lt;I$6,"ВЫБРОС",0)</f>
        <v>#NUM!</v>
      </c>
      <c r="M197" t="e">
        <f t="shared" ref="M197:M260" si="7">IF(E194&gt;I$8,"ВЫБРОС",0)</f>
        <v>#NUM!</v>
      </c>
    </row>
    <row r="198" spans="1:13" x14ac:dyDescent="0.25">
      <c r="A198" t="s">
        <v>249</v>
      </c>
      <c r="E198" t="s">
        <v>245</v>
      </c>
      <c r="L198" t="e">
        <f t="shared" si="6"/>
        <v>#NUM!</v>
      </c>
      <c r="M198" t="e">
        <f t="shared" si="7"/>
        <v>#NUM!</v>
      </c>
    </row>
    <row r="199" spans="1:13" x14ac:dyDescent="0.25">
      <c r="A199" t="s">
        <v>250</v>
      </c>
      <c r="E199" t="s">
        <v>160</v>
      </c>
      <c r="L199" t="e">
        <f t="shared" si="6"/>
        <v>#NUM!</v>
      </c>
      <c r="M199" t="e">
        <f t="shared" si="7"/>
        <v>#NUM!</v>
      </c>
    </row>
    <row r="200" spans="1:13" x14ac:dyDescent="0.25">
      <c r="A200" t="s">
        <v>251</v>
      </c>
      <c r="E200" t="s">
        <v>193</v>
      </c>
      <c r="L200" t="e">
        <f t="shared" si="6"/>
        <v>#NUM!</v>
      </c>
      <c r="M200" t="e">
        <f t="shared" si="7"/>
        <v>#NUM!</v>
      </c>
    </row>
    <row r="201" spans="1:13" x14ac:dyDescent="0.25">
      <c r="A201" t="s">
        <v>252</v>
      </c>
      <c r="E201" t="s">
        <v>72</v>
      </c>
      <c r="L201" t="e">
        <f t="shared" si="6"/>
        <v>#NUM!</v>
      </c>
      <c r="M201" t="e">
        <f t="shared" si="7"/>
        <v>#NUM!</v>
      </c>
    </row>
    <row r="202" spans="1:13" x14ac:dyDescent="0.25">
      <c r="A202" t="s">
        <v>73</v>
      </c>
      <c r="E202" t="s">
        <v>327</v>
      </c>
      <c r="L202" t="e">
        <f t="shared" si="6"/>
        <v>#NUM!</v>
      </c>
      <c r="M202" t="e">
        <f t="shared" si="7"/>
        <v>#NUM!</v>
      </c>
    </row>
    <row r="203" spans="1:13" x14ac:dyDescent="0.25">
      <c r="A203" t="s">
        <v>253</v>
      </c>
      <c r="E203" t="s">
        <v>156</v>
      </c>
      <c r="L203" t="e">
        <f t="shared" si="6"/>
        <v>#NUM!</v>
      </c>
      <c r="M203" t="e">
        <f t="shared" si="7"/>
        <v>#NUM!</v>
      </c>
    </row>
    <row r="204" spans="1:13" x14ac:dyDescent="0.25">
      <c r="A204" t="s">
        <v>254</v>
      </c>
      <c r="E204" t="s">
        <v>117</v>
      </c>
      <c r="L204" t="e">
        <f t="shared" si="6"/>
        <v>#NUM!</v>
      </c>
      <c r="M204" t="e">
        <f t="shared" si="7"/>
        <v>#NUM!</v>
      </c>
    </row>
    <row r="205" spans="1:13" x14ac:dyDescent="0.25">
      <c r="A205" t="s">
        <v>255</v>
      </c>
      <c r="E205" t="s">
        <v>263</v>
      </c>
      <c r="L205" t="e">
        <f t="shared" si="6"/>
        <v>#NUM!</v>
      </c>
      <c r="M205" t="e">
        <f t="shared" si="7"/>
        <v>#NUM!</v>
      </c>
    </row>
    <row r="206" spans="1:13" x14ac:dyDescent="0.25">
      <c r="A206" t="s">
        <v>256</v>
      </c>
      <c r="E206" t="s">
        <v>197</v>
      </c>
      <c r="L206" t="e">
        <f t="shared" si="6"/>
        <v>#NUM!</v>
      </c>
      <c r="M206" t="e">
        <f t="shared" si="7"/>
        <v>#NUM!</v>
      </c>
    </row>
    <row r="207" spans="1:13" x14ac:dyDescent="0.25">
      <c r="A207" t="s">
        <v>257</v>
      </c>
      <c r="E207" t="s">
        <v>118</v>
      </c>
      <c r="L207" t="e">
        <f t="shared" si="6"/>
        <v>#NUM!</v>
      </c>
      <c r="M207" t="e">
        <f t="shared" si="7"/>
        <v>#NUM!</v>
      </c>
    </row>
    <row r="208" spans="1:13" x14ac:dyDescent="0.25">
      <c r="A208" t="s">
        <v>258</v>
      </c>
      <c r="E208" t="s">
        <v>139</v>
      </c>
      <c r="L208" t="e">
        <f t="shared" si="6"/>
        <v>#NUM!</v>
      </c>
      <c r="M208" t="e">
        <f t="shared" si="7"/>
        <v>#NUM!</v>
      </c>
    </row>
    <row r="209" spans="1:13" x14ac:dyDescent="0.25">
      <c r="A209" t="s">
        <v>259</v>
      </c>
      <c r="E209" t="s">
        <v>78</v>
      </c>
      <c r="L209" t="e">
        <f t="shared" si="6"/>
        <v>#NUM!</v>
      </c>
      <c r="M209" t="e">
        <f t="shared" si="7"/>
        <v>#NUM!</v>
      </c>
    </row>
    <row r="210" spans="1:13" x14ac:dyDescent="0.25">
      <c r="A210" t="s">
        <v>260</v>
      </c>
      <c r="E210" t="s">
        <v>132</v>
      </c>
      <c r="L210" t="e">
        <f t="shared" si="6"/>
        <v>#NUM!</v>
      </c>
      <c r="M210" t="e">
        <f t="shared" si="7"/>
        <v>#NUM!</v>
      </c>
    </row>
    <row r="211" spans="1:13" x14ac:dyDescent="0.25">
      <c r="A211" t="s">
        <v>261</v>
      </c>
      <c r="E211" t="s">
        <v>183</v>
      </c>
      <c r="L211" t="e">
        <f t="shared" si="6"/>
        <v>#NUM!</v>
      </c>
      <c r="M211" t="e">
        <f t="shared" si="7"/>
        <v>#NUM!</v>
      </c>
    </row>
    <row r="212" spans="1:13" x14ac:dyDescent="0.25">
      <c r="A212" t="s">
        <v>262</v>
      </c>
      <c r="E212" t="s">
        <v>88</v>
      </c>
      <c r="L212" t="e">
        <f t="shared" si="6"/>
        <v>#NUM!</v>
      </c>
      <c r="M212" t="e">
        <f t="shared" si="7"/>
        <v>#NUM!</v>
      </c>
    </row>
    <row r="213" spans="1:13" x14ac:dyDescent="0.25">
      <c r="A213" t="s">
        <v>73</v>
      </c>
      <c r="E213" t="s">
        <v>124</v>
      </c>
      <c r="L213" t="e">
        <f t="shared" si="6"/>
        <v>#NUM!</v>
      </c>
      <c r="M213" t="e">
        <f t="shared" si="7"/>
        <v>#NUM!</v>
      </c>
    </row>
    <row r="214" spans="1:13" x14ac:dyDescent="0.25">
      <c r="A214" t="s">
        <v>263</v>
      </c>
      <c r="E214" t="s">
        <v>202</v>
      </c>
      <c r="L214" t="e">
        <f t="shared" si="6"/>
        <v>#NUM!</v>
      </c>
      <c r="M214" t="e">
        <f t="shared" si="7"/>
        <v>#NUM!</v>
      </c>
    </row>
    <row r="215" spans="1:13" x14ac:dyDescent="0.25">
      <c r="A215" t="s">
        <v>264</v>
      </c>
      <c r="E215" t="s">
        <v>273</v>
      </c>
      <c r="L215" t="e">
        <f t="shared" si="6"/>
        <v>#NUM!</v>
      </c>
      <c r="M215" t="e">
        <f t="shared" si="7"/>
        <v>#NUM!</v>
      </c>
    </row>
    <row r="216" spans="1:13" x14ac:dyDescent="0.25">
      <c r="A216" t="s">
        <v>265</v>
      </c>
      <c r="E216" t="s">
        <v>250</v>
      </c>
      <c r="L216" t="e">
        <f t="shared" si="6"/>
        <v>#NUM!</v>
      </c>
      <c r="M216" t="e">
        <f t="shared" si="7"/>
        <v>#NUM!</v>
      </c>
    </row>
    <row r="217" spans="1:13" x14ac:dyDescent="0.25">
      <c r="A217" t="s">
        <v>266</v>
      </c>
      <c r="E217" t="s">
        <v>210</v>
      </c>
      <c r="L217" t="e">
        <f t="shared" si="6"/>
        <v>#NUM!</v>
      </c>
      <c r="M217" t="e">
        <f t="shared" si="7"/>
        <v>#NUM!</v>
      </c>
    </row>
    <row r="218" spans="1:13" x14ac:dyDescent="0.25">
      <c r="A218" t="s">
        <v>267</v>
      </c>
      <c r="E218" t="s">
        <v>211</v>
      </c>
      <c r="L218" t="e">
        <f t="shared" si="6"/>
        <v>#NUM!</v>
      </c>
      <c r="M218" t="e">
        <f t="shared" si="7"/>
        <v>#NUM!</v>
      </c>
    </row>
    <row r="219" spans="1:13" x14ac:dyDescent="0.25">
      <c r="A219" t="s">
        <v>268</v>
      </c>
      <c r="E219" t="s">
        <v>305</v>
      </c>
      <c r="L219" t="e">
        <f t="shared" si="6"/>
        <v>#NUM!</v>
      </c>
      <c r="M219" t="e">
        <f t="shared" si="7"/>
        <v>#NUM!</v>
      </c>
    </row>
    <row r="220" spans="1:13" x14ac:dyDescent="0.25">
      <c r="A220" t="s">
        <v>269</v>
      </c>
      <c r="E220" t="s">
        <v>270</v>
      </c>
      <c r="L220" t="e">
        <f t="shared" si="6"/>
        <v>#NUM!</v>
      </c>
      <c r="M220" t="e">
        <f t="shared" si="7"/>
        <v>#NUM!</v>
      </c>
    </row>
    <row r="221" spans="1:13" x14ac:dyDescent="0.25">
      <c r="A221" t="s">
        <v>270</v>
      </c>
      <c r="E221" t="s">
        <v>182</v>
      </c>
      <c r="L221" t="e">
        <f t="shared" si="6"/>
        <v>#NUM!</v>
      </c>
      <c r="M221" t="e">
        <f t="shared" si="7"/>
        <v>#NUM!</v>
      </c>
    </row>
    <row r="222" spans="1:13" x14ac:dyDescent="0.25">
      <c r="A222" t="s">
        <v>271</v>
      </c>
      <c r="E222" t="s">
        <v>240</v>
      </c>
      <c r="L222" t="e">
        <f t="shared" si="6"/>
        <v>#NUM!</v>
      </c>
      <c r="M222" t="e">
        <f t="shared" si="7"/>
        <v>#NUM!</v>
      </c>
    </row>
    <row r="223" spans="1:13" x14ac:dyDescent="0.25">
      <c r="A223" t="s">
        <v>272</v>
      </c>
      <c r="E223" t="s">
        <v>310</v>
      </c>
      <c r="L223" t="e">
        <f t="shared" si="6"/>
        <v>#NUM!</v>
      </c>
      <c r="M223" t="e">
        <f t="shared" si="7"/>
        <v>#NUM!</v>
      </c>
    </row>
    <row r="224" spans="1:13" x14ac:dyDescent="0.25">
      <c r="A224" t="s">
        <v>273</v>
      </c>
      <c r="E224" t="s">
        <v>146</v>
      </c>
      <c r="L224" t="e">
        <f t="shared" si="6"/>
        <v>#NUM!</v>
      </c>
      <c r="M224" t="e">
        <f t="shared" si="7"/>
        <v>#NUM!</v>
      </c>
    </row>
    <row r="225" spans="1:13" x14ac:dyDescent="0.25">
      <c r="A225" t="s">
        <v>274</v>
      </c>
      <c r="E225" t="s">
        <v>190</v>
      </c>
      <c r="L225" t="e">
        <f t="shared" si="6"/>
        <v>#NUM!</v>
      </c>
      <c r="M225" t="e">
        <f t="shared" si="7"/>
        <v>#NUM!</v>
      </c>
    </row>
    <row r="226" spans="1:13" x14ac:dyDescent="0.25">
      <c r="A226" t="s">
        <v>275</v>
      </c>
      <c r="E226" t="s">
        <v>196</v>
      </c>
      <c r="L226" t="e">
        <f t="shared" si="6"/>
        <v>#NUM!</v>
      </c>
      <c r="M226" t="e">
        <f t="shared" si="7"/>
        <v>#NUM!</v>
      </c>
    </row>
    <row r="227" spans="1:13" x14ac:dyDescent="0.25">
      <c r="A227" t="s">
        <v>276</v>
      </c>
      <c r="E227" t="s">
        <v>159</v>
      </c>
      <c r="L227" t="e">
        <f t="shared" si="6"/>
        <v>#NUM!</v>
      </c>
      <c r="M227" t="e">
        <f t="shared" si="7"/>
        <v>#NUM!</v>
      </c>
    </row>
    <row r="228" spans="1:13" x14ac:dyDescent="0.25">
      <c r="A228" t="s">
        <v>277</v>
      </c>
      <c r="E228" t="s">
        <v>231</v>
      </c>
      <c r="L228" t="e">
        <f t="shared" si="6"/>
        <v>#NUM!</v>
      </c>
      <c r="M228" t="e">
        <f t="shared" si="7"/>
        <v>#NUM!</v>
      </c>
    </row>
    <row r="229" spans="1:13" x14ac:dyDescent="0.25">
      <c r="A229" t="s">
        <v>278</v>
      </c>
      <c r="E229" t="s">
        <v>291</v>
      </c>
      <c r="L229" t="e">
        <f t="shared" si="6"/>
        <v>#NUM!</v>
      </c>
      <c r="M229" t="e">
        <f t="shared" si="7"/>
        <v>#NUM!</v>
      </c>
    </row>
    <row r="230" spans="1:13" x14ac:dyDescent="0.25">
      <c r="A230" t="s">
        <v>279</v>
      </c>
      <c r="E230" t="s">
        <v>285</v>
      </c>
      <c r="L230" t="e">
        <f t="shared" si="6"/>
        <v>#NUM!</v>
      </c>
      <c r="M230" t="e">
        <f t="shared" si="7"/>
        <v>#NUM!</v>
      </c>
    </row>
    <row r="231" spans="1:13" x14ac:dyDescent="0.25">
      <c r="A231" t="s">
        <v>280</v>
      </c>
      <c r="E231" t="s">
        <v>262</v>
      </c>
      <c r="L231" t="e">
        <f t="shared" si="6"/>
        <v>#NUM!</v>
      </c>
      <c r="M231" t="e">
        <f t="shared" si="7"/>
        <v>#NUM!</v>
      </c>
    </row>
    <row r="232" spans="1:13" x14ac:dyDescent="0.25">
      <c r="A232" t="s">
        <v>281</v>
      </c>
      <c r="E232" t="s">
        <v>71</v>
      </c>
      <c r="L232" t="e">
        <f t="shared" si="6"/>
        <v>#NUM!</v>
      </c>
      <c r="M232" t="e">
        <f t="shared" si="7"/>
        <v>#NUM!</v>
      </c>
    </row>
    <row r="233" spans="1:13" x14ac:dyDescent="0.25">
      <c r="A233" t="s">
        <v>282</v>
      </c>
      <c r="E233" t="s">
        <v>314</v>
      </c>
      <c r="L233" t="e">
        <f t="shared" si="6"/>
        <v>#NUM!</v>
      </c>
      <c r="M233" t="e">
        <f t="shared" si="7"/>
        <v>#NUM!</v>
      </c>
    </row>
    <row r="234" spans="1:13" x14ac:dyDescent="0.25">
      <c r="A234" t="s">
        <v>283</v>
      </c>
      <c r="E234" t="s">
        <v>116</v>
      </c>
      <c r="L234" t="e">
        <f t="shared" si="6"/>
        <v>#NUM!</v>
      </c>
      <c r="M234" t="e">
        <f t="shared" si="7"/>
        <v>#NUM!</v>
      </c>
    </row>
    <row r="235" spans="1:13" x14ac:dyDescent="0.25">
      <c r="A235" t="s">
        <v>73</v>
      </c>
      <c r="E235" t="s">
        <v>76</v>
      </c>
      <c r="L235" t="e">
        <f t="shared" si="6"/>
        <v>#NUM!</v>
      </c>
      <c r="M235" t="e">
        <f t="shared" si="7"/>
        <v>#NUM!</v>
      </c>
    </row>
    <row r="236" spans="1:13" x14ac:dyDescent="0.25">
      <c r="A236" t="s">
        <v>73</v>
      </c>
      <c r="E236" t="s">
        <v>89</v>
      </c>
      <c r="L236" t="e">
        <f t="shared" si="6"/>
        <v>#NUM!</v>
      </c>
      <c r="M236" t="e">
        <f t="shared" si="7"/>
        <v>#NUM!</v>
      </c>
    </row>
    <row r="237" spans="1:13" x14ac:dyDescent="0.25">
      <c r="A237" t="s">
        <v>284</v>
      </c>
      <c r="E237" t="s">
        <v>303</v>
      </c>
      <c r="L237" t="e">
        <f t="shared" si="6"/>
        <v>#NUM!</v>
      </c>
      <c r="M237" t="e">
        <f t="shared" si="7"/>
        <v>#NUM!</v>
      </c>
    </row>
    <row r="238" spans="1:13" x14ac:dyDescent="0.25">
      <c r="A238" t="s">
        <v>285</v>
      </c>
      <c r="E238" t="s">
        <v>260</v>
      </c>
      <c r="L238" t="e">
        <f t="shared" si="6"/>
        <v>#NUM!</v>
      </c>
      <c r="M238" t="e">
        <f t="shared" si="7"/>
        <v>#NUM!</v>
      </c>
    </row>
    <row r="239" spans="1:13" x14ac:dyDescent="0.25">
      <c r="A239" t="s">
        <v>286</v>
      </c>
      <c r="E239" t="s">
        <v>162</v>
      </c>
      <c r="L239" t="e">
        <f t="shared" si="6"/>
        <v>#NUM!</v>
      </c>
      <c r="M239" t="e">
        <f t="shared" si="7"/>
        <v>#NUM!</v>
      </c>
    </row>
    <row r="240" spans="1:13" x14ac:dyDescent="0.25">
      <c r="A240" t="s">
        <v>287</v>
      </c>
      <c r="E240" t="s">
        <v>222</v>
      </c>
      <c r="L240" t="e">
        <f t="shared" si="6"/>
        <v>#NUM!</v>
      </c>
      <c r="M240" t="e">
        <f t="shared" si="7"/>
        <v>#NUM!</v>
      </c>
    </row>
    <row r="241" spans="1:13" x14ac:dyDescent="0.25">
      <c r="A241" t="s">
        <v>288</v>
      </c>
      <c r="E241" t="s">
        <v>258</v>
      </c>
      <c r="L241" t="e">
        <f t="shared" si="6"/>
        <v>#NUM!</v>
      </c>
      <c r="M241" t="e">
        <f t="shared" si="7"/>
        <v>#NUM!</v>
      </c>
    </row>
    <row r="242" spans="1:13" x14ac:dyDescent="0.25">
      <c r="A242" t="s">
        <v>289</v>
      </c>
      <c r="E242" t="s">
        <v>215</v>
      </c>
      <c r="L242" t="e">
        <f t="shared" si="6"/>
        <v>#NUM!</v>
      </c>
      <c r="M242" t="e">
        <f t="shared" si="7"/>
        <v>#NUM!</v>
      </c>
    </row>
    <row r="243" spans="1:13" x14ac:dyDescent="0.25">
      <c r="A243" t="s">
        <v>290</v>
      </c>
      <c r="E243" t="s">
        <v>332</v>
      </c>
      <c r="L243" t="e">
        <f t="shared" si="6"/>
        <v>#NUM!</v>
      </c>
      <c r="M243" t="e">
        <f t="shared" si="7"/>
        <v>#NUM!</v>
      </c>
    </row>
    <row r="244" spans="1:13" x14ac:dyDescent="0.25">
      <c r="A244" t="s">
        <v>73</v>
      </c>
      <c r="E244" t="s">
        <v>107</v>
      </c>
      <c r="L244" t="e">
        <f t="shared" si="6"/>
        <v>#NUM!</v>
      </c>
      <c r="M244" t="e">
        <f t="shared" si="7"/>
        <v>#NUM!</v>
      </c>
    </row>
    <row r="245" spans="1:13" x14ac:dyDescent="0.25">
      <c r="A245" t="s">
        <v>291</v>
      </c>
      <c r="E245" t="s">
        <v>255</v>
      </c>
      <c r="L245" t="e">
        <f t="shared" si="6"/>
        <v>#NUM!</v>
      </c>
      <c r="M245" t="e">
        <f t="shared" si="7"/>
        <v>#NUM!</v>
      </c>
    </row>
    <row r="246" spans="1:13" x14ac:dyDescent="0.25">
      <c r="A246" t="s">
        <v>292</v>
      </c>
      <c r="E246" t="s">
        <v>323</v>
      </c>
      <c r="L246" t="e">
        <f t="shared" si="6"/>
        <v>#NUM!</v>
      </c>
      <c r="M246" t="e">
        <f t="shared" si="7"/>
        <v>#NUM!</v>
      </c>
    </row>
    <row r="247" spans="1:13" x14ac:dyDescent="0.25">
      <c r="A247" t="s">
        <v>293</v>
      </c>
      <c r="E247" t="s">
        <v>286</v>
      </c>
      <c r="L247" t="e">
        <f t="shared" si="6"/>
        <v>#NUM!</v>
      </c>
      <c r="M247" t="e">
        <f t="shared" si="7"/>
        <v>#NUM!</v>
      </c>
    </row>
    <row r="248" spans="1:13" x14ac:dyDescent="0.25">
      <c r="A248" t="s">
        <v>294</v>
      </c>
      <c r="E248" t="s">
        <v>110</v>
      </c>
      <c r="L248" t="e">
        <f t="shared" si="6"/>
        <v>#NUM!</v>
      </c>
      <c r="M248" t="e">
        <f t="shared" si="7"/>
        <v>#NUM!</v>
      </c>
    </row>
    <row r="249" spans="1:13" x14ac:dyDescent="0.25">
      <c r="A249" t="s">
        <v>295</v>
      </c>
      <c r="E249" t="s">
        <v>136</v>
      </c>
      <c r="L249" t="e">
        <f t="shared" si="6"/>
        <v>#NUM!</v>
      </c>
      <c r="M249" t="e">
        <f t="shared" si="7"/>
        <v>#NUM!</v>
      </c>
    </row>
    <row r="250" spans="1:13" x14ac:dyDescent="0.25">
      <c r="A250" t="s">
        <v>73</v>
      </c>
      <c r="E250" t="s">
        <v>92</v>
      </c>
      <c r="L250" t="e">
        <f t="shared" si="6"/>
        <v>#NUM!</v>
      </c>
      <c r="M250" t="e">
        <f t="shared" si="7"/>
        <v>#NUM!</v>
      </c>
    </row>
    <row r="251" spans="1:13" x14ac:dyDescent="0.25">
      <c r="A251" t="s">
        <v>296</v>
      </c>
      <c r="E251" t="s">
        <v>113</v>
      </c>
      <c r="L251" t="e">
        <f t="shared" si="6"/>
        <v>#NUM!</v>
      </c>
      <c r="M251" t="e">
        <f t="shared" si="7"/>
        <v>#NUM!</v>
      </c>
    </row>
    <row r="252" spans="1:13" x14ac:dyDescent="0.25">
      <c r="A252" t="s">
        <v>297</v>
      </c>
      <c r="E252" t="s">
        <v>165</v>
      </c>
      <c r="L252" t="e">
        <f t="shared" si="6"/>
        <v>#NUM!</v>
      </c>
      <c r="M252" t="e">
        <f t="shared" si="7"/>
        <v>#NUM!</v>
      </c>
    </row>
    <row r="253" spans="1:13" x14ac:dyDescent="0.25">
      <c r="A253" t="s">
        <v>298</v>
      </c>
      <c r="E253" t="s">
        <v>288</v>
      </c>
      <c r="L253" t="e">
        <f t="shared" si="6"/>
        <v>#NUM!</v>
      </c>
      <c r="M253" t="e">
        <f t="shared" si="7"/>
        <v>#NUM!</v>
      </c>
    </row>
    <row r="254" spans="1:13" x14ac:dyDescent="0.25">
      <c r="A254" t="s">
        <v>299</v>
      </c>
      <c r="E254" t="s">
        <v>150</v>
      </c>
      <c r="L254" t="e">
        <f t="shared" si="6"/>
        <v>#NUM!</v>
      </c>
      <c r="M254" t="e">
        <f t="shared" si="7"/>
        <v>#NUM!</v>
      </c>
    </row>
    <row r="255" spans="1:13" x14ac:dyDescent="0.25">
      <c r="A255" t="s">
        <v>300</v>
      </c>
      <c r="E255" t="s">
        <v>238</v>
      </c>
      <c r="L255" t="e">
        <f t="shared" si="6"/>
        <v>#NUM!</v>
      </c>
      <c r="M255" t="e">
        <f t="shared" si="7"/>
        <v>#NUM!</v>
      </c>
    </row>
    <row r="256" spans="1:13" x14ac:dyDescent="0.25">
      <c r="A256" t="s">
        <v>301</v>
      </c>
      <c r="E256" t="s">
        <v>206</v>
      </c>
      <c r="L256" t="e">
        <f t="shared" si="6"/>
        <v>#NUM!</v>
      </c>
      <c r="M256" t="e">
        <f t="shared" si="7"/>
        <v>#NUM!</v>
      </c>
    </row>
    <row r="257" spans="1:13" x14ac:dyDescent="0.25">
      <c r="A257" t="s">
        <v>302</v>
      </c>
      <c r="E257" t="s">
        <v>108</v>
      </c>
      <c r="L257" t="e">
        <f t="shared" si="6"/>
        <v>#NUM!</v>
      </c>
      <c r="M257" t="e">
        <f t="shared" si="7"/>
        <v>#NUM!</v>
      </c>
    </row>
    <row r="258" spans="1:13" x14ac:dyDescent="0.25">
      <c r="A258" t="s">
        <v>303</v>
      </c>
      <c r="E258" t="s">
        <v>236</v>
      </c>
      <c r="L258" t="e">
        <f t="shared" si="6"/>
        <v>#NUM!</v>
      </c>
      <c r="M258" t="e">
        <f t="shared" si="7"/>
        <v>#NUM!</v>
      </c>
    </row>
    <row r="259" spans="1:13" x14ac:dyDescent="0.25">
      <c r="A259" t="s">
        <v>304</v>
      </c>
      <c r="E259" t="s">
        <v>103</v>
      </c>
      <c r="L259" t="e">
        <f t="shared" si="6"/>
        <v>#NUM!</v>
      </c>
      <c r="M259" t="e">
        <f t="shared" si="7"/>
        <v>#NUM!</v>
      </c>
    </row>
    <row r="260" spans="1:13" x14ac:dyDescent="0.25">
      <c r="A260" t="s">
        <v>305</v>
      </c>
      <c r="E260" t="s">
        <v>307</v>
      </c>
      <c r="L260" t="e">
        <f t="shared" si="6"/>
        <v>#NUM!</v>
      </c>
      <c r="M260" t="e">
        <f t="shared" si="7"/>
        <v>#NUM!</v>
      </c>
    </row>
    <row r="261" spans="1:13" x14ac:dyDescent="0.25">
      <c r="A261" t="s">
        <v>306</v>
      </c>
      <c r="E261" t="s">
        <v>274</v>
      </c>
      <c r="L261" t="e">
        <f t="shared" ref="L261:L268" si="8">IF(E258&lt;I$6,"ВЫБРОС",0)</f>
        <v>#NUM!</v>
      </c>
      <c r="M261" t="e">
        <f t="shared" ref="M261:M268" si="9">IF(E258&gt;I$8,"ВЫБРОС",0)</f>
        <v>#NUM!</v>
      </c>
    </row>
    <row r="262" spans="1:13" x14ac:dyDescent="0.25">
      <c r="A262" t="s">
        <v>307</v>
      </c>
      <c r="E262" t="s">
        <v>68</v>
      </c>
      <c r="L262" t="e">
        <f t="shared" si="8"/>
        <v>#NUM!</v>
      </c>
      <c r="M262" t="e">
        <f t="shared" si="9"/>
        <v>#NUM!</v>
      </c>
    </row>
    <row r="263" spans="1:13" x14ac:dyDescent="0.25">
      <c r="A263" t="s">
        <v>308</v>
      </c>
      <c r="E263" t="s">
        <v>185</v>
      </c>
      <c r="L263" t="e">
        <f t="shared" si="8"/>
        <v>#NUM!</v>
      </c>
      <c r="M263" t="e">
        <f t="shared" si="9"/>
        <v>#NUM!</v>
      </c>
    </row>
    <row r="264" spans="1:13" x14ac:dyDescent="0.25">
      <c r="A264" t="s">
        <v>309</v>
      </c>
      <c r="E264" t="s">
        <v>204</v>
      </c>
      <c r="L264" t="e">
        <f t="shared" si="8"/>
        <v>#NUM!</v>
      </c>
      <c r="M264" t="e">
        <f t="shared" si="9"/>
        <v>#NUM!</v>
      </c>
    </row>
    <row r="265" spans="1:13" x14ac:dyDescent="0.25">
      <c r="A265" t="s">
        <v>310</v>
      </c>
      <c r="E265" t="s">
        <v>79</v>
      </c>
      <c r="L265" t="e">
        <f t="shared" si="8"/>
        <v>#NUM!</v>
      </c>
      <c r="M265" t="e">
        <f t="shared" si="9"/>
        <v>#NUM!</v>
      </c>
    </row>
    <row r="266" spans="1:13" x14ac:dyDescent="0.25">
      <c r="A266" t="s">
        <v>311</v>
      </c>
      <c r="L266" t="e">
        <f t="shared" si="8"/>
        <v>#NUM!</v>
      </c>
      <c r="M266" t="e">
        <f t="shared" si="9"/>
        <v>#NUM!</v>
      </c>
    </row>
    <row r="267" spans="1:13" x14ac:dyDescent="0.25">
      <c r="A267" t="s">
        <v>312</v>
      </c>
      <c r="L267" t="e">
        <f t="shared" si="8"/>
        <v>#NUM!</v>
      </c>
      <c r="M267" t="e">
        <f t="shared" si="9"/>
        <v>#NUM!</v>
      </c>
    </row>
    <row r="268" spans="1:13" x14ac:dyDescent="0.25">
      <c r="A268" t="s">
        <v>313</v>
      </c>
      <c r="L268" t="e">
        <f t="shared" si="8"/>
        <v>#NUM!</v>
      </c>
      <c r="M268" t="e">
        <f t="shared" si="9"/>
        <v>#NUM!</v>
      </c>
    </row>
    <row r="269" spans="1:13" x14ac:dyDescent="0.25">
      <c r="A269" t="s">
        <v>314</v>
      </c>
      <c r="L269">
        <f>COUNTIF(L4:L268, "ВЫБРОС")</f>
        <v>0</v>
      </c>
      <c r="M269">
        <f>COUNTIF(M4:M268, "ВЫБРОС")</f>
        <v>0</v>
      </c>
    </row>
    <row r="270" spans="1:13" x14ac:dyDescent="0.25">
      <c r="A270" t="s">
        <v>315</v>
      </c>
    </row>
    <row r="271" spans="1:13" x14ac:dyDescent="0.25">
      <c r="A271" t="s">
        <v>316</v>
      </c>
    </row>
    <row r="272" spans="1:13" x14ac:dyDescent="0.25">
      <c r="A272" t="s">
        <v>73</v>
      </c>
    </row>
    <row r="273" spans="1:1" x14ac:dyDescent="0.25">
      <c r="A273" t="s">
        <v>317</v>
      </c>
    </row>
    <row r="274" spans="1:1" x14ac:dyDescent="0.25">
      <c r="A274" t="s">
        <v>318</v>
      </c>
    </row>
    <row r="275" spans="1:1" x14ac:dyDescent="0.25">
      <c r="A275" t="s">
        <v>319</v>
      </c>
    </row>
    <row r="276" spans="1:1" x14ac:dyDescent="0.25">
      <c r="A276" t="s">
        <v>320</v>
      </c>
    </row>
    <row r="277" spans="1:1" x14ac:dyDescent="0.25">
      <c r="A277" t="s">
        <v>321</v>
      </c>
    </row>
    <row r="278" spans="1:1" x14ac:dyDescent="0.25">
      <c r="A278" t="s">
        <v>322</v>
      </c>
    </row>
    <row r="279" spans="1:1" x14ac:dyDescent="0.25">
      <c r="A279" t="s">
        <v>323</v>
      </c>
    </row>
    <row r="280" spans="1:1" x14ac:dyDescent="0.25">
      <c r="A280" t="s">
        <v>324</v>
      </c>
    </row>
    <row r="281" spans="1:1" x14ac:dyDescent="0.25">
      <c r="A281" t="s">
        <v>325</v>
      </c>
    </row>
    <row r="282" spans="1:1" x14ac:dyDescent="0.25">
      <c r="A282" t="s">
        <v>326</v>
      </c>
    </row>
    <row r="283" spans="1:1" x14ac:dyDescent="0.25">
      <c r="A283" t="s">
        <v>327</v>
      </c>
    </row>
    <row r="284" spans="1:1" x14ac:dyDescent="0.25">
      <c r="A284" t="s">
        <v>328</v>
      </c>
    </row>
    <row r="285" spans="1:1" x14ac:dyDescent="0.25">
      <c r="A285" t="s">
        <v>329</v>
      </c>
    </row>
    <row r="286" spans="1:1" x14ac:dyDescent="0.25">
      <c r="A286" t="s">
        <v>330</v>
      </c>
    </row>
    <row r="287" spans="1:1" x14ac:dyDescent="0.25">
      <c r="A287" t="s">
        <v>331</v>
      </c>
    </row>
    <row r="288" spans="1:1" x14ac:dyDescent="0.25">
      <c r="A288" t="s">
        <v>73</v>
      </c>
    </row>
    <row r="289" spans="1:1" x14ac:dyDescent="0.25">
      <c r="A289" t="s">
        <v>332</v>
      </c>
    </row>
  </sheetData>
  <sortState ref="E1:E289">
    <sortCondition ref="E1"/>
  </sortState>
  <mergeCells count="3">
    <mergeCell ref="I3:J3"/>
    <mergeCell ref="I5:J5"/>
    <mergeCell ref="I7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300"/>
  <sheetViews>
    <sheetView topLeftCell="L7" zoomScaleNormal="100" workbookViewId="0">
      <selection activeCell="Y50" sqref="Y50"/>
    </sheetView>
  </sheetViews>
  <sheetFormatPr defaultColWidth="8.85546875" defaultRowHeight="15" x14ac:dyDescent="0.25"/>
  <sheetData>
    <row r="1" spans="1:19" x14ac:dyDescent="0.25">
      <c r="A1" t="s">
        <v>73</v>
      </c>
      <c r="C1">
        <f>COUNTIF(A1:A289,"NA")</f>
        <v>35</v>
      </c>
      <c r="G1">
        <f>COUNT(E1:E289)</f>
        <v>265</v>
      </c>
      <c r="H1">
        <f>AVERAGE(E1:E266)</f>
        <v>-175.08218867924523</v>
      </c>
      <c r="I1">
        <f>MEDIAN(E:E)</f>
        <v>-176.4</v>
      </c>
      <c r="J1">
        <f>MAX(E:E)</f>
        <v>45.8900000000002</v>
      </c>
      <c r="K1">
        <f>MIN(E:E)</f>
        <v>-301.70999999999998</v>
      </c>
    </row>
    <row r="2" spans="1:19" x14ac:dyDescent="0.25">
      <c r="A2">
        <v>-222.54</v>
      </c>
      <c r="E2">
        <v>-301.70999999999998</v>
      </c>
    </row>
    <row r="3" spans="1:19" x14ac:dyDescent="0.25">
      <c r="A3">
        <v>-137.13</v>
      </c>
      <c r="E3">
        <v>-270.11</v>
      </c>
      <c r="G3" t="s">
        <v>333</v>
      </c>
      <c r="I3" s="43" t="s">
        <v>334</v>
      </c>
      <c r="J3" s="43"/>
      <c r="L3" t="s">
        <v>337</v>
      </c>
      <c r="M3" t="s">
        <v>338</v>
      </c>
      <c r="O3" t="s">
        <v>339</v>
      </c>
      <c r="P3" t="s">
        <v>340</v>
      </c>
    </row>
    <row r="4" spans="1:19" x14ac:dyDescent="0.25">
      <c r="A4">
        <v>-158.72999999999999</v>
      </c>
      <c r="E4">
        <v>-269.85000000000002</v>
      </c>
      <c r="F4">
        <v>1</v>
      </c>
      <c r="G4">
        <f>_xlfn.QUARTILE.INC(E:E,1)</f>
        <v>-191.12</v>
      </c>
      <c r="I4">
        <f>G5-G4</f>
        <v>32.210000000000008</v>
      </c>
      <c r="J4">
        <f>H4-H6</f>
        <v>0</v>
      </c>
      <c r="O4">
        <f>KURT(E1:E266)</f>
        <v>13.131600879736755</v>
      </c>
      <c r="P4">
        <f>SKEW(E1:E266)</f>
        <v>1.8634170387252809</v>
      </c>
    </row>
    <row r="5" spans="1:19" x14ac:dyDescent="0.25">
      <c r="A5">
        <v>-150.44999999999999</v>
      </c>
      <c r="E5">
        <v>-268.44</v>
      </c>
      <c r="F5">
        <v>3</v>
      </c>
      <c r="G5">
        <f>_xlfn.QUARTILE.INC(E:E,3)</f>
        <v>-158.91</v>
      </c>
      <c r="I5" s="43" t="s">
        <v>335</v>
      </c>
      <c r="J5" s="43"/>
      <c r="L5" t="str">
        <f>IF(E2&lt;I$6,"ВЫБРОС",0)</f>
        <v>ВЫБРОС</v>
      </c>
      <c r="M5">
        <f>IF(E2&gt;I$8,"ВЫБРОС",0)</f>
        <v>0</v>
      </c>
    </row>
    <row r="6" spans="1:19" x14ac:dyDescent="0.25">
      <c r="A6">
        <v>-167.26</v>
      </c>
      <c r="E6">
        <v>-232.49</v>
      </c>
      <c r="I6">
        <f>G4-I4*1.5</f>
        <v>-239.435</v>
      </c>
      <c r="J6">
        <f>H6-J4*1.5</f>
        <v>0</v>
      </c>
      <c r="L6" t="str">
        <f t="shared" ref="L6:L68" si="0">IF(E3&lt;I$6,"ВЫБРОС",0)</f>
        <v>ВЫБРОС</v>
      </c>
      <c r="M6">
        <f t="shared" ref="M6:M68" si="1">IF(E3&gt;I$8,"ВЫБРОС",0)</f>
        <v>0</v>
      </c>
    </row>
    <row r="7" spans="1:19" x14ac:dyDescent="0.25">
      <c r="A7">
        <v>-163.58000000000001</v>
      </c>
      <c r="E7">
        <v>-223.12</v>
      </c>
      <c r="I7" s="43" t="s">
        <v>336</v>
      </c>
      <c r="J7" s="43"/>
      <c r="L7" t="str">
        <f t="shared" si="0"/>
        <v>ВЫБРОС</v>
      </c>
      <c r="M7">
        <f t="shared" si="1"/>
        <v>0</v>
      </c>
    </row>
    <row r="8" spans="1:19" x14ac:dyDescent="0.25">
      <c r="A8">
        <v>-187.29</v>
      </c>
      <c r="E8">
        <v>-222.97</v>
      </c>
      <c r="I8">
        <f>G5+I4*1.5</f>
        <v>-110.59499999999998</v>
      </c>
      <c r="J8">
        <f>H4+J4*1.5</f>
        <v>0</v>
      </c>
      <c r="L8" t="str">
        <f t="shared" si="0"/>
        <v>ВЫБРОС</v>
      </c>
      <c r="M8">
        <f t="shared" si="1"/>
        <v>0</v>
      </c>
    </row>
    <row r="9" spans="1:19" x14ac:dyDescent="0.25">
      <c r="A9">
        <v>-196.59</v>
      </c>
      <c r="E9">
        <v>-222.54</v>
      </c>
      <c r="L9">
        <f t="shared" si="0"/>
        <v>0</v>
      </c>
      <c r="M9">
        <f t="shared" si="1"/>
        <v>0</v>
      </c>
      <c r="S9">
        <v>-232.49</v>
      </c>
    </row>
    <row r="10" spans="1:19" x14ac:dyDescent="0.25">
      <c r="A10">
        <v>-166.63</v>
      </c>
      <c r="E10">
        <v>-220.79</v>
      </c>
      <c r="G10" t="s">
        <v>341</v>
      </c>
      <c r="I10" t="s">
        <v>342</v>
      </c>
      <c r="L10">
        <f t="shared" si="0"/>
        <v>0</v>
      </c>
      <c r="M10">
        <f t="shared" si="1"/>
        <v>0</v>
      </c>
      <c r="S10">
        <v>-223.12</v>
      </c>
    </row>
    <row r="11" spans="1:19" x14ac:dyDescent="0.25">
      <c r="A11">
        <v>-157.71</v>
      </c>
      <c r="E11">
        <v>-217.85</v>
      </c>
      <c r="G11">
        <f>_xlfn.STDEV.S(E1:E266)</f>
        <v>33.178446027468091</v>
      </c>
      <c r="I11">
        <f>_xlfn.VAR.S(E1:E266)</f>
        <v>1100.8092807976134</v>
      </c>
      <c r="L11">
        <f t="shared" si="0"/>
        <v>0</v>
      </c>
      <c r="M11">
        <f t="shared" si="1"/>
        <v>0</v>
      </c>
      <c r="S11">
        <v>-222.97</v>
      </c>
    </row>
    <row r="12" spans="1:19" x14ac:dyDescent="0.25">
      <c r="A12">
        <v>-181.53</v>
      </c>
      <c r="E12">
        <v>-217.42</v>
      </c>
      <c r="L12">
        <f t="shared" si="0"/>
        <v>0</v>
      </c>
      <c r="M12">
        <f t="shared" si="1"/>
        <v>0</v>
      </c>
      <c r="S12">
        <v>-222.54</v>
      </c>
    </row>
    <row r="13" spans="1:19" x14ac:dyDescent="0.25">
      <c r="A13">
        <v>-177.19</v>
      </c>
      <c r="E13">
        <v>-216.24</v>
      </c>
      <c r="L13">
        <f t="shared" si="0"/>
        <v>0</v>
      </c>
      <c r="M13">
        <f t="shared" si="1"/>
        <v>0</v>
      </c>
      <c r="S13">
        <v>-220.79</v>
      </c>
    </row>
    <row r="14" spans="1:19" x14ac:dyDescent="0.25">
      <c r="A14">
        <v>-186.37</v>
      </c>
      <c r="E14">
        <v>-215.44</v>
      </c>
      <c r="L14">
        <f t="shared" si="0"/>
        <v>0</v>
      </c>
      <c r="M14">
        <f t="shared" si="1"/>
        <v>0</v>
      </c>
      <c r="S14">
        <v>-217.85</v>
      </c>
    </row>
    <row r="15" spans="1:19" x14ac:dyDescent="0.25">
      <c r="A15">
        <v>-153.53</v>
      </c>
      <c r="E15">
        <v>-215.29</v>
      </c>
      <c r="L15">
        <f t="shared" si="0"/>
        <v>0</v>
      </c>
      <c r="M15">
        <f t="shared" si="1"/>
        <v>0</v>
      </c>
      <c r="S15">
        <v>-217.42</v>
      </c>
    </row>
    <row r="16" spans="1:19" x14ac:dyDescent="0.25">
      <c r="A16">
        <v>-197.22</v>
      </c>
      <c r="E16">
        <v>-214.79</v>
      </c>
      <c r="L16">
        <f t="shared" si="0"/>
        <v>0</v>
      </c>
      <c r="M16">
        <f t="shared" si="1"/>
        <v>0</v>
      </c>
      <c r="S16">
        <v>-216.24</v>
      </c>
    </row>
    <row r="17" spans="1:19" x14ac:dyDescent="0.25">
      <c r="A17">
        <v>-141.13999999999999</v>
      </c>
      <c r="E17">
        <v>-214.39</v>
      </c>
      <c r="L17">
        <f t="shared" si="0"/>
        <v>0</v>
      </c>
      <c r="M17">
        <f t="shared" si="1"/>
        <v>0</v>
      </c>
      <c r="S17">
        <v>-215.44</v>
      </c>
    </row>
    <row r="18" spans="1:19" x14ac:dyDescent="0.25">
      <c r="A18">
        <v>-214.39</v>
      </c>
      <c r="E18">
        <v>-214.23</v>
      </c>
      <c r="L18">
        <f t="shared" si="0"/>
        <v>0</v>
      </c>
      <c r="M18">
        <f t="shared" si="1"/>
        <v>0</v>
      </c>
      <c r="S18">
        <v>-215.29</v>
      </c>
    </row>
    <row r="19" spans="1:19" x14ac:dyDescent="0.25">
      <c r="A19">
        <v>-166.75</v>
      </c>
      <c r="E19">
        <v>-214.11</v>
      </c>
      <c r="L19">
        <f t="shared" si="0"/>
        <v>0</v>
      </c>
      <c r="M19">
        <f t="shared" si="1"/>
        <v>0</v>
      </c>
      <c r="S19">
        <v>-214.79</v>
      </c>
    </row>
    <row r="20" spans="1:19" x14ac:dyDescent="0.25">
      <c r="A20">
        <v>-186.15</v>
      </c>
      <c r="E20">
        <v>-213.17</v>
      </c>
      <c r="L20">
        <f t="shared" si="0"/>
        <v>0</v>
      </c>
      <c r="M20">
        <f t="shared" si="1"/>
        <v>0</v>
      </c>
      <c r="S20">
        <v>-214.39</v>
      </c>
    </row>
    <row r="21" spans="1:19" x14ac:dyDescent="0.25">
      <c r="A21">
        <v>-188.65</v>
      </c>
      <c r="E21">
        <v>-212.16</v>
      </c>
      <c r="L21">
        <f t="shared" si="0"/>
        <v>0</v>
      </c>
      <c r="M21">
        <f t="shared" si="1"/>
        <v>0</v>
      </c>
      <c r="S21">
        <v>-214.23</v>
      </c>
    </row>
    <row r="22" spans="1:19" x14ac:dyDescent="0.25">
      <c r="A22" t="s">
        <v>73</v>
      </c>
      <c r="E22">
        <v>-211.48</v>
      </c>
      <c r="L22">
        <f t="shared" si="0"/>
        <v>0</v>
      </c>
      <c r="M22">
        <f t="shared" si="1"/>
        <v>0</v>
      </c>
      <c r="S22">
        <v>-214.11</v>
      </c>
    </row>
    <row r="23" spans="1:19" x14ac:dyDescent="0.25">
      <c r="A23">
        <v>-166.6</v>
      </c>
      <c r="E23">
        <v>-210.77</v>
      </c>
      <c r="L23">
        <f t="shared" si="0"/>
        <v>0</v>
      </c>
      <c r="M23">
        <f t="shared" si="1"/>
        <v>0</v>
      </c>
      <c r="S23">
        <v>-213.17</v>
      </c>
    </row>
    <row r="24" spans="1:19" x14ac:dyDescent="0.25">
      <c r="A24">
        <v>-142.57</v>
      </c>
      <c r="E24">
        <v>-208.34</v>
      </c>
      <c r="L24">
        <f t="shared" si="0"/>
        <v>0</v>
      </c>
      <c r="M24">
        <f t="shared" si="1"/>
        <v>0</v>
      </c>
      <c r="S24">
        <v>-212.16</v>
      </c>
    </row>
    <row r="25" spans="1:19" x14ac:dyDescent="0.25">
      <c r="A25">
        <v>-192.23</v>
      </c>
      <c r="E25">
        <v>-207.67</v>
      </c>
      <c r="L25">
        <f t="shared" si="0"/>
        <v>0</v>
      </c>
      <c r="M25">
        <f t="shared" si="1"/>
        <v>0</v>
      </c>
      <c r="S25">
        <v>-211.48</v>
      </c>
    </row>
    <row r="26" spans="1:19" x14ac:dyDescent="0.25">
      <c r="A26">
        <v>-208.34</v>
      </c>
      <c r="E26">
        <v>-207.25</v>
      </c>
      <c r="L26">
        <f t="shared" si="0"/>
        <v>0</v>
      </c>
      <c r="M26">
        <f t="shared" si="1"/>
        <v>0</v>
      </c>
      <c r="S26">
        <v>-210.77</v>
      </c>
    </row>
    <row r="27" spans="1:19" x14ac:dyDescent="0.25">
      <c r="A27">
        <v>-191.17</v>
      </c>
      <c r="E27">
        <v>-206.57</v>
      </c>
      <c r="L27">
        <f t="shared" si="0"/>
        <v>0</v>
      </c>
      <c r="M27">
        <f t="shared" si="1"/>
        <v>0</v>
      </c>
      <c r="S27">
        <v>-208.34</v>
      </c>
    </row>
    <row r="28" spans="1:19" x14ac:dyDescent="0.25">
      <c r="A28">
        <v>-143.68</v>
      </c>
      <c r="E28">
        <v>-206.18</v>
      </c>
      <c r="L28">
        <f t="shared" si="0"/>
        <v>0</v>
      </c>
      <c r="M28">
        <f t="shared" si="1"/>
        <v>0</v>
      </c>
      <c r="S28">
        <v>-207.67</v>
      </c>
    </row>
    <row r="29" spans="1:19" x14ac:dyDescent="0.25">
      <c r="A29">
        <v>-185.53</v>
      </c>
      <c r="E29">
        <v>-206.15</v>
      </c>
      <c r="L29">
        <f t="shared" si="0"/>
        <v>0</v>
      </c>
      <c r="M29">
        <f t="shared" si="1"/>
        <v>0</v>
      </c>
      <c r="S29">
        <v>-207.25</v>
      </c>
    </row>
    <row r="30" spans="1:19" x14ac:dyDescent="0.25">
      <c r="A30">
        <v>-173.53</v>
      </c>
      <c r="E30">
        <v>-205.88</v>
      </c>
      <c r="L30">
        <f t="shared" si="0"/>
        <v>0</v>
      </c>
      <c r="M30">
        <f t="shared" si="1"/>
        <v>0</v>
      </c>
      <c r="S30">
        <v>-206.57</v>
      </c>
    </row>
    <row r="31" spans="1:19" x14ac:dyDescent="0.25">
      <c r="A31">
        <v>-123.43</v>
      </c>
      <c r="E31">
        <v>-205.47</v>
      </c>
      <c r="L31">
        <f t="shared" si="0"/>
        <v>0</v>
      </c>
      <c r="M31">
        <f t="shared" si="1"/>
        <v>0</v>
      </c>
      <c r="S31">
        <v>-206.18</v>
      </c>
    </row>
    <row r="32" spans="1:19" x14ac:dyDescent="0.25">
      <c r="A32">
        <v>-177.07</v>
      </c>
      <c r="E32">
        <v>-205.37</v>
      </c>
      <c r="L32">
        <f t="shared" si="0"/>
        <v>0</v>
      </c>
      <c r="M32">
        <f t="shared" si="1"/>
        <v>0</v>
      </c>
      <c r="S32">
        <v>-206.15</v>
      </c>
    </row>
    <row r="33" spans="1:19" x14ac:dyDescent="0.25">
      <c r="A33">
        <v>-198.83</v>
      </c>
      <c r="E33">
        <v>-205.36</v>
      </c>
      <c r="L33">
        <f t="shared" si="0"/>
        <v>0</v>
      </c>
      <c r="M33">
        <f t="shared" si="1"/>
        <v>0</v>
      </c>
      <c r="S33">
        <v>-205.88</v>
      </c>
    </row>
    <row r="34" spans="1:19" x14ac:dyDescent="0.25">
      <c r="A34">
        <v>-194.83</v>
      </c>
      <c r="E34">
        <v>-205.32</v>
      </c>
      <c r="L34">
        <f t="shared" si="0"/>
        <v>0</v>
      </c>
      <c r="M34">
        <f t="shared" si="1"/>
        <v>0</v>
      </c>
      <c r="S34">
        <v>-205.47</v>
      </c>
    </row>
    <row r="35" spans="1:19" x14ac:dyDescent="0.25">
      <c r="A35">
        <v>-153.53</v>
      </c>
      <c r="E35">
        <v>-204.52</v>
      </c>
      <c r="L35">
        <f t="shared" si="0"/>
        <v>0</v>
      </c>
      <c r="M35">
        <f t="shared" si="1"/>
        <v>0</v>
      </c>
      <c r="S35">
        <v>-205.37</v>
      </c>
    </row>
    <row r="36" spans="1:19" x14ac:dyDescent="0.25">
      <c r="A36">
        <v>-146.13</v>
      </c>
      <c r="E36">
        <v>-204.51</v>
      </c>
      <c r="L36">
        <f t="shared" si="0"/>
        <v>0</v>
      </c>
      <c r="M36">
        <f t="shared" si="1"/>
        <v>0</v>
      </c>
      <c r="S36">
        <v>-205.36</v>
      </c>
    </row>
    <row r="37" spans="1:19" x14ac:dyDescent="0.25">
      <c r="A37">
        <v>-146.13999999999999</v>
      </c>
      <c r="E37">
        <v>-204.36</v>
      </c>
      <c r="L37">
        <f t="shared" si="0"/>
        <v>0</v>
      </c>
      <c r="M37">
        <f t="shared" si="1"/>
        <v>0</v>
      </c>
      <c r="S37">
        <v>-205.32</v>
      </c>
    </row>
    <row r="38" spans="1:19" x14ac:dyDescent="0.25">
      <c r="A38">
        <v>-187.45</v>
      </c>
      <c r="E38">
        <v>-203.26</v>
      </c>
      <c r="L38">
        <f t="shared" si="0"/>
        <v>0</v>
      </c>
      <c r="M38">
        <f t="shared" si="1"/>
        <v>0</v>
      </c>
      <c r="S38">
        <v>-204.52</v>
      </c>
    </row>
    <row r="39" spans="1:19" x14ac:dyDescent="0.25">
      <c r="A39">
        <v>-216.24</v>
      </c>
      <c r="E39">
        <v>-202.85</v>
      </c>
      <c r="L39">
        <f t="shared" si="0"/>
        <v>0</v>
      </c>
      <c r="M39">
        <f t="shared" si="1"/>
        <v>0</v>
      </c>
      <c r="S39">
        <v>-204.51</v>
      </c>
    </row>
    <row r="40" spans="1:19" x14ac:dyDescent="0.25">
      <c r="A40">
        <v>-189.85</v>
      </c>
      <c r="E40">
        <v>-202.13</v>
      </c>
      <c r="L40">
        <f t="shared" si="0"/>
        <v>0</v>
      </c>
      <c r="M40">
        <f t="shared" si="1"/>
        <v>0</v>
      </c>
      <c r="S40">
        <v>-204.36</v>
      </c>
    </row>
    <row r="41" spans="1:19" x14ac:dyDescent="0.25">
      <c r="A41" t="s">
        <v>73</v>
      </c>
      <c r="E41">
        <v>-201.87</v>
      </c>
      <c r="L41">
        <f t="shared" si="0"/>
        <v>0</v>
      </c>
      <c r="M41">
        <f t="shared" si="1"/>
        <v>0</v>
      </c>
      <c r="S41">
        <v>-203.26</v>
      </c>
    </row>
    <row r="42" spans="1:19" x14ac:dyDescent="0.25">
      <c r="A42">
        <v>-213.17</v>
      </c>
      <c r="E42">
        <v>-201.82</v>
      </c>
      <c r="L42">
        <f t="shared" si="0"/>
        <v>0</v>
      </c>
      <c r="M42">
        <f t="shared" si="1"/>
        <v>0</v>
      </c>
      <c r="S42">
        <v>-202.85</v>
      </c>
    </row>
    <row r="43" spans="1:19" x14ac:dyDescent="0.25">
      <c r="A43">
        <v>-157.22</v>
      </c>
      <c r="E43">
        <v>-201.06</v>
      </c>
      <c r="L43">
        <f t="shared" si="0"/>
        <v>0</v>
      </c>
      <c r="M43">
        <f t="shared" si="1"/>
        <v>0</v>
      </c>
      <c r="S43">
        <v>-202.13</v>
      </c>
    </row>
    <row r="44" spans="1:19" x14ac:dyDescent="0.25">
      <c r="A44">
        <v>-175.74</v>
      </c>
      <c r="E44">
        <v>-199.72</v>
      </c>
      <c r="L44">
        <f t="shared" si="0"/>
        <v>0</v>
      </c>
      <c r="M44">
        <f t="shared" si="1"/>
        <v>0</v>
      </c>
      <c r="S44">
        <v>-201.87</v>
      </c>
    </row>
    <row r="45" spans="1:19" x14ac:dyDescent="0.25">
      <c r="A45">
        <v>-180.3</v>
      </c>
      <c r="E45">
        <v>-199.55</v>
      </c>
      <c r="L45">
        <f t="shared" si="0"/>
        <v>0</v>
      </c>
      <c r="M45">
        <f t="shared" si="1"/>
        <v>0</v>
      </c>
      <c r="S45">
        <v>-201.82</v>
      </c>
    </row>
    <row r="46" spans="1:19" x14ac:dyDescent="0.25">
      <c r="A46" t="s">
        <v>73</v>
      </c>
      <c r="E46">
        <v>-199.04</v>
      </c>
      <c r="L46">
        <f t="shared" si="0"/>
        <v>0</v>
      </c>
      <c r="M46">
        <f t="shared" si="1"/>
        <v>0</v>
      </c>
      <c r="S46">
        <v>-201.06</v>
      </c>
    </row>
    <row r="47" spans="1:19" x14ac:dyDescent="0.25">
      <c r="A47">
        <v>-168.5</v>
      </c>
      <c r="E47">
        <v>-198.83</v>
      </c>
      <c r="L47">
        <f t="shared" si="0"/>
        <v>0</v>
      </c>
      <c r="M47">
        <f t="shared" si="1"/>
        <v>0</v>
      </c>
      <c r="S47">
        <v>-199.72</v>
      </c>
    </row>
    <row r="48" spans="1:19" x14ac:dyDescent="0.25">
      <c r="A48">
        <v>-202.13</v>
      </c>
      <c r="E48">
        <v>-198.65</v>
      </c>
      <c r="L48">
        <f t="shared" si="0"/>
        <v>0</v>
      </c>
      <c r="M48">
        <f t="shared" si="1"/>
        <v>0</v>
      </c>
      <c r="S48">
        <v>-199.55</v>
      </c>
    </row>
    <row r="49" spans="1:19" x14ac:dyDescent="0.25">
      <c r="A49">
        <v>-158.91</v>
      </c>
      <c r="E49">
        <v>-198.63</v>
      </c>
      <c r="L49">
        <f t="shared" si="0"/>
        <v>0</v>
      </c>
      <c r="M49">
        <f t="shared" si="1"/>
        <v>0</v>
      </c>
      <c r="S49">
        <v>-199.04</v>
      </c>
    </row>
    <row r="50" spans="1:19" x14ac:dyDescent="0.25">
      <c r="A50">
        <v>-187.05</v>
      </c>
      <c r="E50">
        <v>-198.36</v>
      </c>
      <c r="L50">
        <f t="shared" si="0"/>
        <v>0</v>
      </c>
      <c r="M50">
        <f t="shared" si="1"/>
        <v>0</v>
      </c>
      <c r="S50">
        <v>-198.83</v>
      </c>
    </row>
    <row r="51" spans="1:19" x14ac:dyDescent="0.25">
      <c r="A51">
        <v>-190.85</v>
      </c>
      <c r="E51">
        <v>-197.9</v>
      </c>
      <c r="L51">
        <f t="shared" si="0"/>
        <v>0</v>
      </c>
      <c r="M51">
        <f t="shared" si="1"/>
        <v>0</v>
      </c>
      <c r="S51">
        <v>-198.65</v>
      </c>
    </row>
    <row r="52" spans="1:19" x14ac:dyDescent="0.25">
      <c r="A52">
        <v>-173.75</v>
      </c>
      <c r="E52">
        <v>-197.22</v>
      </c>
      <c r="L52">
        <f t="shared" si="0"/>
        <v>0</v>
      </c>
      <c r="M52">
        <f t="shared" si="1"/>
        <v>0</v>
      </c>
      <c r="S52">
        <v>-198.63</v>
      </c>
    </row>
    <row r="53" spans="1:19" x14ac:dyDescent="0.25">
      <c r="A53">
        <v>-184.34</v>
      </c>
      <c r="E53">
        <v>-196.91</v>
      </c>
      <c r="L53">
        <f t="shared" si="0"/>
        <v>0</v>
      </c>
      <c r="M53">
        <f t="shared" si="1"/>
        <v>0</v>
      </c>
      <c r="S53">
        <v>-198.36</v>
      </c>
    </row>
    <row r="54" spans="1:19" x14ac:dyDescent="0.25">
      <c r="A54">
        <v>-199.72</v>
      </c>
      <c r="E54">
        <v>-196.59</v>
      </c>
      <c r="L54">
        <f t="shared" si="0"/>
        <v>0</v>
      </c>
      <c r="M54">
        <f t="shared" si="1"/>
        <v>0</v>
      </c>
      <c r="S54">
        <v>-197.9</v>
      </c>
    </row>
    <row r="55" spans="1:19" x14ac:dyDescent="0.25">
      <c r="A55">
        <v>-149.76</v>
      </c>
      <c r="E55">
        <v>-195.97</v>
      </c>
      <c r="L55">
        <f t="shared" si="0"/>
        <v>0</v>
      </c>
      <c r="M55">
        <f t="shared" si="1"/>
        <v>0</v>
      </c>
      <c r="S55">
        <v>-197.22</v>
      </c>
    </row>
    <row r="56" spans="1:19" x14ac:dyDescent="0.25">
      <c r="A56">
        <v>-301.70999999999998</v>
      </c>
      <c r="E56">
        <v>-195.32</v>
      </c>
      <c r="L56">
        <f t="shared" si="0"/>
        <v>0</v>
      </c>
      <c r="M56">
        <f t="shared" si="1"/>
        <v>0</v>
      </c>
      <c r="S56">
        <v>-196.91</v>
      </c>
    </row>
    <row r="57" spans="1:19" x14ac:dyDescent="0.25">
      <c r="A57">
        <v>-133.69</v>
      </c>
      <c r="E57">
        <v>-194.83</v>
      </c>
      <c r="L57">
        <f t="shared" si="0"/>
        <v>0</v>
      </c>
      <c r="M57">
        <f t="shared" si="1"/>
        <v>0</v>
      </c>
      <c r="S57">
        <v>-196.59</v>
      </c>
    </row>
    <row r="58" spans="1:19" x14ac:dyDescent="0.25">
      <c r="A58">
        <v>-175.59</v>
      </c>
      <c r="E58">
        <v>-194.62</v>
      </c>
      <c r="L58">
        <f t="shared" si="0"/>
        <v>0</v>
      </c>
      <c r="M58">
        <f t="shared" si="1"/>
        <v>0</v>
      </c>
      <c r="S58">
        <v>-195.97</v>
      </c>
    </row>
    <row r="59" spans="1:19" x14ac:dyDescent="0.25">
      <c r="A59">
        <v>-190.09</v>
      </c>
      <c r="E59">
        <v>-194.31</v>
      </c>
      <c r="L59">
        <f t="shared" si="0"/>
        <v>0</v>
      </c>
      <c r="M59">
        <f t="shared" si="1"/>
        <v>0</v>
      </c>
      <c r="S59">
        <v>-195.32</v>
      </c>
    </row>
    <row r="60" spans="1:19" x14ac:dyDescent="0.25">
      <c r="A60">
        <v>-190.16</v>
      </c>
      <c r="E60">
        <v>-193.98</v>
      </c>
      <c r="L60">
        <f t="shared" si="0"/>
        <v>0</v>
      </c>
      <c r="M60">
        <f t="shared" si="1"/>
        <v>0</v>
      </c>
      <c r="S60">
        <v>-194.83</v>
      </c>
    </row>
    <row r="61" spans="1:19" x14ac:dyDescent="0.25">
      <c r="A61">
        <v>-186.96</v>
      </c>
      <c r="E61">
        <v>-193.6</v>
      </c>
      <c r="L61">
        <f t="shared" si="0"/>
        <v>0</v>
      </c>
      <c r="M61">
        <f t="shared" si="1"/>
        <v>0</v>
      </c>
      <c r="S61">
        <v>-194.62</v>
      </c>
    </row>
    <row r="62" spans="1:19" x14ac:dyDescent="0.25">
      <c r="A62">
        <v>-140.56</v>
      </c>
      <c r="E62">
        <v>-193.22</v>
      </c>
      <c r="L62">
        <f t="shared" si="0"/>
        <v>0</v>
      </c>
      <c r="M62">
        <f t="shared" si="1"/>
        <v>0</v>
      </c>
      <c r="S62">
        <v>-194.31</v>
      </c>
    </row>
    <row r="63" spans="1:19" x14ac:dyDescent="0.25">
      <c r="A63" t="s">
        <v>73</v>
      </c>
      <c r="E63">
        <v>-192.23</v>
      </c>
      <c r="L63">
        <f t="shared" si="0"/>
        <v>0</v>
      </c>
      <c r="M63">
        <f t="shared" si="1"/>
        <v>0</v>
      </c>
      <c r="S63">
        <v>-193.98</v>
      </c>
    </row>
    <row r="64" spans="1:19" x14ac:dyDescent="0.25">
      <c r="A64">
        <v>-171.25</v>
      </c>
      <c r="E64">
        <v>-192.22</v>
      </c>
      <c r="L64">
        <f t="shared" si="0"/>
        <v>0</v>
      </c>
      <c r="M64">
        <f t="shared" si="1"/>
        <v>0</v>
      </c>
      <c r="S64">
        <v>-193.6</v>
      </c>
    </row>
    <row r="65" spans="1:19" x14ac:dyDescent="0.25">
      <c r="A65">
        <v>-215.44</v>
      </c>
      <c r="E65">
        <v>-192.11</v>
      </c>
      <c r="L65">
        <f t="shared" si="0"/>
        <v>0</v>
      </c>
      <c r="M65">
        <f t="shared" si="1"/>
        <v>0</v>
      </c>
      <c r="S65">
        <v>-193.22</v>
      </c>
    </row>
    <row r="66" spans="1:19" x14ac:dyDescent="0.25">
      <c r="A66">
        <v>-164.12</v>
      </c>
      <c r="E66">
        <v>-191.17</v>
      </c>
      <c r="L66">
        <f t="shared" si="0"/>
        <v>0</v>
      </c>
      <c r="M66">
        <f t="shared" si="1"/>
        <v>0</v>
      </c>
      <c r="S66">
        <v>-192.23</v>
      </c>
    </row>
    <row r="67" spans="1:19" x14ac:dyDescent="0.25">
      <c r="A67">
        <v>-186.81</v>
      </c>
      <c r="E67">
        <v>-191.12</v>
      </c>
      <c r="L67">
        <f t="shared" si="0"/>
        <v>0</v>
      </c>
      <c r="M67">
        <f t="shared" si="1"/>
        <v>0</v>
      </c>
      <c r="S67">
        <v>-192.22</v>
      </c>
    </row>
    <row r="68" spans="1:19" x14ac:dyDescent="0.25">
      <c r="A68" t="s">
        <v>73</v>
      </c>
      <c r="E68">
        <v>-191.11</v>
      </c>
      <c r="L68">
        <f t="shared" si="0"/>
        <v>0</v>
      </c>
      <c r="M68">
        <f t="shared" si="1"/>
        <v>0</v>
      </c>
      <c r="S68">
        <v>-192.11</v>
      </c>
    </row>
    <row r="69" spans="1:19" x14ac:dyDescent="0.25">
      <c r="A69">
        <v>-205.88</v>
      </c>
      <c r="E69">
        <v>-190.85</v>
      </c>
      <c r="L69">
        <f t="shared" ref="L69:L132" si="2">IF(E66&lt;I$6,"ВЫБРОС",0)</f>
        <v>0</v>
      </c>
      <c r="M69">
        <f t="shared" ref="M69:M132" si="3">IF(E66&gt;I$8,"ВЫБРОС",0)</f>
        <v>0</v>
      </c>
      <c r="S69">
        <v>-191.17</v>
      </c>
    </row>
    <row r="70" spans="1:19" x14ac:dyDescent="0.25">
      <c r="A70">
        <v>-170.4</v>
      </c>
      <c r="E70">
        <v>-190.45</v>
      </c>
      <c r="L70">
        <f t="shared" si="2"/>
        <v>0</v>
      </c>
      <c r="M70">
        <f t="shared" si="3"/>
        <v>0</v>
      </c>
      <c r="S70">
        <v>-191.12</v>
      </c>
    </row>
    <row r="71" spans="1:19" x14ac:dyDescent="0.25">
      <c r="A71">
        <v>-169.28</v>
      </c>
      <c r="E71">
        <v>-190.27</v>
      </c>
      <c r="L71">
        <f t="shared" si="2"/>
        <v>0</v>
      </c>
      <c r="M71">
        <f t="shared" si="3"/>
        <v>0</v>
      </c>
      <c r="S71">
        <v>-191.11</v>
      </c>
    </row>
    <row r="72" spans="1:19" x14ac:dyDescent="0.25">
      <c r="A72">
        <v>-177.82</v>
      </c>
      <c r="E72">
        <v>-190.22</v>
      </c>
      <c r="L72">
        <f t="shared" si="2"/>
        <v>0</v>
      </c>
      <c r="M72">
        <f t="shared" si="3"/>
        <v>0</v>
      </c>
      <c r="S72">
        <v>-190.85</v>
      </c>
    </row>
    <row r="73" spans="1:19" x14ac:dyDescent="0.25">
      <c r="A73">
        <v>-158.88</v>
      </c>
      <c r="E73">
        <v>-190.16</v>
      </c>
      <c r="L73">
        <f t="shared" si="2"/>
        <v>0</v>
      </c>
      <c r="M73">
        <f t="shared" si="3"/>
        <v>0</v>
      </c>
      <c r="S73">
        <v>-190.45</v>
      </c>
    </row>
    <row r="74" spans="1:19" x14ac:dyDescent="0.25">
      <c r="A74">
        <v>-190.45</v>
      </c>
      <c r="E74">
        <v>-190.09</v>
      </c>
      <c r="L74">
        <f t="shared" si="2"/>
        <v>0</v>
      </c>
      <c r="M74">
        <f t="shared" si="3"/>
        <v>0</v>
      </c>
      <c r="S74">
        <v>-190.27</v>
      </c>
    </row>
    <row r="75" spans="1:19" x14ac:dyDescent="0.25">
      <c r="A75" t="s">
        <v>73</v>
      </c>
      <c r="E75">
        <v>-190.09</v>
      </c>
      <c r="L75">
        <f t="shared" si="2"/>
        <v>0</v>
      </c>
      <c r="M75">
        <f t="shared" si="3"/>
        <v>0</v>
      </c>
      <c r="S75">
        <v>-190.22</v>
      </c>
    </row>
    <row r="76" spans="1:19" x14ac:dyDescent="0.25">
      <c r="A76">
        <v>-130.26</v>
      </c>
      <c r="E76">
        <v>-189.87</v>
      </c>
      <c r="L76">
        <f t="shared" si="2"/>
        <v>0</v>
      </c>
      <c r="M76">
        <f t="shared" si="3"/>
        <v>0</v>
      </c>
      <c r="S76">
        <v>-190.16</v>
      </c>
    </row>
    <row r="77" spans="1:19" x14ac:dyDescent="0.25">
      <c r="A77">
        <v>-176.57</v>
      </c>
      <c r="E77">
        <v>-189.85</v>
      </c>
      <c r="L77">
        <f t="shared" si="2"/>
        <v>0</v>
      </c>
      <c r="M77">
        <f t="shared" si="3"/>
        <v>0</v>
      </c>
      <c r="S77">
        <v>-190.09</v>
      </c>
    </row>
    <row r="78" spans="1:19" x14ac:dyDescent="0.25">
      <c r="A78">
        <v>-151.31</v>
      </c>
      <c r="E78">
        <v>-188.65</v>
      </c>
      <c r="L78">
        <f t="shared" si="2"/>
        <v>0</v>
      </c>
      <c r="M78">
        <f t="shared" si="3"/>
        <v>0</v>
      </c>
      <c r="S78">
        <v>-190.09</v>
      </c>
    </row>
    <row r="79" spans="1:19" x14ac:dyDescent="0.25">
      <c r="A79">
        <v>-177.88</v>
      </c>
      <c r="E79">
        <v>-188.57</v>
      </c>
      <c r="L79">
        <f t="shared" si="2"/>
        <v>0</v>
      </c>
      <c r="M79">
        <f t="shared" si="3"/>
        <v>0</v>
      </c>
      <c r="S79">
        <v>-189.87</v>
      </c>
    </row>
    <row r="80" spans="1:19" x14ac:dyDescent="0.25">
      <c r="A80">
        <v>-205.37</v>
      </c>
      <c r="E80">
        <v>-188.43</v>
      </c>
      <c r="L80">
        <f t="shared" si="2"/>
        <v>0</v>
      </c>
      <c r="M80">
        <f t="shared" si="3"/>
        <v>0</v>
      </c>
      <c r="S80">
        <v>-189.85</v>
      </c>
    </row>
    <row r="81" spans="1:19" x14ac:dyDescent="0.25">
      <c r="A81">
        <v>-204.52</v>
      </c>
      <c r="E81">
        <v>-188.43</v>
      </c>
      <c r="L81">
        <f t="shared" si="2"/>
        <v>0</v>
      </c>
      <c r="M81">
        <f t="shared" si="3"/>
        <v>0</v>
      </c>
      <c r="S81">
        <v>-188.65</v>
      </c>
    </row>
    <row r="82" spans="1:19" x14ac:dyDescent="0.25">
      <c r="A82">
        <v>-210.77</v>
      </c>
      <c r="E82">
        <v>-188.38</v>
      </c>
      <c r="L82">
        <f t="shared" si="2"/>
        <v>0</v>
      </c>
      <c r="M82">
        <f t="shared" si="3"/>
        <v>0</v>
      </c>
      <c r="S82">
        <v>-188.57</v>
      </c>
    </row>
    <row r="83" spans="1:19" x14ac:dyDescent="0.25">
      <c r="A83">
        <v>-232.49</v>
      </c>
      <c r="E83">
        <v>-187.74</v>
      </c>
      <c r="L83">
        <f t="shared" si="2"/>
        <v>0</v>
      </c>
      <c r="M83">
        <f t="shared" si="3"/>
        <v>0</v>
      </c>
      <c r="S83">
        <v>-188.43</v>
      </c>
    </row>
    <row r="84" spans="1:19" x14ac:dyDescent="0.25">
      <c r="A84">
        <v>-211.48</v>
      </c>
      <c r="E84">
        <v>-187.45</v>
      </c>
      <c r="L84">
        <f t="shared" si="2"/>
        <v>0</v>
      </c>
      <c r="M84">
        <f t="shared" si="3"/>
        <v>0</v>
      </c>
      <c r="S84">
        <v>-188.43</v>
      </c>
    </row>
    <row r="85" spans="1:19" x14ac:dyDescent="0.25">
      <c r="A85">
        <v>-165.24</v>
      </c>
      <c r="E85">
        <v>-187.33</v>
      </c>
      <c r="L85">
        <f t="shared" si="2"/>
        <v>0</v>
      </c>
      <c r="M85">
        <f t="shared" si="3"/>
        <v>0</v>
      </c>
      <c r="S85">
        <v>-188.38</v>
      </c>
    </row>
    <row r="86" spans="1:19" x14ac:dyDescent="0.25">
      <c r="A86">
        <v>-175.87</v>
      </c>
      <c r="E86">
        <v>-187.29</v>
      </c>
      <c r="L86">
        <f t="shared" si="2"/>
        <v>0</v>
      </c>
      <c r="M86">
        <f t="shared" si="3"/>
        <v>0</v>
      </c>
      <c r="S86">
        <v>-187.74</v>
      </c>
    </row>
    <row r="87" spans="1:19" x14ac:dyDescent="0.25">
      <c r="A87">
        <v>-156.54</v>
      </c>
      <c r="E87">
        <v>-187.21</v>
      </c>
      <c r="L87">
        <f t="shared" si="2"/>
        <v>0</v>
      </c>
      <c r="M87">
        <f t="shared" si="3"/>
        <v>0</v>
      </c>
      <c r="S87">
        <v>-187.45</v>
      </c>
    </row>
    <row r="88" spans="1:19" x14ac:dyDescent="0.25">
      <c r="A88">
        <v>-177.04</v>
      </c>
      <c r="E88">
        <v>-187.12</v>
      </c>
      <c r="L88">
        <f t="shared" si="2"/>
        <v>0</v>
      </c>
      <c r="M88">
        <f t="shared" si="3"/>
        <v>0</v>
      </c>
      <c r="S88">
        <v>-187.33</v>
      </c>
    </row>
    <row r="89" spans="1:19" x14ac:dyDescent="0.25">
      <c r="A89">
        <v>-145.33000000000001</v>
      </c>
      <c r="E89">
        <v>-187.05</v>
      </c>
      <c r="L89">
        <f t="shared" si="2"/>
        <v>0</v>
      </c>
      <c r="M89">
        <f t="shared" si="3"/>
        <v>0</v>
      </c>
      <c r="S89">
        <v>-187.29</v>
      </c>
    </row>
    <row r="90" spans="1:19" x14ac:dyDescent="0.25">
      <c r="A90">
        <v>-73.930000000000007</v>
      </c>
      <c r="E90">
        <v>-186.96</v>
      </c>
      <c r="L90">
        <f t="shared" si="2"/>
        <v>0</v>
      </c>
      <c r="M90">
        <f t="shared" si="3"/>
        <v>0</v>
      </c>
      <c r="S90">
        <v>-187.21</v>
      </c>
    </row>
    <row r="91" spans="1:19" x14ac:dyDescent="0.25">
      <c r="A91">
        <v>-169.31</v>
      </c>
      <c r="E91">
        <v>-186.81</v>
      </c>
      <c r="L91">
        <f t="shared" si="2"/>
        <v>0</v>
      </c>
      <c r="M91">
        <f t="shared" si="3"/>
        <v>0</v>
      </c>
      <c r="S91">
        <v>-187.12</v>
      </c>
    </row>
    <row r="92" spans="1:19" x14ac:dyDescent="0.25">
      <c r="A92" t="s">
        <v>73</v>
      </c>
      <c r="E92">
        <v>-186.66</v>
      </c>
      <c r="L92">
        <f t="shared" si="2"/>
        <v>0</v>
      </c>
      <c r="M92">
        <f t="shared" si="3"/>
        <v>0</v>
      </c>
      <c r="S92">
        <v>-187.05</v>
      </c>
    </row>
    <row r="93" spans="1:19" x14ac:dyDescent="0.25">
      <c r="A93">
        <v>-220.79</v>
      </c>
      <c r="E93">
        <v>-186.37</v>
      </c>
      <c r="L93">
        <f t="shared" si="2"/>
        <v>0</v>
      </c>
      <c r="M93">
        <f t="shared" si="3"/>
        <v>0</v>
      </c>
      <c r="S93">
        <v>-186.96</v>
      </c>
    </row>
    <row r="94" spans="1:19" x14ac:dyDescent="0.25">
      <c r="A94">
        <v>-165.98</v>
      </c>
      <c r="E94">
        <v>-186.32</v>
      </c>
      <c r="L94">
        <f t="shared" si="2"/>
        <v>0</v>
      </c>
      <c r="M94">
        <f t="shared" si="3"/>
        <v>0</v>
      </c>
      <c r="S94">
        <v>-186.81</v>
      </c>
    </row>
    <row r="95" spans="1:19" x14ac:dyDescent="0.25">
      <c r="A95">
        <v>-199.55</v>
      </c>
      <c r="E95">
        <v>-186.15</v>
      </c>
      <c r="L95">
        <f t="shared" si="2"/>
        <v>0</v>
      </c>
      <c r="M95">
        <f t="shared" si="3"/>
        <v>0</v>
      </c>
      <c r="S95">
        <v>-186.66</v>
      </c>
    </row>
    <row r="96" spans="1:19" x14ac:dyDescent="0.25">
      <c r="A96">
        <v>-162.34</v>
      </c>
      <c r="E96">
        <v>-185.53</v>
      </c>
      <c r="L96">
        <f t="shared" si="2"/>
        <v>0</v>
      </c>
      <c r="M96">
        <f t="shared" si="3"/>
        <v>0</v>
      </c>
      <c r="S96">
        <v>-186.37</v>
      </c>
    </row>
    <row r="97" spans="1:19" x14ac:dyDescent="0.25">
      <c r="A97">
        <v>-194.31</v>
      </c>
      <c r="E97">
        <v>-184.64</v>
      </c>
      <c r="L97">
        <f t="shared" si="2"/>
        <v>0</v>
      </c>
      <c r="M97">
        <f t="shared" si="3"/>
        <v>0</v>
      </c>
      <c r="S97">
        <v>-186.32</v>
      </c>
    </row>
    <row r="98" spans="1:19" x14ac:dyDescent="0.25">
      <c r="A98">
        <v>-191.11</v>
      </c>
      <c r="E98">
        <v>-184.34</v>
      </c>
      <c r="L98">
        <f t="shared" si="2"/>
        <v>0</v>
      </c>
      <c r="M98">
        <f t="shared" si="3"/>
        <v>0</v>
      </c>
      <c r="S98">
        <v>-186.15</v>
      </c>
    </row>
    <row r="99" spans="1:19" x14ac:dyDescent="0.25">
      <c r="A99">
        <v>-171.74</v>
      </c>
      <c r="E99">
        <v>-184.18</v>
      </c>
      <c r="L99">
        <f t="shared" si="2"/>
        <v>0</v>
      </c>
      <c r="M99">
        <f t="shared" si="3"/>
        <v>0</v>
      </c>
      <c r="S99">
        <v>-185.53</v>
      </c>
    </row>
    <row r="100" spans="1:19" x14ac:dyDescent="0.25">
      <c r="A100">
        <v>-172.02</v>
      </c>
      <c r="E100">
        <v>-184.1</v>
      </c>
      <c r="L100">
        <f t="shared" si="2"/>
        <v>0</v>
      </c>
      <c r="M100">
        <f t="shared" si="3"/>
        <v>0</v>
      </c>
      <c r="S100">
        <v>-184.64</v>
      </c>
    </row>
    <row r="101" spans="1:19" x14ac:dyDescent="0.25">
      <c r="A101">
        <v>-205.47</v>
      </c>
      <c r="E101">
        <v>-183.94</v>
      </c>
      <c r="L101">
        <f t="shared" si="2"/>
        <v>0</v>
      </c>
      <c r="M101">
        <f t="shared" si="3"/>
        <v>0</v>
      </c>
      <c r="S101">
        <v>-184.34</v>
      </c>
    </row>
    <row r="102" spans="1:19" x14ac:dyDescent="0.25">
      <c r="A102">
        <v>-188.38</v>
      </c>
      <c r="E102">
        <v>-183.76</v>
      </c>
      <c r="L102">
        <f t="shared" si="2"/>
        <v>0</v>
      </c>
      <c r="M102">
        <f t="shared" si="3"/>
        <v>0</v>
      </c>
      <c r="S102">
        <v>-184.18</v>
      </c>
    </row>
    <row r="103" spans="1:19" x14ac:dyDescent="0.25">
      <c r="A103">
        <v>-156.16999999999999</v>
      </c>
      <c r="E103">
        <v>-183.26</v>
      </c>
      <c r="L103">
        <f t="shared" si="2"/>
        <v>0</v>
      </c>
      <c r="M103">
        <f t="shared" si="3"/>
        <v>0</v>
      </c>
      <c r="S103">
        <v>-184.1</v>
      </c>
    </row>
    <row r="104" spans="1:19" x14ac:dyDescent="0.25">
      <c r="A104">
        <v>-145.91999999999999</v>
      </c>
      <c r="E104">
        <v>-183.16</v>
      </c>
      <c r="L104">
        <f t="shared" si="2"/>
        <v>0</v>
      </c>
      <c r="M104">
        <f t="shared" si="3"/>
        <v>0</v>
      </c>
      <c r="S104">
        <v>-183.94</v>
      </c>
    </row>
    <row r="105" spans="1:19" x14ac:dyDescent="0.25">
      <c r="A105">
        <v>-207.25</v>
      </c>
      <c r="E105">
        <v>-182.5</v>
      </c>
      <c r="L105">
        <f t="shared" si="2"/>
        <v>0</v>
      </c>
      <c r="M105">
        <f t="shared" si="3"/>
        <v>0</v>
      </c>
      <c r="S105">
        <v>-183.76</v>
      </c>
    </row>
    <row r="106" spans="1:19" x14ac:dyDescent="0.25">
      <c r="A106">
        <v>-201.06</v>
      </c>
      <c r="E106">
        <v>-182.32</v>
      </c>
      <c r="L106">
        <f t="shared" si="2"/>
        <v>0</v>
      </c>
      <c r="M106">
        <f t="shared" si="3"/>
        <v>0</v>
      </c>
      <c r="S106">
        <v>-183.26</v>
      </c>
    </row>
    <row r="107" spans="1:19" x14ac:dyDescent="0.25">
      <c r="A107">
        <v>-162.43</v>
      </c>
      <c r="E107">
        <v>-182.15</v>
      </c>
      <c r="L107">
        <f t="shared" si="2"/>
        <v>0</v>
      </c>
      <c r="M107">
        <f t="shared" si="3"/>
        <v>0</v>
      </c>
      <c r="S107">
        <v>-183.16</v>
      </c>
    </row>
    <row r="108" spans="1:19" x14ac:dyDescent="0.25">
      <c r="A108">
        <v>-214.79</v>
      </c>
      <c r="E108">
        <v>-182.02</v>
      </c>
      <c r="L108">
        <f t="shared" si="2"/>
        <v>0</v>
      </c>
      <c r="M108">
        <f t="shared" si="3"/>
        <v>0</v>
      </c>
      <c r="S108">
        <v>-182.5</v>
      </c>
    </row>
    <row r="109" spans="1:19" x14ac:dyDescent="0.25">
      <c r="A109" t="s">
        <v>73</v>
      </c>
      <c r="E109">
        <v>-181.53</v>
      </c>
      <c r="L109">
        <f t="shared" si="2"/>
        <v>0</v>
      </c>
      <c r="M109">
        <f t="shared" si="3"/>
        <v>0</v>
      </c>
      <c r="S109">
        <v>-182.32</v>
      </c>
    </row>
    <row r="110" spans="1:19" x14ac:dyDescent="0.25">
      <c r="A110">
        <v>-155.84</v>
      </c>
      <c r="E110">
        <v>-181.01</v>
      </c>
      <c r="L110">
        <f t="shared" si="2"/>
        <v>0</v>
      </c>
      <c r="M110">
        <f t="shared" si="3"/>
        <v>0</v>
      </c>
      <c r="S110">
        <v>-182.15</v>
      </c>
    </row>
    <row r="111" spans="1:19" x14ac:dyDescent="0.25">
      <c r="A111">
        <v>-139.47</v>
      </c>
      <c r="E111">
        <v>-180.82</v>
      </c>
      <c r="L111">
        <f t="shared" si="2"/>
        <v>0</v>
      </c>
      <c r="M111">
        <f t="shared" si="3"/>
        <v>0</v>
      </c>
      <c r="S111">
        <v>-182.02</v>
      </c>
    </row>
    <row r="112" spans="1:19" x14ac:dyDescent="0.25">
      <c r="A112">
        <v>-198.63</v>
      </c>
      <c r="E112">
        <v>-180.3</v>
      </c>
      <c r="L112">
        <f t="shared" si="2"/>
        <v>0</v>
      </c>
      <c r="M112">
        <f t="shared" si="3"/>
        <v>0</v>
      </c>
      <c r="S112">
        <v>-181.53</v>
      </c>
    </row>
    <row r="113" spans="1:19" x14ac:dyDescent="0.25">
      <c r="A113">
        <v>-171.53</v>
      </c>
      <c r="E113">
        <v>-180.14</v>
      </c>
      <c r="L113">
        <f t="shared" si="2"/>
        <v>0</v>
      </c>
      <c r="M113">
        <f t="shared" si="3"/>
        <v>0</v>
      </c>
      <c r="S113">
        <v>-181.01</v>
      </c>
    </row>
    <row r="114" spans="1:19" x14ac:dyDescent="0.25">
      <c r="A114" t="s">
        <v>73</v>
      </c>
      <c r="E114">
        <v>-180.13</v>
      </c>
      <c r="L114">
        <f t="shared" si="2"/>
        <v>0</v>
      </c>
      <c r="M114">
        <f t="shared" si="3"/>
        <v>0</v>
      </c>
      <c r="S114">
        <v>-180.82</v>
      </c>
    </row>
    <row r="115" spans="1:19" x14ac:dyDescent="0.25">
      <c r="A115">
        <v>-183.16</v>
      </c>
      <c r="E115">
        <v>-179.21</v>
      </c>
      <c r="L115">
        <f t="shared" si="2"/>
        <v>0</v>
      </c>
      <c r="M115">
        <f t="shared" si="3"/>
        <v>0</v>
      </c>
      <c r="S115">
        <v>-180.3</v>
      </c>
    </row>
    <row r="116" spans="1:19" x14ac:dyDescent="0.25">
      <c r="A116">
        <v>-133.12</v>
      </c>
      <c r="E116">
        <v>-179.13</v>
      </c>
      <c r="L116">
        <f t="shared" si="2"/>
        <v>0</v>
      </c>
      <c r="M116">
        <f t="shared" si="3"/>
        <v>0</v>
      </c>
      <c r="S116">
        <v>-180.14</v>
      </c>
    </row>
    <row r="117" spans="1:19" x14ac:dyDescent="0.25">
      <c r="A117">
        <v>-175.14</v>
      </c>
      <c r="E117">
        <v>-178.84</v>
      </c>
      <c r="L117">
        <f t="shared" si="2"/>
        <v>0</v>
      </c>
      <c r="M117">
        <f t="shared" si="3"/>
        <v>0</v>
      </c>
      <c r="S117">
        <v>-180.13</v>
      </c>
    </row>
    <row r="118" spans="1:19" x14ac:dyDescent="0.25">
      <c r="A118" t="s">
        <v>73</v>
      </c>
      <c r="E118">
        <v>-178.68</v>
      </c>
      <c r="L118">
        <f t="shared" si="2"/>
        <v>0</v>
      </c>
      <c r="M118">
        <f t="shared" si="3"/>
        <v>0</v>
      </c>
      <c r="S118">
        <v>-179.21</v>
      </c>
    </row>
    <row r="119" spans="1:19" x14ac:dyDescent="0.25">
      <c r="A119">
        <v>-217.42</v>
      </c>
      <c r="E119">
        <v>-178.43</v>
      </c>
      <c r="L119">
        <f t="shared" si="2"/>
        <v>0</v>
      </c>
      <c r="M119">
        <f t="shared" si="3"/>
        <v>0</v>
      </c>
      <c r="S119">
        <v>-179.13</v>
      </c>
    </row>
    <row r="120" spans="1:19" x14ac:dyDescent="0.25">
      <c r="A120">
        <v>-192.22</v>
      </c>
      <c r="E120">
        <v>-178.29</v>
      </c>
      <c r="L120">
        <f t="shared" si="2"/>
        <v>0</v>
      </c>
      <c r="M120">
        <f t="shared" si="3"/>
        <v>0</v>
      </c>
      <c r="S120">
        <v>-178.84</v>
      </c>
    </row>
    <row r="121" spans="1:19" x14ac:dyDescent="0.25">
      <c r="A121">
        <v>-204.36</v>
      </c>
      <c r="E121">
        <v>-177.99</v>
      </c>
      <c r="L121">
        <f t="shared" si="2"/>
        <v>0</v>
      </c>
      <c r="M121">
        <f t="shared" si="3"/>
        <v>0</v>
      </c>
      <c r="S121">
        <v>-178.68</v>
      </c>
    </row>
    <row r="122" spans="1:19" x14ac:dyDescent="0.25">
      <c r="A122">
        <v>-156.77000000000001</v>
      </c>
      <c r="E122">
        <v>-177.88</v>
      </c>
      <c r="L122">
        <f t="shared" si="2"/>
        <v>0</v>
      </c>
      <c r="M122">
        <f t="shared" si="3"/>
        <v>0</v>
      </c>
      <c r="S122">
        <v>-178.43</v>
      </c>
    </row>
    <row r="123" spans="1:19" x14ac:dyDescent="0.25">
      <c r="A123">
        <v>-188.43</v>
      </c>
      <c r="E123">
        <v>-177.82</v>
      </c>
      <c r="L123">
        <f t="shared" si="2"/>
        <v>0</v>
      </c>
      <c r="M123">
        <f t="shared" si="3"/>
        <v>0</v>
      </c>
      <c r="S123">
        <v>-178.29</v>
      </c>
    </row>
    <row r="124" spans="1:19" x14ac:dyDescent="0.25">
      <c r="A124">
        <v>-149.36000000000001</v>
      </c>
      <c r="E124">
        <v>-177.79</v>
      </c>
      <c r="L124">
        <f t="shared" si="2"/>
        <v>0</v>
      </c>
      <c r="M124">
        <f t="shared" si="3"/>
        <v>0</v>
      </c>
      <c r="S124">
        <v>-177.99</v>
      </c>
    </row>
    <row r="125" spans="1:19" x14ac:dyDescent="0.25">
      <c r="A125">
        <v>-116.21</v>
      </c>
      <c r="E125">
        <v>-177.68</v>
      </c>
      <c r="L125">
        <f t="shared" si="2"/>
        <v>0</v>
      </c>
      <c r="M125">
        <f t="shared" si="3"/>
        <v>0</v>
      </c>
      <c r="S125">
        <v>-177.88</v>
      </c>
    </row>
    <row r="126" spans="1:19" x14ac:dyDescent="0.25">
      <c r="A126">
        <v>-169.83</v>
      </c>
      <c r="E126">
        <v>-177.3</v>
      </c>
      <c r="L126">
        <f t="shared" si="2"/>
        <v>0</v>
      </c>
      <c r="M126">
        <f t="shared" si="3"/>
        <v>0</v>
      </c>
      <c r="S126">
        <v>-177.82</v>
      </c>
    </row>
    <row r="127" spans="1:19" x14ac:dyDescent="0.25">
      <c r="A127">
        <v>-171.64</v>
      </c>
      <c r="E127">
        <v>-177.2</v>
      </c>
      <c r="L127">
        <f t="shared" si="2"/>
        <v>0</v>
      </c>
      <c r="M127">
        <f t="shared" si="3"/>
        <v>0</v>
      </c>
      <c r="S127">
        <v>-177.79</v>
      </c>
    </row>
    <row r="128" spans="1:19" x14ac:dyDescent="0.25">
      <c r="A128">
        <v>-155.66999999999999</v>
      </c>
      <c r="E128">
        <v>-177.19</v>
      </c>
      <c r="L128">
        <f t="shared" si="2"/>
        <v>0</v>
      </c>
      <c r="M128">
        <f t="shared" si="3"/>
        <v>0</v>
      </c>
      <c r="S128">
        <v>-177.68</v>
      </c>
    </row>
    <row r="129" spans="1:19" x14ac:dyDescent="0.25">
      <c r="A129" t="s">
        <v>73</v>
      </c>
      <c r="E129">
        <v>-177.07</v>
      </c>
      <c r="L129">
        <f t="shared" si="2"/>
        <v>0</v>
      </c>
      <c r="M129">
        <f t="shared" si="3"/>
        <v>0</v>
      </c>
      <c r="S129">
        <v>-177.3</v>
      </c>
    </row>
    <row r="130" spans="1:19" x14ac:dyDescent="0.25">
      <c r="A130">
        <v>-166.62</v>
      </c>
      <c r="E130">
        <v>-177.04</v>
      </c>
      <c r="L130">
        <f t="shared" si="2"/>
        <v>0</v>
      </c>
      <c r="M130">
        <f t="shared" si="3"/>
        <v>0</v>
      </c>
      <c r="S130">
        <v>-177.2</v>
      </c>
    </row>
    <row r="131" spans="1:19" x14ac:dyDescent="0.25">
      <c r="A131">
        <v>-207.67</v>
      </c>
      <c r="E131">
        <v>-176.85</v>
      </c>
      <c r="L131">
        <f t="shared" si="2"/>
        <v>0</v>
      </c>
      <c r="M131">
        <f t="shared" si="3"/>
        <v>0</v>
      </c>
      <c r="S131">
        <v>-177.19</v>
      </c>
    </row>
    <row r="132" spans="1:19" x14ac:dyDescent="0.25">
      <c r="A132">
        <v>-187.12</v>
      </c>
      <c r="E132">
        <v>-176.57</v>
      </c>
      <c r="L132">
        <f t="shared" si="2"/>
        <v>0</v>
      </c>
      <c r="M132">
        <f t="shared" si="3"/>
        <v>0</v>
      </c>
      <c r="S132">
        <v>-177.07</v>
      </c>
    </row>
    <row r="133" spans="1:19" x14ac:dyDescent="0.25">
      <c r="A133">
        <v>-217.85</v>
      </c>
      <c r="E133">
        <v>-176.4</v>
      </c>
      <c r="L133">
        <f t="shared" ref="L133:L196" si="4">IF(E130&lt;I$6,"ВЫБРОС",0)</f>
        <v>0</v>
      </c>
      <c r="M133">
        <f t="shared" ref="M133:M196" si="5">IF(E130&gt;I$8,"ВЫБРОС",0)</f>
        <v>0</v>
      </c>
      <c r="S133">
        <v>-177.04</v>
      </c>
    </row>
    <row r="134" spans="1:19" x14ac:dyDescent="0.25">
      <c r="A134">
        <v>-184.18</v>
      </c>
      <c r="E134">
        <v>-176.17</v>
      </c>
      <c r="L134">
        <f t="shared" si="4"/>
        <v>0</v>
      </c>
      <c r="M134">
        <f t="shared" si="5"/>
        <v>0</v>
      </c>
      <c r="S134">
        <v>-176.85</v>
      </c>
    </row>
    <row r="135" spans="1:19" x14ac:dyDescent="0.25">
      <c r="A135">
        <v>-178.84</v>
      </c>
      <c r="E135">
        <v>-175.87</v>
      </c>
      <c r="L135">
        <f t="shared" si="4"/>
        <v>0</v>
      </c>
      <c r="M135">
        <f t="shared" si="5"/>
        <v>0</v>
      </c>
      <c r="S135">
        <v>-176.57</v>
      </c>
    </row>
    <row r="136" spans="1:19" x14ac:dyDescent="0.25">
      <c r="A136">
        <v>-195.32</v>
      </c>
      <c r="E136">
        <v>-175.74</v>
      </c>
      <c r="L136">
        <f t="shared" si="4"/>
        <v>0</v>
      </c>
      <c r="M136">
        <f t="shared" si="5"/>
        <v>0</v>
      </c>
      <c r="S136">
        <v>-176.4</v>
      </c>
    </row>
    <row r="137" spans="1:19" x14ac:dyDescent="0.25">
      <c r="A137">
        <v>-199.04</v>
      </c>
      <c r="E137">
        <v>-175.66</v>
      </c>
      <c r="L137">
        <f t="shared" si="4"/>
        <v>0</v>
      </c>
      <c r="M137">
        <f t="shared" si="5"/>
        <v>0</v>
      </c>
      <c r="S137">
        <v>-176.17</v>
      </c>
    </row>
    <row r="138" spans="1:19" x14ac:dyDescent="0.25">
      <c r="A138">
        <v>-268.44</v>
      </c>
      <c r="E138">
        <v>-175.59</v>
      </c>
      <c r="L138">
        <f t="shared" si="4"/>
        <v>0</v>
      </c>
      <c r="M138">
        <f t="shared" si="5"/>
        <v>0</v>
      </c>
      <c r="S138">
        <v>-175.87</v>
      </c>
    </row>
    <row r="139" spans="1:19" x14ac:dyDescent="0.25">
      <c r="A139">
        <v>-151.62</v>
      </c>
      <c r="E139">
        <v>-175.3</v>
      </c>
      <c r="L139">
        <f t="shared" si="4"/>
        <v>0</v>
      </c>
      <c r="M139">
        <f t="shared" si="5"/>
        <v>0</v>
      </c>
      <c r="S139">
        <v>-175.74</v>
      </c>
    </row>
    <row r="140" spans="1:19" x14ac:dyDescent="0.25">
      <c r="A140">
        <v>-205.32</v>
      </c>
      <c r="E140">
        <v>-175.14</v>
      </c>
      <c r="L140">
        <f t="shared" si="4"/>
        <v>0</v>
      </c>
      <c r="M140">
        <f t="shared" si="5"/>
        <v>0</v>
      </c>
      <c r="S140">
        <v>-175.66</v>
      </c>
    </row>
    <row r="141" spans="1:19" x14ac:dyDescent="0.25">
      <c r="A141" t="s">
        <v>73</v>
      </c>
      <c r="E141">
        <v>-175.14</v>
      </c>
      <c r="L141">
        <f t="shared" si="4"/>
        <v>0</v>
      </c>
      <c r="M141">
        <f t="shared" si="5"/>
        <v>0</v>
      </c>
      <c r="S141">
        <v>-175.59</v>
      </c>
    </row>
    <row r="142" spans="1:19" x14ac:dyDescent="0.25">
      <c r="A142">
        <v>-175.66</v>
      </c>
      <c r="E142">
        <v>-174.84</v>
      </c>
      <c r="L142">
        <f t="shared" si="4"/>
        <v>0</v>
      </c>
      <c r="M142">
        <f t="shared" si="5"/>
        <v>0</v>
      </c>
      <c r="S142">
        <v>-175.3</v>
      </c>
    </row>
    <row r="143" spans="1:19" x14ac:dyDescent="0.25">
      <c r="A143" t="s">
        <v>73</v>
      </c>
      <c r="E143">
        <v>-174.3</v>
      </c>
      <c r="L143">
        <f t="shared" si="4"/>
        <v>0</v>
      </c>
      <c r="M143">
        <f t="shared" si="5"/>
        <v>0</v>
      </c>
      <c r="S143">
        <v>-175.14</v>
      </c>
    </row>
    <row r="144" spans="1:19" x14ac:dyDescent="0.25">
      <c r="A144">
        <v>-175.14</v>
      </c>
      <c r="E144">
        <v>-174.18</v>
      </c>
      <c r="L144">
        <f t="shared" si="4"/>
        <v>0</v>
      </c>
      <c r="M144">
        <f t="shared" si="5"/>
        <v>0</v>
      </c>
      <c r="S144">
        <v>-175.14</v>
      </c>
    </row>
    <row r="145" spans="1:19" x14ac:dyDescent="0.25">
      <c r="A145">
        <v>-197.9</v>
      </c>
      <c r="E145">
        <v>-174.07</v>
      </c>
      <c r="L145">
        <f t="shared" si="4"/>
        <v>0</v>
      </c>
      <c r="M145">
        <f t="shared" si="5"/>
        <v>0</v>
      </c>
      <c r="S145">
        <v>-174.84</v>
      </c>
    </row>
    <row r="146" spans="1:19" x14ac:dyDescent="0.25">
      <c r="A146">
        <v>-182.15</v>
      </c>
      <c r="E146">
        <v>-173.9</v>
      </c>
      <c r="L146">
        <f t="shared" si="4"/>
        <v>0</v>
      </c>
      <c r="M146">
        <f t="shared" si="5"/>
        <v>0</v>
      </c>
      <c r="S146">
        <v>-174.3</v>
      </c>
    </row>
    <row r="147" spans="1:19" x14ac:dyDescent="0.25">
      <c r="A147">
        <v>-157.62</v>
      </c>
      <c r="E147">
        <v>-173.75</v>
      </c>
      <c r="L147">
        <f t="shared" si="4"/>
        <v>0</v>
      </c>
      <c r="M147">
        <f t="shared" si="5"/>
        <v>0</v>
      </c>
      <c r="S147">
        <v>-174.18</v>
      </c>
    </row>
    <row r="148" spans="1:19" x14ac:dyDescent="0.25">
      <c r="A148">
        <v>-158.69999999999999</v>
      </c>
      <c r="E148">
        <v>-173.7</v>
      </c>
      <c r="L148">
        <f t="shared" si="4"/>
        <v>0</v>
      </c>
      <c r="M148">
        <f t="shared" si="5"/>
        <v>0</v>
      </c>
      <c r="S148">
        <v>-174.07</v>
      </c>
    </row>
    <row r="149" spans="1:19" x14ac:dyDescent="0.25">
      <c r="A149">
        <v>-173.53</v>
      </c>
      <c r="E149">
        <v>-173.53</v>
      </c>
      <c r="L149">
        <f t="shared" si="4"/>
        <v>0</v>
      </c>
      <c r="M149">
        <f t="shared" si="5"/>
        <v>0</v>
      </c>
      <c r="S149">
        <v>-173.9</v>
      </c>
    </row>
    <row r="150" spans="1:19" x14ac:dyDescent="0.25">
      <c r="A150">
        <v>-183.76</v>
      </c>
      <c r="E150">
        <v>-173.53</v>
      </c>
      <c r="L150">
        <f t="shared" si="4"/>
        <v>0</v>
      </c>
      <c r="M150">
        <f t="shared" si="5"/>
        <v>0</v>
      </c>
      <c r="S150">
        <v>-173.75</v>
      </c>
    </row>
    <row r="151" spans="1:19" x14ac:dyDescent="0.25">
      <c r="A151" t="s">
        <v>73</v>
      </c>
      <c r="E151">
        <v>-173.43</v>
      </c>
      <c r="L151">
        <f t="shared" si="4"/>
        <v>0</v>
      </c>
      <c r="M151">
        <f t="shared" si="5"/>
        <v>0</v>
      </c>
      <c r="S151">
        <v>-173.7</v>
      </c>
    </row>
    <row r="152" spans="1:19" x14ac:dyDescent="0.25">
      <c r="A152">
        <v>-147.96</v>
      </c>
      <c r="E152">
        <v>-173.15</v>
      </c>
      <c r="L152">
        <f t="shared" si="4"/>
        <v>0</v>
      </c>
      <c r="M152">
        <f t="shared" si="5"/>
        <v>0</v>
      </c>
      <c r="S152">
        <v>-173.53</v>
      </c>
    </row>
    <row r="153" spans="1:19" x14ac:dyDescent="0.25">
      <c r="A153">
        <v>-196.91</v>
      </c>
      <c r="E153">
        <v>-172.78</v>
      </c>
      <c r="L153">
        <f t="shared" si="4"/>
        <v>0</v>
      </c>
      <c r="M153">
        <f t="shared" si="5"/>
        <v>0</v>
      </c>
      <c r="S153">
        <v>-173.53</v>
      </c>
    </row>
    <row r="154" spans="1:19" x14ac:dyDescent="0.25">
      <c r="A154">
        <v>-164.9</v>
      </c>
      <c r="E154">
        <v>-172.71</v>
      </c>
      <c r="L154">
        <f t="shared" si="4"/>
        <v>0</v>
      </c>
      <c r="M154">
        <f t="shared" si="5"/>
        <v>0</v>
      </c>
      <c r="S154">
        <v>-173.43</v>
      </c>
    </row>
    <row r="155" spans="1:19" x14ac:dyDescent="0.25">
      <c r="A155">
        <v>-173.7</v>
      </c>
      <c r="E155">
        <v>-172.69</v>
      </c>
      <c r="L155">
        <f t="shared" si="4"/>
        <v>0</v>
      </c>
      <c r="M155">
        <f t="shared" si="5"/>
        <v>0</v>
      </c>
      <c r="S155">
        <v>-173.15</v>
      </c>
    </row>
    <row r="156" spans="1:19" x14ac:dyDescent="0.25">
      <c r="A156">
        <v>-132.09</v>
      </c>
      <c r="E156">
        <v>-172.02</v>
      </c>
      <c r="L156">
        <f t="shared" si="4"/>
        <v>0</v>
      </c>
      <c r="M156">
        <f t="shared" si="5"/>
        <v>0</v>
      </c>
      <c r="S156">
        <v>-172.78</v>
      </c>
    </row>
    <row r="157" spans="1:19" x14ac:dyDescent="0.25">
      <c r="A157">
        <v>-142.63999999999999</v>
      </c>
      <c r="E157">
        <v>-171.74</v>
      </c>
      <c r="L157">
        <f t="shared" si="4"/>
        <v>0</v>
      </c>
      <c r="M157">
        <f t="shared" si="5"/>
        <v>0</v>
      </c>
      <c r="S157">
        <v>-172.71</v>
      </c>
    </row>
    <row r="158" spans="1:19" x14ac:dyDescent="0.25">
      <c r="A158">
        <v>-174.3</v>
      </c>
      <c r="E158">
        <v>-171.64</v>
      </c>
      <c r="L158">
        <f t="shared" si="4"/>
        <v>0</v>
      </c>
      <c r="M158">
        <f t="shared" si="5"/>
        <v>0</v>
      </c>
      <c r="S158">
        <v>-172.69</v>
      </c>
    </row>
    <row r="159" spans="1:19" x14ac:dyDescent="0.25">
      <c r="A159">
        <v>-187.21</v>
      </c>
      <c r="E159">
        <v>-171.53</v>
      </c>
      <c r="L159">
        <f t="shared" si="4"/>
        <v>0</v>
      </c>
      <c r="M159">
        <f t="shared" si="5"/>
        <v>0</v>
      </c>
      <c r="S159">
        <v>-172.02</v>
      </c>
    </row>
    <row r="160" spans="1:19" x14ac:dyDescent="0.25">
      <c r="A160">
        <v>-168.01</v>
      </c>
      <c r="E160">
        <v>-171.25</v>
      </c>
      <c r="L160">
        <f t="shared" si="4"/>
        <v>0</v>
      </c>
      <c r="M160">
        <f t="shared" si="5"/>
        <v>0</v>
      </c>
      <c r="S160">
        <v>-171.74</v>
      </c>
    </row>
    <row r="161" spans="1:19" x14ac:dyDescent="0.25">
      <c r="A161">
        <v>-193.98</v>
      </c>
      <c r="E161">
        <v>-171.1</v>
      </c>
      <c r="L161">
        <f t="shared" si="4"/>
        <v>0</v>
      </c>
      <c r="M161">
        <f t="shared" si="5"/>
        <v>0</v>
      </c>
      <c r="S161">
        <v>-171.64</v>
      </c>
    </row>
    <row r="162" spans="1:19" x14ac:dyDescent="0.25">
      <c r="A162">
        <v>-172.69</v>
      </c>
      <c r="E162">
        <v>-170.45</v>
      </c>
      <c r="L162">
        <f t="shared" si="4"/>
        <v>0</v>
      </c>
      <c r="M162">
        <f t="shared" si="5"/>
        <v>0</v>
      </c>
      <c r="S162">
        <v>-171.53</v>
      </c>
    </row>
    <row r="163" spans="1:19" x14ac:dyDescent="0.25">
      <c r="A163" t="s">
        <v>73</v>
      </c>
      <c r="E163">
        <v>-170.4</v>
      </c>
      <c r="L163">
        <f t="shared" si="4"/>
        <v>0</v>
      </c>
      <c r="M163">
        <f t="shared" si="5"/>
        <v>0</v>
      </c>
      <c r="S163">
        <v>-171.25</v>
      </c>
    </row>
    <row r="164" spans="1:19" x14ac:dyDescent="0.25">
      <c r="A164">
        <v>-172.78</v>
      </c>
      <c r="E164">
        <v>-170.2</v>
      </c>
      <c r="L164">
        <f t="shared" si="4"/>
        <v>0</v>
      </c>
      <c r="M164">
        <f t="shared" si="5"/>
        <v>0</v>
      </c>
      <c r="S164">
        <v>-171.1</v>
      </c>
    </row>
    <row r="165" spans="1:19" x14ac:dyDescent="0.25">
      <c r="A165">
        <v>-157.38</v>
      </c>
      <c r="E165">
        <v>-169.83</v>
      </c>
      <c r="L165">
        <f t="shared" si="4"/>
        <v>0</v>
      </c>
      <c r="M165">
        <f t="shared" si="5"/>
        <v>0</v>
      </c>
      <c r="S165">
        <v>-170.45</v>
      </c>
    </row>
    <row r="166" spans="1:19" x14ac:dyDescent="0.25">
      <c r="A166">
        <v>-203.26</v>
      </c>
      <c r="E166">
        <v>-169.82</v>
      </c>
      <c r="L166">
        <f t="shared" si="4"/>
        <v>0</v>
      </c>
      <c r="M166">
        <f t="shared" si="5"/>
        <v>0</v>
      </c>
      <c r="S166">
        <v>-170.4</v>
      </c>
    </row>
    <row r="167" spans="1:19" x14ac:dyDescent="0.25">
      <c r="A167">
        <v>-169.82</v>
      </c>
      <c r="E167">
        <v>-169.31</v>
      </c>
      <c r="L167">
        <f t="shared" si="4"/>
        <v>0</v>
      </c>
      <c r="M167">
        <f t="shared" si="5"/>
        <v>0</v>
      </c>
      <c r="S167">
        <v>-170.2</v>
      </c>
    </row>
    <row r="168" spans="1:19" x14ac:dyDescent="0.25">
      <c r="A168">
        <v>-214.23</v>
      </c>
      <c r="E168">
        <v>-169.28</v>
      </c>
      <c r="L168">
        <f t="shared" si="4"/>
        <v>0</v>
      </c>
      <c r="M168">
        <f t="shared" si="5"/>
        <v>0</v>
      </c>
      <c r="S168">
        <v>-169.83</v>
      </c>
    </row>
    <row r="169" spans="1:19" x14ac:dyDescent="0.25">
      <c r="A169">
        <v>-145.61000000000001</v>
      </c>
      <c r="E169">
        <v>-168.5</v>
      </c>
      <c r="L169">
        <f t="shared" si="4"/>
        <v>0</v>
      </c>
      <c r="M169">
        <f t="shared" si="5"/>
        <v>0</v>
      </c>
      <c r="S169">
        <v>-169.82</v>
      </c>
    </row>
    <row r="170" spans="1:19" x14ac:dyDescent="0.25">
      <c r="A170">
        <v>-198.65</v>
      </c>
      <c r="E170">
        <v>-168.01</v>
      </c>
      <c r="L170">
        <f t="shared" si="4"/>
        <v>0</v>
      </c>
      <c r="M170">
        <f t="shared" si="5"/>
        <v>0</v>
      </c>
      <c r="S170">
        <v>-169.31</v>
      </c>
    </row>
    <row r="171" spans="1:19" x14ac:dyDescent="0.25">
      <c r="A171" t="s">
        <v>73</v>
      </c>
      <c r="E171">
        <v>-167.5</v>
      </c>
      <c r="L171">
        <f t="shared" si="4"/>
        <v>0</v>
      </c>
      <c r="M171">
        <f t="shared" si="5"/>
        <v>0</v>
      </c>
      <c r="S171">
        <v>-169.28</v>
      </c>
    </row>
    <row r="172" spans="1:19" x14ac:dyDescent="0.25">
      <c r="A172">
        <v>-147.69999999999999</v>
      </c>
      <c r="E172">
        <v>-167.26</v>
      </c>
      <c r="L172">
        <f t="shared" si="4"/>
        <v>0</v>
      </c>
      <c r="M172">
        <f t="shared" si="5"/>
        <v>0</v>
      </c>
      <c r="S172">
        <v>-168.5</v>
      </c>
    </row>
    <row r="173" spans="1:19" x14ac:dyDescent="0.25">
      <c r="A173">
        <v>-181.01</v>
      </c>
      <c r="E173">
        <v>-166.83</v>
      </c>
      <c r="L173">
        <f t="shared" si="4"/>
        <v>0</v>
      </c>
      <c r="M173">
        <f t="shared" si="5"/>
        <v>0</v>
      </c>
      <c r="S173">
        <v>-168.01</v>
      </c>
    </row>
    <row r="174" spans="1:19" x14ac:dyDescent="0.25">
      <c r="A174">
        <v>-270.11</v>
      </c>
      <c r="E174">
        <v>-166.75</v>
      </c>
      <c r="L174">
        <f t="shared" si="4"/>
        <v>0</v>
      </c>
      <c r="M174">
        <f t="shared" si="5"/>
        <v>0</v>
      </c>
      <c r="S174">
        <v>-167.5</v>
      </c>
    </row>
    <row r="175" spans="1:19" x14ac:dyDescent="0.25">
      <c r="A175">
        <v>-174.18</v>
      </c>
      <c r="E175">
        <v>-166.72</v>
      </c>
      <c r="L175">
        <f t="shared" si="4"/>
        <v>0</v>
      </c>
      <c r="M175">
        <f t="shared" si="5"/>
        <v>0</v>
      </c>
      <c r="S175">
        <v>-167.26</v>
      </c>
    </row>
    <row r="176" spans="1:19" x14ac:dyDescent="0.25">
      <c r="A176">
        <v>-177.3</v>
      </c>
      <c r="E176">
        <v>-166.63</v>
      </c>
      <c r="L176">
        <f t="shared" si="4"/>
        <v>0</v>
      </c>
      <c r="M176">
        <f t="shared" si="5"/>
        <v>0</v>
      </c>
      <c r="S176">
        <v>-166.83</v>
      </c>
    </row>
    <row r="177" spans="1:19" x14ac:dyDescent="0.25">
      <c r="A177">
        <v>-198.36</v>
      </c>
      <c r="E177">
        <v>-166.62</v>
      </c>
      <c r="L177">
        <f t="shared" si="4"/>
        <v>0</v>
      </c>
      <c r="M177">
        <f t="shared" si="5"/>
        <v>0</v>
      </c>
      <c r="S177">
        <v>-166.75</v>
      </c>
    </row>
    <row r="178" spans="1:19" x14ac:dyDescent="0.25">
      <c r="A178">
        <v>-157.83000000000001</v>
      </c>
      <c r="E178">
        <v>-166.6</v>
      </c>
      <c r="L178">
        <f t="shared" si="4"/>
        <v>0</v>
      </c>
      <c r="M178">
        <f t="shared" si="5"/>
        <v>0</v>
      </c>
      <c r="S178">
        <v>-166.72</v>
      </c>
    </row>
    <row r="179" spans="1:19" x14ac:dyDescent="0.25">
      <c r="A179">
        <v>-182.02</v>
      </c>
      <c r="E179">
        <v>-166.08</v>
      </c>
      <c r="L179">
        <f t="shared" si="4"/>
        <v>0</v>
      </c>
      <c r="M179">
        <f t="shared" si="5"/>
        <v>0</v>
      </c>
      <c r="S179">
        <v>-166.63</v>
      </c>
    </row>
    <row r="180" spans="1:19" x14ac:dyDescent="0.25">
      <c r="A180">
        <v>-176.17</v>
      </c>
      <c r="E180">
        <v>-165.98</v>
      </c>
      <c r="L180">
        <f t="shared" si="4"/>
        <v>0</v>
      </c>
      <c r="M180">
        <f t="shared" si="5"/>
        <v>0</v>
      </c>
      <c r="S180">
        <v>-166.62</v>
      </c>
    </row>
    <row r="181" spans="1:19" x14ac:dyDescent="0.25">
      <c r="A181">
        <v>-139.51</v>
      </c>
      <c r="E181">
        <v>-165.49</v>
      </c>
      <c r="L181">
        <f t="shared" si="4"/>
        <v>0</v>
      </c>
      <c r="M181">
        <f t="shared" si="5"/>
        <v>0</v>
      </c>
      <c r="S181">
        <v>-166.6</v>
      </c>
    </row>
    <row r="182" spans="1:19" x14ac:dyDescent="0.25">
      <c r="A182" t="s">
        <v>73</v>
      </c>
      <c r="E182">
        <v>-165.27</v>
      </c>
      <c r="L182">
        <f t="shared" si="4"/>
        <v>0</v>
      </c>
      <c r="M182">
        <f t="shared" si="5"/>
        <v>0</v>
      </c>
      <c r="S182">
        <v>-166.08</v>
      </c>
    </row>
    <row r="183" spans="1:19" x14ac:dyDescent="0.25">
      <c r="A183" t="s">
        <v>73</v>
      </c>
      <c r="E183">
        <v>-165.24</v>
      </c>
      <c r="L183">
        <f t="shared" si="4"/>
        <v>0</v>
      </c>
      <c r="M183">
        <f t="shared" si="5"/>
        <v>0</v>
      </c>
      <c r="S183">
        <v>-165.98</v>
      </c>
    </row>
    <row r="184" spans="1:19" x14ac:dyDescent="0.25">
      <c r="A184">
        <v>-206.18</v>
      </c>
      <c r="E184">
        <v>-164.9</v>
      </c>
      <c r="L184">
        <f t="shared" si="4"/>
        <v>0</v>
      </c>
      <c r="M184">
        <f t="shared" si="5"/>
        <v>0</v>
      </c>
      <c r="S184">
        <v>-165.49</v>
      </c>
    </row>
    <row r="185" spans="1:19" x14ac:dyDescent="0.25">
      <c r="A185" t="s">
        <v>73</v>
      </c>
      <c r="E185">
        <v>-164.77</v>
      </c>
      <c r="L185">
        <f t="shared" si="4"/>
        <v>0</v>
      </c>
      <c r="M185">
        <f t="shared" si="5"/>
        <v>0</v>
      </c>
      <c r="S185">
        <v>-165.27</v>
      </c>
    </row>
    <row r="186" spans="1:19" x14ac:dyDescent="0.25">
      <c r="A186">
        <v>-146.87</v>
      </c>
      <c r="E186">
        <v>-164.2</v>
      </c>
      <c r="L186">
        <f t="shared" si="4"/>
        <v>0</v>
      </c>
      <c r="M186">
        <f t="shared" si="5"/>
        <v>0</v>
      </c>
      <c r="S186">
        <v>-165.24</v>
      </c>
    </row>
    <row r="187" spans="1:19" x14ac:dyDescent="0.25">
      <c r="A187">
        <v>-178.43</v>
      </c>
      <c r="E187">
        <v>-164.12</v>
      </c>
      <c r="L187">
        <f t="shared" si="4"/>
        <v>0</v>
      </c>
      <c r="M187">
        <f t="shared" si="5"/>
        <v>0</v>
      </c>
      <c r="S187">
        <v>-164.9</v>
      </c>
    </row>
    <row r="188" spans="1:19" x14ac:dyDescent="0.25">
      <c r="A188">
        <v>-173.43</v>
      </c>
      <c r="E188">
        <v>-163.93</v>
      </c>
      <c r="L188">
        <f t="shared" si="4"/>
        <v>0</v>
      </c>
      <c r="M188">
        <f t="shared" si="5"/>
        <v>0</v>
      </c>
      <c r="S188">
        <v>-164.77</v>
      </c>
    </row>
    <row r="189" spans="1:19" x14ac:dyDescent="0.25">
      <c r="A189">
        <v>-182.5</v>
      </c>
      <c r="E189">
        <v>-163.58000000000001</v>
      </c>
      <c r="L189">
        <f t="shared" si="4"/>
        <v>0</v>
      </c>
      <c r="M189">
        <f t="shared" si="5"/>
        <v>0</v>
      </c>
      <c r="S189">
        <v>-164.2</v>
      </c>
    </row>
    <row r="190" spans="1:19" x14ac:dyDescent="0.25">
      <c r="A190">
        <v>-183.26</v>
      </c>
      <c r="E190">
        <v>-163.01</v>
      </c>
      <c r="L190">
        <f t="shared" si="4"/>
        <v>0</v>
      </c>
      <c r="M190">
        <f t="shared" si="5"/>
        <v>0</v>
      </c>
      <c r="S190">
        <v>-164.12</v>
      </c>
    </row>
    <row r="191" spans="1:19" x14ac:dyDescent="0.25">
      <c r="A191">
        <v>-180.13</v>
      </c>
      <c r="E191">
        <v>-162.83000000000001</v>
      </c>
      <c r="L191">
        <f t="shared" si="4"/>
        <v>0</v>
      </c>
      <c r="M191">
        <f t="shared" si="5"/>
        <v>0</v>
      </c>
      <c r="S191">
        <v>-163.93</v>
      </c>
    </row>
    <row r="192" spans="1:19" x14ac:dyDescent="0.25">
      <c r="A192">
        <v>-201.82</v>
      </c>
      <c r="E192">
        <v>-162.69999999999999</v>
      </c>
      <c r="L192">
        <f t="shared" si="4"/>
        <v>0</v>
      </c>
      <c r="M192">
        <f t="shared" si="5"/>
        <v>0</v>
      </c>
      <c r="S192">
        <v>-163.58000000000001</v>
      </c>
    </row>
    <row r="193" spans="1:19" x14ac:dyDescent="0.25">
      <c r="A193">
        <v>-179.21</v>
      </c>
      <c r="E193">
        <v>-162.43</v>
      </c>
      <c r="L193">
        <f t="shared" si="4"/>
        <v>0</v>
      </c>
      <c r="M193">
        <f t="shared" si="5"/>
        <v>0</v>
      </c>
      <c r="S193">
        <v>-163.01</v>
      </c>
    </row>
    <row r="194" spans="1:19" x14ac:dyDescent="0.25">
      <c r="A194">
        <v>-158.56</v>
      </c>
      <c r="E194">
        <v>-162.34</v>
      </c>
      <c r="L194">
        <f t="shared" si="4"/>
        <v>0</v>
      </c>
      <c r="M194">
        <f t="shared" si="5"/>
        <v>0</v>
      </c>
      <c r="S194">
        <v>-162.83000000000001</v>
      </c>
    </row>
    <row r="195" spans="1:19" x14ac:dyDescent="0.25">
      <c r="A195">
        <v>-167.5</v>
      </c>
      <c r="E195">
        <v>-161.86000000000001</v>
      </c>
      <c r="L195">
        <f t="shared" si="4"/>
        <v>0</v>
      </c>
      <c r="M195">
        <f t="shared" si="5"/>
        <v>0</v>
      </c>
      <c r="S195">
        <v>-162.69999999999999</v>
      </c>
    </row>
    <row r="196" spans="1:19" x14ac:dyDescent="0.25">
      <c r="A196">
        <v>-160.75</v>
      </c>
      <c r="E196">
        <v>-161.24</v>
      </c>
      <c r="L196">
        <f t="shared" si="4"/>
        <v>0</v>
      </c>
      <c r="M196">
        <f t="shared" si="5"/>
        <v>0</v>
      </c>
      <c r="S196">
        <v>-162.43</v>
      </c>
    </row>
    <row r="197" spans="1:19" x14ac:dyDescent="0.25">
      <c r="A197">
        <v>-173.15</v>
      </c>
      <c r="E197">
        <v>-160.75</v>
      </c>
      <c r="L197">
        <f t="shared" ref="L197:L260" si="6">IF(E194&lt;I$6,"ВЫБРОС",0)</f>
        <v>0</v>
      </c>
      <c r="M197">
        <f t="shared" ref="M197:M260" si="7">IF(E194&gt;I$8,"ВЫБРОС",0)</f>
        <v>0</v>
      </c>
      <c r="S197">
        <v>-162.34</v>
      </c>
    </row>
    <row r="198" spans="1:19" x14ac:dyDescent="0.25">
      <c r="A198">
        <v>-191.12</v>
      </c>
      <c r="E198">
        <v>-159.51</v>
      </c>
      <c r="L198">
        <f t="shared" si="6"/>
        <v>0</v>
      </c>
      <c r="M198">
        <f t="shared" si="7"/>
        <v>0</v>
      </c>
      <c r="S198">
        <v>-161.86000000000001</v>
      </c>
    </row>
    <row r="199" spans="1:19" x14ac:dyDescent="0.25">
      <c r="A199">
        <v>-190.27</v>
      </c>
      <c r="E199">
        <v>-158.91</v>
      </c>
      <c r="L199">
        <f t="shared" si="6"/>
        <v>0</v>
      </c>
      <c r="M199">
        <f t="shared" si="7"/>
        <v>0</v>
      </c>
      <c r="S199">
        <v>-161.24</v>
      </c>
    </row>
    <row r="200" spans="1:19" x14ac:dyDescent="0.25">
      <c r="A200">
        <v>-177.68</v>
      </c>
      <c r="E200">
        <v>-158.88</v>
      </c>
      <c r="L200">
        <f t="shared" si="6"/>
        <v>0</v>
      </c>
      <c r="M200">
        <f t="shared" si="7"/>
        <v>0</v>
      </c>
      <c r="S200">
        <v>-160.75</v>
      </c>
    </row>
    <row r="201" spans="1:19" x14ac:dyDescent="0.25">
      <c r="A201">
        <v>-166.72</v>
      </c>
      <c r="E201">
        <v>-158.72999999999999</v>
      </c>
      <c r="L201">
        <f t="shared" si="6"/>
        <v>0</v>
      </c>
      <c r="M201">
        <f t="shared" si="7"/>
        <v>0</v>
      </c>
      <c r="S201">
        <v>-159.51</v>
      </c>
    </row>
    <row r="202" spans="1:19" x14ac:dyDescent="0.25">
      <c r="A202" t="s">
        <v>73</v>
      </c>
      <c r="E202">
        <v>-158.69999999999999</v>
      </c>
      <c r="L202">
        <f t="shared" si="6"/>
        <v>0</v>
      </c>
      <c r="M202">
        <f t="shared" si="7"/>
        <v>0</v>
      </c>
      <c r="S202">
        <v>-158.91</v>
      </c>
    </row>
    <row r="203" spans="1:19" x14ac:dyDescent="0.25">
      <c r="A203">
        <v>-163.93</v>
      </c>
      <c r="E203">
        <v>-158.56</v>
      </c>
      <c r="L203">
        <f t="shared" si="6"/>
        <v>0</v>
      </c>
      <c r="M203">
        <f t="shared" si="7"/>
        <v>0</v>
      </c>
      <c r="S203">
        <v>-158.88</v>
      </c>
    </row>
    <row r="204" spans="1:19" x14ac:dyDescent="0.25">
      <c r="A204">
        <v>-150.69</v>
      </c>
      <c r="E204">
        <v>-157.83000000000001</v>
      </c>
      <c r="L204">
        <f t="shared" si="6"/>
        <v>0</v>
      </c>
      <c r="M204">
        <f t="shared" si="7"/>
        <v>0</v>
      </c>
      <c r="S204">
        <v>-158.72999999999999</v>
      </c>
    </row>
    <row r="205" spans="1:19" x14ac:dyDescent="0.25">
      <c r="A205">
        <v>-164.2</v>
      </c>
      <c r="E205">
        <v>-157.71</v>
      </c>
      <c r="L205">
        <f t="shared" si="6"/>
        <v>0</v>
      </c>
      <c r="M205">
        <f t="shared" si="7"/>
        <v>0</v>
      </c>
      <c r="S205">
        <v>-158.69999999999999</v>
      </c>
    </row>
    <row r="206" spans="1:19" x14ac:dyDescent="0.25">
      <c r="A206">
        <v>-177.99</v>
      </c>
      <c r="E206">
        <v>-157.71</v>
      </c>
      <c r="L206">
        <f t="shared" si="6"/>
        <v>0</v>
      </c>
      <c r="M206">
        <f t="shared" si="7"/>
        <v>0</v>
      </c>
      <c r="S206">
        <v>-158.56</v>
      </c>
    </row>
    <row r="207" spans="1:19" x14ac:dyDescent="0.25">
      <c r="A207">
        <v>-193.22</v>
      </c>
      <c r="E207">
        <v>-157.62</v>
      </c>
      <c r="L207">
        <f t="shared" si="6"/>
        <v>0</v>
      </c>
      <c r="M207">
        <f t="shared" si="7"/>
        <v>0</v>
      </c>
      <c r="S207">
        <v>-157.83000000000001</v>
      </c>
    </row>
    <row r="208" spans="1:19" x14ac:dyDescent="0.25">
      <c r="A208">
        <v>-206.15</v>
      </c>
      <c r="E208">
        <v>-157.38</v>
      </c>
      <c r="L208">
        <f t="shared" si="6"/>
        <v>0</v>
      </c>
      <c r="M208">
        <f t="shared" si="7"/>
        <v>0</v>
      </c>
      <c r="S208">
        <v>-157.71</v>
      </c>
    </row>
    <row r="209" spans="1:19" x14ac:dyDescent="0.25">
      <c r="A209" t="s">
        <v>73</v>
      </c>
      <c r="E209">
        <v>-157.22</v>
      </c>
      <c r="L209">
        <f t="shared" si="6"/>
        <v>0</v>
      </c>
      <c r="M209">
        <f t="shared" si="7"/>
        <v>0</v>
      </c>
      <c r="S209">
        <v>-157.71</v>
      </c>
    </row>
    <row r="210" spans="1:19" x14ac:dyDescent="0.25">
      <c r="A210" t="s">
        <v>73</v>
      </c>
      <c r="E210">
        <v>-156.77000000000001</v>
      </c>
      <c r="L210">
        <f t="shared" si="6"/>
        <v>0</v>
      </c>
      <c r="M210">
        <f t="shared" si="7"/>
        <v>0</v>
      </c>
      <c r="S210">
        <v>-157.62</v>
      </c>
    </row>
    <row r="211" spans="1:19" x14ac:dyDescent="0.25">
      <c r="A211">
        <v>-177.2</v>
      </c>
      <c r="E211">
        <v>-156.54</v>
      </c>
      <c r="L211">
        <f t="shared" si="6"/>
        <v>0</v>
      </c>
      <c r="M211">
        <f t="shared" si="7"/>
        <v>0</v>
      </c>
      <c r="S211">
        <v>-157.38</v>
      </c>
    </row>
    <row r="212" spans="1:19" x14ac:dyDescent="0.25">
      <c r="A212">
        <v>-215.29</v>
      </c>
      <c r="E212">
        <v>-156.43</v>
      </c>
      <c r="L212">
        <f t="shared" si="6"/>
        <v>0</v>
      </c>
      <c r="M212">
        <f t="shared" si="7"/>
        <v>0</v>
      </c>
      <c r="S212">
        <v>-157.22</v>
      </c>
    </row>
    <row r="213" spans="1:19" x14ac:dyDescent="0.25">
      <c r="A213">
        <v>-156.43</v>
      </c>
      <c r="E213">
        <v>-156.41999999999999</v>
      </c>
      <c r="L213">
        <f t="shared" si="6"/>
        <v>0</v>
      </c>
      <c r="M213">
        <f t="shared" si="7"/>
        <v>0</v>
      </c>
      <c r="S213">
        <v>-156.77000000000001</v>
      </c>
    </row>
    <row r="214" spans="1:19" x14ac:dyDescent="0.25">
      <c r="A214">
        <v>14.2900000000001</v>
      </c>
      <c r="E214">
        <v>-156.16999999999999</v>
      </c>
      <c r="L214">
        <f t="shared" si="6"/>
        <v>0</v>
      </c>
      <c r="M214">
        <f t="shared" si="7"/>
        <v>0</v>
      </c>
      <c r="S214">
        <v>-156.54</v>
      </c>
    </row>
    <row r="215" spans="1:19" x14ac:dyDescent="0.25">
      <c r="A215" t="s">
        <v>73</v>
      </c>
      <c r="E215">
        <v>-156.09</v>
      </c>
      <c r="L215">
        <f t="shared" si="6"/>
        <v>0</v>
      </c>
      <c r="M215">
        <f t="shared" si="7"/>
        <v>0</v>
      </c>
      <c r="S215">
        <v>-156.43</v>
      </c>
    </row>
    <row r="216" spans="1:19" x14ac:dyDescent="0.25">
      <c r="A216">
        <v>-162.69999999999999</v>
      </c>
      <c r="E216">
        <v>-155.84</v>
      </c>
      <c r="L216">
        <f t="shared" si="6"/>
        <v>0</v>
      </c>
      <c r="M216">
        <f t="shared" si="7"/>
        <v>0</v>
      </c>
      <c r="S216">
        <v>-156.41999999999999</v>
      </c>
    </row>
    <row r="217" spans="1:19" x14ac:dyDescent="0.25">
      <c r="A217">
        <v>-174.07</v>
      </c>
      <c r="E217">
        <v>-155.66999999999999</v>
      </c>
      <c r="L217">
        <f t="shared" si="6"/>
        <v>0</v>
      </c>
      <c r="M217">
        <f t="shared" si="7"/>
        <v>0</v>
      </c>
      <c r="S217">
        <v>-156.16999999999999</v>
      </c>
    </row>
    <row r="218" spans="1:19" x14ac:dyDescent="0.25">
      <c r="A218">
        <v>-188.43</v>
      </c>
      <c r="E218">
        <v>-153.53</v>
      </c>
      <c r="L218">
        <f t="shared" si="6"/>
        <v>0</v>
      </c>
      <c r="M218">
        <f t="shared" si="7"/>
        <v>0</v>
      </c>
      <c r="S218">
        <v>-156.09</v>
      </c>
    </row>
    <row r="219" spans="1:19" x14ac:dyDescent="0.25">
      <c r="A219">
        <v>-149.58000000000001</v>
      </c>
      <c r="E219">
        <v>-153.53</v>
      </c>
      <c r="L219">
        <f t="shared" si="6"/>
        <v>0</v>
      </c>
      <c r="M219">
        <f t="shared" si="7"/>
        <v>0</v>
      </c>
      <c r="S219">
        <v>-155.84</v>
      </c>
    </row>
    <row r="220" spans="1:19" x14ac:dyDescent="0.25">
      <c r="A220">
        <v>-186.66</v>
      </c>
      <c r="E220">
        <v>-153.04</v>
      </c>
      <c r="L220">
        <f t="shared" si="6"/>
        <v>0</v>
      </c>
      <c r="M220">
        <f t="shared" si="7"/>
        <v>0</v>
      </c>
      <c r="S220">
        <v>-155.66999999999999</v>
      </c>
    </row>
    <row r="221" spans="1:19" x14ac:dyDescent="0.25">
      <c r="A221">
        <v>-151.66</v>
      </c>
      <c r="E221">
        <v>-151.66</v>
      </c>
      <c r="L221">
        <f t="shared" si="6"/>
        <v>0</v>
      </c>
      <c r="M221">
        <f t="shared" si="7"/>
        <v>0</v>
      </c>
      <c r="S221">
        <v>-153.53</v>
      </c>
    </row>
    <row r="222" spans="1:19" x14ac:dyDescent="0.25">
      <c r="A222">
        <v>-164.77</v>
      </c>
      <c r="E222">
        <v>-151.62</v>
      </c>
      <c r="L222">
        <f t="shared" si="6"/>
        <v>0</v>
      </c>
      <c r="M222">
        <f t="shared" si="7"/>
        <v>0</v>
      </c>
      <c r="S222">
        <v>-153.53</v>
      </c>
    </row>
    <row r="223" spans="1:19" x14ac:dyDescent="0.25">
      <c r="A223" t="s">
        <v>73</v>
      </c>
      <c r="E223">
        <v>-151.41</v>
      </c>
      <c r="L223">
        <f t="shared" si="6"/>
        <v>0</v>
      </c>
      <c r="M223">
        <f t="shared" si="7"/>
        <v>0</v>
      </c>
      <c r="S223">
        <v>-153.04</v>
      </c>
    </row>
    <row r="224" spans="1:19" x14ac:dyDescent="0.25">
      <c r="A224">
        <v>-165.27</v>
      </c>
      <c r="E224">
        <v>-151.31</v>
      </c>
      <c r="L224">
        <f t="shared" si="6"/>
        <v>0</v>
      </c>
      <c r="M224">
        <f t="shared" si="7"/>
        <v>0</v>
      </c>
      <c r="S224">
        <v>-151.66</v>
      </c>
    </row>
    <row r="225" spans="1:19" x14ac:dyDescent="0.25">
      <c r="A225">
        <v>-202.85</v>
      </c>
      <c r="E225">
        <v>-151.05000000000001</v>
      </c>
      <c r="L225">
        <f t="shared" si="6"/>
        <v>0</v>
      </c>
      <c r="M225">
        <f t="shared" si="7"/>
        <v>0</v>
      </c>
      <c r="S225">
        <v>-151.62</v>
      </c>
    </row>
    <row r="226" spans="1:19" x14ac:dyDescent="0.25">
      <c r="A226">
        <v>-206.57</v>
      </c>
      <c r="E226">
        <v>-150.69</v>
      </c>
      <c r="L226">
        <f t="shared" si="6"/>
        <v>0</v>
      </c>
      <c r="M226">
        <f t="shared" si="7"/>
        <v>0</v>
      </c>
      <c r="S226">
        <v>-151.41</v>
      </c>
    </row>
    <row r="227" spans="1:19" x14ac:dyDescent="0.25">
      <c r="A227">
        <v>-153.04</v>
      </c>
      <c r="E227">
        <v>-150.44999999999999</v>
      </c>
      <c r="L227">
        <f t="shared" si="6"/>
        <v>0</v>
      </c>
      <c r="M227">
        <f t="shared" si="7"/>
        <v>0</v>
      </c>
      <c r="S227">
        <v>-151.31</v>
      </c>
    </row>
    <row r="228" spans="1:19" x14ac:dyDescent="0.25">
      <c r="A228">
        <v>-269.85000000000002</v>
      </c>
      <c r="E228">
        <v>-149.76</v>
      </c>
      <c r="L228">
        <f t="shared" si="6"/>
        <v>0</v>
      </c>
      <c r="M228">
        <f t="shared" si="7"/>
        <v>0</v>
      </c>
      <c r="S228">
        <v>-151.05000000000001</v>
      </c>
    </row>
    <row r="229" spans="1:19" x14ac:dyDescent="0.25">
      <c r="A229">
        <v>-173.9</v>
      </c>
      <c r="E229">
        <v>-149.58000000000001</v>
      </c>
      <c r="L229">
        <f t="shared" si="6"/>
        <v>0</v>
      </c>
      <c r="M229">
        <f t="shared" si="7"/>
        <v>0</v>
      </c>
      <c r="S229">
        <v>-150.69</v>
      </c>
    </row>
    <row r="230" spans="1:19" x14ac:dyDescent="0.25">
      <c r="A230">
        <v>-192.11</v>
      </c>
      <c r="E230">
        <v>-149.36000000000001</v>
      </c>
      <c r="L230">
        <f t="shared" si="6"/>
        <v>0</v>
      </c>
      <c r="M230">
        <f t="shared" si="7"/>
        <v>0</v>
      </c>
      <c r="S230">
        <v>-150.44999999999999</v>
      </c>
    </row>
    <row r="231" spans="1:19" x14ac:dyDescent="0.25">
      <c r="A231">
        <v>-214.11</v>
      </c>
      <c r="E231">
        <v>-147.96</v>
      </c>
      <c r="L231">
        <f t="shared" si="6"/>
        <v>0</v>
      </c>
      <c r="M231">
        <f t="shared" si="7"/>
        <v>0</v>
      </c>
      <c r="S231">
        <v>-149.76</v>
      </c>
    </row>
    <row r="232" spans="1:19" x14ac:dyDescent="0.25">
      <c r="A232">
        <v>-170.45</v>
      </c>
      <c r="E232">
        <v>-147.69999999999999</v>
      </c>
      <c r="L232">
        <f t="shared" si="6"/>
        <v>0</v>
      </c>
      <c r="M232">
        <f t="shared" si="7"/>
        <v>0</v>
      </c>
      <c r="S232">
        <v>-149.58000000000001</v>
      </c>
    </row>
    <row r="233" spans="1:19" x14ac:dyDescent="0.25">
      <c r="A233">
        <v>-166.08</v>
      </c>
      <c r="E233">
        <v>-146.87</v>
      </c>
      <c r="L233">
        <f t="shared" si="6"/>
        <v>0</v>
      </c>
      <c r="M233">
        <f t="shared" si="7"/>
        <v>0</v>
      </c>
      <c r="S233">
        <v>-149.36000000000001</v>
      </c>
    </row>
    <row r="234" spans="1:19" x14ac:dyDescent="0.25">
      <c r="A234" t="s">
        <v>73</v>
      </c>
      <c r="E234">
        <v>-146.13999999999999</v>
      </c>
      <c r="L234">
        <f t="shared" si="6"/>
        <v>0</v>
      </c>
      <c r="M234">
        <f t="shared" si="7"/>
        <v>0</v>
      </c>
      <c r="S234">
        <v>-147.96</v>
      </c>
    </row>
    <row r="235" spans="1:19" x14ac:dyDescent="0.25">
      <c r="A235">
        <v>-190.22</v>
      </c>
      <c r="E235">
        <v>-146.13</v>
      </c>
      <c r="L235">
        <f t="shared" si="6"/>
        <v>0</v>
      </c>
      <c r="M235">
        <f t="shared" si="7"/>
        <v>0</v>
      </c>
      <c r="S235">
        <v>-147.69999999999999</v>
      </c>
    </row>
    <row r="236" spans="1:19" x14ac:dyDescent="0.25">
      <c r="A236">
        <v>-183.94</v>
      </c>
      <c r="E236">
        <v>-145.91999999999999</v>
      </c>
      <c r="L236">
        <f t="shared" si="6"/>
        <v>0</v>
      </c>
      <c r="M236">
        <f t="shared" si="7"/>
        <v>0</v>
      </c>
      <c r="S236">
        <v>-146.87</v>
      </c>
    </row>
    <row r="237" spans="1:19" x14ac:dyDescent="0.25">
      <c r="A237">
        <v>-161.86000000000001</v>
      </c>
      <c r="E237">
        <v>-145.61000000000001</v>
      </c>
      <c r="L237">
        <f t="shared" si="6"/>
        <v>0</v>
      </c>
      <c r="M237">
        <f t="shared" si="7"/>
        <v>0</v>
      </c>
      <c r="S237">
        <v>-146.13999999999999</v>
      </c>
    </row>
    <row r="238" spans="1:19" x14ac:dyDescent="0.25">
      <c r="A238" t="s">
        <v>73</v>
      </c>
      <c r="E238">
        <v>-145.33000000000001</v>
      </c>
      <c r="L238">
        <f t="shared" si="6"/>
        <v>0</v>
      </c>
      <c r="M238">
        <f t="shared" si="7"/>
        <v>0</v>
      </c>
      <c r="S238">
        <v>-146.13</v>
      </c>
    </row>
    <row r="239" spans="1:19" x14ac:dyDescent="0.25">
      <c r="A239">
        <v>-174.84</v>
      </c>
      <c r="E239">
        <v>-143.68</v>
      </c>
      <c r="L239">
        <f t="shared" si="6"/>
        <v>0</v>
      </c>
      <c r="M239">
        <f t="shared" si="7"/>
        <v>0</v>
      </c>
      <c r="S239">
        <v>-145.91999999999999</v>
      </c>
    </row>
    <row r="240" spans="1:19" x14ac:dyDescent="0.25">
      <c r="A240">
        <v>-176.85</v>
      </c>
      <c r="E240">
        <v>-142.83000000000001</v>
      </c>
      <c r="L240">
        <f t="shared" si="6"/>
        <v>0</v>
      </c>
      <c r="M240">
        <f t="shared" si="7"/>
        <v>0</v>
      </c>
      <c r="S240">
        <v>-145.61000000000001</v>
      </c>
    </row>
    <row r="241" spans="1:19" x14ac:dyDescent="0.25">
      <c r="A241">
        <v>45.8900000000002</v>
      </c>
      <c r="E241">
        <v>-142.63999999999999</v>
      </c>
      <c r="L241">
        <f t="shared" si="6"/>
        <v>0</v>
      </c>
      <c r="M241">
        <f t="shared" si="7"/>
        <v>0</v>
      </c>
      <c r="S241">
        <v>-145.33000000000001</v>
      </c>
    </row>
    <row r="242" spans="1:19" x14ac:dyDescent="0.25">
      <c r="A242">
        <v>-194.62</v>
      </c>
      <c r="E242">
        <v>-142.57</v>
      </c>
      <c r="L242">
        <f t="shared" si="6"/>
        <v>0</v>
      </c>
      <c r="M242">
        <f t="shared" si="7"/>
        <v>0</v>
      </c>
      <c r="S242">
        <v>-143.68</v>
      </c>
    </row>
    <row r="243" spans="1:19" x14ac:dyDescent="0.25">
      <c r="A243" t="s">
        <v>73</v>
      </c>
      <c r="E243">
        <v>-141.13999999999999</v>
      </c>
      <c r="L243">
        <f t="shared" si="6"/>
        <v>0</v>
      </c>
      <c r="M243">
        <f t="shared" si="7"/>
        <v>0</v>
      </c>
      <c r="S243">
        <v>-142.83000000000001</v>
      </c>
    </row>
    <row r="244" spans="1:19" x14ac:dyDescent="0.25">
      <c r="A244" t="s">
        <v>73</v>
      </c>
      <c r="E244">
        <v>-140.56</v>
      </c>
      <c r="L244">
        <f t="shared" si="6"/>
        <v>0</v>
      </c>
      <c r="M244">
        <f t="shared" si="7"/>
        <v>0</v>
      </c>
      <c r="S244">
        <v>-142.63999999999999</v>
      </c>
    </row>
    <row r="245" spans="1:19" x14ac:dyDescent="0.25">
      <c r="A245">
        <v>-165.49</v>
      </c>
      <c r="E245">
        <v>-139.62</v>
      </c>
      <c r="L245">
        <f t="shared" si="6"/>
        <v>0</v>
      </c>
      <c r="M245">
        <f t="shared" si="7"/>
        <v>0</v>
      </c>
      <c r="S245">
        <v>-142.57</v>
      </c>
    </row>
    <row r="246" spans="1:19" x14ac:dyDescent="0.25">
      <c r="A246">
        <v>-142.83000000000001</v>
      </c>
      <c r="E246">
        <v>-139.51</v>
      </c>
      <c r="L246">
        <f t="shared" si="6"/>
        <v>0</v>
      </c>
      <c r="M246">
        <f t="shared" si="7"/>
        <v>0</v>
      </c>
      <c r="S246">
        <v>-141.13999999999999</v>
      </c>
    </row>
    <row r="247" spans="1:19" x14ac:dyDescent="0.25">
      <c r="A247" t="s">
        <v>73</v>
      </c>
      <c r="E247">
        <v>-139.47</v>
      </c>
      <c r="L247">
        <f t="shared" si="6"/>
        <v>0</v>
      </c>
      <c r="M247">
        <f t="shared" si="7"/>
        <v>0</v>
      </c>
      <c r="S247">
        <v>-140.56</v>
      </c>
    </row>
    <row r="248" spans="1:19" x14ac:dyDescent="0.25">
      <c r="A248" t="s">
        <v>73</v>
      </c>
      <c r="E248">
        <v>-139.36000000000001</v>
      </c>
      <c r="L248">
        <f t="shared" si="6"/>
        <v>0</v>
      </c>
      <c r="M248">
        <f t="shared" si="7"/>
        <v>0</v>
      </c>
      <c r="S248">
        <v>-139.62</v>
      </c>
    </row>
    <row r="249" spans="1:19" x14ac:dyDescent="0.25">
      <c r="A249">
        <v>-175.3</v>
      </c>
      <c r="E249">
        <v>-138.49</v>
      </c>
      <c r="L249">
        <f t="shared" si="6"/>
        <v>0</v>
      </c>
      <c r="M249">
        <f t="shared" si="7"/>
        <v>0</v>
      </c>
      <c r="S249">
        <v>-139.51</v>
      </c>
    </row>
    <row r="250" spans="1:19" x14ac:dyDescent="0.25">
      <c r="A250">
        <v>-124.32</v>
      </c>
      <c r="E250">
        <v>-137.65</v>
      </c>
      <c r="L250">
        <f t="shared" si="6"/>
        <v>0</v>
      </c>
      <c r="M250">
        <f t="shared" si="7"/>
        <v>0</v>
      </c>
      <c r="S250">
        <v>-139.47</v>
      </c>
    </row>
    <row r="251" spans="1:19" x14ac:dyDescent="0.25">
      <c r="A251">
        <v>-170.2</v>
      </c>
      <c r="E251">
        <v>-137.13</v>
      </c>
      <c r="L251">
        <f t="shared" si="6"/>
        <v>0</v>
      </c>
      <c r="M251">
        <f t="shared" si="7"/>
        <v>0</v>
      </c>
      <c r="S251">
        <v>-139.36000000000001</v>
      </c>
    </row>
    <row r="252" spans="1:19" x14ac:dyDescent="0.25">
      <c r="A252">
        <v>-180.82</v>
      </c>
      <c r="E252">
        <v>-135.82</v>
      </c>
      <c r="L252">
        <f t="shared" si="6"/>
        <v>0</v>
      </c>
      <c r="M252">
        <f t="shared" si="7"/>
        <v>0</v>
      </c>
      <c r="S252">
        <v>-138.49</v>
      </c>
    </row>
    <row r="253" spans="1:19" x14ac:dyDescent="0.25">
      <c r="A253">
        <v>-201.87</v>
      </c>
      <c r="E253">
        <v>-135.55000000000001</v>
      </c>
      <c r="L253">
        <f t="shared" si="6"/>
        <v>0</v>
      </c>
      <c r="M253">
        <f t="shared" si="7"/>
        <v>0</v>
      </c>
      <c r="S253">
        <v>-137.65</v>
      </c>
    </row>
    <row r="254" spans="1:19" x14ac:dyDescent="0.25">
      <c r="A254">
        <v>-178.68</v>
      </c>
      <c r="E254">
        <v>-133.69</v>
      </c>
      <c r="L254">
        <f t="shared" si="6"/>
        <v>0</v>
      </c>
      <c r="M254">
        <f t="shared" si="7"/>
        <v>0</v>
      </c>
      <c r="S254">
        <v>-137.13</v>
      </c>
    </row>
    <row r="255" spans="1:19" x14ac:dyDescent="0.25">
      <c r="A255">
        <v>-139.36000000000001</v>
      </c>
      <c r="E255">
        <v>-133.12</v>
      </c>
      <c r="L255">
        <f t="shared" si="6"/>
        <v>0</v>
      </c>
      <c r="M255">
        <f t="shared" si="7"/>
        <v>0</v>
      </c>
      <c r="S255">
        <v>-135.82</v>
      </c>
    </row>
    <row r="256" spans="1:19" x14ac:dyDescent="0.25">
      <c r="A256">
        <v>-135.55000000000001</v>
      </c>
      <c r="E256">
        <v>-132.09</v>
      </c>
      <c r="L256">
        <f t="shared" si="6"/>
        <v>0</v>
      </c>
      <c r="M256">
        <f t="shared" si="7"/>
        <v>0</v>
      </c>
      <c r="S256">
        <v>-135.55000000000001</v>
      </c>
    </row>
    <row r="257" spans="1:19" x14ac:dyDescent="0.25">
      <c r="A257">
        <v>-161.24</v>
      </c>
      <c r="E257">
        <v>-130.26</v>
      </c>
      <c r="L257">
        <f t="shared" si="6"/>
        <v>0</v>
      </c>
      <c r="M257">
        <f t="shared" si="7"/>
        <v>0</v>
      </c>
      <c r="S257">
        <v>-133.69</v>
      </c>
    </row>
    <row r="258" spans="1:19" x14ac:dyDescent="0.25">
      <c r="A258">
        <v>-157.71</v>
      </c>
      <c r="E258">
        <v>-126.09</v>
      </c>
      <c r="L258">
        <f t="shared" si="6"/>
        <v>0</v>
      </c>
      <c r="M258">
        <f t="shared" si="7"/>
        <v>0</v>
      </c>
      <c r="S258">
        <v>-133.12</v>
      </c>
    </row>
    <row r="259" spans="1:19" x14ac:dyDescent="0.25">
      <c r="A259">
        <v>-151.41</v>
      </c>
      <c r="E259">
        <v>-124.32</v>
      </c>
      <c r="L259">
        <f t="shared" si="6"/>
        <v>0</v>
      </c>
      <c r="M259">
        <f t="shared" si="7"/>
        <v>0</v>
      </c>
      <c r="S259">
        <v>-132.09</v>
      </c>
    </row>
    <row r="260" spans="1:19" x14ac:dyDescent="0.25">
      <c r="A260" t="s">
        <v>73</v>
      </c>
      <c r="E260">
        <v>-123.43</v>
      </c>
      <c r="L260">
        <f t="shared" si="6"/>
        <v>0</v>
      </c>
      <c r="M260">
        <f t="shared" si="7"/>
        <v>0</v>
      </c>
      <c r="S260">
        <v>-130.26</v>
      </c>
    </row>
    <row r="261" spans="1:19" x14ac:dyDescent="0.25">
      <c r="A261">
        <v>-222.97</v>
      </c>
      <c r="E261">
        <v>-116.21</v>
      </c>
      <c r="L261">
        <f t="shared" ref="L261:L267" si="8">IF(E258&lt;I$6,"ВЫБРОС",0)</f>
        <v>0</v>
      </c>
      <c r="M261">
        <f t="shared" ref="M261:M268" si="9">IF(E258&gt;I$8,"ВЫБРОС",0)</f>
        <v>0</v>
      </c>
      <c r="S261">
        <v>-126.09</v>
      </c>
    </row>
    <row r="262" spans="1:19" x14ac:dyDescent="0.25">
      <c r="A262" t="s">
        <v>73</v>
      </c>
      <c r="E262">
        <v>-73.930000000000007</v>
      </c>
      <c r="L262">
        <f t="shared" si="8"/>
        <v>0</v>
      </c>
      <c r="M262">
        <f t="shared" si="9"/>
        <v>0</v>
      </c>
      <c r="S262">
        <v>-124.32</v>
      </c>
    </row>
    <row r="263" spans="1:19" x14ac:dyDescent="0.25">
      <c r="A263">
        <v>-180.14</v>
      </c>
      <c r="E263">
        <v>-17.309999999999899</v>
      </c>
      <c r="L263">
        <f t="shared" si="8"/>
        <v>0</v>
      </c>
      <c r="M263">
        <f t="shared" si="9"/>
        <v>0</v>
      </c>
      <c r="S263">
        <v>-123.43</v>
      </c>
    </row>
    <row r="264" spans="1:19" x14ac:dyDescent="0.25">
      <c r="A264">
        <v>-190.09</v>
      </c>
      <c r="E264">
        <v>14.2900000000001</v>
      </c>
      <c r="L264">
        <f t="shared" si="8"/>
        <v>0</v>
      </c>
      <c r="M264">
        <f t="shared" si="9"/>
        <v>0</v>
      </c>
      <c r="S264">
        <v>-116.21</v>
      </c>
    </row>
    <row r="265" spans="1:19" x14ac:dyDescent="0.25">
      <c r="A265" t="s">
        <v>73</v>
      </c>
      <c r="E265">
        <v>45.8900000000002</v>
      </c>
      <c r="L265">
        <f t="shared" si="8"/>
        <v>0</v>
      </c>
      <c r="M265" t="str">
        <f t="shared" si="9"/>
        <v>ВЫБРОС</v>
      </c>
      <c r="S265">
        <v>-192.8</v>
      </c>
    </row>
    <row r="266" spans="1:19" x14ac:dyDescent="0.25">
      <c r="A266">
        <v>-138.49</v>
      </c>
      <c r="E266">
        <v>-192.8</v>
      </c>
      <c r="L266">
        <f t="shared" si="8"/>
        <v>0</v>
      </c>
      <c r="M266" t="str">
        <f t="shared" si="9"/>
        <v>ВЫБРОС</v>
      </c>
    </row>
    <row r="267" spans="1:19" x14ac:dyDescent="0.25">
      <c r="A267">
        <v>-162.83000000000001</v>
      </c>
      <c r="L267">
        <f t="shared" si="8"/>
        <v>0</v>
      </c>
      <c r="M267" t="str">
        <f t="shared" si="9"/>
        <v>ВЫБРОС</v>
      </c>
    </row>
    <row r="268" spans="1:19" x14ac:dyDescent="0.25">
      <c r="A268">
        <v>-172.71</v>
      </c>
      <c r="L268">
        <f>IF(E265&lt;I$6,"ВЫБРОС",0)</f>
        <v>0</v>
      </c>
      <c r="M268" t="str">
        <f t="shared" si="9"/>
        <v>ВЫБРОС</v>
      </c>
    </row>
    <row r="269" spans="1:19" x14ac:dyDescent="0.25">
      <c r="A269">
        <v>-171.1</v>
      </c>
      <c r="L269">
        <f>IF(E266&lt;I$6,"ВЫБРОС",0)</f>
        <v>0</v>
      </c>
      <c r="M269">
        <f>IF(E266&gt;I$8,"ВЫБРОС",0)</f>
        <v>0</v>
      </c>
    </row>
    <row r="270" spans="1:19" x14ac:dyDescent="0.25">
      <c r="A270">
        <v>-139.62</v>
      </c>
      <c r="L270">
        <f>COUNTIF(L5:L269, "ВЫБРОС")</f>
        <v>4</v>
      </c>
      <c r="M270">
        <f>COUNTIF(M5:M269, "ВЫБРОС")</f>
        <v>4</v>
      </c>
    </row>
    <row r="271" spans="1:19" x14ac:dyDescent="0.25">
      <c r="A271">
        <v>-195.97</v>
      </c>
    </row>
    <row r="272" spans="1:19" x14ac:dyDescent="0.25">
      <c r="A272">
        <v>-126.09</v>
      </c>
    </row>
    <row r="273" spans="1:1" x14ac:dyDescent="0.25">
      <c r="A273">
        <v>-176.4</v>
      </c>
    </row>
    <row r="274" spans="1:1" x14ac:dyDescent="0.25">
      <c r="A274">
        <v>-163.01</v>
      </c>
    </row>
    <row r="275" spans="1:1" x14ac:dyDescent="0.25">
      <c r="A275">
        <v>-223.12</v>
      </c>
    </row>
    <row r="276" spans="1:1" x14ac:dyDescent="0.25">
      <c r="A276">
        <v>-188.57</v>
      </c>
    </row>
    <row r="277" spans="1:1" x14ac:dyDescent="0.25">
      <c r="A277">
        <v>-156.09</v>
      </c>
    </row>
    <row r="278" spans="1:1" x14ac:dyDescent="0.25">
      <c r="A278" t="s">
        <v>73</v>
      </c>
    </row>
    <row r="279" spans="1:1" x14ac:dyDescent="0.25">
      <c r="A279">
        <v>-184.64</v>
      </c>
    </row>
    <row r="280" spans="1:1" x14ac:dyDescent="0.25">
      <c r="A280">
        <v>-159.51</v>
      </c>
    </row>
    <row r="281" spans="1:1" x14ac:dyDescent="0.25">
      <c r="A281">
        <v>-156.41999999999999</v>
      </c>
    </row>
    <row r="282" spans="1:1" x14ac:dyDescent="0.25">
      <c r="A282">
        <v>-205.36</v>
      </c>
    </row>
    <row r="283" spans="1:1" x14ac:dyDescent="0.25">
      <c r="A283">
        <v>-135.82</v>
      </c>
    </row>
    <row r="284" spans="1:1" x14ac:dyDescent="0.25">
      <c r="A284">
        <v>-182.32</v>
      </c>
    </row>
    <row r="285" spans="1:1" x14ac:dyDescent="0.25">
      <c r="A285">
        <v>-177.79</v>
      </c>
    </row>
    <row r="286" spans="1:1" x14ac:dyDescent="0.25">
      <c r="A286">
        <v>-193.6</v>
      </c>
    </row>
    <row r="287" spans="1:1" x14ac:dyDescent="0.25">
      <c r="A287">
        <v>-166.83</v>
      </c>
    </row>
    <row r="288" spans="1:1" x14ac:dyDescent="0.25">
      <c r="A288">
        <v>-179.13</v>
      </c>
    </row>
    <row r="289" spans="1:1" x14ac:dyDescent="0.25">
      <c r="A289">
        <v>-189.87</v>
      </c>
    </row>
    <row r="290" spans="1:1" x14ac:dyDescent="0.25">
      <c r="A290">
        <v>-151.05000000000001</v>
      </c>
    </row>
    <row r="291" spans="1:1" x14ac:dyDescent="0.25">
      <c r="A291">
        <v>-17.309999999999899</v>
      </c>
    </row>
    <row r="292" spans="1:1" x14ac:dyDescent="0.25">
      <c r="A292">
        <v>-187.33</v>
      </c>
    </row>
    <row r="293" spans="1:1" x14ac:dyDescent="0.25">
      <c r="A293">
        <v>-184.1</v>
      </c>
    </row>
    <row r="294" spans="1:1" x14ac:dyDescent="0.25">
      <c r="A294">
        <v>-204.51</v>
      </c>
    </row>
    <row r="295" spans="1:1" x14ac:dyDescent="0.25">
      <c r="A295">
        <v>-186.32</v>
      </c>
    </row>
    <row r="296" spans="1:1" x14ac:dyDescent="0.25">
      <c r="A296">
        <v>-187.74</v>
      </c>
    </row>
    <row r="297" spans="1:1" x14ac:dyDescent="0.25">
      <c r="A297">
        <v>-137.65</v>
      </c>
    </row>
    <row r="298" spans="1:1" x14ac:dyDescent="0.25">
      <c r="A298">
        <v>-212.16</v>
      </c>
    </row>
    <row r="299" spans="1:1" x14ac:dyDescent="0.25">
      <c r="A299">
        <v>-178.29</v>
      </c>
    </row>
    <row r="300" spans="1:1" x14ac:dyDescent="0.25">
      <c r="A300">
        <v>-192.8</v>
      </c>
    </row>
  </sheetData>
  <mergeCells count="3">
    <mergeCell ref="I3:J3"/>
    <mergeCell ref="I5:J5"/>
    <mergeCell ref="I7:J7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5"/>
  <sheetViews>
    <sheetView workbookViewId="0">
      <selection activeCell="K36" sqref="K36"/>
    </sheetView>
  </sheetViews>
  <sheetFormatPr defaultColWidth="8.85546875" defaultRowHeight="15" x14ac:dyDescent="0.25"/>
  <sheetData>
    <row r="1" spans="1:7" x14ac:dyDescent="0.25">
      <c r="A1" s="1" t="s">
        <v>344</v>
      </c>
      <c r="B1">
        <v>6500</v>
      </c>
    </row>
    <row r="2" spans="1:7" x14ac:dyDescent="0.25">
      <c r="A2" t="s">
        <v>343</v>
      </c>
      <c r="B2">
        <f>SQRT(500)</f>
        <v>22.360679774997898</v>
      </c>
    </row>
    <row r="3" spans="1:7" x14ac:dyDescent="0.25">
      <c r="A3" t="s">
        <v>48</v>
      </c>
      <c r="B3">
        <v>30</v>
      </c>
    </row>
    <row r="4" spans="1:7" x14ac:dyDescent="0.25">
      <c r="A4" s="1" t="s">
        <v>345</v>
      </c>
      <c r="B4">
        <f>214000/B3</f>
        <v>7133.333333333333</v>
      </c>
    </row>
    <row r="6" spans="1:7" x14ac:dyDescent="0.25">
      <c r="A6" t="s">
        <v>346</v>
      </c>
      <c r="B6">
        <f>(B4-B1)/(B2/SQRT(B3))+B1</f>
        <v>6655.1343503762682</v>
      </c>
    </row>
    <row r="8" spans="1:7" x14ac:dyDescent="0.25">
      <c r="A8" t="s">
        <v>347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349</v>
      </c>
      <c r="C10">
        <f>_xlfn.NORM.INV(1-B9,B1,B2)</f>
        <v>6536.7800452290057</v>
      </c>
      <c r="D10" t="s">
        <v>38</v>
      </c>
      <c r="E10">
        <f>$B$6</f>
        <v>6655.1343503762682</v>
      </c>
      <c r="G10" t="s">
        <v>353</v>
      </c>
    </row>
    <row r="12" spans="1:7" x14ac:dyDescent="0.25">
      <c r="A12" t="s">
        <v>352</v>
      </c>
    </row>
    <row r="13" spans="1:7" x14ac:dyDescent="0.25">
      <c r="A13" t="s">
        <v>348</v>
      </c>
      <c r="B13">
        <v>0.05</v>
      </c>
      <c r="C13" t="s">
        <v>350</v>
      </c>
      <c r="E13" t="s">
        <v>351</v>
      </c>
    </row>
    <row r="14" spans="1:7" x14ac:dyDescent="0.25">
      <c r="A14" t="s">
        <v>349</v>
      </c>
      <c r="C14">
        <f>_xlfn.NORM.INV(B13/2,B1,B2)</f>
        <v>6456.1738729711706</v>
      </c>
      <c r="E14">
        <f>$B$6</f>
        <v>6655.1343503762682</v>
      </c>
    </row>
    <row r="15" spans="1:7" x14ac:dyDescent="0.25">
      <c r="A15" t="s">
        <v>349</v>
      </c>
      <c r="C15">
        <f>_xlfn.NORM.INV(1-B13,B1,B2)</f>
        <v>6536.7800452290057</v>
      </c>
      <c r="D15" t="s">
        <v>38</v>
      </c>
      <c r="E15">
        <f>$B$6</f>
        <v>6655.1343503762682</v>
      </c>
      <c r="G15" t="s">
        <v>353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I17" sqref="I17"/>
    </sheetView>
  </sheetViews>
  <sheetFormatPr defaultColWidth="8.85546875" defaultRowHeight="15" x14ac:dyDescent="0.25"/>
  <sheetData>
    <row r="1" spans="1:3" x14ac:dyDescent="0.25">
      <c r="A1" t="s">
        <v>17</v>
      </c>
      <c r="B1">
        <v>0.02</v>
      </c>
    </row>
    <row r="2" spans="1:3" x14ac:dyDescent="0.25">
      <c r="A2" t="s">
        <v>18</v>
      </c>
      <c r="B2">
        <v>50</v>
      </c>
    </row>
    <row r="3" spans="1:3" x14ac:dyDescent="0.25">
      <c r="A3" t="s">
        <v>19</v>
      </c>
      <c r="B3">
        <v>0.995</v>
      </c>
    </row>
    <row r="4" spans="1:3" x14ac:dyDescent="0.25">
      <c r="A4" t="s">
        <v>20</v>
      </c>
      <c r="B4">
        <v>0.99</v>
      </c>
    </row>
    <row r="6" spans="1:3" x14ac:dyDescent="0.25">
      <c r="A6" t="s">
        <v>21</v>
      </c>
      <c r="B6">
        <f>_xlfn.NORM.S.INV((1+B4)/2)</f>
        <v>2.5758293035488999</v>
      </c>
      <c r="C6">
        <f>SQRT(B2)</f>
        <v>7.0710678118654755</v>
      </c>
    </row>
    <row r="7" spans="1:3" x14ac:dyDescent="0.25">
      <c r="A7" t="s">
        <v>22</v>
      </c>
      <c r="B7">
        <f>B3-((B6*B1)/C6)</f>
        <v>0.98771445452912621</v>
      </c>
    </row>
    <row r="8" spans="1:3" x14ac:dyDescent="0.25">
      <c r="A8" t="s">
        <v>23</v>
      </c>
    </row>
    <row r="15" spans="1:3" x14ac:dyDescent="0.25">
      <c r="C15" t="s">
        <v>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"/>
  <sheetViews>
    <sheetView zoomScale="250" zoomScaleNormal="250" workbookViewId="0">
      <selection activeCell="E11" sqref="E11"/>
    </sheetView>
  </sheetViews>
  <sheetFormatPr defaultColWidth="8.85546875" defaultRowHeight="15" x14ac:dyDescent="0.25"/>
  <sheetData>
    <row r="1" spans="1:7" x14ac:dyDescent="0.25">
      <c r="A1" s="1" t="s">
        <v>344</v>
      </c>
      <c r="B1">
        <v>21</v>
      </c>
    </row>
    <row r="2" spans="1:7" x14ac:dyDescent="0.25">
      <c r="A2" t="s">
        <v>343</v>
      </c>
      <c r="B2">
        <f>SQRT(100)</f>
        <v>10</v>
      </c>
    </row>
    <row r="3" spans="1:7" x14ac:dyDescent="0.25">
      <c r="A3" t="s">
        <v>48</v>
      </c>
      <c r="B3">
        <v>25</v>
      </c>
    </row>
    <row r="4" spans="1:7" x14ac:dyDescent="0.25">
      <c r="A4" s="1" t="s">
        <v>356</v>
      </c>
      <c r="B4">
        <v>17</v>
      </c>
    </row>
    <row r="6" spans="1:7" x14ac:dyDescent="0.25">
      <c r="A6" t="s">
        <v>346</v>
      </c>
      <c r="B6">
        <f>(B4-B1)/(B2/SQRT(B3))</f>
        <v>-2</v>
      </c>
    </row>
    <row r="8" spans="1:7" x14ac:dyDescent="0.25">
      <c r="A8" t="s">
        <v>358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355</v>
      </c>
      <c r="C10">
        <f>_xlfn.NORM.S.INV(1-B9/2)</f>
        <v>1.9599639845400536</v>
      </c>
      <c r="D10" s="39" t="s">
        <v>38</v>
      </c>
      <c r="E10">
        <f>$B$6</f>
        <v>-2</v>
      </c>
      <c r="G10" t="s">
        <v>353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"/>
  <sheetViews>
    <sheetView workbookViewId="0">
      <selection activeCell="H15" sqref="H15"/>
    </sheetView>
  </sheetViews>
  <sheetFormatPr defaultColWidth="8.85546875" defaultRowHeight="15" x14ac:dyDescent="0.25"/>
  <sheetData>
    <row r="1" spans="1:7" x14ac:dyDescent="0.25">
      <c r="A1" s="1" t="s">
        <v>344</v>
      </c>
      <c r="B1">
        <v>1000</v>
      </c>
    </row>
    <row r="2" spans="1:7" x14ac:dyDescent="0.25">
      <c r="A2" t="s">
        <v>343</v>
      </c>
      <c r="B2">
        <v>100</v>
      </c>
    </row>
    <row r="3" spans="1:7" x14ac:dyDescent="0.25">
      <c r="A3" t="s">
        <v>48</v>
      </c>
      <c r="B3">
        <v>100</v>
      </c>
    </row>
    <row r="4" spans="1:7" x14ac:dyDescent="0.25">
      <c r="A4" s="1" t="s">
        <v>356</v>
      </c>
      <c r="B4">
        <v>1075</v>
      </c>
    </row>
    <row r="6" spans="1:7" x14ac:dyDescent="0.25">
      <c r="A6" t="s">
        <v>346</v>
      </c>
      <c r="B6">
        <f>(B4-B1)/(B2/SQRT(B3))</f>
        <v>7.5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359</v>
      </c>
      <c r="C10">
        <f>_xlfn.NORM.S.INV(1-B9)</f>
        <v>1.6448536269514715</v>
      </c>
      <c r="D10" s="39" t="s">
        <v>38</v>
      </c>
      <c r="E10">
        <f>$B$6</f>
        <v>7.5</v>
      </c>
      <c r="G10" t="s">
        <v>353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"/>
  <sheetViews>
    <sheetView workbookViewId="0">
      <selection activeCell="A2" sqref="A2"/>
    </sheetView>
  </sheetViews>
  <sheetFormatPr defaultColWidth="8.85546875" defaultRowHeight="15" x14ac:dyDescent="0.25"/>
  <sheetData>
    <row r="1" spans="1:7" x14ac:dyDescent="0.25">
      <c r="A1" s="1" t="s">
        <v>344</v>
      </c>
      <c r="B1">
        <v>13.2</v>
      </c>
    </row>
    <row r="2" spans="1:7" x14ac:dyDescent="0.25">
      <c r="A2" t="s">
        <v>343</v>
      </c>
      <c r="B2">
        <v>2.5</v>
      </c>
    </row>
    <row r="3" spans="1:7" x14ac:dyDescent="0.25">
      <c r="A3" t="s">
        <v>48</v>
      </c>
      <c r="B3">
        <v>40</v>
      </c>
    </row>
    <row r="4" spans="1:7" x14ac:dyDescent="0.25">
      <c r="A4" s="1" t="s">
        <v>345</v>
      </c>
      <c r="B4">
        <v>12.2</v>
      </c>
    </row>
    <row r="6" spans="1:7" x14ac:dyDescent="0.25">
      <c r="A6" t="s">
        <v>346</v>
      </c>
      <c r="B6">
        <f>(B4-B1)/(B2/SQRT(B3))</f>
        <v>-2.5298221281347035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360</v>
      </c>
      <c r="C10">
        <f>_xlfn.NORM.S.INV(1-B9)</f>
        <v>1.6448536269514715</v>
      </c>
      <c r="D10" s="39" t="s">
        <v>354</v>
      </c>
      <c r="E10">
        <f>$B$6</f>
        <v>-2.5298221281347035</v>
      </c>
      <c r="G10" t="s">
        <v>353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"/>
  <sheetViews>
    <sheetView workbookViewId="0">
      <selection activeCell="C8" sqref="C8"/>
    </sheetView>
  </sheetViews>
  <sheetFormatPr defaultRowHeight="15" x14ac:dyDescent="0.25"/>
  <sheetData>
    <row r="1" spans="1:7" x14ac:dyDescent="0.25">
      <c r="A1" s="1" t="s">
        <v>344</v>
      </c>
      <c r="B1">
        <v>75</v>
      </c>
      <c r="E1" s="1"/>
    </row>
    <row r="2" spans="1:7" x14ac:dyDescent="0.25">
      <c r="A2" t="s">
        <v>356</v>
      </c>
      <c r="B2">
        <v>83.4</v>
      </c>
    </row>
    <row r="3" spans="1:7" x14ac:dyDescent="0.25">
      <c r="A3" t="s">
        <v>42</v>
      </c>
      <c r="B3">
        <v>23.65</v>
      </c>
    </row>
    <row r="4" spans="1:7" x14ac:dyDescent="0.25">
      <c r="A4" t="s">
        <v>48</v>
      </c>
      <c r="B4">
        <v>100</v>
      </c>
    </row>
    <row r="6" spans="1:7" x14ac:dyDescent="0.25">
      <c r="A6" t="s">
        <v>361</v>
      </c>
      <c r="B6">
        <f>(B2-B1)/(B3/SQRT(B4))</f>
        <v>3.5517970401691361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362</v>
      </c>
      <c r="C10">
        <f>_xlfn.T.INV(1-B9/2,B4-1)</f>
        <v>1.9842169515864165</v>
      </c>
      <c r="D10" s="40" t="s">
        <v>38</v>
      </c>
      <c r="E10">
        <f>$B$6</f>
        <v>3.5517970401691361</v>
      </c>
      <c r="G10" t="s">
        <v>353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"/>
  <sheetViews>
    <sheetView workbookViewId="0">
      <selection activeCell="D18" sqref="D18"/>
    </sheetView>
  </sheetViews>
  <sheetFormatPr defaultRowHeight="15" x14ac:dyDescent="0.25"/>
  <sheetData>
    <row r="1" spans="1:7" x14ac:dyDescent="0.25">
      <c r="A1" s="1" t="s">
        <v>344</v>
      </c>
      <c r="B1">
        <v>400</v>
      </c>
      <c r="D1" s="1"/>
    </row>
    <row r="2" spans="1:7" x14ac:dyDescent="0.25">
      <c r="A2" t="s">
        <v>356</v>
      </c>
      <c r="B2">
        <v>430</v>
      </c>
    </row>
    <row r="3" spans="1:7" x14ac:dyDescent="0.25">
      <c r="A3" t="s">
        <v>42</v>
      </c>
      <c r="B3">
        <v>110</v>
      </c>
    </row>
    <row r="4" spans="1:7" x14ac:dyDescent="0.25">
      <c r="A4" t="s">
        <v>48</v>
      </c>
      <c r="B4">
        <v>25</v>
      </c>
    </row>
    <row r="6" spans="1:7" x14ac:dyDescent="0.25">
      <c r="A6" t="s">
        <v>361</v>
      </c>
      <c r="B6">
        <f>(B2-B1)/(B3/SQRT(B4))</f>
        <v>1.3636363636363635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362</v>
      </c>
      <c r="C10">
        <f>_xlfn.T.INV(1-B9/2,B4-1)</f>
        <v>2.0638985616280254</v>
      </c>
      <c r="D10" s="40" t="s">
        <v>38</v>
      </c>
      <c r="E10">
        <f>$B$6</f>
        <v>1.3636363636363635</v>
      </c>
      <c r="G10" t="s">
        <v>363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"/>
  <sheetViews>
    <sheetView workbookViewId="0">
      <selection activeCell="C11" sqref="C11"/>
    </sheetView>
  </sheetViews>
  <sheetFormatPr defaultRowHeight="15" x14ac:dyDescent="0.25"/>
  <sheetData>
    <row r="1" spans="1:7" x14ac:dyDescent="0.25">
      <c r="A1" s="1" t="s">
        <v>344</v>
      </c>
      <c r="B1">
        <v>60</v>
      </c>
      <c r="D1" s="1"/>
    </row>
    <row r="2" spans="1:7" x14ac:dyDescent="0.25">
      <c r="A2" t="s">
        <v>356</v>
      </c>
      <c r="B2">
        <v>59</v>
      </c>
    </row>
    <row r="3" spans="1:7" x14ac:dyDescent="0.25">
      <c r="A3" t="s">
        <v>42</v>
      </c>
      <c r="B3">
        <v>5.0208000000000004</v>
      </c>
    </row>
    <row r="4" spans="1:7" x14ac:dyDescent="0.25">
      <c r="A4" t="s">
        <v>48</v>
      </c>
      <c r="B4">
        <v>121</v>
      </c>
    </row>
    <row r="6" spans="1:7" x14ac:dyDescent="0.25">
      <c r="A6" t="s">
        <v>361</v>
      </c>
      <c r="B6">
        <f>(B2-B1)/(B3/SQRT(B4))</f>
        <v>-2.1908859145952833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362</v>
      </c>
      <c r="C10">
        <f>_xlfn.T.INV(1-B9,B4-1)</f>
        <v>1.6576508993552355</v>
      </c>
      <c r="D10" s="40" t="s">
        <v>38</v>
      </c>
      <c r="E10">
        <f>$B$6</f>
        <v>-2.1908859145952833</v>
      </c>
      <c r="G10" t="s">
        <v>364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0"/>
  <sheetViews>
    <sheetView workbookViewId="0">
      <selection activeCell="K11" sqref="A6:K11"/>
    </sheetView>
  </sheetViews>
  <sheetFormatPr defaultRowHeight="15" x14ac:dyDescent="0.25"/>
  <sheetData>
    <row r="1" spans="1:7" x14ac:dyDescent="0.25">
      <c r="A1" s="1" t="s">
        <v>344</v>
      </c>
      <c r="B1">
        <v>325</v>
      </c>
      <c r="D1" s="1"/>
    </row>
    <row r="2" spans="1:7" x14ac:dyDescent="0.25">
      <c r="A2" t="s">
        <v>356</v>
      </c>
      <c r="B2">
        <v>323.8</v>
      </c>
    </row>
    <row r="3" spans="1:7" x14ac:dyDescent="0.25">
      <c r="A3" t="s">
        <v>42</v>
      </c>
      <c r="B3">
        <v>11.941000000000001</v>
      </c>
    </row>
    <row r="4" spans="1:7" x14ac:dyDescent="0.25">
      <c r="A4" t="s">
        <v>48</v>
      </c>
      <c r="B4">
        <v>25</v>
      </c>
    </row>
    <row r="6" spans="1:7" x14ac:dyDescent="0.25">
      <c r="A6" t="s">
        <v>361</v>
      </c>
      <c r="B6">
        <f>(B2-B1)/(B3/SQRT(B4))</f>
        <v>-0.50247047985930349</v>
      </c>
    </row>
    <row r="8" spans="1:7" x14ac:dyDescent="0.25">
      <c r="A8" t="s">
        <v>357</v>
      </c>
    </row>
    <row r="9" spans="1:7" x14ac:dyDescent="0.25">
      <c r="A9" t="s">
        <v>348</v>
      </c>
      <c r="B9">
        <v>0.01</v>
      </c>
      <c r="C9" t="s">
        <v>350</v>
      </c>
      <c r="E9" t="s">
        <v>351</v>
      </c>
    </row>
    <row r="10" spans="1:7" x14ac:dyDescent="0.25">
      <c r="A10" t="s">
        <v>362</v>
      </c>
      <c r="C10">
        <f>_xlfn.T.INV(1-B9/2,B4-1)</f>
        <v>2.7969395047744556</v>
      </c>
      <c r="D10" s="40" t="s">
        <v>354</v>
      </c>
      <c r="E10">
        <f>$B$6</f>
        <v>-0.50247047985930349</v>
      </c>
      <c r="G10" t="s">
        <v>365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9"/>
  <sheetViews>
    <sheetView workbookViewId="0">
      <selection activeCell="D26" sqref="D26"/>
    </sheetView>
  </sheetViews>
  <sheetFormatPr defaultRowHeight="15" x14ac:dyDescent="0.25"/>
  <sheetData>
    <row r="1" spans="1:7" x14ac:dyDescent="0.25">
      <c r="A1" t="s">
        <v>48</v>
      </c>
      <c r="B1">
        <v>30</v>
      </c>
    </row>
    <row r="2" spans="1:7" x14ac:dyDescent="0.25">
      <c r="A2" t="s">
        <v>49</v>
      </c>
      <c r="B2">
        <v>18.54</v>
      </c>
    </row>
    <row r="3" spans="1:7" x14ac:dyDescent="0.25">
      <c r="A3" t="s">
        <v>366</v>
      </c>
      <c r="B3">
        <v>100</v>
      </c>
    </row>
    <row r="5" spans="1:7" x14ac:dyDescent="0.25">
      <c r="A5" t="s">
        <v>367</v>
      </c>
      <c r="B5">
        <f>((B1-1)*B2)/B3</f>
        <v>5.3765999999999998</v>
      </c>
    </row>
    <row r="7" spans="1:7" x14ac:dyDescent="0.25">
      <c r="A7" t="s">
        <v>357</v>
      </c>
    </row>
    <row r="8" spans="1:7" x14ac:dyDescent="0.25">
      <c r="A8" t="s">
        <v>348</v>
      </c>
      <c r="B8">
        <v>0.01</v>
      </c>
      <c r="C8" t="s">
        <v>350</v>
      </c>
      <c r="E8" t="s">
        <v>351</v>
      </c>
    </row>
    <row r="9" spans="1:7" x14ac:dyDescent="0.25">
      <c r="A9" t="s">
        <v>362</v>
      </c>
      <c r="C9">
        <f>_xlfn.T.INV(1-B8/2,B3-1)</f>
        <v>2.626405457280828</v>
      </c>
      <c r="D9" s="40" t="s">
        <v>354</v>
      </c>
      <c r="E9">
        <f>$B$6</f>
        <v>0</v>
      </c>
      <c r="G9" t="s">
        <v>365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7"/>
  <sheetViews>
    <sheetView workbookViewId="0">
      <selection activeCell="E28" sqref="E28"/>
    </sheetView>
  </sheetViews>
  <sheetFormatPr defaultRowHeight="15" x14ac:dyDescent="0.25"/>
  <sheetData>
    <row r="1" spans="1:6" x14ac:dyDescent="0.25">
      <c r="A1" s="41" t="s">
        <v>368</v>
      </c>
      <c r="B1">
        <v>100</v>
      </c>
    </row>
    <row r="2" spans="1:6" x14ac:dyDescent="0.25">
      <c r="A2" t="s">
        <v>49</v>
      </c>
      <c r="B2">
        <v>18.54</v>
      </c>
    </row>
    <row r="3" spans="1:6" x14ac:dyDescent="0.25">
      <c r="A3" t="s">
        <v>48</v>
      </c>
      <c r="B3">
        <v>30</v>
      </c>
    </row>
    <row r="4" spans="1:6" x14ac:dyDescent="0.25">
      <c r="A4" s="1" t="s">
        <v>369</v>
      </c>
      <c r="B4">
        <v>16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B3*B2/B4</f>
        <v>34.762499999999996</v>
      </c>
      <c r="C7" t="s">
        <v>38</v>
      </c>
      <c r="D7">
        <f>_xlfn.CHISQ.INV(1-A7,B3)</f>
        <v>43.772971825742189</v>
      </c>
      <c r="F7" t="s">
        <v>372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7"/>
  <sheetViews>
    <sheetView workbookViewId="0">
      <selection activeCell="E27" sqref="E27"/>
    </sheetView>
  </sheetViews>
  <sheetFormatPr defaultRowHeight="15" x14ac:dyDescent="0.25"/>
  <sheetData>
    <row r="1" spans="1:6" x14ac:dyDescent="0.25">
      <c r="A1" s="41" t="s">
        <v>368</v>
      </c>
      <c r="B1">
        <v>400</v>
      </c>
    </row>
    <row r="2" spans="1:6" x14ac:dyDescent="0.25">
      <c r="A2" t="s">
        <v>49</v>
      </c>
      <c r="B2">
        <v>16.34</v>
      </c>
    </row>
    <row r="3" spans="1:6" x14ac:dyDescent="0.25">
      <c r="A3" t="s">
        <v>48</v>
      </c>
      <c r="B3">
        <v>28</v>
      </c>
    </row>
    <row r="4" spans="1:6" x14ac:dyDescent="0.25">
      <c r="A4" s="1" t="s">
        <v>369</v>
      </c>
      <c r="B4">
        <v>14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0.01</v>
      </c>
      <c r="B7">
        <f>B3*B2/B4</f>
        <v>32.68</v>
      </c>
      <c r="C7" t="s">
        <v>38</v>
      </c>
      <c r="D7">
        <f>_xlfn.CHISQ.INV(1-A7,B3)</f>
        <v>48.278235770315511</v>
      </c>
      <c r="F7" t="s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D8" sqref="D8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54</v>
      </c>
      <c r="B1">
        <f>_xlfn.NORM.S.INV((1+0.99)/2)</f>
        <v>2.5758293035488999</v>
      </c>
    </row>
    <row r="2" spans="1:2" x14ac:dyDescent="0.25">
      <c r="A2" t="s">
        <v>40</v>
      </c>
      <c r="B2">
        <v>16.8</v>
      </c>
    </row>
    <row r="3" spans="1:2" x14ac:dyDescent="0.25">
      <c r="A3" t="s">
        <v>41</v>
      </c>
      <c r="B3">
        <v>25</v>
      </c>
    </row>
    <row r="4" spans="1:2" x14ac:dyDescent="0.25">
      <c r="A4" t="s">
        <v>56</v>
      </c>
      <c r="B4">
        <v>5</v>
      </c>
    </row>
    <row r="6" spans="1:2" x14ac:dyDescent="0.25">
      <c r="A6" t="s">
        <v>55</v>
      </c>
      <c r="B6">
        <f>SQRT(B3)</f>
        <v>5</v>
      </c>
    </row>
    <row r="7" spans="1:2" x14ac:dyDescent="0.25">
      <c r="A7" t="s">
        <v>43</v>
      </c>
      <c r="B7">
        <f>B2-((B1*B4)/B6)</f>
        <v>14.2241706964511</v>
      </c>
    </row>
    <row r="8" spans="1:2" x14ac:dyDescent="0.25">
      <c r="A8" t="s">
        <v>44</v>
      </c>
      <c r="B8">
        <f>B2+((B1*B4)/B6)</f>
        <v>19.375829303548901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7"/>
  <sheetViews>
    <sheetView workbookViewId="0">
      <selection activeCell="C10" sqref="C10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f>3.14^2</f>
        <v>9.8596000000000004</v>
      </c>
    </row>
    <row r="3" spans="1:6" x14ac:dyDescent="0.25">
      <c r="A3" t="s">
        <v>48</v>
      </c>
      <c r="B3">
        <v>36</v>
      </c>
    </row>
    <row r="4" spans="1:6" x14ac:dyDescent="0.25">
      <c r="A4" s="1" t="s">
        <v>369</v>
      </c>
      <c r="B4">
        <f>3^2</f>
        <v>9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0.01</v>
      </c>
      <c r="B7">
        <f>(B3-1)*B2/B4</f>
        <v>38.342888888888893</v>
      </c>
      <c r="C7" t="s">
        <v>38</v>
      </c>
      <c r="D7">
        <f>_xlfn.CHISQ.INV(1-A7,B3-1)</f>
        <v>57.342073433859248</v>
      </c>
      <c r="F7" t="s">
        <v>372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7"/>
  <sheetViews>
    <sheetView workbookViewId="0">
      <selection activeCell="D28" sqref="D2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v>26</v>
      </c>
    </row>
    <row r="3" spans="1:6" x14ac:dyDescent="0.25">
      <c r="A3" t="s">
        <v>48</v>
      </c>
      <c r="B3">
        <v>15</v>
      </c>
    </row>
    <row r="4" spans="1:6" x14ac:dyDescent="0.25">
      <c r="A4" s="1" t="s">
        <v>369</v>
      </c>
      <c r="B4">
        <v>20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(B3-1)*B2/B4</f>
        <v>18.2</v>
      </c>
      <c r="C7" t="s">
        <v>38</v>
      </c>
      <c r="D7">
        <f>_xlfn.CHISQ.INV(1-A7,B3-1)</f>
        <v>23.684791304840573</v>
      </c>
      <c r="F7" t="s">
        <v>373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7"/>
  <sheetViews>
    <sheetView workbookViewId="0">
      <selection activeCell="H18" sqref="H1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v>15</v>
      </c>
    </row>
    <row r="3" spans="1:6" x14ac:dyDescent="0.25">
      <c r="A3" t="s">
        <v>48</v>
      </c>
      <c r="B3">
        <v>20</v>
      </c>
    </row>
    <row r="4" spans="1:6" x14ac:dyDescent="0.25">
      <c r="A4" s="1" t="s">
        <v>369</v>
      </c>
      <c r="B4">
        <v>20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(B3-1)*B2/B4</f>
        <v>14.25</v>
      </c>
      <c r="C7" t="s">
        <v>38</v>
      </c>
      <c r="D7">
        <f>_xlfn.CHISQ.INV(1-A7,B3-1)</f>
        <v>30.143527205646159</v>
      </c>
      <c r="F7" t="s">
        <v>372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H7"/>
  <sheetViews>
    <sheetView workbookViewId="0">
      <selection activeCell="F8" sqref="F8"/>
    </sheetView>
  </sheetViews>
  <sheetFormatPr defaultRowHeight="15" x14ac:dyDescent="0.25"/>
  <cols>
    <col min="2" max="2" width="11" bestFit="1" customWidth="1"/>
  </cols>
  <sheetData>
    <row r="2" spans="1:8" x14ac:dyDescent="0.25">
      <c r="A2" t="s">
        <v>49</v>
      </c>
      <c r="B2">
        <f>0.0029^2</f>
        <v>8.4099999999999991E-6</v>
      </c>
    </row>
    <row r="3" spans="1:8" x14ac:dyDescent="0.25">
      <c r="A3" t="s">
        <v>48</v>
      </c>
      <c r="B3">
        <v>15</v>
      </c>
    </row>
    <row r="4" spans="1:8" x14ac:dyDescent="0.25">
      <c r="A4" s="1" t="s">
        <v>369</v>
      </c>
      <c r="B4">
        <f>0.003^2</f>
        <v>9.0000000000000002E-6</v>
      </c>
    </row>
    <row r="6" spans="1:8" x14ac:dyDescent="0.25">
      <c r="A6" t="s">
        <v>348</v>
      </c>
      <c r="B6" t="s">
        <v>375</v>
      </c>
      <c r="D6" t="s">
        <v>370</v>
      </c>
      <c r="F6" t="s">
        <v>374</v>
      </c>
    </row>
    <row r="7" spans="1:8" x14ac:dyDescent="0.25">
      <c r="A7">
        <v>0.05</v>
      </c>
      <c r="B7">
        <f>_xlfn.CHISQ.INV(A7/2,B3-1)</f>
        <v>5.6287261030397318</v>
      </c>
      <c r="C7" t="s">
        <v>38</v>
      </c>
      <c r="D7">
        <f>(B3-1)*B2/B4</f>
        <v>13.082222222222221</v>
      </c>
      <c r="E7" t="s">
        <v>38</v>
      </c>
      <c r="F7">
        <f>_xlfn.CHISQ.INV(1-A7/2,B3-1)</f>
        <v>26.118948045037371</v>
      </c>
      <c r="H7" t="s">
        <v>372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8"/>
  <sheetViews>
    <sheetView workbookViewId="0">
      <selection activeCell="E11" sqref="E11"/>
    </sheetView>
  </sheetViews>
  <sheetFormatPr defaultRowHeight="15" x14ac:dyDescent="0.25"/>
  <sheetData>
    <row r="1" spans="1:6" x14ac:dyDescent="0.25">
      <c r="A1" s="41" t="s">
        <v>368</v>
      </c>
      <c r="B1">
        <v>200</v>
      </c>
    </row>
    <row r="2" spans="1:6" x14ac:dyDescent="0.25">
      <c r="A2" t="s">
        <v>49</v>
      </c>
      <c r="B2">
        <v>21.34</v>
      </c>
    </row>
    <row r="3" spans="1:6" x14ac:dyDescent="0.25">
      <c r="A3" t="s">
        <v>48</v>
      </c>
      <c r="B3">
        <v>60</v>
      </c>
    </row>
    <row r="4" spans="1:6" x14ac:dyDescent="0.25">
      <c r="A4" s="1" t="s">
        <v>369</v>
      </c>
      <c r="B4">
        <v>15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0.01</v>
      </c>
      <c r="B7">
        <f>B3*B2/B4</f>
        <v>85.36</v>
      </c>
      <c r="C7" t="s">
        <v>38</v>
      </c>
      <c r="D7">
        <f>_xlfn.CHISQ.INV(1-A7,B3)</f>
        <v>88.379418901449341</v>
      </c>
      <c r="F7" t="s">
        <v>372</v>
      </c>
    </row>
    <row r="8" spans="1:6" x14ac:dyDescent="0.25">
      <c r="A8">
        <v>0.05</v>
      </c>
      <c r="C8" t="s">
        <v>354</v>
      </c>
      <c r="D8">
        <f>_xlfn.CHISQ.INV(1-A8,B3)</f>
        <v>79.08194448784873</v>
      </c>
      <c r="F8" t="s">
        <v>376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7"/>
  <sheetViews>
    <sheetView workbookViewId="0">
      <selection activeCell="C37" sqref="C37"/>
    </sheetView>
  </sheetViews>
  <sheetFormatPr defaultRowHeight="15" x14ac:dyDescent="0.25"/>
  <sheetData>
    <row r="1" spans="1:6" x14ac:dyDescent="0.25">
      <c r="A1" s="41" t="s">
        <v>368</v>
      </c>
      <c r="B1">
        <v>1000</v>
      </c>
    </row>
    <row r="2" spans="1:6" x14ac:dyDescent="0.25">
      <c r="A2" t="s">
        <v>49</v>
      </c>
      <c r="B2">
        <v>68.7</v>
      </c>
    </row>
    <row r="3" spans="1:6" x14ac:dyDescent="0.25">
      <c r="A3" t="s">
        <v>48</v>
      </c>
      <c r="B3">
        <v>50</v>
      </c>
    </row>
    <row r="4" spans="1:6" x14ac:dyDescent="0.25">
      <c r="A4" s="1" t="s">
        <v>369</v>
      </c>
      <c r="B4">
        <v>45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B3*B2/B4</f>
        <v>76.333333333333329</v>
      </c>
      <c r="C7" t="s">
        <v>354</v>
      </c>
      <c r="D7">
        <f>_xlfn.CHISQ.INV(1-A7,B3)</f>
        <v>67.504806549541186</v>
      </c>
      <c r="F7" t="s">
        <v>376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7"/>
  <sheetViews>
    <sheetView workbookViewId="0">
      <selection activeCell="B8" sqref="B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v>40</v>
      </c>
    </row>
    <row r="3" spans="1:6" x14ac:dyDescent="0.25">
      <c r="A3" t="s">
        <v>48</v>
      </c>
      <c r="B3">
        <v>25</v>
      </c>
    </row>
    <row r="4" spans="1:6" x14ac:dyDescent="0.25">
      <c r="A4" s="1" t="s">
        <v>369</v>
      </c>
      <c r="B4">
        <v>30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(B3-1)*B2/B4</f>
        <v>32</v>
      </c>
      <c r="C7" t="s">
        <v>38</v>
      </c>
      <c r="D7">
        <f>_xlfn.CHISQ.INV(1-A7,B3-1)</f>
        <v>36.415028501807313</v>
      </c>
      <c r="F7" t="s">
        <v>373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7"/>
  <sheetViews>
    <sheetView workbookViewId="0">
      <selection activeCell="D8" sqref="D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f>3.24^2</f>
        <v>10.497600000000002</v>
      </c>
    </row>
    <row r="3" spans="1:6" x14ac:dyDescent="0.25">
      <c r="A3" t="s">
        <v>48</v>
      </c>
      <c r="B3">
        <v>30</v>
      </c>
    </row>
    <row r="4" spans="1:6" x14ac:dyDescent="0.25">
      <c r="A4" s="1" t="s">
        <v>369</v>
      </c>
      <c r="B4">
        <f>2^2</f>
        <v>4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0.01</v>
      </c>
      <c r="B7">
        <f>(B3-1)*B2/B4</f>
        <v>76.107600000000019</v>
      </c>
      <c r="C7" t="s">
        <v>354</v>
      </c>
      <c r="D7">
        <f>_xlfn.CHISQ.INV(1-A7,B3-1)</f>
        <v>49.587884472898864</v>
      </c>
      <c r="F7" t="s">
        <v>377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9"/>
  <sheetViews>
    <sheetView workbookViewId="0">
      <selection activeCell="H18" sqref="H18"/>
    </sheetView>
  </sheetViews>
  <sheetFormatPr defaultRowHeight="15" x14ac:dyDescent="0.25"/>
  <sheetData>
    <row r="1" spans="1:8" x14ac:dyDescent="0.25">
      <c r="A1" t="s">
        <v>378</v>
      </c>
      <c r="B1">
        <v>3</v>
      </c>
      <c r="C1">
        <v>3.5</v>
      </c>
      <c r="D1">
        <v>3.8</v>
      </c>
      <c r="E1">
        <v>4.4000000000000004</v>
      </c>
      <c r="F1">
        <v>4.5</v>
      </c>
      <c r="H1" t="s">
        <v>380</v>
      </c>
    </row>
    <row r="2" spans="1:8" x14ac:dyDescent="0.25">
      <c r="A2" t="s">
        <v>379</v>
      </c>
      <c r="B2">
        <v>2</v>
      </c>
      <c r="C2">
        <v>6</v>
      </c>
      <c r="D2">
        <v>9</v>
      </c>
      <c r="E2">
        <v>7</v>
      </c>
      <c r="F2">
        <v>1</v>
      </c>
      <c r="H2">
        <f>SUM(B1*B2,C1*C2,D1*D2,E1*E2,F1*F2)/B5</f>
        <v>3.86</v>
      </c>
    </row>
    <row r="4" spans="1:8" x14ac:dyDescent="0.25">
      <c r="A4" t="s">
        <v>49</v>
      </c>
      <c r="B4">
        <f>SUM(((B1-H2)^2)*B2,((C1-H2)^2)*C2,((D1-H2)^2)*D2,((E1-H2)^2)*E2,((F1-H2)^2)*F2)/(B5-1)</f>
        <v>0.19750000000000012</v>
      </c>
    </row>
    <row r="5" spans="1:8" x14ac:dyDescent="0.25">
      <c r="A5" t="s">
        <v>48</v>
      </c>
      <c r="B5">
        <v>25</v>
      </c>
    </row>
    <row r="6" spans="1:8" x14ac:dyDescent="0.25">
      <c r="A6" s="1" t="s">
        <v>369</v>
      </c>
      <c r="B6">
        <v>0.1</v>
      </c>
    </row>
    <row r="8" spans="1:8" x14ac:dyDescent="0.25">
      <c r="A8" t="s">
        <v>348</v>
      </c>
      <c r="B8" t="s">
        <v>370</v>
      </c>
      <c r="D8" t="s">
        <v>371</v>
      </c>
    </row>
    <row r="9" spans="1:8" x14ac:dyDescent="0.25">
      <c r="A9">
        <v>0.05</v>
      </c>
      <c r="B9">
        <f>(B5-1)*B4/B6</f>
        <v>47.400000000000027</v>
      </c>
      <c r="C9" t="s">
        <v>354</v>
      </c>
      <c r="D9">
        <f>_xlfn.CHISQ.INV(1-A9,B5-1)</f>
        <v>36.415028501807313</v>
      </c>
      <c r="F9" t="s">
        <v>381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7"/>
  <sheetViews>
    <sheetView workbookViewId="0">
      <selection activeCell="B8" sqref="B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v>16</v>
      </c>
    </row>
    <row r="3" spans="1:6" x14ac:dyDescent="0.25">
      <c r="A3" t="s">
        <v>48</v>
      </c>
      <c r="B3">
        <v>30</v>
      </c>
    </row>
    <row r="4" spans="1:6" x14ac:dyDescent="0.25">
      <c r="A4" s="1" t="s">
        <v>369</v>
      </c>
      <c r="B4">
        <v>9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(B3-1)*B2/B4</f>
        <v>51.555555555555557</v>
      </c>
      <c r="C7" t="s">
        <v>354</v>
      </c>
      <c r="D7">
        <f>_xlfn.CHISQ.INV(1-A7,B3-1)</f>
        <v>42.556967804292675</v>
      </c>
      <c r="F7" t="s">
        <v>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G14" sqref="G14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54</v>
      </c>
      <c r="B1">
        <f>_xlfn.NORM.S.INV((1+0.994)/2)</f>
        <v>2.7477813854449917</v>
      </c>
    </row>
    <row r="2" spans="1:2" x14ac:dyDescent="0.25">
      <c r="A2" t="s">
        <v>40</v>
      </c>
      <c r="B2">
        <v>1400</v>
      </c>
    </row>
    <row r="3" spans="1:2" x14ac:dyDescent="0.25">
      <c r="A3" t="s">
        <v>41</v>
      </c>
      <c r="B3">
        <v>150</v>
      </c>
    </row>
    <row r="4" spans="1:2" x14ac:dyDescent="0.25">
      <c r="A4" t="s">
        <v>56</v>
      </c>
      <c r="B4">
        <v>18</v>
      </c>
    </row>
    <row r="6" spans="1:2" x14ac:dyDescent="0.25">
      <c r="A6" t="s">
        <v>55</v>
      </c>
      <c r="B6">
        <f>SQRT(B3)</f>
        <v>12.24744871391589</v>
      </c>
    </row>
    <row r="7" spans="1:2" x14ac:dyDescent="0.25">
      <c r="A7" t="s">
        <v>43</v>
      </c>
      <c r="B7">
        <f>B2-((B1*B4)/B6)</f>
        <v>1395.9616026085653</v>
      </c>
    </row>
    <row r="8" spans="1:2" x14ac:dyDescent="0.25">
      <c r="A8" t="s">
        <v>44</v>
      </c>
      <c r="B8">
        <f>B2+((B1*B4)/B6)</f>
        <v>1404.0383973914347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9"/>
  <sheetViews>
    <sheetView workbookViewId="0">
      <selection activeCell="B5" sqref="B5"/>
    </sheetView>
  </sheetViews>
  <sheetFormatPr defaultRowHeight="15" x14ac:dyDescent="0.25"/>
  <sheetData>
    <row r="1" spans="1:10" x14ac:dyDescent="0.25">
      <c r="A1" t="s">
        <v>378</v>
      </c>
      <c r="B1">
        <v>10.1</v>
      </c>
      <c r="C1">
        <v>10.3</v>
      </c>
      <c r="D1">
        <v>10.6</v>
      </c>
      <c r="E1">
        <v>11.2</v>
      </c>
      <c r="F1">
        <v>11.5</v>
      </c>
      <c r="G1">
        <v>11.8</v>
      </c>
      <c r="H1">
        <v>12</v>
      </c>
      <c r="J1" t="s">
        <v>380</v>
      </c>
    </row>
    <row r="2" spans="1:10" x14ac:dyDescent="0.25">
      <c r="A2" t="s">
        <v>379</v>
      </c>
      <c r="B2">
        <v>1</v>
      </c>
      <c r="C2">
        <v>3</v>
      </c>
      <c r="D2">
        <v>7</v>
      </c>
      <c r="E2">
        <v>10</v>
      </c>
      <c r="F2">
        <v>6</v>
      </c>
      <c r="G2">
        <v>3</v>
      </c>
      <c r="H2">
        <v>1</v>
      </c>
      <c r="J2">
        <f>SUM(B1*B2,C1*C2,D1*D2,E1*E2,F1*F2,G1*G2,H1*H2)/B5</f>
        <v>11.083870967741936</v>
      </c>
    </row>
    <row r="4" spans="1:10" x14ac:dyDescent="0.25">
      <c r="A4" t="s">
        <v>49</v>
      </c>
      <c r="B4">
        <f>SUM(((B1-J2)^2)*B2,((C1-J2)^2)*C2,((D1-J2)^2)*D2,((E1-J2)^2)*E2,((F1-J2)^2)*F2,((G1-J2)^2)*G2,((H1-J2)^2)*H2)/(B5-1)</f>
        <v>0.26673118279569896</v>
      </c>
    </row>
    <row r="5" spans="1:10" x14ac:dyDescent="0.25">
      <c r="A5" t="s">
        <v>48</v>
      </c>
      <c r="B5">
        <v>31</v>
      </c>
    </row>
    <row r="6" spans="1:10" x14ac:dyDescent="0.25">
      <c r="A6" s="1" t="s">
        <v>369</v>
      </c>
      <c r="B6">
        <v>0.18</v>
      </c>
    </row>
    <row r="8" spans="1:10" x14ac:dyDescent="0.25">
      <c r="A8" t="s">
        <v>348</v>
      </c>
      <c r="B8" t="s">
        <v>370</v>
      </c>
      <c r="D8" t="s">
        <v>371</v>
      </c>
    </row>
    <row r="9" spans="1:10" x14ac:dyDescent="0.25">
      <c r="A9">
        <v>0.05</v>
      </c>
      <c r="B9">
        <f>(B5-1)*B4/B6</f>
        <v>44.455197132616497</v>
      </c>
      <c r="C9" t="s">
        <v>354</v>
      </c>
      <c r="D9">
        <f>_xlfn.CHISQ.INV(1-A9,B5-1)</f>
        <v>43.772971825742189</v>
      </c>
      <c r="F9" t="s">
        <v>381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9"/>
  <sheetViews>
    <sheetView workbookViewId="0">
      <selection activeCell="E21" sqref="E21"/>
    </sheetView>
  </sheetViews>
  <sheetFormatPr defaultRowHeight="15" x14ac:dyDescent="0.25"/>
  <sheetData>
    <row r="1" spans="1:10" x14ac:dyDescent="0.25">
      <c r="A1" t="s">
        <v>378</v>
      </c>
      <c r="B1">
        <v>56</v>
      </c>
      <c r="C1">
        <v>58</v>
      </c>
      <c r="D1">
        <v>60</v>
      </c>
      <c r="E1">
        <v>62</v>
      </c>
      <c r="F1">
        <v>64</v>
      </c>
      <c r="J1" t="s">
        <v>380</v>
      </c>
    </row>
    <row r="2" spans="1:10" x14ac:dyDescent="0.25">
      <c r="A2" t="s">
        <v>379</v>
      </c>
      <c r="B2">
        <v>1</v>
      </c>
      <c r="C2">
        <v>4</v>
      </c>
      <c r="D2">
        <v>10</v>
      </c>
      <c r="E2">
        <v>3</v>
      </c>
      <c r="F2">
        <v>2</v>
      </c>
      <c r="J2">
        <f>SUM(B1*B2,C1*C2,D1*D2,E1*E2,F1*F2)/B5</f>
        <v>60.1</v>
      </c>
    </row>
    <row r="4" spans="1:10" x14ac:dyDescent="0.25">
      <c r="A4" t="s">
        <v>49</v>
      </c>
      <c r="B4">
        <f>SUM(((B1-J2)^2)*B2,((C1-J2)^2)*C2,((D1-J2)^2)*D2,((E1-J2)^2)*E2,((F1-J2)^2)*F2)/(B5-1)</f>
        <v>3.9894736842105263</v>
      </c>
    </row>
    <row r="5" spans="1:10" x14ac:dyDescent="0.25">
      <c r="A5" t="s">
        <v>48</v>
      </c>
      <c r="B5">
        <v>20</v>
      </c>
    </row>
    <row r="6" spans="1:10" x14ac:dyDescent="0.25">
      <c r="A6" s="1" t="s">
        <v>369</v>
      </c>
      <c r="B6">
        <v>2</v>
      </c>
    </row>
    <row r="8" spans="1:10" x14ac:dyDescent="0.25">
      <c r="A8" t="s">
        <v>348</v>
      </c>
      <c r="B8" t="s">
        <v>370</v>
      </c>
      <c r="D8" t="s">
        <v>371</v>
      </c>
    </row>
    <row r="9" spans="1:10" x14ac:dyDescent="0.25">
      <c r="A9">
        <v>0.05</v>
      </c>
      <c r="B9">
        <f>(B5-1)*B4/B6</f>
        <v>37.9</v>
      </c>
      <c r="C9" t="s">
        <v>354</v>
      </c>
      <c r="D9">
        <f>_xlfn.CHISQ.INV(1-A9,B5-1)</f>
        <v>30.143527205646159</v>
      </c>
      <c r="F9" t="s">
        <v>381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7"/>
  <sheetViews>
    <sheetView workbookViewId="0">
      <selection activeCell="F16" sqref="F16"/>
    </sheetView>
  </sheetViews>
  <sheetFormatPr defaultRowHeight="15" x14ac:dyDescent="0.25"/>
  <sheetData>
    <row r="1" spans="1:6" x14ac:dyDescent="0.25">
      <c r="A1" t="s">
        <v>382</v>
      </c>
      <c r="B1">
        <v>18</v>
      </c>
      <c r="C1" t="s">
        <v>48</v>
      </c>
      <c r="D1">
        <v>15</v>
      </c>
    </row>
    <row r="2" spans="1:6" x14ac:dyDescent="0.25">
      <c r="A2" t="s">
        <v>383</v>
      </c>
      <c r="B2">
        <v>6.3</v>
      </c>
      <c r="C2" t="s">
        <v>384</v>
      </c>
      <c r="D2">
        <v>8.5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0.05</v>
      </c>
      <c r="B5">
        <f>D2/B2</f>
        <v>1.3492063492063493</v>
      </c>
      <c r="C5" t="s">
        <v>38</v>
      </c>
      <c r="D5">
        <f>_xlfn.F.INV(1-A5/2,D1-1,B1-1)</f>
        <v>2.7526407074274255</v>
      </c>
      <c r="F5" t="s">
        <v>388</v>
      </c>
    </row>
    <row r="6" spans="1:6" x14ac:dyDescent="0.25">
      <c r="D6" t="s">
        <v>387</v>
      </c>
    </row>
    <row r="7" spans="1:6" x14ac:dyDescent="0.25">
      <c r="C7" t="s">
        <v>354</v>
      </c>
      <c r="D7">
        <f>2*(1-_xlfn.F.DIST(B5,D1-1,B1-1,TRUE))</f>
        <v>0.55134888097971935</v>
      </c>
      <c r="F7" t="s">
        <v>372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7FA6-2A5D-4132-8BBF-CD3078BA3E12}">
  <dimension ref="A1:F7"/>
  <sheetViews>
    <sheetView workbookViewId="0">
      <selection activeCell="B7" sqref="B7"/>
    </sheetView>
  </sheetViews>
  <sheetFormatPr defaultRowHeight="15" x14ac:dyDescent="0.25"/>
  <sheetData>
    <row r="1" spans="1:6" x14ac:dyDescent="0.25">
      <c r="A1" t="s">
        <v>382</v>
      </c>
      <c r="B1">
        <v>12</v>
      </c>
      <c r="C1" t="s">
        <v>48</v>
      </c>
      <c r="D1">
        <v>6</v>
      </c>
    </row>
    <row r="2" spans="1:6" x14ac:dyDescent="0.25">
      <c r="A2" t="s">
        <v>389</v>
      </c>
      <c r="B2">
        <v>18</v>
      </c>
      <c r="C2" t="s">
        <v>390</v>
      </c>
      <c r="D2">
        <v>27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0.02</v>
      </c>
      <c r="B5">
        <f>D2/B2</f>
        <v>1.5</v>
      </c>
      <c r="C5" t="s">
        <v>38</v>
      </c>
      <c r="D5">
        <f>_xlfn.F.INV(1-A5/2,D1-1,B1-1)</f>
        <v>5.3160089186084933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38</v>
      </c>
      <c r="C7">
        <f>2*(1-_xlfn.F.DIST(B5,D1-1,B1-1,TRUE))</f>
        <v>0.53348360735321787</v>
      </c>
      <c r="F7" t="s">
        <v>372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0613-FCD3-48CB-9BD5-CBE1D91C6C02}">
  <dimension ref="A1:F7"/>
  <sheetViews>
    <sheetView workbookViewId="0">
      <selection activeCell="B7" sqref="B7"/>
    </sheetView>
  </sheetViews>
  <sheetFormatPr defaultRowHeight="15" x14ac:dyDescent="0.25"/>
  <sheetData>
    <row r="1" spans="1:6" x14ac:dyDescent="0.25">
      <c r="A1" t="s">
        <v>382</v>
      </c>
      <c r="B1">
        <v>12</v>
      </c>
      <c r="C1" t="s">
        <v>48</v>
      </c>
      <c r="D1">
        <v>12</v>
      </c>
    </row>
    <row r="2" spans="1:6" x14ac:dyDescent="0.25">
      <c r="A2" t="s">
        <v>389</v>
      </c>
      <c r="B2">
        <f>2.5^2</f>
        <v>6.25</v>
      </c>
      <c r="C2" t="s">
        <v>390</v>
      </c>
      <c r="D2">
        <f>3.1^2</f>
        <v>9.6100000000000012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0.01</v>
      </c>
      <c r="B5">
        <f>D2/B2</f>
        <v>1.5376000000000003</v>
      </c>
      <c r="C5" t="s">
        <v>38</v>
      </c>
      <c r="D5">
        <f>_xlfn.F.INV(1-A5,D1-1,B1-1)</f>
        <v>4.462436043152854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38</v>
      </c>
      <c r="C7">
        <f>2*(1-_xlfn.F.DIST(B5,D1-1,B1-1,TRUE))</f>
        <v>0.48715880527385447</v>
      </c>
      <c r="F7" t="s">
        <v>372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38FE-1C73-4EB6-BD71-B6C9F4BBEEF5}">
  <dimension ref="A1:F7"/>
  <sheetViews>
    <sheetView workbookViewId="0">
      <selection activeCell="B7" sqref="B7"/>
    </sheetView>
  </sheetViews>
  <sheetFormatPr defaultRowHeight="15" x14ac:dyDescent="0.25"/>
  <sheetData>
    <row r="1" spans="1:6" x14ac:dyDescent="0.25">
      <c r="A1" t="s">
        <v>382</v>
      </c>
      <c r="B1">
        <v>10</v>
      </c>
      <c r="C1" t="s">
        <v>48</v>
      </c>
      <c r="D1">
        <v>16</v>
      </c>
    </row>
    <row r="2" spans="1:6" x14ac:dyDescent="0.25">
      <c r="A2" t="s">
        <v>389</v>
      </c>
      <c r="B2">
        <v>87</v>
      </c>
      <c r="C2" t="s">
        <v>390</v>
      </c>
      <c r="D2">
        <v>58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0.05</v>
      </c>
      <c r="B5">
        <f>B2/D2</f>
        <v>1.5</v>
      </c>
      <c r="C5" t="s">
        <v>38</v>
      </c>
      <c r="D5">
        <f>_xlfn.F.INV(1-A5,B1-1,D1-1)</f>
        <v>2.5876264352275817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38</v>
      </c>
      <c r="C7">
        <f>2*(1-_xlfn.F.DIST(B5,B1-1,D1-1,TRUE))</f>
        <v>0.46846685895415585</v>
      </c>
      <c r="F7" t="s">
        <v>372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183E-3170-42FB-AE70-2C97052860AF}">
  <dimension ref="A1:F7"/>
  <sheetViews>
    <sheetView workbookViewId="0">
      <selection activeCell="D33" sqref="D33"/>
    </sheetView>
  </sheetViews>
  <sheetFormatPr defaultRowHeight="15" x14ac:dyDescent="0.25"/>
  <sheetData>
    <row r="1" spans="1:6" x14ac:dyDescent="0.25">
      <c r="A1" t="s">
        <v>382</v>
      </c>
      <c r="B1">
        <v>10</v>
      </c>
      <c r="C1" t="s">
        <v>48</v>
      </c>
      <c r="D1">
        <v>8</v>
      </c>
    </row>
    <row r="2" spans="1:6" x14ac:dyDescent="0.25">
      <c r="A2" t="s">
        <v>389</v>
      </c>
      <c r="B2">
        <f>7.14^2</f>
        <v>50.979599999999998</v>
      </c>
      <c r="C2" t="s">
        <v>390</v>
      </c>
      <c r="D2">
        <f>3.21^2</f>
        <v>10.3041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0.01</v>
      </c>
      <c r="B5">
        <f>B2/D2</f>
        <v>4.9475063324307795</v>
      </c>
      <c r="C5" t="s">
        <v>38</v>
      </c>
      <c r="D5">
        <f>_xlfn.F.INV(1-A5/2,D1-1,B1-1)</f>
        <v>6.8849084188317011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354</v>
      </c>
      <c r="C7">
        <f>2*(1-_xlfn.F.DIST(B5,D1-1,B1-1,TRUE))</f>
        <v>3.0090903504637279E-2</v>
      </c>
      <c r="F7" t="s">
        <v>372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DF4B-B0C5-453B-9183-6C0F6A3C8B09}">
  <dimension ref="A1:F7"/>
  <sheetViews>
    <sheetView workbookViewId="0">
      <selection activeCell="C8" sqref="C8"/>
    </sheetView>
  </sheetViews>
  <sheetFormatPr defaultRowHeight="15" x14ac:dyDescent="0.25"/>
  <sheetData>
    <row r="1" spans="1:6" x14ac:dyDescent="0.25">
      <c r="A1" t="s">
        <v>382</v>
      </c>
      <c r="B1">
        <v>13</v>
      </c>
      <c r="C1" t="s">
        <v>48</v>
      </c>
      <c r="D1">
        <v>18</v>
      </c>
    </row>
    <row r="2" spans="1:6" x14ac:dyDescent="0.25">
      <c r="A2" t="s">
        <v>389</v>
      </c>
      <c r="B2">
        <v>6.52</v>
      </c>
      <c r="C2" t="s">
        <v>390</v>
      </c>
      <c r="D2">
        <v>3.47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0.01</v>
      </c>
      <c r="B5">
        <f>B2/D2</f>
        <v>1.8789625360230546</v>
      </c>
      <c r="C5" t="s">
        <v>38</v>
      </c>
      <c r="D5">
        <f>_xlfn.F.INV(1-A5,B1-1,D1-1)</f>
        <v>3.4551980993254094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354</v>
      </c>
      <c r="C7">
        <f>2*(1-_xlfn.F.DIST(B5,D1-1,B1-1,TRUE))</f>
        <v>0.27022229012263321</v>
      </c>
      <c r="F7" t="s">
        <v>372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ABF7-A493-4D17-8F73-12935868825E}">
  <dimension ref="A1:F7"/>
  <sheetViews>
    <sheetView tabSelected="1" workbookViewId="0">
      <selection activeCell="G17" sqref="G17"/>
    </sheetView>
  </sheetViews>
  <sheetFormatPr defaultRowHeight="15" x14ac:dyDescent="0.25"/>
  <sheetData>
    <row r="1" spans="1:6" x14ac:dyDescent="0.25">
      <c r="A1" t="s">
        <v>382</v>
      </c>
      <c r="B1">
        <v>14</v>
      </c>
      <c r="C1" t="s">
        <v>48</v>
      </c>
      <c r="D1">
        <v>11</v>
      </c>
    </row>
    <row r="2" spans="1:6" x14ac:dyDescent="0.25">
      <c r="A2" t="s">
        <v>389</v>
      </c>
      <c r="B2">
        <v>0.38</v>
      </c>
      <c r="C2" t="s">
        <v>390</v>
      </c>
      <c r="D2">
        <v>0.76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0.1</v>
      </c>
      <c r="B5">
        <f>D2/B2</f>
        <v>2</v>
      </c>
      <c r="C5" t="s">
        <v>38</v>
      </c>
      <c r="D5">
        <f>_xlfn.F.INV(1-A5,D1-1,B1-1)</f>
        <v>2.1376345888332762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354</v>
      </c>
      <c r="C7">
        <f>2*(1-_xlfn.F.DIST(B5,D1-1,B1-1,TRUE))</f>
        <v>0.24113011919464578</v>
      </c>
      <c r="F7" t="s">
        <v>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H22" sqref="H22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54</v>
      </c>
      <c r="B1">
        <f>_xlfn.NORM.S.INV((1+0.97)/2)</f>
        <v>2.1700903775845601</v>
      </c>
    </row>
    <row r="2" spans="1:2" x14ac:dyDescent="0.25">
      <c r="A2" t="s">
        <v>40</v>
      </c>
      <c r="B2" s="37">
        <v>9.4</v>
      </c>
    </row>
    <row r="3" spans="1:2" x14ac:dyDescent="0.25">
      <c r="A3" t="s">
        <v>41</v>
      </c>
      <c r="B3">
        <v>400</v>
      </c>
    </row>
    <row r="4" spans="1:2" x14ac:dyDescent="0.25">
      <c r="A4" t="s">
        <v>56</v>
      </c>
      <c r="B4">
        <v>1.7</v>
      </c>
    </row>
    <row r="6" spans="1:2" x14ac:dyDescent="0.25">
      <c r="A6" t="s">
        <v>55</v>
      </c>
      <c r="B6">
        <f>SQRT(B3)</f>
        <v>20</v>
      </c>
    </row>
    <row r="7" spans="1:2" x14ac:dyDescent="0.25">
      <c r="A7" t="s">
        <v>43</v>
      </c>
      <c r="B7">
        <f>B2-((B1*B4)/B6)</f>
        <v>9.215542317905312</v>
      </c>
    </row>
    <row r="8" spans="1:2" x14ac:dyDescent="0.25">
      <c r="A8" t="s">
        <v>44</v>
      </c>
      <c r="B8">
        <f>B2+((B1*B4)/B6)</f>
        <v>9.5844576820946887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C10" sqref="C10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57</v>
      </c>
      <c r="B1">
        <f>_xlfn.T.INV((1+0.95)/2, B3-1)</f>
        <v>2.0452296421327034</v>
      </c>
    </row>
    <row r="2" spans="1:2" x14ac:dyDescent="0.25">
      <c r="A2" t="s">
        <v>40</v>
      </c>
      <c r="B2" s="37">
        <v>6.85</v>
      </c>
    </row>
    <row r="3" spans="1:2" x14ac:dyDescent="0.25">
      <c r="A3" t="s">
        <v>41</v>
      </c>
      <c r="B3">
        <v>30</v>
      </c>
    </row>
    <row r="4" spans="1:2" x14ac:dyDescent="0.25">
      <c r="A4" t="s">
        <v>42</v>
      </c>
      <c r="B4">
        <v>0.7</v>
      </c>
    </row>
    <row r="6" spans="1:2" x14ac:dyDescent="0.25">
      <c r="A6" t="s">
        <v>55</v>
      </c>
      <c r="B6">
        <f>SQRT(B3)</f>
        <v>5.4772255750516612</v>
      </c>
    </row>
    <row r="7" spans="1:2" x14ac:dyDescent="0.25">
      <c r="A7" t="s">
        <v>43</v>
      </c>
      <c r="B7">
        <f>B2-((B1*B4)/B6)</f>
        <v>6.5886157042693299</v>
      </c>
    </row>
    <row r="8" spans="1:2" x14ac:dyDescent="0.25">
      <c r="A8" t="s">
        <v>44</v>
      </c>
      <c r="B8">
        <f>B2+((B1*B4)/B6)</f>
        <v>7.1113842957306694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D12" sqref="D12"/>
    </sheetView>
  </sheetViews>
  <sheetFormatPr defaultColWidth="8.85546875" defaultRowHeight="15" x14ac:dyDescent="0.25"/>
  <cols>
    <col min="1" max="1" width="17.7109375" customWidth="1"/>
    <col min="4" max="4" width="17.7109375" customWidth="1"/>
  </cols>
  <sheetData>
    <row r="1" spans="1:5" x14ac:dyDescent="0.25">
      <c r="A1" t="s">
        <v>57</v>
      </c>
      <c r="B1">
        <f>_xlfn.T.INV((1+0.95)/2, B3-1)</f>
        <v>2.1447866879178035</v>
      </c>
      <c r="D1" t="s">
        <v>57</v>
      </c>
      <c r="E1">
        <f>_xlfn.T.INV((1+0.99)/2, E3-1)</f>
        <v>2.9768427343708344</v>
      </c>
    </row>
    <row r="2" spans="1:5" x14ac:dyDescent="0.25">
      <c r="A2" t="s">
        <v>40</v>
      </c>
      <c r="B2" s="37">
        <v>10.37</v>
      </c>
      <c r="D2" t="s">
        <v>40</v>
      </c>
      <c r="E2" s="37">
        <v>10.37</v>
      </c>
    </row>
    <row r="3" spans="1:5" x14ac:dyDescent="0.25">
      <c r="A3" t="s">
        <v>41</v>
      </c>
      <c r="B3">
        <v>15</v>
      </c>
      <c r="D3" t="s">
        <v>41</v>
      </c>
      <c r="E3">
        <v>15</v>
      </c>
    </row>
    <row r="4" spans="1:5" x14ac:dyDescent="0.25">
      <c r="A4" t="s">
        <v>42</v>
      </c>
      <c r="B4">
        <v>3.5</v>
      </c>
      <c r="D4" t="s">
        <v>42</v>
      </c>
      <c r="E4">
        <v>3.5</v>
      </c>
    </row>
    <row r="6" spans="1:5" x14ac:dyDescent="0.25">
      <c r="A6" t="s">
        <v>55</v>
      </c>
      <c r="B6">
        <f>SQRT(B3)</f>
        <v>3.872983346207417</v>
      </c>
      <c r="D6" t="s">
        <v>55</v>
      </c>
      <c r="E6">
        <f>SQRT(E3)</f>
        <v>3.872983346207417</v>
      </c>
    </row>
    <row r="7" spans="1:5" x14ac:dyDescent="0.25">
      <c r="A7" t="s">
        <v>43</v>
      </c>
      <c r="B7">
        <f>B2-((B1*B4)/B6)</f>
        <v>8.4317646045229626</v>
      </c>
      <c r="D7" t="s">
        <v>43</v>
      </c>
      <c r="E7">
        <f>E2-((E1*E4)/E6)</f>
        <v>7.6798387886174151</v>
      </c>
    </row>
    <row r="8" spans="1:5" x14ac:dyDescent="0.25">
      <c r="A8" t="s">
        <v>44</v>
      </c>
      <c r="B8">
        <f>B2+((B1*B4)/B6)</f>
        <v>12.308235395477036</v>
      </c>
      <c r="D8" t="s">
        <v>44</v>
      </c>
      <c r="E8">
        <f>E2+((E1*E4)/E6)</f>
        <v>13.060161211382583</v>
      </c>
    </row>
    <row r="11" spans="1:5" x14ac:dyDescent="0.25">
      <c r="B11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>
      <selection activeCell="K22" sqref="K22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57</v>
      </c>
      <c r="B1">
        <f>_xlfn.T.INV((1+0.9)/2, B3-1)</f>
        <v>1.6991270265334968</v>
      </c>
    </row>
    <row r="2" spans="1:2" x14ac:dyDescent="0.25">
      <c r="A2" t="s">
        <v>40</v>
      </c>
      <c r="B2" s="37">
        <v>120</v>
      </c>
    </row>
    <row r="3" spans="1:2" x14ac:dyDescent="0.25">
      <c r="A3" t="s">
        <v>41</v>
      </c>
      <c r="B3">
        <v>30</v>
      </c>
    </row>
    <row r="4" spans="1:2" x14ac:dyDescent="0.25">
      <c r="A4" t="s">
        <v>42</v>
      </c>
      <c r="B4">
        <v>10.1709</v>
      </c>
    </row>
    <row r="6" spans="1:2" x14ac:dyDescent="0.25">
      <c r="A6" t="s">
        <v>55</v>
      </c>
      <c r="B6">
        <f>SQRT(B3)</f>
        <v>5.4772255750516612</v>
      </c>
    </row>
    <row r="7" spans="1:2" x14ac:dyDescent="0.25">
      <c r="A7" t="s">
        <v>43</v>
      </c>
      <c r="B7">
        <f>B2-((B1*B4)/B6)</f>
        <v>116.84481662524799</v>
      </c>
    </row>
    <row r="8" spans="1:2" x14ac:dyDescent="0.25">
      <c r="A8" t="s">
        <v>44</v>
      </c>
      <c r="B8">
        <f>B2+((B1*B4)/B6)</f>
        <v>123.15518337475201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K A A B Q S w M E F A A C A A g A h 2 B + U k F B r E G n A A A A + Q A A A B I A H A B D b 2 5 m a W c v U G F j a 2 F n Z S 5 4 b W w g o h g A K K A U A A A A A A A A A A A A A A A A A A A A A A A A A A A A h Y + 9 D o I w G E V f h X S n P x C N k o 8 y u E p i N B r X p l R o h G K g t b y b g 4 / k K 0 i i q J v j P T n D u Y / b H b K h q Y O r 6 n r d m h Q x T F G g j G w L b c o U O X s K F y j j s B H y L E o V j L L p k 6 E v U l R Z e 0 k I 8 d 5 j H + O 2 K 0 l E K S P H f L 2 T l W o E + s j 6 v x x q 0 1 t h p E I c D q 8 Y H u E 5 w z O 2 j D C L K Q M y c c i 1 + T r R m I w p k B 8 I K 1 d b 1 y n e u X C 7 B z J N I O 8 b / A l Q S w M E F A A C A A g A h 2 B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g f l L C E N j g 6 Q c A A H t i A A A T A B w A R m 9 y b X V s Y X M v U 2 V j d G l v b j E u b S C i G A A o o B Q A A A A A A A A A A A A A A A A A A A A A A A A A A A D t 3 E + P W 2 c d x f F 9 p L w H y 9 l M p F F 0 z 7 m + 9 r 1 U s 0 p g i Y Q a V g y L a W J g x I w d j T 3 Q q q p E W d A F C 7 Z d 8 w o C E q L 8 S f o W 7 r w j P I Q Q M 3 6 + h y v S T d F t V L X x 0 8 e Z c + r Y n 3 m e n 7 J Z P t u e r 1 e T D 9 / 8 U x / c v 3 f / 3 u Z n Z 1 f L 5 5 M H U 0 0 n J 5 O L 5 f b + v c n u r / 7 L m 8 9 v f t 2 / v v m i f 9 V / 1 f 9 1 t / Z 4 8 4 t H T 9 b P r i + X q + 3 R 9 8 4 v l o 8 e r 1 f b 3 U 8 2 R 9 P H 3 z n 9 4 W Z 5 t T l V p 0 X T n j 5 Z b n 6 + X b 8 4 1 a P t x 9 v p w + M f P V l e n F + e b 5 d X J 9 M P p s e T x + u L 6 8 v V 5 s R d d T z 5 7 u r Z + v n 5 6 q c n c q P j y Q + u 1 9 v l h 9 t P L p Y n 7 / 7 1 0 f f X q + W P H x 6 / + e o e T P s v + z / 3 f + / / t P v q b v 9 + d f P b / i + T 3 R f 8 V f / 1 b Y 6 n Z x / t 9 j y 9 O l t t f r K + u n z z y z 3 9 5 M V y c 3 Q 3 2 f G n n 0 7 f r G v 3 h W 1 3 / 8 1 k u / x 4 + 9 n x 5 O 3 j h s d r e H w G j z f w + B w e X 8 D j L T z e w e O q a I E S i y K L M o t C i 1 K L Y o t y i 4 K L k p u S G / 9 f U 3 J T c l N y U 3 J T c l N y U 3 J T 8 p q S 1 5 S 8 x p c 5 J a 8 p e U 3 J a 0 p e U / K a k t e U f E b J Z 5 R 8 R s l n + D u c k s 8 o + Y y S z y j 5 j J L P K H l D y R t K 3 l D y h p I 3 + O Z G y R t K 3 l D y h p I 3 l H x O y e e U f E 7 J 5 5 R 8 T s n n + L 5 O y e e U f E 7 J 5 5 R 8 Q c k X l H x B y R e U f E H J F 5 R 8 g R 9 p l H x B y R e U v K X k L S V v K X l L y V t K 3 l L y l p K 3 + G l O y V t K 3 l H y j p J 3 l L y j 5 B 0 l 7 y h 5 R 8 k 7 S t 4 h Z F g y S J k K L V M h Z i r U T I W c q d A z F Y K m Q t F U S J o K O w i c w w 4 Y d C w 6 J h 2 b j l H H q m P W o e u E s B P K T k g 7 o e 2 E u B P q T s g 7 o e + E w B M K T 0 g 8 o f G E y B M q T 8 g 8 o f O E 0 B N K T 0 g 9 o f W E 2 B N q T 8 g 9 o f e E 4 B O K T 0 g + o f m E 6 B O q T 8 g + o f u E 8 B P K T 0 g / o f 2 E + B P q T 8 g / o f + E A B Q K U E h A o Q G F C B Q q U M h A o Q O F E B R K U E h B o Q W F G B R q U M h B o Q e F I B S K U E h C o Q m F K B S q U M h C o Q u F M B T K U E h D o Q 2 F O B T q U M h D o Q + F Q B Q K U U h E o R G F S B Q q U c h E o R O N T j Q 6 0 e h E o x O N T j Q 6 0 e h E o x O N T j Q 6 0 e h E o x O N T j Q 6 0 e h E o x O N T j Q 6 0 e h E 8 / k f H w C G E 0 D s g M 8 A + R C Q T w H 5 G J D P A f k g E J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3 o O 0 7 8 b O 9 y 9 f c 3 v + p f 9 q 9 u P u + / 7 l / f X p P u f v 6 6 / + P t Y 7 s f L 2 9 + d 3 v V + r L / Q / + 3 3 d J v + p d 3 r l x f r D f L o 3 x H + / D + v f P V / / 7 r 7 V 9 d P z / b n n 2 T V 9 f r X 6 4 u 1 m f P N 6 e 3 T / x f 7 q / r 6 t t 0 f 7 2 6 v v x o e b W 3 U u P K D F c a X J n j y g J X W l z p c O U d b A + X x E t c g 7 g H c R H i J s R V i L s Q l y F u w 9 y G u Y 0 B 9 9 y H e 7 g L c x f m L s x d m L s w d 1 F z F z V 3 U Y f f I N x G z W 3 U 3 E b N b d T c R s 1 t 1 N z G j N s Y c B d + u C e 8 W 3 A X M + 5 i w J 3 4 4 R 5 u Y s Z N N N x E w 6 + L h r t o u I s m v H V y F w 2 / L h p u o + E 2 G m 5 j z m 3 M u Y 0 5 t z H g z v x w T / g c 4 S 7 m 3 M W A u / P D z y V u Y s F N L L i J B b 8 u F t z F g H v 0 w z 3 c x I J f F Q v u o u U u W u 6 i 5 S 5 a 7 q L l L l p + X b T c R h u E w W 2 0 3 E b H b X T c x o B 7 9 s M 9 3 E X H X X T c R c d d d I F b y V s B X F U Q V x X I V Q V z V Q F d V V B X F d h V B X d V A V 5 D 7 u E L D A 2 t J I g m i Q 6 5 j y / s C p 0 k i w 6 5 l S 8 Y O 3 Q S N L p 3 N 1 9 Y C 5 0 E k i q Y V A G l C i p V Y O m g m / r C t x 6 h l Q B T B Z k q 0 F T B p g o 4 V d C p A k 8 V f K o A 1 E H 3 9 4 V d A 2 7 w C 7 t C J 7 P Q S X C q A l Q V p K p A 1 U H 3 + Y V d 4 Z U S s K q g V Q W u K n h V A a w K Y l U g q 4 J Z F d A 6 6 J a / s C t 9 1 x 9 a C X L d u + 0 v r I V W A l 8 H 3 f k X d o X X S g D s 3 s 1 / Y S 0 d h o R W A m M V H K s A W Q X J v u c c Q O H 5 B k w C F H a l 8 6 H Q S L C s A m Y V N L s 3 F V B Y C 6 + U Q F o F 0 y q g V k G 1 C q x V c K 2 D a x 1 c O 2 h S o L A r H J 8 F 1 T q o 1 k G 1 D q p 9 z 6 m B w + c L p n U w r c P x 6 q D p g c K u 0 E g 4 Y H U 6 Y U 1 H r P G M N b Q y Z J a g s C u 8 T t J B a z p p T U e t 4 a z V Q b U O q n V Q r Y N q B 8 0 X F H a F V o J p B 0 0 Z H O 4 K o t 2 b N C i s h U 7 e b 9 q g 8 H y h k f e b O D h 8 v q B Z h 5 N X B 8 8 6 e N b B s w 6 e d f C s g 2 c d P O v g 2 U F z C I V d A y Y R C r t C J 0 O m E Q q 7 Q i P B s g 6 W d b C s w 1 m s g 2 Y d N O u g W Q f N O m j W Q b O D p h Q O d w X L O l j W 4 V j W 4 V z W w b M O J 7 M O o n U Q r Y N o H U T r I F o H 0 T q I 1 k G 0 D q J 1 E K 2 D a B 1 E 6 y B a B 9 H W 1 f / J T M e D 6 T + n O o 7 8 8 B v 9 U w n G 0 Y 7 r c b T j 3 0 v j a M c e 4 o J j w g d 6 + L w L b + z h v S 2 8 t f H S O N q x v z S O d r x d G k c 7 9 p f G 0 Y 6 3 S + N o x 7 u l c b R j f 2 k c 7 d h f G 0 c 7 S g w d R z s O 1 8 b R j t K 3 H u N o R 3 l t H O 0 4 X B t H O 0 p r 4 2 h H a W 0 c 7 S i t j a M d d 9 f G 0 Y 7 y 2 j j a M Y 5 2 / G t t H O 0 o r Y 2 j H Y e 7 x t G O / 3 y + c b S j v D a O d t x d G 0 c 7 S r v G 0 Y 7 y 2 j j a U V z 7 d o 9 2 / A N Q S w E C L Q A U A A I A C A C H Y H 5 S Q U G s Q a c A A A D 5 A A A A E g A A A A A A A A A A A A A A A A A A A A A A Q 2 9 u Z m l n L 1 B h Y 2 t h Z 2 U u e G 1 s U E s B A i 0 A F A A C A A g A h 2 B + U g / K 6 a u k A A A A 6 Q A A A B M A A A A A A A A A A A A A A A A A 8 w A A A F t D b 2 5 0 Z W 5 0 X 1 R 5 c G V z X S 5 4 b W x Q S w E C L Q A U A A I A C A C H Y H 5 S w h D Y 4 O k H A A B 7 Y g A A E w A A A A A A A A A A A A A A A A D k A Q A A R m 9 y b X V s Y X M v U 2 V j d G l v b j E u b V B L B Q Y A A A A A A w A D A M I A A A A a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G Q A A A A A A A M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N U M D k 6 M T M 6 N T A u M j I 5 N j A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9 C i 0 Y D Q s N C 9 0 Y H Q v 9 C + 0 L 3 Q u N G A 0 L 7 Q s t C w 0 L 3 Q v d C w 0 Y 8 g 0 Y L Q s N C x 0 L v Q u N G G 0 L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S / Q o t G A 0 L D Q v d G B 0 L / Q v t C 9 0 L j R g N C + 0 L L Q s N C 9 0 L 3 Q s N G P I N G C 0 L D Q s d C 7 0 L j R h t C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M w V D A 4 O j U 2 O j A 5 L j Q z N D M 4 M j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/ Q o t G A 0 L D Q v d G B 0 L / Q v t C 9 0 L j R g N C + 0 L L Q s N C 9 0 L 3 Q s N G P I N G C 0 L D Q s d C 7 0 L j R h t C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v 0 K L R g N C w 0 L 3 R g d C / 0 L 7 Q v d C 4 0 Y D Q v t C y 0 L D Q v d C 9 0 L D R j y D R g t C w 0 L H Q u 9 C 4 0 Y b Q s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M w V D A 5 O j A 0 O j E 1 L j c x N z k 2 M j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0 K L R g N C w 0 L 3 R g d C / 0 L 7 Q v d C 4 0 Y D Q v t C y 0 L D Q v d C 9 0 L D R j y D R g t C w 0 L H Q u 9 C 4 0 Y b Q s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I C g y K S / Q o t G A 0 L D Q v d G B 0 L / Q v t C 9 0 L j R g N C + 0 L L Q s N C 9 0 L 3 Q s N G P I N G C 0 L D Q s d C 7 0 L j R h t C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p F k V T 6 Z N U C + Z 9 D E X k u x B Q A A A A A C A A A A A A A D Z g A A w A A A A B A A A A B D 4 X F r 8 A M n x K C V l D t G L A z 9 A A A A A A S A A A C g A A A A E A A A A I z O 8 + W 1 6 n A Q Z N s f F e 3 k x 8 h Q A A A A g E F 8 5 4 B g t 7 E b m z 0 F 9 a U g N 8 k g 3 x h B e + c 7 B o Z S + M i h g M D r W E O m q 5 C V / v N s g A U I t / + X P R M C z X U 6 A w v B N x y m M l M K q e 0 Y l x E p Z 4 z / b M s q p r J h Y E w U A A A A E i X / o / d v K d T L f b V G F i h x T G e H U s U = < / D a t a M a s h u p > 
</file>

<file path=customXml/itemProps1.xml><?xml version="1.0" encoding="utf-8"?>
<ds:datastoreItem xmlns:ds="http://schemas.openxmlformats.org/officeDocument/2006/customXml" ds:itemID="{8F379124-6AD8-4DDB-9C67-1279ED4D0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58</vt:i4>
      </vt:variant>
    </vt:vector>
  </HeadingPairs>
  <TitlesOfParts>
    <vt:vector size="58" baseType="lpstr">
      <vt:lpstr>Лист4</vt:lpstr>
      <vt:lpstr>№9 с.17</vt:lpstr>
      <vt:lpstr>№2 с.56</vt:lpstr>
      <vt:lpstr>№5 с. 57</vt:lpstr>
      <vt:lpstr>№6 с. 57</vt:lpstr>
      <vt:lpstr>№7 с. 57</vt:lpstr>
      <vt:lpstr>№1 с. 60</vt:lpstr>
      <vt:lpstr>№2 с. 60</vt:lpstr>
      <vt:lpstr>№3 с. 60</vt:lpstr>
      <vt:lpstr>№4 с.60</vt:lpstr>
      <vt:lpstr>6</vt:lpstr>
      <vt:lpstr>№2 с.60</vt:lpstr>
      <vt:lpstr>№1 с. 63</vt:lpstr>
      <vt:lpstr>№ 2 с. 63</vt:lpstr>
      <vt:lpstr>№3 с. 63</vt:lpstr>
      <vt:lpstr>№4 с. 63</vt:lpstr>
      <vt:lpstr>№5 с. 63</vt:lpstr>
      <vt:lpstr>№1 с. 65</vt:lpstr>
      <vt:lpstr>№2 с. 65</vt:lpstr>
      <vt:lpstr>№3 с. 65</vt:lpstr>
      <vt:lpstr>№4 с. 65</vt:lpstr>
      <vt:lpstr>№5 с. 65</vt:lpstr>
      <vt:lpstr>№6 с. 65</vt:lpstr>
      <vt:lpstr>№7 с. 65</vt:lpstr>
      <vt:lpstr>№8 с. 65</vt:lpstr>
      <vt:lpstr>№9 с. 65</vt:lpstr>
      <vt:lpstr>Лист7</vt:lpstr>
      <vt:lpstr>Лист7 (2)</vt:lpstr>
      <vt:lpstr>Лист6</vt:lpstr>
      <vt:lpstr>№1 c.78</vt:lpstr>
      <vt:lpstr>№2 c.78</vt:lpstr>
      <vt:lpstr>№3 c.78</vt:lpstr>
      <vt:lpstr>Лист1</vt:lpstr>
      <vt:lpstr>№1 с. 81</vt:lpstr>
      <vt:lpstr>№2 с. 81</vt:lpstr>
      <vt:lpstr>№3 с. 81</vt:lpstr>
      <vt:lpstr>Лист8</vt:lpstr>
      <vt:lpstr>№1 с. 83</vt:lpstr>
      <vt:lpstr>№2 с. 84</vt:lpstr>
      <vt:lpstr>№3 с. 84</vt:lpstr>
      <vt:lpstr>№4.1 с. 84</vt:lpstr>
      <vt:lpstr>№4.2 с. 84</vt:lpstr>
      <vt:lpstr>№5 с. 84</vt:lpstr>
      <vt:lpstr>№6 с. 84</vt:lpstr>
      <vt:lpstr>№7 с. 85</vt:lpstr>
      <vt:lpstr>№8 с. 85</vt:lpstr>
      <vt:lpstr>№9 с. 85</vt:lpstr>
      <vt:lpstr>№10 с. 85</vt:lpstr>
      <vt:lpstr>№11 с. 86</vt:lpstr>
      <vt:lpstr>№12 с. 86</vt:lpstr>
      <vt:lpstr>№13 с. 86</vt:lpstr>
      <vt:lpstr>Лист5</vt:lpstr>
      <vt:lpstr>№1 с. 90</vt:lpstr>
      <vt:lpstr>№2 с. 90</vt:lpstr>
      <vt:lpstr>№3 с. 90</vt:lpstr>
      <vt:lpstr>№4 с. 91</vt:lpstr>
      <vt:lpstr>№6 с. 91</vt:lpstr>
      <vt:lpstr>№7 с. 91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Жевагина Анастасия Владимировна</cp:lastModifiedBy>
  <dcterms:created xsi:type="dcterms:W3CDTF">2021-03-01T21:06:34Z</dcterms:created>
  <dcterms:modified xsi:type="dcterms:W3CDTF">2021-04-28T08:27:39Z</dcterms:modified>
</cp:coreProperties>
</file>