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\Documents\GitHub\FA\3 курс\Excel\Lab13-14\"/>
    </mc:Choice>
  </mc:AlternateContent>
  <xr:revisionPtr revIDLastSave="0" documentId="13_ncr:1_{B34CEA15-3996-432F-B155-3D7ABEF56E50}" xr6:coauthVersionLast="47" xr6:coauthVersionMax="47" xr10:uidLastSave="{00000000-0000-0000-0000-000000000000}"/>
  <bookViews>
    <workbookView xWindow="-108" yWindow="-108" windowWidth="23256" windowHeight="12576" firstSheet="4" activeTab="6" xr2:uid="{2EF4881A-7A1B-422F-98AF-2C314378E571}"/>
  </bookViews>
  <sheets>
    <sheet name="Сделки" sheetId="1" r:id="rId1"/>
    <sheet name="Котировки" sheetId="5" r:id="rId2"/>
    <sheet name="Купоны" sheetId="2" r:id="rId3"/>
    <sheet name="Сводная таблица" sheetId="4" r:id="rId4"/>
    <sheet name="Лист1" sheetId="6" r:id="rId5"/>
    <sheet name="Лист1 Подбор" sheetId="7" r:id="rId6"/>
    <sheet name="Тест" sheetId="9" r:id="rId7"/>
  </sheets>
  <externalReferences>
    <externalReference r:id="rId8"/>
  </externalReferences>
  <definedNames>
    <definedName name="_xlnm._FilterDatabase" localSheetId="0" hidden="1">Сделки!$A$1:$D$509</definedName>
    <definedName name="Quotes">#REF!</definedName>
    <definedName name="solver_adj" localSheetId="0" hidden="1">Сделки!#REF!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Сделки!#REF!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">[1]Сводная!$C$1</definedName>
    <definedName name="ГПБ001P13P">#REF!</definedName>
    <definedName name="Купон">[1]Сводная!$C$2</definedName>
    <definedName name="Номинал">[1]Сводная!$F$1</definedName>
    <definedName name="Ростел2P2R">#REF!</definedName>
    <definedName name="СберБ_БО3R">#REF!</definedName>
    <definedName name="Ставка">[1]Сводная!$I$1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9" l="1"/>
  <c r="C5" i="9"/>
  <c r="C10" i="9"/>
  <c r="C15" i="9"/>
  <c r="B352" i="7" l="1"/>
  <c r="H351" i="7"/>
  <c r="G351" i="7"/>
  <c r="D351" i="7"/>
  <c r="E351" i="7" s="1"/>
  <c r="F351" i="7" s="1"/>
  <c r="G350" i="7"/>
  <c r="H350" i="7" s="1"/>
  <c r="D350" i="7"/>
  <c r="E350" i="7" s="1"/>
  <c r="C350" i="7"/>
  <c r="F350" i="7" s="1"/>
  <c r="I350" i="7" s="1"/>
  <c r="J350" i="7" s="1"/>
  <c r="G349" i="7"/>
  <c r="H349" i="7" s="1"/>
  <c r="E349" i="7"/>
  <c r="D349" i="7"/>
  <c r="C349" i="7"/>
  <c r="F349" i="7" s="1"/>
  <c r="I349" i="7" s="1"/>
  <c r="J349" i="7" s="1"/>
  <c r="G348" i="7"/>
  <c r="H348" i="7" s="1"/>
  <c r="D348" i="7"/>
  <c r="E348" i="7" s="1"/>
  <c r="C348" i="7"/>
  <c r="G347" i="7"/>
  <c r="H347" i="7" s="1"/>
  <c r="D347" i="7"/>
  <c r="E347" i="7" s="1"/>
  <c r="C347" i="7"/>
  <c r="F347" i="7" s="1"/>
  <c r="I347" i="7" s="1"/>
  <c r="J347" i="7" s="1"/>
  <c r="G346" i="7"/>
  <c r="H346" i="7" s="1"/>
  <c r="E346" i="7"/>
  <c r="D346" i="7"/>
  <c r="C346" i="7"/>
  <c r="F346" i="7" s="1"/>
  <c r="I346" i="7" s="1"/>
  <c r="J346" i="7" s="1"/>
  <c r="G345" i="7"/>
  <c r="H345" i="7" s="1"/>
  <c r="D345" i="7"/>
  <c r="E345" i="7" s="1"/>
  <c r="C345" i="7"/>
  <c r="G344" i="7"/>
  <c r="H344" i="7" s="1"/>
  <c r="D344" i="7"/>
  <c r="E344" i="7" s="1"/>
  <c r="C344" i="7"/>
  <c r="F344" i="7" s="1"/>
  <c r="I344" i="7" s="1"/>
  <c r="J344" i="7" s="1"/>
  <c r="G343" i="7"/>
  <c r="H343" i="7" s="1"/>
  <c r="E343" i="7"/>
  <c r="D343" i="7"/>
  <c r="C343" i="7"/>
  <c r="F343" i="7" s="1"/>
  <c r="I343" i="7" s="1"/>
  <c r="J343" i="7" s="1"/>
  <c r="G342" i="7"/>
  <c r="H342" i="7" s="1"/>
  <c r="D342" i="7"/>
  <c r="E342" i="7" s="1"/>
  <c r="C342" i="7"/>
  <c r="F342" i="7" s="1"/>
  <c r="I342" i="7" s="1"/>
  <c r="J342" i="7" s="1"/>
  <c r="G341" i="7"/>
  <c r="H341" i="7" s="1"/>
  <c r="D341" i="7"/>
  <c r="E341" i="7" s="1"/>
  <c r="C341" i="7"/>
  <c r="F341" i="7" s="1"/>
  <c r="G340" i="7"/>
  <c r="H340" i="7" s="1"/>
  <c r="E340" i="7"/>
  <c r="D340" i="7"/>
  <c r="C340" i="7"/>
  <c r="F340" i="7" s="1"/>
  <c r="I340" i="7" s="1"/>
  <c r="J340" i="7" s="1"/>
  <c r="G339" i="7"/>
  <c r="H339" i="7" s="1"/>
  <c r="D339" i="7"/>
  <c r="E339" i="7" s="1"/>
  <c r="C339" i="7"/>
  <c r="G338" i="7"/>
  <c r="H338" i="7" s="1"/>
  <c r="D338" i="7"/>
  <c r="E338" i="7" s="1"/>
  <c r="C338" i="7"/>
  <c r="F338" i="7" s="1"/>
  <c r="I338" i="7" s="1"/>
  <c r="J338" i="7" s="1"/>
  <c r="G337" i="7"/>
  <c r="H337" i="7" s="1"/>
  <c r="E337" i="7"/>
  <c r="D337" i="7"/>
  <c r="C337" i="7"/>
  <c r="F337" i="7" s="1"/>
  <c r="I337" i="7" s="1"/>
  <c r="J337" i="7" s="1"/>
  <c r="G336" i="7"/>
  <c r="H336" i="7" s="1"/>
  <c r="D336" i="7"/>
  <c r="E336" i="7" s="1"/>
  <c r="C336" i="7"/>
  <c r="G335" i="7"/>
  <c r="H335" i="7" s="1"/>
  <c r="D335" i="7"/>
  <c r="E335" i="7" s="1"/>
  <c r="C335" i="7"/>
  <c r="F335" i="7" s="1"/>
  <c r="I335" i="7" s="1"/>
  <c r="J335" i="7" s="1"/>
  <c r="G334" i="7"/>
  <c r="H334" i="7" s="1"/>
  <c r="E334" i="7"/>
  <c r="D334" i="7"/>
  <c r="C334" i="7"/>
  <c r="F334" i="7" s="1"/>
  <c r="I334" i="7" s="1"/>
  <c r="J334" i="7" s="1"/>
  <c r="G333" i="7"/>
  <c r="H333" i="7" s="1"/>
  <c r="D333" i="7"/>
  <c r="E333" i="7" s="1"/>
  <c r="C333" i="7"/>
  <c r="G332" i="7"/>
  <c r="H332" i="7" s="1"/>
  <c r="D332" i="7"/>
  <c r="E332" i="7" s="1"/>
  <c r="C332" i="7"/>
  <c r="F332" i="7" s="1"/>
  <c r="G331" i="7"/>
  <c r="H331" i="7" s="1"/>
  <c r="E331" i="7"/>
  <c r="D331" i="7"/>
  <c r="C331" i="7"/>
  <c r="F331" i="7" s="1"/>
  <c r="I331" i="7" s="1"/>
  <c r="J331" i="7" s="1"/>
  <c r="G330" i="7"/>
  <c r="H330" i="7" s="1"/>
  <c r="D330" i="7"/>
  <c r="E330" i="7" s="1"/>
  <c r="C330" i="7"/>
  <c r="G329" i="7"/>
  <c r="H329" i="7" s="1"/>
  <c r="D329" i="7"/>
  <c r="E329" i="7" s="1"/>
  <c r="C329" i="7"/>
  <c r="F329" i="7" s="1"/>
  <c r="I329" i="7" s="1"/>
  <c r="J329" i="7" s="1"/>
  <c r="G328" i="7"/>
  <c r="H328" i="7" s="1"/>
  <c r="E328" i="7"/>
  <c r="D328" i="7"/>
  <c r="C328" i="7"/>
  <c r="F328" i="7" s="1"/>
  <c r="I328" i="7" s="1"/>
  <c r="J328" i="7" s="1"/>
  <c r="G327" i="7"/>
  <c r="H327" i="7" s="1"/>
  <c r="D327" i="7"/>
  <c r="E327" i="7" s="1"/>
  <c r="C327" i="7"/>
  <c r="G326" i="7"/>
  <c r="H326" i="7" s="1"/>
  <c r="D326" i="7"/>
  <c r="E326" i="7" s="1"/>
  <c r="C326" i="7"/>
  <c r="F326" i="7" s="1"/>
  <c r="I326" i="7" s="1"/>
  <c r="J326" i="7" s="1"/>
  <c r="G325" i="7"/>
  <c r="H325" i="7" s="1"/>
  <c r="E325" i="7"/>
  <c r="D325" i="7"/>
  <c r="C325" i="7"/>
  <c r="F325" i="7" s="1"/>
  <c r="G324" i="7"/>
  <c r="H324" i="7" s="1"/>
  <c r="D324" i="7"/>
  <c r="E324" i="7" s="1"/>
  <c r="C324" i="7"/>
  <c r="G323" i="7"/>
  <c r="H323" i="7" s="1"/>
  <c r="D323" i="7"/>
  <c r="E323" i="7" s="1"/>
  <c r="C323" i="7"/>
  <c r="F323" i="7" s="1"/>
  <c r="I323" i="7" s="1"/>
  <c r="J323" i="7" s="1"/>
  <c r="G322" i="7"/>
  <c r="H322" i="7" s="1"/>
  <c r="E322" i="7"/>
  <c r="D322" i="7"/>
  <c r="C322" i="7"/>
  <c r="F322" i="7" s="1"/>
  <c r="G321" i="7"/>
  <c r="H321" i="7" s="1"/>
  <c r="D321" i="7"/>
  <c r="E321" i="7" s="1"/>
  <c r="C321" i="7"/>
  <c r="G320" i="7"/>
  <c r="H320" i="7" s="1"/>
  <c r="D320" i="7"/>
  <c r="E320" i="7" s="1"/>
  <c r="C320" i="7"/>
  <c r="F320" i="7" s="1"/>
  <c r="I320" i="7" s="1"/>
  <c r="J320" i="7" s="1"/>
  <c r="G319" i="7"/>
  <c r="H319" i="7" s="1"/>
  <c r="E319" i="7"/>
  <c r="D319" i="7"/>
  <c r="C319" i="7"/>
  <c r="F319" i="7" s="1"/>
  <c r="G318" i="7"/>
  <c r="H318" i="7" s="1"/>
  <c r="D318" i="7"/>
  <c r="E318" i="7" s="1"/>
  <c r="C318" i="7"/>
  <c r="G317" i="7"/>
  <c r="H317" i="7" s="1"/>
  <c r="D317" i="7"/>
  <c r="E317" i="7" s="1"/>
  <c r="C317" i="7"/>
  <c r="F317" i="7" s="1"/>
  <c r="I317" i="7" s="1"/>
  <c r="J317" i="7" s="1"/>
  <c r="G316" i="7"/>
  <c r="H316" i="7" s="1"/>
  <c r="E316" i="7"/>
  <c r="D316" i="7"/>
  <c r="C316" i="7"/>
  <c r="F316" i="7" s="1"/>
  <c r="G315" i="7"/>
  <c r="H315" i="7" s="1"/>
  <c r="D315" i="7"/>
  <c r="E315" i="7" s="1"/>
  <c r="C315" i="7"/>
  <c r="G314" i="7"/>
  <c r="H314" i="7" s="1"/>
  <c r="D314" i="7"/>
  <c r="E314" i="7" s="1"/>
  <c r="C314" i="7"/>
  <c r="F314" i="7" s="1"/>
  <c r="I314" i="7" s="1"/>
  <c r="J314" i="7" s="1"/>
  <c r="G313" i="7"/>
  <c r="H313" i="7" s="1"/>
  <c r="E313" i="7"/>
  <c r="D313" i="7"/>
  <c r="C313" i="7"/>
  <c r="F313" i="7" s="1"/>
  <c r="H312" i="7"/>
  <c r="G312" i="7"/>
  <c r="D312" i="7"/>
  <c r="E312" i="7" s="1"/>
  <c r="C312" i="7"/>
  <c r="F312" i="7" s="1"/>
  <c r="G311" i="7"/>
  <c r="H311" i="7" s="1"/>
  <c r="F311" i="7"/>
  <c r="I311" i="7" s="1"/>
  <c r="J311" i="7" s="1"/>
  <c r="D311" i="7"/>
  <c r="E311" i="7" s="1"/>
  <c r="C311" i="7"/>
  <c r="H310" i="7"/>
  <c r="G310" i="7"/>
  <c r="E310" i="7"/>
  <c r="D310" i="7"/>
  <c r="C310" i="7"/>
  <c r="F310" i="7" s="1"/>
  <c r="I310" i="7" s="1"/>
  <c r="J310" i="7" s="1"/>
  <c r="G309" i="7"/>
  <c r="H309" i="7" s="1"/>
  <c r="D309" i="7"/>
  <c r="E309" i="7" s="1"/>
  <c r="C309" i="7"/>
  <c r="F309" i="7" s="1"/>
  <c r="G308" i="7"/>
  <c r="H308" i="7" s="1"/>
  <c r="D308" i="7"/>
  <c r="E308" i="7" s="1"/>
  <c r="C308" i="7"/>
  <c r="F308" i="7" s="1"/>
  <c r="I308" i="7" s="1"/>
  <c r="J308" i="7" s="1"/>
  <c r="G307" i="7"/>
  <c r="H307" i="7" s="1"/>
  <c r="E307" i="7"/>
  <c r="D307" i="7"/>
  <c r="C307" i="7"/>
  <c r="F307" i="7" s="1"/>
  <c r="G306" i="7"/>
  <c r="H306" i="7" s="1"/>
  <c r="D306" i="7"/>
  <c r="E306" i="7" s="1"/>
  <c r="C306" i="7"/>
  <c r="F306" i="7" s="1"/>
  <c r="G305" i="7"/>
  <c r="H305" i="7" s="1"/>
  <c r="D305" i="7"/>
  <c r="E305" i="7" s="1"/>
  <c r="C305" i="7"/>
  <c r="F305" i="7" s="1"/>
  <c r="I305" i="7" s="1"/>
  <c r="J305" i="7" s="1"/>
  <c r="H304" i="7"/>
  <c r="G304" i="7"/>
  <c r="D304" i="7"/>
  <c r="E304" i="7" s="1"/>
  <c r="C304" i="7"/>
  <c r="F304" i="7" s="1"/>
  <c r="H303" i="7"/>
  <c r="G303" i="7"/>
  <c r="D303" i="7"/>
  <c r="E303" i="7" s="1"/>
  <c r="C303" i="7"/>
  <c r="F303" i="7" s="1"/>
  <c r="H302" i="7"/>
  <c r="G302" i="7"/>
  <c r="F302" i="7"/>
  <c r="I302" i="7" s="1"/>
  <c r="J302" i="7" s="1"/>
  <c r="D302" i="7"/>
  <c r="E302" i="7" s="1"/>
  <c r="C302" i="7"/>
  <c r="G301" i="7"/>
  <c r="H301" i="7" s="1"/>
  <c r="D301" i="7"/>
  <c r="E301" i="7" s="1"/>
  <c r="C301" i="7"/>
  <c r="F301" i="7" s="1"/>
  <c r="G300" i="7"/>
  <c r="H300" i="7" s="1"/>
  <c r="D300" i="7"/>
  <c r="E300" i="7" s="1"/>
  <c r="C300" i="7"/>
  <c r="F300" i="7" s="1"/>
  <c r="H299" i="7"/>
  <c r="G299" i="7"/>
  <c r="D299" i="7"/>
  <c r="E299" i="7" s="1"/>
  <c r="C299" i="7"/>
  <c r="F299" i="7" s="1"/>
  <c r="I299" i="7" s="1"/>
  <c r="J299" i="7" s="1"/>
  <c r="H298" i="7"/>
  <c r="G298" i="7"/>
  <c r="D298" i="7"/>
  <c r="E298" i="7" s="1"/>
  <c r="C298" i="7"/>
  <c r="H297" i="7"/>
  <c r="G297" i="7"/>
  <c r="D297" i="7"/>
  <c r="E297" i="7" s="1"/>
  <c r="C297" i="7"/>
  <c r="G296" i="7"/>
  <c r="H296" i="7" s="1"/>
  <c r="D296" i="7"/>
  <c r="E296" i="7" s="1"/>
  <c r="C296" i="7"/>
  <c r="F296" i="7" s="1"/>
  <c r="G295" i="7"/>
  <c r="H295" i="7" s="1"/>
  <c r="E295" i="7"/>
  <c r="D295" i="7"/>
  <c r="C295" i="7"/>
  <c r="G294" i="7"/>
  <c r="H294" i="7" s="1"/>
  <c r="D294" i="7"/>
  <c r="E294" i="7" s="1"/>
  <c r="C294" i="7"/>
  <c r="H293" i="7"/>
  <c r="G293" i="7"/>
  <c r="D293" i="7"/>
  <c r="E293" i="7" s="1"/>
  <c r="C293" i="7"/>
  <c r="H292" i="7"/>
  <c r="G292" i="7"/>
  <c r="D292" i="7"/>
  <c r="E292" i="7" s="1"/>
  <c r="C292" i="7"/>
  <c r="G291" i="7"/>
  <c r="H291" i="7" s="1"/>
  <c r="D291" i="7"/>
  <c r="E291" i="7" s="1"/>
  <c r="C291" i="7"/>
  <c r="F291" i="7" s="1"/>
  <c r="I290" i="7"/>
  <c r="J290" i="7" s="1"/>
  <c r="H290" i="7"/>
  <c r="G290" i="7"/>
  <c r="D290" i="7"/>
  <c r="E290" i="7" s="1"/>
  <c r="C290" i="7"/>
  <c r="F290" i="7" s="1"/>
  <c r="H289" i="7"/>
  <c r="G289" i="7"/>
  <c r="D289" i="7"/>
  <c r="E289" i="7" s="1"/>
  <c r="C289" i="7"/>
  <c r="H288" i="7"/>
  <c r="G288" i="7"/>
  <c r="D288" i="7"/>
  <c r="E288" i="7" s="1"/>
  <c r="C288" i="7"/>
  <c r="G287" i="7"/>
  <c r="H287" i="7" s="1"/>
  <c r="D287" i="7"/>
  <c r="E287" i="7" s="1"/>
  <c r="C287" i="7"/>
  <c r="F287" i="7" s="1"/>
  <c r="I287" i="7" s="1"/>
  <c r="J287" i="7" s="1"/>
  <c r="G286" i="7"/>
  <c r="H286" i="7" s="1"/>
  <c r="E286" i="7"/>
  <c r="D286" i="7"/>
  <c r="C286" i="7"/>
  <c r="G285" i="7"/>
  <c r="H285" i="7" s="1"/>
  <c r="D285" i="7"/>
  <c r="E285" i="7" s="1"/>
  <c r="C285" i="7"/>
  <c r="H284" i="7"/>
  <c r="G284" i="7"/>
  <c r="D284" i="7"/>
  <c r="E284" i="7" s="1"/>
  <c r="C284" i="7"/>
  <c r="F284" i="7" s="1"/>
  <c r="I284" i="7" s="1"/>
  <c r="J284" i="7" s="1"/>
  <c r="H283" i="7"/>
  <c r="G283" i="7"/>
  <c r="D283" i="7"/>
  <c r="E283" i="7" s="1"/>
  <c r="C283" i="7"/>
  <c r="G282" i="7"/>
  <c r="H282" i="7" s="1"/>
  <c r="D282" i="7"/>
  <c r="E282" i="7" s="1"/>
  <c r="C282" i="7"/>
  <c r="F282" i="7" s="1"/>
  <c r="H281" i="7"/>
  <c r="G281" i="7"/>
  <c r="D281" i="7"/>
  <c r="E281" i="7" s="1"/>
  <c r="C281" i="7"/>
  <c r="F281" i="7" s="1"/>
  <c r="I281" i="7" s="1"/>
  <c r="J281" i="7" s="1"/>
  <c r="H280" i="7"/>
  <c r="G280" i="7"/>
  <c r="D280" i="7"/>
  <c r="E280" i="7" s="1"/>
  <c r="C280" i="7"/>
  <c r="H279" i="7"/>
  <c r="G279" i="7"/>
  <c r="D279" i="7"/>
  <c r="E279" i="7" s="1"/>
  <c r="C279" i="7"/>
  <c r="G278" i="7"/>
  <c r="H278" i="7" s="1"/>
  <c r="D278" i="7"/>
  <c r="E278" i="7" s="1"/>
  <c r="C278" i="7"/>
  <c r="F278" i="7" s="1"/>
  <c r="G277" i="7"/>
  <c r="H277" i="7" s="1"/>
  <c r="F277" i="7"/>
  <c r="I277" i="7" s="1"/>
  <c r="J277" i="7" s="1"/>
  <c r="E277" i="7"/>
  <c r="D277" i="7"/>
  <c r="C277" i="7"/>
  <c r="G276" i="7"/>
  <c r="H276" i="7" s="1"/>
  <c r="D276" i="7"/>
  <c r="E276" i="7" s="1"/>
  <c r="C276" i="7"/>
  <c r="F276" i="7" s="1"/>
  <c r="G275" i="7"/>
  <c r="H275" i="7" s="1"/>
  <c r="F275" i="7"/>
  <c r="I275" i="7" s="1"/>
  <c r="J275" i="7" s="1"/>
  <c r="D275" i="7"/>
  <c r="E275" i="7" s="1"/>
  <c r="C275" i="7"/>
  <c r="G274" i="7"/>
  <c r="H274" i="7" s="1"/>
  <c r="D274" i="7"/>
  <c r="E274" i="7" s="1"/>
  <c r="F274" i="7" s="1"/>
  <c r="I274" i="7" s="1"/>
  <c r="J274" i="7" s="1"/>
  <c r="C274" i="7"/>
  <c r="G273" i="7"/>
  <c r="H273" i="7" s="1"/>
  <c r="D273" i="7"/>
  <c r="E273" i="7" s="1"/>
  <c r="C273" i="7"/>
  <c r="F273" i="7" s="1"/>
  <c r="G272" i="7"/>
  <c r="H272" i="7" s="1"/>
  <c r="D272" i="7"/>
  <c r="E272" i="7" s="1"/>
  <c r="C272" i="7"/>
  <c r="F272" i="7" s="1"/>
  <c r="G271" i="7"/>
  <c r="H271" i="7" s="1"/>
  <c r="F271" i="7"/>
  <c r="I271" i="7" s="1"/>
  <c r="J271" i="7" s="1"/>
  <c r="D271" i="7"/>
  <c r="E271" i="7" s="1"/>
  <c r="C271" i="7"/>
  <c r="G270" i="7"/>
  <c r="H270" i="7" s="1"/>
  <c r="D270" i="7"/>
  <c r="E270" i="7" s="1"/>
  <c r="C270" i="7"/>
  <c r="F270" i="7" s="1"/>
  <c r="J269" i="7"/>
  <c r="G269" i="7"/>
  <c r="H269" i="7" s="1"/>
  <c r="D269" i="7"/>
  <c r="E269" i="7" s="1"/>
  <c r="F269" i="7" s="1"/>
  <c r="I269" i="7" s="1"/>
  <c r="C269" i="7"/>
  <c r="G268" i="7"/>
  <c r="H268" i="7" s="1"/>
  <c r="D268" i="7"/>
  <c r="E268" i="7" s="1"/>
  <c r="F268" i="7" s="1"/>
  <c r="I268" i="7" s="1"/>
  <c r="J268" i="7" s="1"/>
  <c r="C268" i="7"/>
  <c r="G267" i="7"/>
  <c r="H267" i="7" s="1"/>
  <c r="D267" i="7"/>
  <c r="E267" i="7" s="1"/>
  <c r="C267" i="7"/>
  <c r="H266" i="7"/>
  <c r="G266" i="7"/>
  <c r="D266" i="7"/>
  <c r="E266" i="7" s="1"/>
  <c r="C266" i="7"/>
  <c r="F266" i="7" s="1"/>
  <c r="H265" i="7"/>
  <c r="G265" i="7"/>
  <c r="F265" i="7"/>
  <c r="I265" i="7" s="1"/>
  <c r="J265" i="7" s="1"/>
  <c r="E265" i="7"/>
  <c r="D265" i="7"/>
  <c r="C265" i="7"/>
  <c r="G264" i="7"/>
  <c r="H264" i="7" s="1"/>
  <c r="E264" i="7"/>
  <c r="D264" i="7"/>
  <c r="C264" i="7"/>
  <c r="H263" i="7"/>
  <c r="G263" i="7"/>
  <c r="D263" i="7"/>
  <c r="E263" i="7" s="1"/>
  <c r="C263" i="7"/>
  <c r="F263" i="7" s="1"/>
  <c r="I263" i="7" s="1"/>
  <c r="J263" i="7" s="1"/>
  <c r="G262" i="7"/>
  <c r="H262" i="7" s="1"/>
  <c r="D262" i="7"/>
  <c r="E262" i="7" s="1"/>
  <c r="C262" i="7"/>
  <c r="F262" i="7" s="1"/>
  <c r="I262" i="7" s="1"/>
  <c r="J262" i="7" s="1"/>
  <c r="G261" i="7"/>
  <c r="H261" i="7" s="1"/>
  <c r="E261" i="7"/>
  <c r="D261" i="7"/>
  <c r="C261" i="7"/>
  <c r="G260" i="7"/>
  <c r="H260" i="7" s="1"/>
  <c r="F260" i="7"/>
  <c r="E260" i="7"/>
  <c r="D260" i="7"/>
  <c r="C260" i="7"/>
  <c r="H259" i="7"/>
  <c r="G259" i="7"/>
  <c r="E259" i="7"/>
  <c r="D259" i="7"/>
  <c r="C259" i="7"/>
  <c r="F259" i="7" s="1"/>
  <c r="I259" i="7" s="1"/>
  <c r="J259" i="7" s="1"/>
  <c r="H258" i="7"/>
  <c r="G258" i="7"/>
  <c r="D258" i="7"/>
  <c r="E258" i="7" s="1"/>
  <c r="C258" i="7"/>
  <c r="F258" i="7" s="1"/>
  <c r="I258" i="7" s="1"/>
  <c r="J258" i="7" s="1"/>
  <c r="H257" i="7"/>
  <c r="G257" i="7"/>
  <c r="E257" i="7"/>
  <c r="D257" i="7"/>
  <c r="C257" i="7"/>
  <c r="G256" i="7"/>
  <c r="H256" i="7" s="1"/>
  <c r="F256" i="7"/>
  <c r="I256" i="7" s="1"/>
  <c r="J256" i="7" s="1"/>
  <c r="D256" i="7"/>
  <c r="E256" i="7" s="1"/>
  <c r="C256" i="7"/>
  <c r="H255" i="7"/>
  <c r="G255" i="7"/>
  <c r="E255" i="7"/>
  <c r="D255" i="7"/>
  <c r="C255" i="7"/>
  <c r="G254" i="7"/>
  <c r="H254" i="7" s="1"/>
  <c r="D254" i="7"/>
  <c r="E254" i="7" s="1"/>
  <c r="C254" i="7"/>
  <c r="F254" i="7" s="1"/>
  <c r="I254" i="7" s="1"/>
  <c r="J254" i="7" s="1"/>
  <c r="H253" i="7"/>
  <c r="G253" i="7"/>
  <c r="D253" i="7"/>
  <c r="E253" i="7" s="1"/>
  <c r="F253" i="7" s="1"/>
  <c r="I253" i="7" s="1"/>
  <c r="J253" i="7" s="1"/>
  <c r="C253" i="7"/>
  <c r="G252" i="7"/>
  <c r="H252" i="7" s="1"/>
  <c r="I252" i="7" s="1"/>
  <c r="J252" i="7" s="1"/>
  <c r="E252" i="7"/>
  <c r="D252" i="7"/>
  <c r="C252" i="7"/>
  <c r="F252" i="7" s="1"/>
  <c r="G251" i="7"/>
  <c r="H251" i="7" s="1"/>
  <c r="D251" i="7"/>
  <c r="E251" i="7" s="1"/>
  <c r="C251" i="7"/>
  <c r="F251" i="7" s="1"/>
  <c r="I251" i="7" s="1"/>
  <c r="J251" i="7" s="1"/>
  <c r="H250" i="7"/>
  <c r="G250" i="7"/>
  <c r="F250" i="7"/>
  <c r="I250" i="7" s="1"/>
  <c r="J250" i="7" s="1"/>
  <c r="E250" i="7"/>
  <c r="D250" i="7"/>
  <c r="C250" i="7"/>
  <c r="G249" i="7"/>
  <c r="H249" i="7" s="1"/>
  <c r="D249" i="7"/>
  <c r="E249" i="7" s="1"/>
  <c r="C249" i="7"/>
  <c r="I248" i="7"/>
  <c r="J248" i="7" s="1"/>
  <c r="H248" i="7"/>
  <c r="G248" i="7"/>
  <c r="F248" i="7"/>
  <c r="E248" i="7"/>
  <c r="D248" i="7"/>
  <c r="C248" i="7"/>
  <c r="I247" i="7"/>
  <c r="J247" i="7" s="1"/>
  <c r="G247" i="7"/>
  <c r="H247" i="7" s="1"/>
  <c r="D247" i="7"/>
  <c r="E247" i="7" s="1"/>
  <c r="F247" i="7" s="1"/>
  <c r="C247" i="7"/>
  <c r="H246" i="7"/>
  <c r="G246" i="7"/>
  <c r="D246" i="7"/>
  <c r="E246" i="7" s="1"/>
  <c r="C246" i="7"/>
  <c r="G245" i="7"/>
  <c r="H245" i="7" s="1"/>
  <c r="F245" i="7"/>
  <c r="I245" i="7" s="1"/>
  <c r="J245" i="7" s="1"/>
  <c r="D245" i="7"/>
  <c r="E245" i="7" s="1"/>
  <c r="C245" i="7"/>
  <c r="G244" i="7"/>
  <c r="H244" i="7" s="1"/>
  <c r="D244" i="7"/>
  <c r="E244" i="7" s="1"/>
  <c r="C244" i="7"/>
  <c r="F244" i="7" s="1"/>
  <c r="G243" i="7"/>
  <c r="H243" i="7" s="1"/>
  <c r="E243" i="7"/>
  <c r="D243" i="7"/>
  <c r="C243" i="7"/>
  <c r="G242" i="7"/>
  <c r="H242" i="7" s="1"/>
  <c r="E242" i="7"/>
  <c r="F242" i="7" s="1"/>
  <c r="I242" i="7" s="1"/>
  <c r="J242" i="7" s="1"/>
  <c r="D242" i="7"/>
  <c r="C242" i="7"/>
  <c r="H241" i="7"/>
  <c r="G241" i="7"/>
  <c r="E241" i="7"/>
  <c r="D241" i="7"/>
  <c r="C241" i="7"/>
  <c r="F241" i="7" s="1"/>
  <c r="I241" i="7" s="1"/>
  <c r="J241" i="7" s="1"/>
  <c r="G240" i="7"/>
  <c r="H240" i="7" s="1"/>
  <c r="D240" i="7"/>
  <c r="E240" i="7" s="1"/>
  <c r="C240" i="7"/>
  <c r="F240" i="7" s="1"/>
  <c r="H239" i="7"/>
  <c r="G239" i="7"/>
  <c r="E239" i="7"/>
  <c r="D239" i="7"/>
  <c r="C239" i="7"/>
  <c r="G238" i="7"/>
  <c r="H238" i="7" s="1"/>
  <c r="D238" i="7"/>
  <c r="E238" i="7" s="1"/>
  <c r="C238" i="7"/>
  <c r="F238" i="7" s="1"/>
  <c r="G237" i="7"/>
  <c r="H237" i="7" s="1"/>
  <c r="E237" i="7"/>
  <c r="D237" i="7"/>
  <c r="C237" i="7"/>
  <c r="G236" i="7"/>
  <c r="H236" i="7" s="1"/>
  <c r="F236" i="7"/>
  <c r="I236" i="7" s="1"/>
  <c r="J236" i="7" s="1"/>
  <c r="D236" i="7"/>
  <c r="E236" i="7" s="1"/>
  <c r="C236" i="7"/>
  <c r="G235" i="7"/>
  <c r="H235" i="7" s="1"/>
  <c r="I235" i="7" s="1"/>
  <c r="J235" i="7" s="1"/>
  <c r="E235" i="7"/>
  <c r="F235" i="7" s="1"/>
  <c r="D235" i="7"/>
  <c r="C235" i="7"/>
  <c r="G234" i="7"/>
  <c r="H234" i="7" s="1"/>
  <c r="D234" i="7"/>
  <c r="E234" i="7" s="1"/>
  <c r="C234" i="7"/>
  <c r="H233" i="7"/>
  <c r="G233" i="7"/>
  <c r="D233" i="7"/>
  <c r="E233" i="7" s="1"/>
  <c r="C233" i="7"/>
  <c r="F233" i="7" s="1"/>
  <c r="H232" i="7"/>
  <c r="G232" i="7"/>
  <c r="E232" i="7"/>
  <c r="D232" i="7"/>
  <c r="C232" i="7"/>
  <c r="F232" i="7" s="1"/>
  <c r="I232" i="7" s="1"/>
  <c r="J232" i="7" s="1"/>
  <c r="G231" i="7"/>
  <c r="H231" i="7" s="1"/>
  <c r="D231" i="7"/>
  <c r="E231" i="7" s="1"/>
  <c r="C231" i="7"/>
  <c r="H230" i="7"/>
  <c r="G230" i="7"/>
  <c r="E230" i="7"/>
  <c r="F230" i="7" s="1"/>
  <c r="I230" i="7" s="1"/>
  <c r="J230" i="7" s="1"/>
  <c r="D230" i="7"/>
  <c r="C230" i="7"/>
  <c r="G229" i="7"/>
  <c r="H229" i="7" s="1"/>
  <c r="D229" i="7"/>
  <c r="E229" i="7" s="1"/>
  <c r="F229" i="7" s="1"/>
  <c r="C229" i="7"/>
  <c r="H228" i="7"/>
  <c r="G228" i="7"/>
  <c r="D228" i="7"/>
  <c r="E228" i="7" s="1"/>
  <c r="C228" i="7"/>
  <c r="F228" i="7" s="1"/>
  <c r="I228" i="7" s="1"/>
  <c r="J228" i="7" s="1"/>
  <c r="G227" i="7"/>
  <c r="H227" i="7" s="1"/>
  <c r="D227" i="7"/>
  <c r="E227" i="7" s="1"/>
  <c r="C227" i="7"/>
  <c r="F227" i="7" s="1"/>
  <c r="G226" i="7"/>
  <c r="H226" i="7" s="1"/>
  <c r="E226" i="7"/>
  <c r="D226" i="7"/>
  <c r="C226" i="7"/>
  <c r="G225" i="7"/>
  <c r="H225" i="7" s="1"/>
  <c r="E225" i="7"/>
  <c r="D225" i="7"/>
  <c r="C225" i="7"/>
  <c r="G224" i="7"/>
  <c r="H224" i="7" s="1"/>
  <c r="E224" i="7"/>
  <c r="F224" i="7" s="1"/>
  <c r="D224" i="7"/>
  <c r="C224" i="7"/>
  <c r="H223" i="7"/>
  <c r="G223" i="7"/>
  <c r="E223" i="7"/>
  <c r="D223" i="7"/>
  <c r="C223" i="7"/>
  <c r="F223" i="7" s="1"/>
  <c r="I223" i="7" s="1"/>
  <c r="J223" i="7" s="1"/>
  <c r="H222" i="7"/>
  <c r="G222" i="7"/>
  <c r="D222" i="7"/>
  <c r="E222" i="7" s="1"/>
  <c r="F222" i="7" s="1"/>
  <c r="I222" i="7" s="1"/>
  <c r="J222" i="7" s="1"/>
  <c r="C222" i="7"/>
  <c r="H221" i="7"/>
  <c r="G221" i="7"/>
  <c r="E221" i="7"/>
  <c r="D221" i="7"/>
  <c r="C221" i="7"/>
  <c r="H220" i="7"/>
  <c r="G220" i="7"/>
  <c r="D220" i="7"/>
  <c r="E220" i="7" s="1"/>
  <c r="F220" i="7" s="1"/>
  <c r="I220" i="7" s="1"/>
  <c r="J220" i="7" s="1"/>
  <c r="C220" i="7"/>
  <c r="H219" i="7"/>
  <c r="G219" i="7"/>
  <c r="E219" i="7"/>
  <c r="F219" i="7" s="1"/>
  <c r="D219" i="7"/>
  <c r="C219" i="7"/>
  <c r="G218" i="7"/>
  <c r="H218" i="7" s="1"/>
  <c r="D218" i="7"/>
  <c r="E218" i="7" s="1"/>
  <c r="C218" i="7"/>
  <c r="H217" i="7"/>
  <c r="G217" i="7"/>
  <c r="D217" i="7"/>
  <c r="E217" i="7" s="1"/>
  <c r="C217" i="7"/>
  <c r="G216" i="7"/>
  <c r="H216" i="7" s="1"/>
  <c r="E216" i="7"/>
  <c r="D216" i="7"/>
  <c r="C216" i="7"/>
  <c r="G215" i="7"/>
  <c r="H215" i="7" s="1"/>
  <c r="D215" i="7"/>
  <c r="E215" i="7" s="1"/>
  <c r="C215" i="7"/>
  <c r="F215" i="7" s="1"/>
  <c r="I215" i="7" s="1"/>
  <c r="J215" i="7" s="1"/>
  <c r="H214" i="7"/>
  <c r="G214" i="7"/>
  <c r="F214" i="7"/>
  <c r="E214" i="7"/>
  <c r="D214" i="7"/>
  <c r="C214" i="7"/>
  <c r="G213" i="7"/>
  <c r="H213" i="7" s="1"/>
  <c r="D213" i="7"/>
  <c r="E213" i="7" s="1"/>
  <c r="C213" i="7"/>
  <c r="H212" i="7"/>
  <c r="G212" i="7"/>
  <c r="E212" i="7"/>
  <c r="F212" i="7" s="1"/>
  <c r="I212" i="7" s="1"/>
  <c r="J212" i="7" s="1"/>
  <c r="D212" i="7"/>
  <c r="C212" i="7"/>
  <c r="G211" i="7"/>
  <c r="H211" i="7" s="1"/>
  <c r="F211" i="7"/>
  <c r="I211" i="7" s="1"/>
  <c r="J211" i="7" s="1"/>
  <c r="D211" i="7"/>
  <c r="E211" i="7" s="1"/>
  <c r="C211" i="7"/>
  <c r="H210" i="7"/>
  <c r="G210" i="7"/>
  <c r="D210" i="7"/>
  <c r="E210" i="7" s="1"/>
  <c r="C210" i="7"/>
  <c r="G209" i="7"/>
  <c r="H209" i="7" s="1"/>
  <c r="D209" i="7"/>
  <c r="E209" i="7" s="1"/>
  <c r="C209" i="7"/>
  <c r="G208" i="7"/>
  <c r="H208" i="7" s="1"/>
  <c r="D208" i="7"/>
  <c r="E208" i="7" s="1"/>
  <c r="C208" i="7"/>
  <c r="G207" i="7"/>
  <c r="H207" i="7" s="1"/>
  <c r="E207" i="7"/>
  <c r="D207" i="7"/>
  <c r="C207" i="7"/>
  <c r="F207" i="7" s="1"/>
  <c r="G206" i="7"/>
  <c r="H206" i="7" s="1"/>
  <c r="E206" i="7"/>
  <c r="F206" i="7" s="1"/>
  <c r="I206" i="7" s="1"/>
  <c r="J206" i="7" s="1"/>
  <c r="D206" i="7"/>
  <c r="C206" i="7"/>
  <c r="H205" i="7"/>
  <c r="G205" i="7"/>
  <c r="F205" i="7"/>
  <c r="I205" i="7" s="1"/>
  <c r="J205" i="7" s="1"/>
  <c r="E205" i="7"/>
  <c r="D205" i="7"/>
  <c r="C205" i="7"/>
  <c r="H204" i="7"/>
  <c r="G204" i="7"/>
  <c r="D204" i="7"/>
  <c r="E204" i="7" s="1"/>
  <c r="C204" i="7"/>
  <c r="I203" i="7"/>
  <c r="J203" i="7" s="1"/>
  <c r="H203" i="7"/>
  <c r="G203" i="7"/>
  <c r="E203" i="7"/>
  <c r="D203" i="7"/>
  <c r="C203" i="7"/>
  <c r="F203" i="7" s="1"/>
  <c r="G202" i="7"/>
  <c r="H202" i="7" s="1"/>
  <c r="D202" i="7"/>
  <c r="E202" i="7" s="1"/>
  <c r="F202" i="7" s="1"/>
  <c r="I202" i="7" s="1"/>
  <c r="J202" i="7" s="1"/>
  <c r="C202" i="7"/>
  <c r="H201" i="7"/>
  <c r="G201" i="7"/>
  <c r="E201" i="7"/>
  <c r="D201" i="7"/>
  <c r="C201" i="7"/>
  <c r="G200" i="7"/>
  <c r="H200" i="7" s="1"/>
  <c r="D200" i="7"/>
  <c r="E200" i="7" s="1"/>
  <c r="C200" i="7"/>
  <c r="F200" i="7" s="1"/>
  <c r="I200" i="7" s="1"/>
  <c r="J200" i="7" s="1"/>
  <c r="H199" i="7"/>
  <c r="G199" i="7"/>
  <c r="D199" i="7"/>
  <c r="E199" i="7" s="1"/>
  <c r="F199" i="7" s="1"/>
  <c r="I199" i="7" s="1"/>
  <c r="J199" i="7" s="1"/>
  <c r="C199" i="7"/>
  <c r="G198" i="7"/>
  <c r="H198" i="7" s="1"/>
  <c r="E198" i="7"/>
  <c r="D198" i="7"/>
  <c r="C198" i="7"/>
  <c r="G197" i="7"/>
  <c r="H197" i="7" s="1"/>
  <c r="E197" i="7"/>
  <c r="D197" i="7"/>
  <c r="C197" i="7"/>
  <c r="F197" i="7" s="1"/>
  <c r="I197" i="7" s="1"/>
  <c r="J197" i="7" s="1"/>
  <c r="H196" i="7"/>
  <c r="G196" i="7"/>
  <c r="F196" i="7"/>
  <c r="E196" i="7"/>
  <c r="D196" i="7"/>
  <c r="C196" i="7"/>
  <c r="H195" i="7"/>
  <c r="G195" i="7"/>
  <c r="D195" i="7"/>
  <c r="E195" i="7" s="1"/>
  <c r="C195" i="7"/>
  <c r="F195" i="7" s="1"/>
  <c r="I194" i="7"/>
  <c r="J194" i="7" s="1"/>
  <c r="H194" i="7"/>
  <c r="G194" i="7"/>
  <c r="E194" i="7"/>
  <c r="D194" i="7"/>
  <c r="C194" i="7"/>
  <c r="F194" i="7" s="1"/>
  <c r="G193" i="7"/>
  <c r="H193" i="7" s="1"/>
  <c r="F193" i="7"/>
  <c r="I193" i="7" s="1"/>
  <c r="J193" i="7" s="1"/>
  <c r="D193" i="7"/>
  <c r="E193" i="7" s="1"/>
  <c r="C193" i="7"/>
  <c r="H192" i="7"/>
  <c r="G192" i="7"/>
  <c r="E192" i="7"/>
  <c r="D192" i="7"/>
  <c r="C192" i="7"/>
  <c r="G191" i="7"/>
  <c r="H191" i="7" s="1"/>
  <c r="D191" i="7"/>
  <c r="E191" i="7" s="1"/>
  <c r="C191" i="7"/>
  <c r="F191" i="7" s="1"/>
  <c r="I191" i="7" s="1"/>
  <c r="J191" i="7" s="1"/>
  <c r="H190" i="7"/>
  <c r="G190" i="7"/>
  <c r="D190" i="7"/>
  <c r="E190" i="7" s="1"/>
  <c r="F190" i="7" s="1"/>
  <c r="I190" i="7" s="1"/>
  <c r="J190" i="7" s="1"/>
  <c r="C190" i="7"/>
  <c r="G189" i="7"/>
  <c r="H189" i="7" s="1"/>
  <c r="E189" i="7"/>
  <c r="D189" i="7"/>
  <c r="C189" i="7"/>
  <c r="F189" i="7" s="1"/>
  <c r="I189" i="7" s="1"/>
  <c r="J189" i="7" s="1"/>
  <c r="I188" i="7"/>
  <c r="J188" i="7" s="1"/>
  <c r="H188" i="7"/>
  <c r="G188" i="7"/>
  <c r="E188" i="7"/>
  <c r="F188" i="7" s="1"/>
  <c r="D188" i="7"/>
  <c r="C188" i="7"/>
  <c r="H187" i="7"/>
  <c r="G187" i="7"/>
  <c r="D187" i="7"/>
  <c r="E187" i="7" s="1"/>
  <c r="C187" i="7"/>
  <c r="F187" i="7" s="1"/>
  <c r="I187" i="7" s="1"/>
  <c r="J187" i="7" s="1"/>
  <c r="H186" i="7"/>
  <c r="G186" i="7"/>
  <c r="D186" i="7"/>
  <c r="E186" i="7" s="1"/>
  <c r="C186" i="7"/>
  <c r="F186" i="7" s="1"/>
  <c r="G185" i="7"/>
  <c r="H185" i="7" s="1"/>
  <c r="F185" i="7"/>
  <c r="I185" i="7" s="1"/>
  <c r="J185" i="7" s="1"/>
  <c r="E185" i="7"/>
  <c r="D185" i="7"/>
  <c r="C185" i="7"/>
  <c r="G184" i="7"/>
  <c r="H184" i="7" s="1"/>
  <c r="F184" i="7"/>
  <c r="I184" i="7" s="1"/>
  <c r="J184" i="7" s="1"/>
  <c r="D184" i="7"/>
  <c r="E184" i="7" s="1"/>
  <c r="C184" i="7"/>
  <c r="H183" i="7"/>
  <c r="G183" i="7"/>
  <c r="D183" i="7"/>
  <c r="E183" i="7" s="1"/>
  <c r="C183" i="7"/>
  <c r="G182" i="7"/>
  <c r="H182" i="7" s="1"/>
  <c r="F182" i="7"/>
  <c r="I182" i="7" s="1"/>
  <c r="J182" i="7" s="1"/>
  <c r="E182" i="7"/>
  <c r="D182" i="7"/>
  <c r="C182" i="7"/>
  <c r="G181" i="7"/>
  <c r="H181" i="7" s="1"/>
  <c r="D181" i="7"/>
  <c r="E181" i="7" s="1"/>
  <c r="F181" i="7" s="1"/>
  <c r="C181" i="7"/>
  <c r="G180" i="7"/>
  <c r="H180" i="7" s="1"/>
  <c r="E180" i="7"/>
  <c r="D180" i="7"/>
  <c r="C180" i="7"/>
  <c r="G179" i="7"/>
  <c r="H179" i="7" s="1"/>
  <c r="D179" i="7"/>
  <c r="E179" i="7" s="1"/>
  <c r="C179" i="7"/>
  <c r="H178" i="7"/>
  <c r="G178" i="7"/>
  <c r="E178" i="7"/>
  <c r="F178" i="7" s="1"/>
  <c r="I178" i="7" s="1"/>
  <c r="J178" i="7" s="1"/>
  <c r="D178" i="7"/>
  <c r="C178" i="7"/>
  <c r="G177" i="7"/>
  <c r="H177" i="7" s="1"/>
  <c r="E177" i="7"/>
  <c r="D177" i="7"/>
  <c r="C177" i="7"/>
  <c r="H176" i="7"/>
  <c r="G176" i="7"/>
  <c r="E176" i="7"/>
  <c r="D176" i="7"/>
  <c r="C176" i="7"/>
  <c r="G175" i="7"/>
  <c r="H175" i="7" s="1"/>
  <c r="I175" i="7" s="1"/>
  <c r="J175" i="7" s="1"/>
  <c r="F175" i="7"/>
  <c r="D175" i="7"/>
  <c r="E175" i="7" s="1"/>
  <c r="C175" i="7"/>
  <c r="H174" i="7"/>
  <c r="G174" i="7"/>
  <c r="D174" i="7"/>
  <c r="E174" i="7" s="1"/>
  <c r="C174" i="7"/>
  <c r="G173" i="7"/>
  <c r="H173" i="7" s="1"/>
  <c r="D173" i="7"/>
  <c r="E173" i="7" s="1"/>
  <c r="F173" i="7" s="1"/>
  <c r="I173" i="7" s="1"/>
  <c r="J173" i="7" s="1"/>
  <c r="C173" i="7"/>
  <c r="H172" i="7"/>
  <c r="G172" i="7"/>
  <c r="D172" i="7"/>
  <c r="E172" i="7" s="1"/>
  <c r="F172" i="7" s="1"/>
  <c r="I172" i="7" s="1"/>
  <c r="J172" i="7" s="1"/>
  <c r="C172" i="7"/>
  <c r="G171" i="7"/>
  <c r="H171" i="7" s="1"/>
  <c r="E171" i="7"/>
  <c r="D171" i="7"/>
  <c r="C171" i="7"/>
  <c r="F171" i="7" s="1"/>
  <c r="I171" i="7" s="1"/>
  <c r="J171" i="7" s="1"/>
  <c r="G170" i="7"/>
  <c r="H170" i="7" s="1"/>
  <c r="F170" i="7"/>
  <c r="E170" i="7"/>
  <c r="D170" i="7"/>
  <c r="C170" i="7"/>
  <c r="H169" i="7"/>
  <c r="G169" i="7"/>
  <c r="F169" i="7"/>
  <c r="I169" i="7" s="1"/>
  <c r="J169" i="7" s="1"/>
  <c r="E169" i="7"/>
  <c r="D169" i="7"/>
  <c r="C169" i="7"/>
  <c r="H168" i="7"/>
  <c r="G168" i="7"/>
  <c r="E168" i="7"/>
  <c r="D168" i="7"/>
  <c r="C168" i="7"/>
  <c r="H167" i="7"/>
  <c r="G167" i="7"/>
  <c r="D167" i="7"/>
  <c r="E167" i="7" s="1"/>
  <c r="C167" i="7"/>
  <c r="F167" i="7" s="1"/>
  <c r="I167" i="7" s="1"/>
  <c r="J167" i="7" s="1"/>
  <c r="G166" i="7"/>
  <c r="H166" i="7" s="1"/>
  <c r="D166" i="7"/>
  <c r="E166" i="7" s="1"/>
  <c r="C166" i="7"/>
  <c r="F166" i="7" s="1"/>
  <c r="I166" i="7" s="1"/>
  <c r="J166" i="7" s="1"/>
  <c r="G165" i="7"/>
  <c r="H165" i="7" s="1"/>
  <c r="D165" i="7"/>
  <c r="E165" i="7" s="1"/>
  <c r="C165" i="7"/>
  <c r="G164" i="7"/>
  <c r="H164" i="7" s="1"/>
  <c r="D164" i="7"/>
  <c r="E164" i="7" s="1"/>
  <c r="F164" i="7" s="1"/>
  <c r="I164" i="7" s="1"/>
  <c r="J164" i="7" s="1"/>
  <c r="C164" i="7"/>
  <c r="G163" i="7"/>
  <c r="H163" i="7" s="1"/>
  <c r="F163" i="7"/>
  <c r="I163" i="7" s="1"/>
  <c r="J163" i="7" s="1"/>
  <c r="E163" i="7"/>
  <c r="D163" i="7"/>
  <c r="C163" i="7"/>
  <c r="G162" i="7"/>
  <c r="H162" i="7" s="1"/>
  <c r="E162" i="7"/>
  <c r="D162" i="7"/>
  <c r="C162" i="7"/>
  <c r="H161" i="7"/>
  <c r="G161" i="7"/>
  <c r="E161" i="7"/>
  <c r="D161" i="7"/>
  <c r="C161" i="7"/>
  <c r="H160" i="7"/>
  <c r="G160" i="7"/>
  <c r="D160" i="7"/>
  <c r="E160" i="7" s="1"/>
  <c r="C160" i="7"/>
  <c r="G159" i="7"/>
  <c r="H159" i="7" s="1"/>
  <c r="D159" i="7"/>
  <c r="E159" i="7" s="1"/>
  <c r="C159" i="7"/>
  <c r="G158" i="7"/>
  <c r="H158" i="7" s="1"/>
  <c r="E158" i="7"/>
  <c r="F158" i="7" s="1"/>
  <c r="I158" i="7" s="1"/>
  <c r="J158" i="7" s="1"/>
  <c r="D158" i="7"/>
  <c r="C158" i="7"/>
  <c r="G157" i="7"/>
  <c r="H157" i="7" s="1"/>
  <c r="E157" i="7"/>
  <c r="F157" i="7" s="1"/>
  <c r="I157" i="7" s="1"/>
  <c r="J157" i="7" s="1"/>
  <c r="D157" i="7"/>
  <c r="C157" i="7"/>
  <c r="H156" i="7"/>
  <c r="G156" i="7"/>
  <c r="D156" i="7"/>
  <c r="E156" i="7" s="1"/>
  <c r="C156" i="7"/>
  <c r="H155" i="7"/>
  <c r="I155" i="7" s="1"/>
  <c r="J155" i="7" s="1"/>
  <c r="G155" i="7"/>
  <c r="D155" i="7"/>
  <c r="E155" i="7" s="1"/>
  <c r="C155" i="7"/>
  <c r="F155" i="7" s="1"/>
  <c r="H154" i="7"/>
  <c r="G154" i="7"/>
  <c r="D154" i="7"/>
  <c r="E154" i="7" s="1"/>
  <c r="C154" i="7"/>
  <c r="F154" i="7" s="1"/>
  <c r="I154" i="7" s="1"/>
  <c r="J154" i="7" s="1"/>
  <c r="G153" i="7"/>
  <c r="H153" i="7" s="1"/>
  <c r="E153" i="7"/>
  <c r="D153" i="7"/>
  <c r="C153" i="7"/>
  <c r="G152" i="7"/>
  <c r="H152" i="7" s="1"/>
  <c r="E152" i="7"/>
  <c r="F152" i="7" s="1"/>
  <c r="I152" i="7" s="1"/>
  <c r="J152" i="7" s="1"/>
  <c r="D152" i="7"/>
  <c r="C152" i="7"/>
  <c r="H151" i="7"/>
  <c r="G151" i="7"/>
  <c r="D151" i="7"/>
  <c r="E151" i="7" s="1"/>
  <c r="F151" i="7" s="1"/>
  <c r="I151" i="7" s="1"/>
  <c r="J151" i="7" s="1"/>
  <c r="C151" i="7"/>
  <c r="H150" i="7"/>
  <c r="G150" i="7"/>
  <c r="D150" i="7"/>
  <c r="E150" i="7" s="1"/>
  <c r="C150" i="7"/>
  <c r="H149" i="7"/>
  <c r="G149" i="7"/>
  <c r="D149" i="7"/>
  <c r="E149" i="7" s="1"/>
  <c r="C149" i="7"/>
  <c r="F149" i="7" s="1"/>
  <c r="I149" i="7" s="1"/>
  <c r="J149" i="7" s="1"/>
  <c r="H148" i="7"/>
  <c r="G148" i="7"/>
  <c r="D148" i="7"/>
  <c r="E148" i="7" s="1"/>
  <c r="C148" i="7"/>
  <c r="F148" i="7" s="1"/>
  <c r="I148" i="7" s="1"/>
  <c r="J148" i="7" s="1"/>
  <c r="H147" i="7"/>
  <c r="G147" i="7"/>
  <c r="D147" i="7"/>
  <c r="E147" i="7" s="1"/>
  <c r="F147" i="7" s="1"/>
  <c r="I147" i="7" s="1"/>
  <c r="J147" i="7" s="1"/>
  <c r="C147" i="7"/>
  <c r="G146" i="7"/>
  <c r="H146" i="7" s="1"/>
  <c r="F146" i="7"/>
  <c r="I146" i="7" s="1"/>
  <c r="J146" i="7" s="1"/>
  <c r="E146" i="7"/>
  <c r="D146" i="7"/>
  <c r="C146" i="7"/>
  <c r="G145" i="7"/>
  <c r="H145" i="7" s="1"/>
  <c r="I145" i="7" s="1"/>
  <c r="J145" i="7" s="1"/>
  <c r="F145" i="7"/>
  <c r="D145" i="7"/>
  <c r="E145" i="7" s="1"/>
  <c r="C145" i="7"/>
  <c r="H144" i="7"/>
  <c r="G144" i="7"/>
  <c r="D144" i="7"/>
  <c r="E144" i="7" s="1"/>
  <c r="C144" i="7"/>
  <c r="H143" i="7"/>
  <c r="G143" i="7"/>
  <c r="D143" i="7"/>
  <c r="E143" i="7" s="1"/>
  <c r="C143" i="7"/>
  <c r="G142" i="7"/>
  <c r="H142" i="7" s="1"/>
  <c r="D142" i="7"/>
  <c r="E142" i="7" s="1"/>
  <c r="F142" i="7" s="1"/>
  <c r="I142" i="7" s="1"/>
  <c r="J142" i="7" s="1"/>
  <c r="C142" i="7"/>
  <c r="G141" i="7"/>
  <c r="H141" i="7" s="1"/>
  <c r="D141" i="7"/>
  <c r="E141" i="7" s="1"/>
  <c r="F141" i="7" s="1"/>
  <c r="I141" i="7" s="1"/>
  <c r="J141" i="7" s="1"/>
  <c r="C141" i="7"/>
  <c r="H140" i="7"/>
  <c r="G140" i="7"/>
  <c r="E140" i="7"/>
  <c r="D140" i="7"/>
  <c r="C140" i="7"/>
  <c r="F140" i="7" s="1"/>
  <c r="G139" i="7"/>
  <c r="H139" i="7" s="1"/>
  <c r="D139" i="7"/>
  <c r="E139" i="7" s="1"/>
  <c r="C139" i="7"/>
  <c r="F139" i="7" s="1"/>
  <c r="G138" i="7"/>
  <c r="H138" i="7" s="1"/>
  <c r="E138" i="7"/>
  <c r="F138" i="7" s="1"/>
  <c r="D138" i="7"/>
  <c r="C138" i="7"/>
  <c r="G137" i="7"/>
  <c r="H137" i="7" s="1"/>
  <c r="F137" i="7"/>
  <c r="I137" i="7" s="1"/>
  <c r="J137" i="7" s="1"/>
  <c r="E137" i="7"/>
  <c r="D137" i="7"/>
  <c r="C137" i="7"/>
  <c r="H136" i="7"/>
  <c r="G136" i="7"/>
  <c r="D136" i="7"/>
  <c r="E136" i="7" s="1"/>
  <c r="C136" i="7"/>
  <c r="F136" i="7" s="1"/>
  <c r="H135" i="7"/>
  <c r="G135" i="7"/>
  <c r="D135" i="7"/>
  <c r="E135" i="7" s="1"/>
  <c r="C135" i="7"/>
  <c r="F135" i="7" s="1"/>
  <c r="I135" i="7" s="1"/>
  <c r="J135" i="7" s="1"/>
  <c r="G134" i="7"/>
  <c r="H134" i="7" s="1"/>
  <c r="D134" i="7"/>
  <c r="E134" i="7" s="1"/>
  <c r="C134" i="7"/>
  <c r="F134" i="7" s="1"/>
  <c r="I134" i="7" s="1"/>
  <c r="J134" i="7" s="1"/>
  <c r="G133" i="7"/>
  <c r="H133" i="7" s="1"/>
  <c r="F133" i="7"/>
  <c r="D133" i="7"/>
  <c r="E133" i="7" s="1"/>
  <c r="C133" i="7"/>
  <c r="G132" i="7"/>
  <c r="H132" i="7" s="1"/>
  <c r="F132" i="7"/>
  <c r="I132" i="7" s="1"/>
  <c r="J132" i="7" s="1"/>
  <c r="E132" i="7"/>
  <c r="D132" i="7"/>
  <c r="C132" i="7"/>
  <c r="H131" i="7"/>
  <c r="G131" i="7"/>
  <c r="E131" i="7"/>
  <c r="D131" i="7"/>
  <c r="C131" i="7"/>
  <c r="F131" i="7" s="1"/>
  <c r="I131" i="7" s="1"/>
  <c r="J131" i="7" s="1"/>
  <c r="H130" i="7"/>
  <c r="G130" i="7"/>
  <c r="D130" i="7"/>
  <c r="E130" i="7" s="1"/>
  <c r="C130" i="7"/>
  <c r="F130" i="7" s="1"/>
  <c r="I130" i="7" s="1"/>
  <c r="J130" i="7" s="1"/>
  <c r="H129" i="7"/>
  <c r="G129" i="7"/>
  <c r="D129" i="7"/>
  <c r="E129" i="7" s="1"/>
  <c r="F129" i="7" s="1"/>
  <c r="I129" i="7" s="1"/>
  <c r="J129" i="7" s="1"/>
  <c r="C129" i="7"/>
  <c r="G128" i="7"/>
  <c r="H128" i="7" s="1"/>
  <c r="F128" i="7"/>
  <c r="E128" i="7"/>
  <c r="D128" i="7"/>
  <c r="C128" i="7"/>
  <c r="G127" i="7"/>
  <c r="H127" i="7" s="1"/>
  <c r="I127" i="7" s="1"/>
  <c r="J127" i="7" s="1"/>
  <c r="F127" i="7"/>
  <c r="D127" i="7"/>
  <c r="E127" i="7" s="1"/>
  <c r="C127" i="7"/>
  <c r="H126" i="7"/>
  <c r="G126" i="7"/>
  <c r="D126" i="7"/>
  <c r="E126" i="7" s="1"/>
  <c r="C126" i="7"/>
  <c r="F126" i="7" s="1"/>
  <c r="I126" i="7" s="1"/>
  <c r="J126" i="7" s="1"/>
  <c r="H125" i="7"/>
  <c r="G125" i="7"/>
  <c r="D125" i="7"/>
  <c r="E125" i="7" s="1"/>
  <c r="C125" i="7"/>
  <c r="F125" i="7" s="1"/>
  <c r="I125" i="7" s="1"/>
  <c r="J125" i="7" s="1"/>
  <c r="G124" i="7"/>
  <c r="H124" i="7" s="1"/>
  <c r="D124" i="7"/>
  <c r="E124" i="7" s="1"/>
  <c r="F124" i="7" s="1"/>
  <c r="I124" i="7" s="1"/>
  <c r="J124" i="7" s="1"/>
  <c r="C124" i="7"/>
  <c r="G123" i="7"/>
  <c r="H123" i="7" s="1"/>
  <c r="D123" i="7"/>
  <c r="E123" i="7" s="1"/>
  <c r="F123" i="7" s="1"/>
  <c r="C123" i="7"/>
  <c r="G122" i="7"/>
  <c r="H122" i="7" s="1"/>
  <c r="E122" i="7"/>
  <c r="D122" i="7"/>
  <c r="C122" i="7"/>
  <c r="F122" i="7" s="1"/>
  <c r="G121" i="7"/>
  <c r="H121" i="7" s="1"/>
  <c r="D121" i="7"/>
  <c r="E121" i="7" s="1"/>
  <c r="C121" i="7"/>
  <c r="F121" i="7" s="1"/>
  <c r="I121" i="7" s="1"/>
  <c r="J121" i="7" s="1"/>
  <c r="J120" i="7"/>
  <c r="H120" i="7"/>
  <c r="G120" i="7"/>
  <c r="E120" i="7"/>
  <c r="F120" i="7" s="1"/>
  <c r="I120" i="7" s="1"/>
  <c r="D120" i="7"/>
  <c r="C120" i="7"/>
  <c r="G119" i="7"/>
  <c r="H119" i="7" s="1"/>
  <c r="F119" i="7"/>
  <c r="I119" i="7" s="1"/>
  <c r="J119" i="7" s="1"/>
  <c r="E119" i="7"/>
  <c r="D119" i="7"/>
  <c r="C119" i="7"/>
  <c r="H118" i="7"/>
  <c r="G118" i="7"/>
  <c r="D118" i="7"/>
  <c r="E118" i="7" s="1"/>
  <c r="C118" i="7"/>
  <c r="F118" i="7" s="1"/>
  <c r="H117" i="7"/>
  <c r="G117" i="7"/>
  <c r="D117" i="7"/>
  <c r="E117" i="7" s="1"/>
  <c r="C117" i="7"/>
  <c r="F117" i="7" s="1"/>
  <c r="I117" i="7" s="1"/>
  <c r="J117" i="7" s="1"/>
  <c r="G116" i="7"/>
  <c r="H116" i="7" s="1"/>
  <c r="D116" i="7"/>
  <c r="E116" i="7" s="1"/>
  <c r="C116" i="7"/>
  <c r="F116" i="7" s="1"/>
  <c r="I116" i="7" s="1"/>
  <c r="J116" i="7" s="1"/>
  <c r="G115" i="7"/>
  <c r="H115" i="7" s="1"/>
  <c r="F115" i="7"/>
  <c r="D115" i="7"/>
  <c r="E115" i="7" s="1"/>
  <c r="C115" i="7"/>
  <c r="G114" i="7"/>
  <c r="H114" i="7" s="1"/>
  <c r="F114" i="7"/>
  <c r="I114" i="7" s="1"/>
  <c r="J114" i="7" s="1"/>
  <c r="E114" i="7"/>
  <c r="D114" i="7"/>
  <c r="C114" i="7"/>
  <c r="H113" i="7"/>
  <c r="G113" i="7"/>
  <c r="E113" i="7"/>
  <c r="D113" i="7"/>
  <c r="C113" i="7"/>
  <c r="F113" i="7" s="1"/>
  <c r="I113" i="7" s="1"/>
  <c r="J113" i="7" s="1"/>
  <c r="H112" i="7"/>
  <c r="G112" i="7"/>
  <c r="D112" i="7"/>
  <c r="E112" i="7" s="1"/>
  <c r="C112" i="7"/>
  <c r="F112" i="7" s="1"/>
  <c r="I112" i="7" s="1"/>
  <c r="J112" i="7" s="1"/>
  <c r="H111" i="7"/>
  <c r="G111" i="7"/>
  <c r="D111" i="7"/>
  <c r="E111" i="7" s="1"/>
  <c r="F111" i="7" s="1"/>
  <c r="I111" i="7" s="1"/>
  <c r="J111" i="7" s="1"/>
  <c r="C111" i="7"/>
  <c r="G110" i="7"/>
  <c r="H110" i="7" s="1"/>
  <c r="F110" i="7"/>
  <c r="E110" i="7"/>
  <c r="D110" i="7"/>
  <c r="C110" i="7"/>
  <c r="G109" i="7"/>
  <c r="H109" i="7" s="1"/>
  <c r="I109" i="7" s="1"/>
  <c r="J109" i="7" s="1"/>
  <c r="F109" i="7"/>
  <c r="D109" i="7"/>
  <c r="E109" i="7" s="1"/>
  <c r="C109" i="7"/>
  <c r="H108" i="7"/>
  <c r="G108" i="7"/>
  <c r="D108" i="7"/>
  <c r="E108" i="7" s="1"/>
  <c r="C108" i="7"/>
  <c r="F108" i="7" s="1"/>
  <c r="I108" i="7" s="1"/>
  <c r="J108" i="7" s="1"/>
  <c r="H107" i="7"/>
  <c r="G107" i="7"/>
  <c r="D107" i="7"/>
  <c r="E107" i="7" s="1"/>
  <c r="C107" i="7"/>
  <c r="F107" i="7" s="1"/>
  <c r="I107" i="7" s="1"/>
  <c r="J107" i="7" s="1"/>
  <c r="G106" i="7"/>
  <c r="H106" i="7" s="1"/>
  <c r="D106" i="7"/>
  <c r="E106" i="7" s="1"/>
  <c r="F106" i="7" s="1"/>
  <c r="I106" i="7" s="1"/>
  <c r="J106" i="7" s="1"/>
  <c r="C106" i="7"/>
  <c r="G105" i="7"/>
  <c r="H105" i="7" s="1"/>
  <c r="D105" i="7"/>
  <c r="E105" i="7" s="1"/>
  <c r="F105" i="7" s="1"/>
  <c r="C105" i="7"/>
  <c r="G104" i="7"/>
  <c r="H104" i="7" s="1"/>
  <c r="E104" i="7"/>
  <c r="D104" i="7"/>
  <c r="C104" i="7"/>
  <c r="F104" i="7" s="1"/>
  <c r="G103" i="7"/>
  <c r="H103" i="7" s="1"/>
  <c r="D103" i="7"/>
  <c r="E103" i="7" s="1"/>
  <c r="C103" i="7"/>
  <c r="F103" i="7" s="1"/>
  <c r="I103" i="7" s="1"/>
  <c r="J103" i="7" s="1"/>
  <c r="J102" i="7"/>
  <c r="H102" i="7"/>
  <c r="G102" i="7"/>
  <c r="E102" i="7"/>
  <c r="F102" i="7" s="1"/>
  <c r="I102" i="7" s="1"/>
  <c r="D102" i="7"/>
  <c r="C102" i="7"/>
  <c r="G101" i="7"/>
  <c r="H101" i="7" s="1"/>
  <c r="F101" i="7"/>
  <c r="I101" i="7" s="1"/>
  <c r="J101" i="7" s="1"/>
  <c r="E101" i="7"/>
  <c r="D101" i="7"/>
  <c r="C101" i="7"/>
  <c r="H100" i="7"/>
  <c r="G100" i="7"/>
  <c r="D100" i="7"/>
  <c r="E100" i="7" s="1"/>
  <c r="C100" i="7"/>
  <c r="F100" i="7" s="1"/>
  <c r="H99" i="7"/>
  <c r="G99" i="7"/>
  <c r="D99" i="7"/>
  <c r="E99" i="7" s="1"/>
  <c r="C99" i="7"/>
  <c r="F99" i="7" s="1"/>
  <c r="I99" i="7" s="1"/>
  <c r="J99" i="7" s="1"/>
  <c r="G98" i="7"/>
  <c r="H98" i="7" s="1"/>
  <c r="D98" i="7"/>
  <c r="E98" i="7" s="1"/>
  <c r="C98" i="7"/>
  <c r="F98" i="7" s="1"/>
  <c r="I98" i="7" s="1"/>
  <c r="J98" i="7" s="1"/>
  <c r="G97" i="7"/>
  <c r="H97" i="7" s="1"/>
  <c r="F97" i="7"/>
  <c r="D97" i="7"/>
  <c r="E97" i="7" s="1"/>
  <c r="C97" i="7"/>
  <c r="G96" i="7"/>
  <c r="H96" i="7" s="1"/>
  <c r="F96" i="7"/>
  <c r="I96" i="7" s="1"/>
  <c r="J96" i="7" s="1"/>
  <c r="E96" i="7"/>
  <c r="D96" i="7"/>
  <c r="C96" i="7"/>
  <c r="H95" i="7"/>
  <c r="G95" i="7"/>
  <c r="E95" i="7"/>
  <c r="D95" i="7"/>
  <c r="C95" i="7"/>
  <c r="F95" i="7" s="1"/>
  <c r="I95" i="7" s="1"/>
  <c r="J95" i="7" s="1"/>
  <c r="H94" i="7"/>
  <c r="G94" i="7"/>
  <c r="D94" i="7"/>
  <c r="E94" i="7" s="1"/>
  <c r="C94" i="7"/>
  <c r="F94" i="7" s="1"/>
  <c r="I94" i="7" s="1"/>
  <c r="J94" i="7" s="1"/>
  <c r="H93" i="7"/>
  <c r="G93" i="7"/>
  <c r="D93" i="7"/>
  <c r="E93" i="7" s="1"/>
  <c r="F93" i="7" s="1"/>
  <c r="I93" i="7" s="1"/>
  <c r="J93" i="7" s="1"/>
  <c r="C93" i="7"/>
  <c r="G92" i="7"/>
  <c r="H92" i="7" s="1"/>
  <c r="F92" i="7"/>
  <c r="E92" i="7"/>
  <c r="D92" i="7"/>
  <c r="C92" i="7"/>
  <c r="G91" i="7"/>
  <c r="H91" i="7" s="1"/>
  <c r="I91" i="7" s="1"/>
  <c r="J91" i="7" s="1"/>
  <c r="F91" i="7"/>
  <c r="D91" i="7"/>
  <c r="E91" i="7" s="1"/>
  <c r="C91" i="7"/>
  <c r="H90" i="7"/>
  <c r="G90" i="7"/>
  <c r="D90" i="7"/>
  <c r="E90" i="7" s="1"/>
  <c r="C90" i="7"/>
  <c r="F90" i="7" s="1"/>
  <c r="I90" i="7" s="1"/>
  <c r="J90" i="7" s="1"/>
  <c r="H89" i="7"/>
  <c r="G89" i="7"/>
  <c r="D89" i="7"/>
  <c r="E89" i="7" s="1"/>
  <c r="C89" i="7"/>
  <c r="F89" i="7" s="1"/>
  <c r="I89" i="7" s="1"/>
  <c r="J89" i="7" s="1"/>
  <c r="G88" i="7"/>
  <c r="H88" i="7" s="1"/>
  <c r="D88" i="7"/>
  <c r="E88" i="7" s="1"/>
  <c r="F88" i="7" s="1"/>
  <c r="I88" i="7" s="1"/>
  <c r="J88" i="7" s="1"/>
  <c r="C88" i="7"/>
  <c r="G87" i="7"/>
  <c r="H87" i="7" s="1"/>
  <c r="D87" i="7"/>
  <c r="E87" i="7" s="1"/>
  <c r="F87" i="7" s="1"/>
  <c r="C87" i="7"/>
  <c r="G86" i="7"/>
  <c r="H86" i="7" s="1"/>
  <c r="E86" i="7"/>
  <c r="D86" i="7"/>
  <c r="C86" i="7"/>
  <c r="F86" i="7" s="1"/>
  <c r="G85" i="7"/>
  <c r="H85" i="7" s="1"/>
  <c r="D85" i="7"/>
  <c r="E85" i="7" s="1"/>
  <c r="C85" i="7"/>
  <c r="F85" i="7" s="1"/>
  <c r="I85" i="7" s="1"/>
  <c r="J85" i="7" s="1"/>
  <c r="J84" i="7"/>
  <c r="H84" i="7"/>
  <c r="G84" i="7"/>
  <c r="E84" i="7"/>
  <c r="F84" i="7" s="1"/>
  <c r="I84" i="7" s="1"/>
  <c r="D84" i="7"/>
  <c r="C84" i="7"/>
  <c r="G83" i="7"/>
  <c r="H83" i="7" s="1"/>
  <c r="F83" i="7"/>
  <c r="I83" i="7" s="1"/>
  <c r="J83" i="7" s="1"/>
  <c r="E83" i="7"/>
  <c r="D83" i="7"/>
  <c r="C83" i="7"/>
  <c r="H82" i="7"/>
  <c r="G82" i="7"/>
  <c r="D82" i="7"/>
  <c r="E82" i="7" s="1"/>
  <c r="C82" i="7"/>
  <c r="F82" i="7" s="1"/>
  <c r="H81" i="7"/>
  <c r="G81" i="7"/>
  <c r="D81" i="7"/>
  <c r="E81" i="7" s="1"/>
  <c r="C81" i="7"/>
  <c r="F81" i="7" s="1"/>
  <c r="I81" i="7" s="1"/>
  <c r="J81" i="7" s="1"/>
  <c r="G80" i="7"/>
  <c r="H80" i="7" s="1"/>
  <c r="D80" i="7"/>
  <c r="E80" i="7" s="1"/>
  <c r="C80" i="7"/>
  <c r="F80" i="7" s="1"/>
  <c r="I80" i="7" s="1"/>
  <c r="J80" i="7" s="1"/>
  <c r="G79" i="7"/>
  <c r="H79" i="7" s="1"/>
  <c r="F79" i="7"/>
  <c r="D79" i="7"/>
  <c r="E79" i="7" s="1"/>
  <c r="C79" i="7"/>
  <c r="G78" i="7"/>
  <c r="H78" i="7" s="1"/>
  <c r="F78" i="7"/>
  <c r="I78" i="7" s="1"/>
  <c r="J78" i="7" s="1"/>
  <c r="E78" i="7"/>
  <c r="D78" i="7"/>
  <c r="C78" i="7"/>
  <c r="H77" i="7"/>
  <c r="G77" i="7"/>
  <c r="E77" i="7"/>
  <c r="D77" i="7"/>
  <c r="C77" i="7"/>
  <c r="F77" i="7" s="1"/>
  <c r="I77" i="7" s="1"/>
  <c r="J77" i="7" s="1"/>
  <c r="H76" i="7"/>
  <c r="G76" i="7"/>
  <c r="D76" i="7"/>
  <c r="E76" i="7" s="1"/>
  <c r="C76" i="7"/>
  <c r="F76" i="7" s="1"/>
  <c r="I76" i="7" s="1"/>
  <c r="J76" i="7" s="1"/>
  <c r="H75" i="7"/>
  <c r="G75" i="7"/>
  <c r="D75" i="7"/>
  <c r="E75" i="7" s="1"/>
  <c r="F75" i="7" s="1"/>
  <c r="I75" i="7" s="1"/>
  <c r="J75" i="7" s="1"/>
  <c r="C75" i="7"/>
  <c r="G74" i="7"/>
  <c r="H74" i="7" s="1"/>
  <c r="F74" i="7"/>
  <c r="E74" i="7"/>
  <c r="D74" i="7"/>
  <c r="C74" i="7"/>
  <c r="G73" i="7"/>
  <c r="H73" i="7" s="1"/>
  <c r="I73" i="7" s="1"/>
  <c r="J73" i="7" s="1"/>
  <c r="F73" i="7"/>
  <c r="D73" i="7"/>
  <c r="E73" i="7" s="1"/>
  <c r="C73" i="7"/>
  <c r="H72" i="7"/>
  <c r="G72" i="7"/>
  <c r="D72" i="7"/>
  <c r="E72" i="7" s="1"/>
  <c r="C72" i="7"/>
  <c r="H71" i="7"/>
  <c r="G71" i="7"/>
  <c r="E71" i="7"/>
  <c r="D71" i="7"/>
  <c r="C71" i="7"/>
  <c r="G70" i="7"/>
  <c r="H70" i="7" s="1"/>
  <c r="D70" i="7"/>
  <c r="E70" i="7" s="1"/>
  <c r="F70" i="7" s="1"/>
  <c r="I70" i="7" s="1"/>
  <c r="J70" i="7" s="1"/>
  <c r="C70" i="7"/>
  <c r="H69" i="7"/>
  <c r="G69" i="7"/>
  <c r="D69" i="7"/>
  <c r="E69" i="7" s="1"/>
  <c r="F69" i="7" s="1"/>
  <c r="C69" i="7"/>
  <c r="G68" i="7"/>
  <c r="H68" i="7" s="1"/>
  <c r="E68" i="7"/>
  <c r="D68" i="7"/>
  <c r="C68" i="7"/>
  <c r="F68" i="7" s="1"/>
  <c r="G67" i="7"/>
  <c r="H67" i="7" s="1"/>
  <c r="D67" i="7"/>
  <c r="E67" i="7" s="1"/>
  <c r="C67" i="7"/>
  <c r="F67" i="7" s="1"/>
  <c r="G66" i="7"/>
  <c r="H66" i="7" s="1"/>
  <c r="F66" i="7"/>
  <c r="I66" i="7" s="1"/>
  <c r="J66" i="7" s="1"/>
  <c r="E66" i="7"/>
  <c r="D66" i="7"/>
  <c r="C66" i="7"/>
  <c r="G65" i="7"/>
  <c r="H65" i="7" s="1"/>
  <c r="E65" i="7"/>
  <c r="D65" i="7"/>
  <c r="C65" i="7"/>
  <c r="F65" i="7" s="1"/>
  <c r="G64" i="7"/>
  <c r="H64" i="7" s="1"/>
  <c r="D64" i="7"/>
  <c r="E64" i="7" s="1"/>
  <c r="C64" i="7"/>
  <c r="F64" i="7" s="1"/>
  <c r="I64" i="7" s="1"/>
  <c r="J64" i="7" s="1"/>
  <c r="G63" i="7"/>
  <c r="H63" i="7" s="1"/>
  <c r="F63" i="7"/>
  <c r="I63" i="7" s="1"/>
  <c r="J63" i="7" s="1"/>
  <c r="E63" i="7"/>
  <c r="D63" i="7"/>
  <c r="C63" i="7"/>
  <c r="G62" i="7"/>
  <c r="H62" i="7" s="1"/>
  <c r="E62" i="7"/>
  <c r="D62" i="7"/>
  <c r="C62" i="7"/>
  <c r="F62" i="7" s="1"/>
  <c r="G61" i="7"/>
  <c r="H61" i="7" s="1"/>
  <c r="D61" i="7"/>
  <c r="E61" i="7" s="1"/>
  <c r="C61" i="7"/>
  <c r="F61" i="7" s="1"/>
  <c r="I61" i="7" s="1"/>
  <c r="J61" i="7" s="1"/>
  <c r="G60" i="7"/>
  <c r="H60" i="7" s="1"/>
  <c r="F60" i="7"/>
  <c r="E60" i="7"/>
  <c r="D60" i="7"/>
  <c r="C60" i="7"/>
  <c r="H59" i="7"/>
  <c r="G59" i="7"/>
  <c r="E59" i="7"/>
  <c r="D59" i="7"/>
  <c r="C59" i="7"/>
  <c r="F59" i="7" s="1"/>
  <c r="I59" i="7" s="1"/>
  <c r="J59" i="7" s="1"/>
  <c r="G58" i="7"/>
  <c r="H58" i="7" s="1"/>
  <c r="D58" i="7"/>
  <c r="E58" i="7" s="1"/>
  <c r="C58" i="7"/>
  <c r="G57" i="7"/>
  <c r="H57" i="7" s="1"/>
  <c r="F57" i="7"/>
  <c r="I57" i="7" s="1"/>
  <c r="J57" i="7" s="1"/>
  <c r="E57" i="7"/>
  <c r="D57" i="7"/>
  <c r="C57" i="7"/>
  <c r="H56" i="7"/>
  <c r="G56" i="7"/>
  <c r="E56" i="7"/>
  <c r="D56" i="7"/>
  <c r="C56" i="7"/>
  <c r="F56" i="7" s="1"/>
  <c r="I56" i="7" s="1"/>
  <c r="J56" i="7" s="1"/>
  <c r="J55" i="7"/>
  <c r="G55" i="7"/>
  <c r="H55" i="7" s="1"/>
  <c r="D55" i="7"/>
  <c r="E55" i="7" s="1"/>
  <c r="C55" i="7"/>
  <c r="F55" i="7" s="1"/>
  <c r="I55" i="7" s="1"/>
  <c r="G54" i="7"/>
  <c r="H54" i="7" s="1"/>
  <c r="F54" i="7"/>
  <c r="E54" i="7"/>
  <c r="D54" i="7"/>
  <c r="C54" i="7"/>
  <c r="H53" i="7"/>
  <c r="G53" i="7"/>
  <c r="E53" i="7"/>
  <c r="D53" i="7"/>
  <c r="C53" i="7"/>
  <c r="F53" i="7" s="1"/>
  <c r="G52" i="7"/>
  <c r="H52" i="7" s="1"/>
  <c r="D52" i="7"/>
  <c r="E52" i="7" s="1"/>
  <c r="C52" i="7"/>
  <c r="G51" i="7"/>
  <c r="H51" i="7" s="1"/>
  <c r="F51" i="7"/>
  <c r="I51" i="7" s="1"/>
  <c r="J51" i="7" s="1"/>
  <c r="E51" i="7"/>
  <c r="D51" i="7"/>
  <c r="C51" i="7"/>
  <c r="G50" i="7"/>
  <c r="H50" i="7" s="1"/>
  <c r="E50" i="7"/>
  <c r="D50" i="7"/>
  <c r="C50" i="7"/>
  <c r="F50" i="7" s="1"/>
  <c r="G49" i="7"/>
  <c r="H49" i="7" s="1"/>
  <c r="D49" i="7"/>
  <c r="E49" i="7" s="1"/>
  <c r="C49" i="7"/>
  <c r="F49" i="7" s="1"/>
  <c r="I49" i="7" s="1"/>
  <c r="J49" i="7" s="1"/>
  <c r="G48" i="7"/>
  <c r="H48" i="7" s="1"/>
  <c r="E48" i="7"/>
  <c r="D48" i="7"/>
  <c r="C48" i="7"/>
  <c r="F48" i="7" s="1"/>
  <c r="I48" i="7" s="1"/>
  <c r="J48" i="7" s="1"/>
  <c r="G47" i="7"/>
  <c r="H47" i="7" s="1"/>
  <c r="E47" i="7"/>
  <c r="D47" i="7"/>
  <c r="C47" i="7"/>
  <c r="F47" i="7" s="1"/>
  <c r="G46" i="7"/>
  <c r="H46" i="7" s="1"/>
  <c r="D46" i="7"/>
  <c r="E46" i="7" s="1"/>
  <c r="C46" i="7"/>
  <c r="F46" i="7" s="1"/>
  <c r="I46" i="7" s="1"/>
  <c r="J46" i="7" s="1"/>
  <c r="G45" i="7"/>
  <c r="H45" i="7" s="1"/>
  <c r="F45" i="7"/>
  <c r="I45" i="7" s="1"/>
  <c r="J45" i="7" s="1"/>
  <c r="E45" i="7"/>
  <c r="D45" i="7"/>
  <c r="C45" i="7"/>
  <c r="H44" i="7"/>
  <c r="G44" i="7"/>
  <c r="E44" i="7"/>
  <c r="D44" i="7"/>
  <c r="C44" i="7"/>
  <c r="F44" i="7" s="1"/>
  <c r="I44" i="7" s="1"/>
  <c r="J44" i="7" s="1"/>
  <c r="G43" i="7"/>
  <c r="H43" i="7" s="1"/>
  <c r="D43" i="7"/>
  <c r="E43" i="7" s="1"/>
  <c r="C43" i="7"/>
  <c r="F43" i="7" s="1"/>
  <c r="I43" i="7" s="1"/>
  <c r="J43" i="7" s="1"/>
  <c r="G42" i="7"/>
  <c r="H42" i="7" s="1"/>
  <c r="E42" i="7"/>
  <c r="D42" i="7"/>
  <c r="C42" i="7"/>
  <c r="F42" i="7" s="1"/>
  <c r="I42" i="7" s="1"/>
  <c r="J42" i="7" s="1"/>
  <c r="H41" i="7"/>
  <c r="G41" i="7"/>
  <c r="D41" i="7"/>
  <c r="E41" i="7" s="1"/>
  <c r="C41" i="7"/>
  <c r="G40" i="7"/>
  <c r="H40" i="7" s="1"/>
  <c r="D40" i="7"/>
  <c r="E40" i="7" s="1"/>
  <c r="C40" i="7"/>
  <c r="F40" i="7" s="1"/>
  <c r="I40" i="7" s="1"/>
  <c r="J40" i="7" s="1"/>
  <c r="G39" i="7"/>
  <c r="H39" i="7" s="1"/>
  <c r="E39" i="7"/>
  <c r="D39" i="7"/>
  <c r="C39" i="7"/>
  <c r="F39" i="7" s="1"/>
  <c r="I39" i="7" s="1"/>
  <c r="J39" i="7" s="1"/>
  <c r="G38" i="7"/>
  <c r="H38" i="7" s="1"/>
  <c r="D38" i="7"/>
  <c r="E38" i="7" s="1"/>
  <c r="C38" i="7"/>
  <c r="F38" i="7" s="1"/>
  <c r="G37" i="7"/>
  <c r="H37" i="7" s="1"/>
  <c r="D37" i="7"/>
  <c r="E37" i="7" s="1"/>
  <c r="C37" i="7"/>
  <c r="G36" i="7"/>
  <c r="H36" i="7" s="1"/>
  <c r="F36" i="7"/>
  <c r="I36" i="7" s="1"/>
  <c r="J36" i="7" s="1"/>
  <c r="E36" i="7"/>
  <c r="D36" i="7"/>
  <c r="C36" i="7"/>
  <c r="H35" i="7"/>
  <c r="G35" i="7"/>
  <c r="D35" i="7"/>
  <c r="E35" i="7" s="1"/>
  <c r="C35" i="7"/>
  <c r="G34" i="7"/>
  <c r="H34" i="7" s="1"/>
  <c r="D34" i="7"/>
  <c r="E34" i="7" s="1"/>
  <c r="C34" i="7"/>
  <c r="F34" i="7" s="1"/>
  <c r="G33" i="7"/>
  <c r="H33" i="7" s="1"/>
  <c r="E33" i="7"/>
  <c r="D33" i="7"/>
  <c r="C33" i="7"/>
  <c r="F33" i="7" s="1"/>
  <c r="I33" i="7" s="1"/>
  <c r="J33" i="7" s="1"/>
  <c r="G32" i="7"/>
  <c r="H32" i="7" s="1"/>
  <c r="D32" i="7"/>
  <c r="E32" i="7" s="1"/>
  <c r="C32" i="7"/>
  <c r="F32" i="7" s="1"/>
  <c r="J31" i="7"/>
  <c r="G31" i="7"/>
  <c r="H31" i="7" s="1"/>
  <c r="D31" i="7"/>
  <c r="E31" i="7" s="1"/>
  <c r="C31" i="7"/>
  <c r="F31" i="7" s="1"/>
  <c r="I31" i="7" s="1"/>
  <c r="G30" i="7"/>
  <c r="H30" i="7" s="1"/>
  <c r="F30" i="7"/>
  <c r="I30" i="7" s="1"/>
  <c r="J30" i="7" s="1"/>
  <c r="E30" i="7"/>
  <c r="D30" i="7"/>
  <c r="C30" i="7"/>
  <c r="H29" i="7"/>
  <c r="G29" i="7"/>
  <c r="D29" i="7"/>
  <c r="E29" i="7" s="1"/>
  <c r="C29" i="7"/>
  <c r="F29" i="7" s="1"/>
  <c r="I29" i="7" s="1"/>
  <c r="J29" i="7" s="1"/>
  <c r="G28" i="7"/>
  <c r="H28" i="7" s="1"/>
  <c r="D28" i="7"/>
  <c r="E28" i="7" s="1"/>
  <c r="C28" i="7"/>
  <c r="G27" i="7"/>
  <c r="H27" i="7" s="1"/>
  <c r="E27" i="7"/>
  <c r="D27" i="7"/>
  <c r="C27" i="7"/>
  <c r="F27" i="7" s="1"/>
  <c r="I27" i="7" s="1"/>
  <c r="J27" i="7" s="1"/>
  <c r="G26" i="7"/>
  <c r="H26" i="7" s="1"/>
  <c r="D26" i="7"/>
  <c r="E26" i="7" s="1"/>
  <c r="C26" i="7"/>
  <c r="G25" i="7"/>
  <c r="H25" i="7" s="1"/>
  <c r="D25" i="7"/>
  <c r="E25" i="7" s="1"/>
  <c r="C25" i="7"/>
  <c r="G24" i="7"/>
  <c r="H24" i="7" s="1"/>
  <c r="F24" i="7"/>
  <c r="I24" i="7" s="1"/>
  <c r="J24" i="7" s="1"/>
  <c r="E24" i="7"/>
  <c r="D24" i="7"/>
  <c r="C24" i="7"/>
  <c r="G23" i="7"/>
  <c r="H23" i="7" s="1"/>
  <c r="D23" i="7"/>
  <c r="E23" i="7" s="1"/>
  <c r="C23" i="7"/>
  <c r="F23" i="7" s="1"/>
  <c r="G22" i="7"/>
  <c r="H22" i="7" s="1"/>
  <c r="D22" i="7"/>
  <c r="E22" i="7" s="1"/>
  <c r="C22" i="7"/>
  <c r="G21" i="7"/>
  <c r="H21" i="7" s="1"/>
  <c r="E21" i="7"/>
  <c r="D21" i="7"/>
  <c r="C21" i="7"/>
  <c r="F21" i="7" s="1"/>
  <c r="I21" i="7" s="1"/>
  <c r="J21" i="7" s="1"/>
  <c r="H20" i="7"/>
  <c r="G20" i="7"/>
  <c r="D20" i="7"/>
  <c r="E20" i="7" s="1"/>
  <c r="C20" i="7"/>
  <c r="F20" i="7" s="1"/>
  <c r="G19" i="7"/>
  <c r="H19" i="7" s="1"/>
  <c r="D19" i="7"/>
  <c r="E19" i="7" s="1"/>
  <c r="C19" i="7"/>
  <c r="F19" i="7" s="1"/>
  <c r="I19" i="7" s="1"/>
  <c r="J19" i="7" s="1"/>
  <c r="G18" i="7"/>
  <c r="H18" i="7" s="1"/>
  <c r="E18" i="7"/>
  <c r="D18" i="7"/>
  <c r="C18" i="7"/>
  <c r="F18" i="7" s="1"/>
  <c r="I18" i="7" s="1"/>
  <c r="J18" i="7" s="1"/>
  <c r="G17" i="7"/>
  <c r="H17" i="7" s="1"/>
  <c r="D17" i="7"/>
  <c r="E17" i="7" s="1"/>
  <c r="C17" i="7"/>
  <c r="G16" i="7"/>
  <c r="H16" i="7" s="1"/>
  <c r="D16" i="7"/>
  <c r="E16" i="7" s="1"/>
  <c r="C16" i="7"/>
  <c r="G15" i="7"/>
  <c r="H15" i="7" s="1"/>
  <c r="E15" i="7"/>
  <c r="D15" i="7"/>
  <c r="C15" i="7"/>
  <c r="F15" i="7" s="1"/>
  <c r="I15" i="7" s="1"/>
  <c r="J15" i="7" s="1"/>
  <c r="G14" i="7"/>
  <c r="H14" i="7" s="1"/>
  <c r="D14" i="7"/>
  <c r="E14" i="7" s="1"/>
  <c r="C14" i="7"/>
  <c r="F14" i="7" s="1"/>
  <c r="G13" i="7"/>
  <c r="H13" i="7" s="1"/>
  <c r="D13" i="7"/>
  <c r="E13" i="7" s="1"/>
  <c r="C13" i="7"/>
  <c r="F13" i="7" s="1"/>
  <c r="I13" i="7" s="1"/>
  <c r="J13" i="7" s="1"/>
  <c r="G12" i="7"/>
  <c r="H12" i="7" s="1"/>
  <c r="F12" i="7"/>
  <c r="I12" i="7" s="1"/>
  <c r="J12" i="7" s="1"/>
  <c r="E12" i="7"/>
  <c r="D12" i="7"/>
  <c r="C12" i="7"/>
  <c r="H11" i="7"/>
  <c r="G11" i="7"/>
  <c r="D11" i="7"/>
  <c r="E11" i="7" s="1"/>
  <c r="C11" i="7"/>
  <c r="G10" i="7"/>
  <c r="H10" i="7" s="1"/>
  <c r="D10" i="7"/>
  <c r="E10" i="7" s="1"/>
  <c r="C10" i="7"/>
  <c r="G9" i="7"/>
  <c r="H9" i="7" s="1"/>
  <c r="F9" i="7"/>
  <c r="I9" i="7" s="1"/>
  <c r="J9" i="7" s="1"/>
  <c r="E9" i="7"/>
  <c r="D9" i="7"/>
  <c r="C9" i="7"/>
  <c r="G8" i="7"/>
  <c r="H8" i="7" s="1"/>
  <c r="D8" i="7"/>
  <c r="E8" i="7" s="1"/>
  <c r="C8" i="7"/>
  <c r="F8" i="7" s="1"/>
  <c r="G7" i="7"/>
  <c r="H7" i="7" s="1"/>
  <c r="D7" i="7"/>
  <c r="E7" i="7" s="1"/>
  <c r="C7" i="7"/>
  <c r="F7" i="7" s="1"/>
  <c r="I7" i="7" s="1"/>
  <c r="J7" i="7" s="1"/>
  <c r="G6" i="7"/>
  <c r="H6" i="7" s="1"/>
  <c r="E6" i="7"/>
  <c r="D6" i="7"/>
  <c r="C6" i="7"/>
  <c r="F6" i="7" s="1"/>
  <c r="I6" i="7" s="1"/>
  <c r="J6" i="7" s="1"/>
  <c r="H5" i="7"/>
  <c r="G5" i="7"/>
  <c r="D5" i="7"/>
  <c r="E5" i="7" s="1"/>
  <c r="C5" i="7"/>
  <c r="G4" i="7"/>
  <c r="H4" i="7" s="1"/>
  <c r="D4" i="7"/>
  <c r="E4" i="7" s="1"/>
  <c r="C4" i="7"/>
  <c r="G3" i="7"/>
  <c r="H3" i="7" s="1"/>
  <c r="F3" i="7"/>
  <c r="I3" i="7" s="1"/>
  <c r="J3" i="7" s="1"/>
  <c r="E3" i="7"/>
  <c r="D3" i="7"/>
  <c r="C3" i="7"/>
  <c r="G2" i="7"/>
  <c r="D2" i="7"/>
  <c r="E2" i="7" s="1"/>
  <c r="C2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C352" i="6"/>
  <c r="E352" i="6"/>
  <c r="F352" i="6"/>
  <c r="G352" i="6"/>
  <c r="H352" i="6"/>
  <c r="I352" i="6"/>
  <c r="J352" i="6"/>
  <c r="B352" i="6"/>
  <c r="G4" i="6"/>
  <c r="H4" i="6" s="1"/>
  <c r="G3" i="6"/>
  <c r="H3" i="6" s="1"/>
  <c r="G2" i="6"/>
  <c r="H2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H294" i="6" s="1"/>
  <c r="G295" i="6"/>
  <c r="H295" i="6" s="1"/>
  <c r="G296" i="6"/>
  <c r="H296" i="6" s="1"/>
  <c r="G297" i="6"/>
  <c r="H297" i="6" s="1"/>
  <c r="G298" i="6"/>
  <c r="H298" i="6" s="1"/>
  <c r="G299" i="6"/>
  <c r="H299" i="6" s="1"/>
  <c r="G300" i="6"/>
  <c r="H300" i="6" s="1"/>
  <c r="G301" i="6"/>
  <c r="H301" i="6" s="1"/>
  <c r="G302" i="6"/>
  <c r="H302" i="6" s="1"/>
  <c r="G303" i="6"/>
  <c r="H303" i="6" s="1"/>
  <c r="G304" i="6"/>
  <c r="H304" i="6" s="1"/>
  <c r="G305" i="6"/>
  <c r="H305" i="6" s="1"/>
  <c r="G306" i="6"/>
  <c r="H306" i="6" s="1"/>
  <c r="G307" i="6"/>
  <c r="H307" i="6" s="1"/>
  <c r="G308" i="6"/>
  <c r="H308" i="6" s="1"/>
  <c r="G309" i="6"/>
  <c r="H309" i="6" s="1"/>
  <c r="G310" i="6"/>
  <c r="H310" i="6" s="1"/>
  <c r="G311" i="6"/>
  <c r="H311" i="6" s="1"/>
  <c r="G312" i="6"/>
  <c r="H312" i="6" s="1"/>
  <c r="G313" i="6"/>
  <c r="H313" i="6" s="1"/>
  <c r="G314" i="6"/>
  <c r="H314" i="6" s="1"/>
  <c r="G315" i="6"/>
  <c r="H315" i="6" s="1"/>
  <c r="G316" i="6"/>
  <c r="H316" i="6" s="1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328" i="6"/>
  <c r="H328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H339" i="6" s="1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F351" i="6" s="1"/>
  <c r="I351" i="6" s="1"/>
  <c r="D2" i="6"/>
  <c r="E2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C2" i="6"/>
  <c r="C3" i="6"/>
  <c r="C4" i="6"/>
  <c r="F4" i="6" s="1"/>
  <c r="I4" i="6" s="1"/>
  <c r="C5" i="6"/>
  <c r="F5" i="6" s="1"/>
  <c r="I5" i="6" s="1"/>
  <c r="C6" i="6"/>
  <c r="C7" i="6"/>
  <c r="F7" i="6" s="1"/>
  <c r="I7" i="6" s="1"/>
  <c r="C8" i="6"/>
  <c r="F8" i="6" s="1"/>
  <c r="I8" i="6" s="1"/>
  <c r="C9" i="6"/>
  <c r="F9" i="6" s="1"/>
  <c r="C10" i="6"/>
  <c r="F10" i="6" s="1"/>
  <c r="I10" i="6" s="1"/>
  <c r="C11" i="6"/>
  <c r="F11" i="6" s="1"/>
  <c r="I11" i="6" s="1"/>
  <c r="C12" i="6"/>
  <c r="F12" i="6" s="1"/>
  <c r="I12" i="6" s="1"/>
  <c r="C13" i="6"/>
  <c r="F13" i="6" s="1"/>
  <c r="I13" i="6" s="1"/>
  <c r="C14" i="6"/>
  <c r="C15" i="6"/>
  <c r="C16" i="6"/>
  <c r="F16" i="6" s="1"/>
  <c r="I16" i="6" s="1"/>
  <c r="C17" i="6"/>
  <c r="F17" i="6" s="1"/>
  <c r="I17" i="6" s="1"/>
  <c r="C18" i="6"/>
  <c r="C19" i="6"/>
  <c r="F19" i="6" s="1"/>
  <c r="I19" i="6" s="1"/>
  <c r="C20" i="6"/>
  <c r="F20" i="6" s="1"/>
  <c r="I20" i="6" s="1"/>
  <c r="C21" i="6"/>
  <c r="F21" i="6" s="1"/>
  <c r="C22" i="6"/>
  <c r="F22" i="6" s="1"/>
  <c r="I22" i="6" s="1"/>
  <c r="C23" i="6"/>
  <c r="F23" i="6" s="1"/>
  <c r="I23" i="6" s="1"/>
  <c r="C24" i="6"/>
  <c r="F24" i="6" s="1"/>
  <c r="I24" i="6" s="1"/>
  <c r="C25" i="6"/>
  <c r="F25" i="6" s="1"/>
  <c r="I25" i="6" s="1"/>
  <c r="C26" i="6"/>
  <c r="C27" i="6"/>
  <c r="C28" i="6"/>
  <c r="F28" i="6" s="1"/>
  <c r="I28" i="6" s="1"/>
  <c r="C29" i="6"/>
  <c r="F29" i="6" s="1"/>
  <c r="I29" i="6" s="1"/>
  <c r="C30" i="6"/>
  <c r="C31" i="6"/>
  <c r="F31" i="6" s="1"/>
  <c r="I31" i="6" s="1"/>
  <c r="C32" i="6"/>
  <c r="F32" i="6" s="1"/>
  <c r="I32" i="6" s="1"/>
  <c r="C33" i="6"/>
  <c r="F33" i="6" s="1"/>
  <c r="C34" i="6"/>
  <c r="F34" i="6" s="1"/>
  <c r="I34" i="6" s="1"/>
  <c r="C35" i="6"/>
  <c r="F35" i="6" s="1"/>
  <c r="I35" i="6" s="1"/>
  <c r="C36" i="6"/>
  <c r="F36" i="6" s="1"/>
  <c r="I36" i="6" s="1"/>
  <c r="C37" i="6"/>
  <c r="F37" i="6" s="1"/>
  <c r="I37" i="6" s="1"/>
  <c r="C38" i="6"/>
  <c r="C39" i="6"/>
  <c r="C40" i="6"/>
  <c r="F40" i="6" s="1"/>
  <c r="I40" i="6" s="1"/>
  <c r="C41" i="6"/>
  <c r="F41" i="6" s="1"/>
  <c r="I41" i="6" s="1"/>
  <c r="C42" i="6"/>
  <c r="C43" i="6"/>
  <c r="F43" i="6" s="1"/>
  <c r="I43" i="6" s="1"/>
  <c r="C44" i="6"/>
  <c r="F44" i="6" s="1"/>
  <c r="I44" i="6" s="1"/>
  <c r="C45" i="6"/>
  <c r="F45" i="6" s="1"/>
  <c r="C46" i="6"/>
  <c r="F46" i="6" s="1"/>
  <c r="I46" i="6" s="1"/>
  <c r="C47" i="6"/>
  <c r="F47" i="6" s="1"/>
  <c r="I47" i="6" s="1"/>
  <c r="C48" i="6"/>
  <c r="F48" i="6" s="1"/>
  <c r="I48" i="6" s="1"/>
  <c r="C49" i="6"/>
  <c r="F49" i="6" s="1"/>
  <c r="I49" i="6" s="1"/>
  <c r="C50" i="6"/>
  <c r="F50" i="6" s="1"/>
  <c r="I50" i="6" s="1"/>
  <c r="C51" i="6"/>
  <c r="C52" i="6"/>
  <c r="F52" i="6" s="1"/>
  <c r="I52" i="6" s="1"/>
  <c r="C53" i="6"/>
  <c r="F53" i="6" s="1"/>
  <c r="I53" i="6" s="1"/>
  <c r="C54" i="6"/>
  <c r="C55" i="6"/>
  <c r="F55" i="6" s="1"/>
  <c r="I55" i="6" s="1"/>
  <c r="C56" i="6"/>
  <c r="F56" i="6" s="1"/>
  <c r="I56" i="6" s="1"/>
  <c r="C57" i="6"/>
  <c r="F57" i="6" s="1"/>
  <c r="C58" i="6"/>
  <c r="F58" i="6" s="1"/>
  <c r="I58" i="6" s="1"/>
  <c r="C59" i="6"/>
  <c r="F59" i="6" s="1"/>
  <c r="I59" i="6" s="1"/>
  <c r="C60" i="6"/>
  <c r="F60" i="6" s="1"/>
  <c r="I60" i="6" s="1"/>
  <c r="C61" i="6"/>
  <c r="F61" i="6" s="1"/>
  <c r="I61" i="6" s="1"/>
  <c r="C62" i="6"/>
  <c r="F62" i="6" s="1"/>
  <c r="I62" i="6" s="1"/>
  <c r="C63" i="6"/>
  <c r="C64" i="6"/>
  <c r="F64" i="6" s="1"/>
  <c r="I64" i="6" s="1"/>
  <c r="C65" i="6"/>
  <c r="F65" i="6" s="1"/>
  <c r="I65" i="6" s="1"/>
  <c r="C66" i="6"/>
  <c r="F66" i="6" s="1"/>
  <c r="I66" i="6" s="1"/>
  <c r="C67" i="6"/>
  <c r="F67" i="6" s="1"/>
  <c r="I67" i="6" s="1"/>
  <c r="C68" i="6"/>
  <c r="F68" i="6" s="1"/>
  <c r="I68" i="6" s="1"/>
  <c r="C69" i="6"/>
  <c r="F69" i="6" s="1"/>
  <c r="C70" i="6"/>
  <c r="F70" i="6" s="1"/>
  <c r="I70" i="6" s="1"/>
  <c r="C71" i="6"/>
  <c r="F71" i="6" s="1"/>
  <c r="I71" i="6" s="1"/>
  <c r="C72" i="6"/>
  <c r="F72" i="6" s="1"/>
  <c r="I72" i="6" s="1"/>
  <c r="C73" i="6"/>
  <c r="F73" i="6" s="1"/>
  <c r="I73" i="6" s="1"/>
  <c r="C74" i="6"/>
  <c r="F74" i="6" s="1"/>
  <c r="I74" i="6" s="1"/>
  <c r="C75" i="6"/>
  <c r="C76" i="6"/>
  <c r="F76" i="6" s="1"/>
  <c r="I76" i="6" s="1"/>
  <c r="C77" i="6"/>
  <c r="F77" i="6" s="1"/>
  <c r="I77" i="6" s="1"/>
  <c r="C78" i="6"/>
  <c r="F78" i="6" s="1"/>
  <c r="I78" i="6" s="1"/>
  <c r="C79" i="6"/>
  <c r="F79" i="6" s="1"/>
  <c r="I79" i="6" s="1"/>
  <c r="C80" i="6"/>
  <c r="F80" i="6" s="1"/>
  <c r="I80" i="6" s="1"/>
  <c r="C81" i="6"/>
  <c r="F81" i="6" s="1"/>
  <c r="C82" i="6"/>
  <c r="F82" i="6" s="1"/>
  <c r="I82" i="6" s="1"/>
  <c r="C83" i="6"/>
  <c r="F83" i="6" s="1"/>
  <c r="I83" i="6" s="1"/>
  <c r="C84" i="6"/>
  <c r="F84" i="6" s="1"/>
  <c r="I84" i="6" s="1"/>
  <c r="C85" i="6"/>
  <c r="F85" i="6" s="1"/>
  <c r="I85" i="6" s="1"/>
  <c r="C86" i="6"/>
  <c r="F86" i="6" s="1"/>
  <c r="I86" i="6" s="1"/>
  <c r="C87" i="6"/>
  <c r="C88" i="6"/>
  <c r="F88" i="6" s="1"/>
  <c r="I88" i="6" s="1"/>
  <c r="C89" i="6"/>
  <c r="F89" i="6" s="1"/>
  <c r="I89" i="6" s="1"/>
  <c r="C90" i="6"/>
  <c r="F90" i="6" s="1"/>
  <c r="I90" i="6" s="1"/>
  <c r="C91" i="6"/>
  <c r="F91" i="6" s="1"/>
  <c r="I91" i="6" s="1"/>
  <c r="C92" i="6"/>
  <c r="F92" i="6" s="1"/>
  <c r="I92" i="6" s="1"/>
  <c r="C93" i="6"/>
  <c r="F93" i="6" s="1"/>
  <c r="C94" i="6"/>
  <c r="F94" i="6" s="1"/>
  <c r="I94" i="6" s="1"/>
  <c r="C95" i="6"/>
  <c r="F95" i="6" s="1"/>
  <c r="I95" i="6" s="1"/>
  <c r="C96" i="6"/>
  <c r="F96" i="6" s="1"/>
  <c r="I96" i="6" s="1"/>
  <c r="C97" i="6"/>
  <c r="F97" i="6" s="1"/>
  <c r="I97" i="6" s="1"/>
  <c r="C98" i="6"/>
  <c r="F98" i="6" s="1"/>
  <c r="I98" i="6" s="1"/>
  <c r="C99" i="6"/>
  <c r="C100" i="6"/>
  <c r="F100" i="6" s="1"/>
  <c r="I100" i="6" s="1"/>
  <c r="C101" i="6"/>
  <c r="F101" i="6" s="1"/>
  <c r="I101" i="6" s="1"/>
  <c r="C102" i="6"/>
  <c r="F102" i="6" s="1"/>
  <c r="I102" i="6" s="1"/>
  <c r="C103" i="6"/>
  <c r="F103" i="6" s="1"/>
  <c r="I103" i="6" s="1"/>
  <c r="C104" i="6"/>
  <c r="F104" i="6" s="1"/>
  <c r="I104" i="6" s="1"/>
  <c r="C105" i="6"/>
  <c r="F105" i="6" s="1"/>
  <c r="C106" i="6"/>
  <c r="F106" i="6" s="1"/>
  <c r="I106" i="6" s="1"/>
  <c r="C107" i="6"/>
  <c r="F107" i="6" s="1"/>
  <c r="I107" i="6" s="1"/>
  <c r="C108" i="6"/>
  <c r="F108" i="6" s="1"/>
  <c r="I108" i="6" s="1"/>
  <c r="C109" i="6"/>
  <c r="F109" i="6" s="1"/>
  <c r="I109" i="6" s="1"/>
  <c r="C110" i="6"/>
  <c r="F110" i="6" s="1"/>
  <c r="I110" i="6" s="1"/>
  <c r="C111" i="6"/>
  <c r="C112" i="6"/>
  <c r="F112" i="6" s="1"/>
  <c r="I112" i="6" s="1"/>
  <c r="C113" i="6"/>
  <c r="F113" i="6" s="1"/>
  <c r="I113" i="6" s="1"/>
  <c r="C114" i="6"/>
  <c r="F114" i="6" s="1"/>
  <c r="I114" i="6" s="1"/>
  <c r="C115" i="6"/>
  <c r="F115" i="6" s="1"/>
  <c r="I115" i="6" s="1"/>
  <c r="C116" i="6"/>
  <c r="F116" i="6" s="1"/>
  <c r="I116" i="6" s="1"/>
  <c r="C117" i="6"/>
  <c r="F117" i="6" s="1"/>
  <c r="C118" i="6"/>
  <c r="F118" i="6" s="1"/>
  <c r="I118" i="6" s="1"/>
  <c r="C119" i="6"/>
  <c r="F119" i="6" s="1"/>
  <c r="I119" i="6" s="1"/>
  <c r="C120" i="6"/>
  <c r="F120" i="6" s="1"/>
  <c r="I120" i="6" s="1"/>
  <c r="C121" i="6"/>
  <c r="F121" i="6" s="1"/>
  <c r="I121" i="6" s="1"/>
  <c r="C122" i="6"/>
  <c r="F122" i="6" s="1"/>
  <c r="I122" i="6" s="1"/>
  <c r="C123" i="6"/>
  <c r="F123" i="6" s="1"/>
  <c r="I123" i="6" s="1"/>
  <c r="C124" i="6"/>
  <c r="F124" i="6" s="1"/>
  <c r="I124" i="6" s="1"/>
  <c r="C125" i="6"/>
  <c r="F125" i="6" s="1"/>
  <c r="I125" i="6" s="1"/>
  <c r="C126" i="6"/>
  <c r="C127" i="6"/>
  <c r="F127" i="6" s="1"/>
  <c r="I127" i="6" s="1"/>
  <c r="C128" i="6"/>
  <c r="F128" i="6" s="1"/>
  <c r="I128" i="6" s="1"/>
  <c r="C129" i="6"/>
  <c r="C130" i="6"/>
  <c r="F130" i="6" s="1"/>
  <c r="I130" i="6" s="1"/>
  <c r="C131" i="6"/>
  <c r="F131" i="6" s="1"/>
  <c r="I131" i="6" s="1"/>
  <c r="C132" i="6"/>
  <c r="F132" i="6" s="1"/>
  <c r="I132" i="6" s="1"/>
  <c r="C133" i="6"/>
  <c r="F133" i="6" s="1"/>
  <c r="I133" i="6" s="1"/>
  <c r="C134" i="6"/>
  <c r="F134" i="6" s="1"/>
  <c r="I134" i="6" s="1"/>
  <c r="C135" i="6"/>
  <c r="F135" i="6" s="1"/>
  <c r="I135" i="6" s="1"/>
  <c r="C136" i="6"/>
  <c r="F136" i="6" s="1"/>
  <c r="I136" i="6" s="1"/>
  <c r="C137" i="6"/>
  <c r="F137" i="6" s="1"/>
  <c r="I137" i="6" s="1"/>
  <c r="C138" i="6"/>
  <c r="C139" i="6"/>
  <c r="F139" i="6" s="1"/>
  <c r="I139" i="6" s="1"/>
  <c r="C140" i="6"/>
  <c r="F140" i="6" s="1"/>
  <c r="I140" i="6" s="1"/>
  <c r="C141" i="6"/>
  <c r="C142" i="6"/>
  <c r="F142" i="6" s="1"/>
  <c r="I142" i="6" s="1"/>
  <c r="C143" i="6"/>
  <c r="F143" i="6" s="1"/>
  <c r="I143" i="6" s="1"/>
  <c r="C144" i="6"/>
  <c r="F144" i="6" s="1"/>
  <c r="I144" i="6" s="1"/>
  <c r="C145" i="6"/>
  <c r="F145" i="6" s="1"/>
  <c r="I145" i="6" s="1"/>
  <c r="C146" i="6"/>
  <c r="F146" i="6" s="1"/>
  <c r="I146" i="6" s="1"/>
  <c r="C147" i="6"/>
  <c r="F147" i="6" s="1"/>
  <c r="I147" i="6" s="1"/>
  <c r="C148" i="6"/>
  <c r="F148" i="6" s="1"/>
  <c r="I148" i="6" s="1"/>
  <c r="C149" i="6"/>
  <c r="F149" i="6" s="1"/>
  <c r="I149" i="6" s="1"/>
  <c r="C150" i="6"/>
  <c r="C151" i="6"/>
  <c r="F151" i="6" s="1"/>
  <c r="I151" i="6" s="1"/>
  <c r="C152" i="6"/>
  <c r="F152" i="6" s="1"/>
  <c r="I152" i="6" s="1"/>
  <c r="C153" i="6"/>
  <c r="F153" i="6" s="1"/>
  <c r="C154" i="6"/>
  <c r="F154" i="6" s="1"/>
  <c r="I154" i="6" s="1"/>
  <c r="C155" i="6"/>
  <c r="F155" i="6" s="1"/>
  <c r="I155" i="6" s="1"/>
  <c r="C156" i="6"/>
  <c r="F156" i="6" s="1"/>
  <c r="I156" i="6" s="1"/>
  <c r="C157" i="6"/>
  <c r="F157" i="6" s="1"/>
  <c r="I157" i="6" s="1"/>
  <c r="C158" i="6"/>
  <c r="F158" i="6" s="1"/>
  <c r="I158" i="6" s="1"/>
  <c r="C159" i="6"/>
  <c r="F159" i="6" s="1"/>
  <c r="I159" i="6" s="1"/>
  <c r="C160" i="6"/>
  <c r="F160" i="6" s="1"/>
  <c r="I160" i="6" s="1"/>
  <c r="C161" i="6"/>
  <c r="F161" i="6" s="1"/>
  <c r="I161" i="6" s="1"/>
  <c r="C162" i="6"/>
  <c r="C163" i="6"/>
  <c r="F163" i="6" s="1"/>
  <c r="I163" i="6" s="1"/>
  <c r="C164" i="6"/>
  <c r="F164" i="6" s="1"/>
  <c r="I164" i="6" s="1"/>
  <c r="C165" i="6"/>
  <c r="C166" i="6"/>
  <c r="F166" i="6" s="1"/>
  <c r="I166" i="6" s="1"/>
  <c r="C167" i="6"/>
  <c r="F167" i="6" s="1"/>
  <c r="I167" i="6" s="1"/>
  <c r="C168" i="6"/>
  <c r="F168" i="6" s="1"/>
  <c r="I168" i="6" s="1"/>
  <c r="C169" i="6"/>
  <c r="F169" i="6" s="1"/>
  <c r="I169" i="6" s="1"/>
  <c r="C170" i="6"/>
  <c r="F170" i="6" s="1"/>
  <c r="I170" i="6" s="1"/>
  <c r="C171" i="6"/>
  <c r="F171" i="6" s="1"/>
  <c r="I171" i="6" s="1"/>
  <c r="C172" i="6"/>
  <c r="F172" i="6" s="1"/>
  <c r="I172" i="6" s="1"/>
  <c r="C173" i="6"/>
  <c r="F173" i="6" s="1"/>
  <c r="I173" i="6" s="1"/>
  <c r="C174" i="6"/>
  <c r="C175" i="6"/>
  <c r="F175" i="6" s="1"/>
  <c r="I175" i="6" s="1"/>
  <c r="C176" i="6"/>
  <c r="F176" i="6" s="1"/>
  <c r="I176" i="6" s="1"/>
  <c r="C177" i="6"/>
  <c r="F177" i="6" s="1"/>
  <c r="C178" i="6"/>
  <c r="F178" i="6" s="1"/>
  <c r="I178" i="6" s="1"/>
  <c r="C179" i="6"/>
  <c r="F179" i="6" s="1"/>
  <c r="I179" i="6" s="1"/>
  <c r="C180" i="6"/>
  <c r="F180" i="6" s="1"/>
  <c r="I180" i="6" s="1"/>
  <c r="C181" i="6"/>
  <c r="F181" i="6" s="1"/>
  <c r="I181" i="6" s="1"/>
  <c r="C182" i="6"/>
  <c r="F182" i="6" s="1"/>
  <c r="I182" i="6" s="1"/>
  <c r="C183" i="6"/>
  <c r="F183" i="6" s="1"/>
  <c r="I183" i="6" s="1"/>
  <c r="C184" i="6"/>
  <c r="F184" i="6" s="1"/>
  <c r="I184" i="6" s="1"/>
  <c r="C185" i="6"/>
  <c r="F185" i="6" s="1"/>
  <c r="I185" i="6" s="1"/>
  <c r="C186" i="6"/>
  <c r="C187" i="6"/>
  <c r="F187" i="6" s="1"/>
  <c r="I187" i="6" s="1"/>
  <c r="C188" i="6"/>
  <c r="F188" i="6" s="1"/>
  <c r="I188" i="6" s="1"/>
  <c r="C189" i="6"/>
  <c r="C190" i="6"/>
  <c r="F190" i="6" s="1"/>
  <c r="I190" i="6" s="1"/>
  <c r="C191" i="6"/>
  <c r="F191" i="6" s="1"/>
  <c r="I191" i="6" s="1"/>
  <c r="C192" i="6"/>
  <c r="F192" i="6" s="1"/>
  <c r="I192" i="6" s="1"/>
  <c r="C193" i="6"/>
  <c r="F193" i="6" s="1"/>
  <c r="I193" i="6" s="1"/>
  <c r="C194" i="6"/>
  <c r="F194" i="6" s="1"/>
  <c r="I194" i="6" s="1"/>
  <c r="C195" i="6"/>
  <c r="F195" i="6" s="1"/>
  <c r="I195" i="6" s="1"/>
  <c r="C196" i="6"/>
  <c r="F196" i="6" s="1"/>
  <c r="I196" i="6" s="1"/>
  <c r="C197" i="6"/>
  <c r="F197" i="6" s="1"/>
  <c r="I197" i="6" s="1"/>
  <c r="C198" i="6"/>
  <c r="C199" i="6"/>
  <c r="F199" i="6" s="1"/>
  <c r="I199" i="6" s="1"/>
  <c r="C200" i="6"/>
  <c r="F200" i="6" s="1"/>
  <c r="I200" i="6" s="1"/>
  <c r="C201" i="6"/>
  <c r="C202" i="6"/>
  <c r="F202" i="6" s="1"/>
  <c r="I202" i="6" s="1"/>
  <c r="C203" i="6"/>
  <c r="F203" i="6" s="1"/>
  <c r="I203" i="6" s="1"/>
  <c r="C204" i="6"/>
  <c r="F204" i="6" s="1"/>
  <c r="I204" i="6" s="1"/>
  <c r="C205" i="6"/>
  <c r="F205" i="6" s="1"/>
  <c r="I205" i="6" s="1"/>
  <c r="C206" i="6"/>
  <c r="F206" i="6" s="1"/>
  <c r="I206" i="6" s="1"/>
  <c r="C207" i="6"/>
  <c r="F207" i="6" s="1"/>
  <c r="I207" i="6" s="1"/>
  <c r="C208" i="6"/>
  <c r="F208" i="6" s="1"/>
  <c r="I208" i="6" s="1"/>
  <c r="C209" i="6"/>
  <c r="F209" i="6" s="1"/>
  <c r="I209" i="6" s="1"/>
  <c r="C210" i="6"/>
  <c r="C211" i="6"/>
  <c r="F211" i="6" s="1"/>
  <c r="I211" i="6" s="1"/>
  <c r="C212" i="6"/>
  <c r="F212" i="6" s="1"/>
  <c r="I212" i="6" s="1"/>
  <c r="C213" i="6"/>
  <c r="F213" i="6" s="1"/>
  <c r="C214" i="6"/>
  <c r="F214" i="6" s="1"/>
  <c r="I214" i="6" s="1"/>
  <c r="C215" i="6"/>
  <c r="F215" i="6" s="1"/>
  <c r="I215" i="6" s="1"/>
  <c r="C216" i="6"/>
  <c r="F216" i="6" s="1"/>
  <c r="I216" i="6" s="1"/>
  <c r="C217" i="6"/>
  <c r="F217" i="6" s="1"/>
  <c r="I217" i="6" s="1"/>
  <c r="C218" i="6"/>
  <c r="F218" i="6" s="1"/>
  <c r="I218" i="6" s="1"/>
  <c r="C219" i="6"/>
  <c r="F219" i="6" s="1"/>
  <c r="I219" i="6" s="1"/>
  <c r="C220" i="6"/>
  <c r="F220" i="6" s="1"/>
  <c r="I220" i="6" s="1"/>
  <c r="C221" i="6"/>
  <c r="F221" i="6" s="1"/>
  <c r="I221" i="6" s="1"/>
  <c r="C222" i="6"/>
  <c r="C223" i="6"/>
  <c r="F223" i="6" s="1"/>
  <c r="I223" i="6" s="1"/>
  <c r="C224" i="6"/>
  <c r="F224" i="6" s="1"/>
  <c r="I224" i="6" s="1"/>
  <c r="C225" i="6"/>
  <c r="F225" i="6" s="1"/>
  <c r="C226" i="6"/>
  <c r="F226" i="6" s="1"/>
  <c r="I226" i="6" s="1"/>
  <c r="C227" i="6"/>
  <c r="F227" i="6" s="1"/>
  <c r="I227" i="6" s="1"/>
  <c r="C228" i="6"/>
  <c r="F228" i="6" s="1"/>
  <c r="I228" i="6" s="1"/>
  <c r="C229" i="6"/>
  <c r="F229" i="6" s="1"/>
  <c r="I229" i="6" s="1"/>
  <c r="C230" i="6"/>
  <c r="F230" i="6" s="1"/>
  <c r="I230" i="6" s="1"/>
  <c r="C231" i="6"/>
  <c r="F231" i="6" s="1"/>
  <c r="I231" i="6" s="1"/>
  <c r="C232" i="6"/>
  <c r="F232" i="6" s="1"/>
  <c r="I232" i="6" s="1"/>
  <c r="C233" i="6"/>
  <c r="F233" i="6" s="1"/>
  <c r="I233" i="6" s="1"/>
  <c r="C234" i="6"/>
  <c r="C235" i="6"/>
  <c r="F235" i="6" s="1"/>
  <c r="I235" i="6" s="1"/>
  <c r="C236" i="6"/>
  <c r="F236" i="6" s="1"/>
  <c r="I236" i="6" s="1"/>
  <c r="C237" i="6"/>
  <c r="F237" i="6" s="1"/>
  <c r="C238" i="6"/>
  <c r="F238" i="6" s="1"/>
  <c r="I238" i="6" s="1"/>
  <c r="C239" i="6"/>
  <c r="F239" i="6" s="1"/>
  <c r="I239" i="6" s="1"/>
  <c r="C240" i="6"/>
  <c r="F240" i="6" s="1"/>
  <c r="I240" i="6" s="1"/>
  <c r="C241" i="6"/>
  <c r="F241" i="6" s="1"/>
  <c r="I241" i="6" s="1"/>
  <c r="C242" i="6"/>
  <c r="F242" i="6" s="1"/>
  <c r="I242" i="6" s="1"/>
  <c r="C243" i="6"/>
  <c r="F243" i="6" s="1"/>
  <c r="I243" i="6" s="1"/>
  <c r="C244" i="6"/>
  <c r="F244" i="6" s="1"/>
  <c r="I244" i="6" s="1"/>
  <c r="C245" i="6"/>
  <c r="F245" i="6" s="1"/>
  <c r="I245" i="6" s="1"/>
  <c r="C246" i="6"/>
  <c r="C247" i="6"/>
  <c r="F247" i="6" s="1"/>
  <c r="I247" i="6" s="1"/>
  <c r="C248" i="6"/>
  <c r="F248" i="6" s="1"/>
  <c r="I248" i="6" s="1"/>
  <c r="C249" i="6"/>
  <c r="F249" i="6" s="1"/>
  <c r="C250" i="6"/>
  <c r="F250" i="6" s="1"/>
  <c r="I250" i="6" s="1"/>
  <c r="C251" i="6"/>
  <c r="F251" i="6" s="1"/>
  <c r="I251" i="6" s="1"/>
  <c r="C252" i="6"/>
  <c r="F252" i="6" s="1"/>
  <c r="I252" i="6" s="1"/>
  <c r="C253" i="6"/>
  <c r="F253" i="6" s="1"/>
  <c r="I253" i="6" s="1"/>
  <c r="C254" i="6"/>
  <c r="F254" i="6" s="1"/>
  <c r="I254" i="6" s="1"/>
  <c r="C255" i="6"/>
  <c r="F255" i="6" s="1"/>
  <c r="I255" i="6" s="1"/>
  <c r="C256" i="6"/>
  <c r="F256" i="6" s="1"/>
  <c r="I256" i="6" s="1"/>
  <c r="C257" i="6"/>
  <c r="F257" i="6" s="1"/>
  <c r="I257" i="6" s="1"/>
  <c r="C258" i="6"/>
  <c r="C259" i="6"/>
  <c r="F259" i="6" s="1"/>
  <c r="I259" i="6" s="1"/>
  <c r="C260" i="6"/>
  <c r="F260" i="6" s="1"/>
  <c r="I260" i="6" s="1"/>
  <c r="C261" i="6"/>
  <c r="F261" i="6" s="1"/>
  <c r="C262" i="6"/>
  <c r="F262" i="6" s="1"/>
  <c r="I262" i="6" s="1"/>
  <c r="C263" i="6"/>
  <c r="F263" i="6" s="1"/>
  <c r="I263" i="6" s="1"/>
  <c r="C264" i="6"/>
  <c r="F264" i="6" s="1"/>
  <c r="I264" i="6" s="1"/>
  <c r="C265" i="6"/>
  <c r="F265" i="6" s="1"/>
  <c r="I265" i="6" s="1"/>
  <c r="C266" i="6"/>
  <c r="F266" i="6" s="1"/>
  <c r="I266" i="6" s="1"/>
  <c r="C267" i="6"/>
  <c r="F267" i="6" s="1"/>
  <c r="I267" i="6" s="1"/>
  <c r="C268" i="6"/>
  <c r="F268" i="6" s="1"/>
  <c r="I268" i="6" s="1"/>
  <c r="C269" i="6"/>
  <c r="F269" i="6" s="1"/>
  <c r="I269" i="6" s="1"/>
  <c r="C270" i="6"/>
  <c r="C271" i="6"/>
  <c r="F271" i="6" s="1"/>
  <c r="I271" i="6" s="1"/>
  <c r="C272" i="6"/>
  <c r="F272" i="6" s="1"/>
  <c r="I272" i="6" s="1"/>
  <c r="C273" i="6"/>
  <c r="F273" i="6" s="1"/>
  <c r="C274" i="6"/>
  <c r="F274" i="6" s="1"/>
  <c r="I274" i="6" s="1"/>
  <c r="C275" i="6"/>
  <c r="F275" i="6" s="1"/>
  <c r="I275" i="6" s="1"/>
  <c r="C276" i="6"/>
  <c r="F276" i="6" s="1"/>
  <c r="I276" i="6" s="1"/>
  <c r="C277" i="6"/>
  <c r="F277" i="6" s="1"/>
  <c r="I277" i="6" s="1"/>
  <c r="C278" i="6"/>
  <c r="F278" i="6" s="1"/>
  <c r="I278" i="6" s="1"/>
  <c r="C279" i="6"/>
  <c r="F279" i="6" s="1"/>
  <c r="I279" i="6" s="1"/>
  <c r="C280" i="6"/>
  <c r="F280" i="6" s="1"/>
  <c r="I280" i="6" s="1"/>
  <c r="C281" i="6"/>
  <c r="F281" i="6" s="1"/>
  <c r="I281" i="6" s="1"/>
  <c r="C282" i="6"/>
  <c r="F282" i="6" s="1"/>
  <c r="I282" i="6" s="1"/>
  <c r="C283" i="6"/>
  <c r="F283" i="6" s="1"/>
  <c r="I283" i="6" s="1"/>
  <c r="C284" i="6"/>
  <c r="F284" i="6" s="1"/>
  <c r="I284" i="6" s="1"/>
  <c r="C285" i="6"/>
  <c r="F285" i="6" s="1"/>
  <c r="C286" i="6"/>
  <c r="F286" i="6" s="1"/>
  <c r="I286" i="6" s="1"/>
  <c r="C287" i="6"/>
  <c r="F287" i="6" s="1"/>
  <c r="I287" i="6" s="1"/>
  <c r="C288" i="6"/>
  <c r="F288" i="6" s="1"/>
  <c r="I288" i="6" s="1"/>
  <c r="C289" i="6"/>
  <c r="F289" i="6" s="1"/>
  <c r="I289" i="6" s="1"/>
  <c r="C290" i="6"/>
  <c r="F290" i="6" s="1"/>
  <c r="I290" i="6" s="1"/>
  <c r="C291" i="6"/>
  <c r="F291" i="6" s="1"/>
  <c r="I291" i="6" s="1"/>
  <c r="C292" i="6"/>
  <c r="F292" i="6" s="1"/>
  <c r="I292" i="6" s="1"/>
  <c r="C293" i="6"/>
  <c r="F293" i="6" s="1"/>
  <c r="I293" i="6" s="1"/>
  <c r="C294" i="6"/>
  <c r="F294" i="6" s="1"/>
  <c r="I294" i="6" s="1"/>
  <c r="C295" i="6"/>
  <c r="F295" i="6" s="1"/>
  <c r="I295" i="6" s="1"/>
  <c r="C296" i="6"/>
  <c r="F296" i="6" s="1"/>
  <c r="I296" i="6" s="1"/>
  <c r="C297" i="6"/>
  <c r="F297" i="6" s="1"/>
  <c r="C298" i="6"/>
  <c r="F298" i="6" s="1"/>
  <c r="I298" i="6" s="1"/>
  <c r="C299" i="6"/>
  <c r="F299" i="6" s="1"/>
  <c r="I299" i="6" s="1"/>
  <c r="C300" i="6"/>
  <c r="F300" i="6" s="1"/>
  <c r="I300" i="6" s="1"/>
  <c r="C301" i="6"/>
  <c r="F301" i="6" s="1"/>
  <c r="I301" i="6" s="1"/>
  <c r="C302" i="6"/>
  <c r="F302" i="6" s="1"/>
  <c r="I302" i="6" s="1"/>
  <c r="C303" i="6"/>
  <c r="F303" i="6" s="1"/>
  <c r="I303" i="6" s="1"/>
  <c r="C304" i="6"/>
  <c r="F304" i="6" s="1"/>
  <c r="I304" i="6" s="1"/>
  <c r="C305" i="6"/>
  <c r="F305" i="6" s="1"/>
  <c r="I305" i="6" s="1"/>
  <c r="C306" i="6"/>
  <c r="F306" i="6" s="1"/>
  <c r="I306" i="6" s="1"/>
  <c r="C307" i="6"/>
  <c r="F307" i="6" s="1"/>
  <c r="I307" i="6" s="1"/>
  <c r="C308" i="6"/>
  <c r="F308" i="6" s="1"/>
  <c r="I308" i="6" s="1"/>
  <c r="C309" i="6"/>
  <c r="F309" i="6" s="1"/>
  <c r="C310" i="6"/>
  <c r="F310" i="6" s="1"/>
  <c r="I310" i="6" s="1"/>
  <c r="C311" i="6"/>
  <c r="F311" i="6" s="1"/>
  <c r="I311" i="6" s="1"/>
  <c r="C312" i="6"/>
  <c r="F312" i="6" s="1"/>
  <c r="I312" i="6" s="1"/>
  <c r="C313" i="6"/>
  <c r="F313" i="6" s="1"/>
  <c r="I313" i="6" s="1"/>
  <c r="C314" i="6"/>
  <c r="F314" i="6" s="1"/>
  <c r="I314" i="6" s="1"/>
  <c r="C315" i="6"/>
  <c r="F315" i="6" s="1"/>
  <c r="I315" i="6" s="1"/>
  <c r="C316" i="6"/>
  <c r="F316" i="6" s="1"/>
  <c r="I316" i="6" s="1"/>
  <c r="C317" i="6"/>
  <c r="F317" i="6" s="1"/>
  <c r="I317" i="6" s="1"/>
  <c r="C318" i="6"/>
  <c r="F318" i="6" s="1"/>
  <c r="I318" i="6" s="1"/>
  <c r="C319" i="6"/>
  <c r="F319" i="6" s="1"/>
  <c r="I319" i="6" s="1"/>
  <c r="C320" i="6"/>
  <c r="F320" i="6" s="1"/>
  <c r="I320" i="6" s="1"/>
  <c r="C321" i="6"/>
  <c r="F321" i="6" s="1"/>
  <c r="C322" i="6"/>
  <c r="F322" i="6" s="1"/>
  <c r="I322" i="6" s="1"/>
  <c r="C323" i="6"/>
  <c r="F323" i="6" s="1"/>
  <c r="I323" i="6" s="1"/>
  <c r="C324" i="6"/>
  <c r="F324" i="6" s="1"/>
  <c r="I324" i="6" s="1"/>
  <c r="C325" i="6"/>
  <c r="F325" i="6" s="1"/>
  <c r="I325" i="6" s="1"/>
  <c r="C326" i="6"/>
  <c r="F326" i="6" s="1"/>
  <c r="I326" i="6" s="1"/>
  <c r="C327" i="6"/>
  <c r="F327" i="6" s="1"/>
  <c r="I327" i="6" s="1"/>
  <c r="C328" i="6"/>
  <c r="F328" i="6" s="1"/>
  <c r="I328" i="6" s="1"/>
  <c r="C329" i="6"/>
  <c r="F329" i="6" s="1"/>
  <c r="I329" i="6" s="1"/>
  <c r="C330" i="6"/>
  <c r="F330" i="6" s="1"/>
  <c r="I330" i="6" s="1"/>
  <c r="C331" i="6"/>
  <c r="F331" i="6" s="1"/>
  <c r="I331" i="6" s="1"/>
  <c r="C332" i="6"/>
  <c r="F332" i="6" s="1"/>
  <c r="I332" i="6" s="1"/>
  <c r="C333" i="6"/>
  <c r="F333" i="6" s="1"/>
  <c r="C334" i="6"/>
  <c r="F334" i="6" s="1"/>
  <c r="I334" i="6" s="1"/>
  <c r="C335" i="6"/>
  <c r="F335" i="6" s="1"/>
  <c r="I335" i="6" s="1"/>
  <c r="C336" i="6"/>
  <c r="F336" i="6" s="1"/>
  <c r="I336" i="6" s="1"/>
  <c r="C337" i="6"/>
  <c r="F337" i="6" s="1"/>
  <c r="I337" i="6" s="1"/>
  <c r="C338" i="6"/>
  <c r="F338" i="6" s="1"/>
  <c r="I338" i="6" s="1"/>
  <c r="C339" i="6"/>
  <c r="F339" i="6" s="1"/>
  <c r="I339" i="6" s="1"/>
  <c r="C340" i="6"/>
  <c r="F340" i="6" s="1"/>
  <c r="I340" i="6" s="1"/>
  <c r="C341" i="6"/>
  <c r="C342" i="6"/>
  <c r="F342" i="6" s="1"/>
  <c r="I342" i="6" s="1"/>
  <c r="C343" i="6"/>
  <c r="F343" i="6" s="1"/>
  <c r="I343" i="6" s="1"/>
  <c r="C344" i="6"/>
  <c r="F344" i="6" s="1"/>
  <c r="I344" i="6" s="1"/>
  <c r="C345" i="6"/>
  <c r="F345" i="6" s="1"/>
  <c r="C346" i="6"/>
  <c r="F346" i="6" s="1"/>
  <c r="I346" i="6" s="1"/>
  <c r="C347" i="6"/>
  <c r="F347" i="6" s="1"/>
  <c r="I347" i="6" s="1"/>
  <c r="C348" i="6"/>
  <c r="F348" i="6" s="1"/>
  <c r="I348" i="6" s="1"/>
  <c r="C349" i="6"/>
  <c r="F349" i="6" s="1"/>
  <c r="I349" i="6" s="1"/>
  <c r="C350" i="6"/>
  <c r="F350" i="6" s="1"/>
  <c r="I350" i="6" s="1"/>
  <c r="C334" i="1"/>
  <c r="C179" i="1"/>
  <c r="C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352" i="7" l="1"/>
  <c r="F2" i="7"/>
  <c r="F4" i="7"/>
  <c r="I4" i="7" s="1"/>
  <c r="J4" i="7" s="1"/>
  <c r="F26" i="7"/>
  <c r="I26" i="7" s="1"/>
  <c r="J26" i="7" s="1"/>
  <c r="F37" i="7"/>
  <c r="I37" i="7" s="1"/>
  <c r="J37" i="7" s="1"/>
  <c r="I53" i="7"/>
  <c r="J53" i="7" s="1"/>
  <c r="F58" i="7"/>
  <c r="I58" i="7" s="1"/>
  <c r="J58" i="7" s="1"/>
  <c r="I60" i="7"/>
  <c r="J60" i="7" s="1"/>
  <c r="I140" i="7"/>
  <c r="J140" i="7" s="1"/>
  <c r="F143" i="7"/>
  <c r="I143" i="7" s="1"/>
  <c r="J143" i="7" s="1"/>
  <c r="E352" i="7"/>
  <c r="F10" i="7"/>
  <c r="I10" i="7" s="1"/>
  <c r="J10" i="7" s="1"/>
  <c r="F35" i="7"/>
  <c r="I35" i="7" s="1"/>
  <c r="J35" i="7" s="1"/>
  <c r="I104" i="7"/>
  <c r="J104" i="7" s="1"/>
  <c r="G352" i="7"/>
  <c r="I38" i="7"/>
  <c r="J38" i="7" s="1"/>
  <c r="I69" i="7"/>
  <c r="J69" i="7" s="1"/>
  <c r="H2" i="7"/>
  <c r="H352" i="7" s="1"/>
  <c r="F5" i="7"/>
  <c r="I5" i="7" s="1"/>
  <c r="J5" i="7" s="1"/>
  <c r="F16" i="7"/>
  <c r="I16" i="7" s="1"/>
  <c r="J16" i="7" s="1"/>
  <c r="F41" i="7"/>
  <c r="I41" i="7" s="1"/>
  <c r="J41" i="7" s="1"/>
  <c r="F72" i="7"/>
  <c r="I72" i="7" s="1"/>
  <c r="J72" i="7" s="1"/>
  <c r="I138" i="7"/>
  <c r="J138" i="7" s="1"/>
  <c r="F144" i="7"/>
  <c r="I144" i="7" s="1"/>
  <c r="J144" i="7" s="1"/>
  <c r="F159" i="7"/>
  <c r="I159" i="7" s="1"/>
  <c r="J159" i="7" s="1"/>
  <c r="I86" i="7"/>
  <c r="J86" i="7" s="1"/>
  <c r="I8" i="7"/>
  <c r="J8" i="7" s="1"/>
  <c r="I62" i="7"/>
  <c r="J62" i="7" s="1"/>
  <c r="I67" i="7"/>
  <c r="J67" i="7" s="1"/>
  <c r="I82" i="7"/>
  <c r="J82" i="7" s="1"/>
  <c r="I100" i="7"/>
  <c r="J100" i="7" s="1"/>
  <c r="I118" i="7"/>
  <c r="J118" i="7" s="1"/>
  <c r="I136" i="7"/>
  <c r="J136" i="7" s="1"/>
  <c r="F11" i="7"/>
  <c r="I11" i="7" s="1"/>
  <c r="J11" i="7" s="1"/>
  <c r="F22" i="7"/>
  <c r="I22" i="7" s="1"/>
  <c r="J22" i="7" s="1"/>
  <c r="I74" i="7"/>
  <c r="J74" i="7" s="1"/>
  <c r="I87" i="7"/>
  <c r="J87" i="7" s="1"/>
  <c r="I92" i="7"/>
  <c r="J92" i="7" s="1"/>
  <c r="I105" i="7"/>
  <c r="J105" i="7" s="1"/>
  <c r="I110" i="7"/>
  <c r="J110" i="7" s="1"/>
  <c r="I123" i="7"/>
  <c r="J123" i="7" s="1"/>
  <c r="I128" i="7"/>
  <c r="J128" i="7" s="1"/>
  <c r="I14" i="7"/>
  <c r="J14" i="7" s="1"/>
  <c r="F25" i="7"/>
  <c r="I25" i="7" s="1"/>
  <c r="J25" i="7" s="1"/>
  <c r="I47" i="7"/>
  <c r="J47" i="7" s="1"/>
  <c r="F52" i="7"/>
  <c r="I52" i="7" s="1"/>
  <c r="J52" i="7" s="1"/>
  <c r="I54" i="7"/>
  <c r="J54" i="7" s="1"/>
  <c r="I65" i="7"/>
  <c r="J65" i="7" s="1"/>
  <c r="I79" i="7"/>
  <c r="J79" i="7" s="1"/>
  <c r="I97" i="7"/>
  <c r="J97" i="7" s="1"/>
  <c r="I115" i="7"/>
  <c r="J115" i="7" s="1"/>
  <c r="I133" i="7"/>
  <c r="J133" i="7" s="1"/>
  <c r="I139" i="7"/>
  <c r="J139" i="7" s="1"/>
  <c r="F160" i="7"/>
  <c r="I160" i="7" s="1"/>
  <c r="J160" i="7" s="1"/>
  <c r="I170" i="7"/>
  <c r="J170" i="7" s="1"/>
  <c r="F17" i="7"/>
  <c r="I17" i="7" s="1"/>
  <c r="J17" i="7" s="1"/>
  <c r="F28" i="7"/>
  <c r="I28" i="7" s="1"/>
  <c r="J28" i="7" s="1"/>
  <c r="I122" i="7"/>
  <c r="J122" i="7" s="1"/>
  <c r="I20" i="7"/>
  <c r="J20" i="7" s="1"/>
  <c r="I50" i="7"/>
  <c r="J50" i="7" s="1"/>
  <c r="I68" i="7"/>
  <c r="J68" i="7" s="1"/>
  <c r="I32" i="7"/>
  <c r="J32" i="7" s="1"/>
  <c r="I23" i="7"/>
  <c r="J23" i="7" s="1"/>
  <c r="I34" i="7"/>
  <c r="J34" i="7" s="1"/>
  <c r="F71" i="7"/>
  <c r="I71" i="7" s="1"/>
  <c r="J71" i="7" s="1"/>
  <c r="F153" i="7"/>
  <c r="I153" i="7" s="1"/>
  <c r="J153" i="7" s="1"/>
  <c r="F165" i="7"/>
  <c r="I165" i="7" s="1"/>
  <c r="J165" i="7" s="1"/>
  <c r="F174" i="7"/>
  <c r="I174" i="7" s="1"/>
  <c r="J174" i="7" s="1"/>
  <c r="F218" i="7"/>
  <c r="I218" i="7" s="1"/>
  <c r="J218" i="7" s="1"/>
  <c r="F221" i="7"/>
  <c r="I221" i="7" s="1"/>
  <c r="J221" i="7" s="1"/>
  <c r="F162" i="7"/>
  <c r="I162" i="7" s="1"/>
  <c r="J162" i="7" s="1"/>
  <c r="I227" i="7"/>
  <c r="J227" i="7" s="1"/>
  <c r="I196" i="7"/>
  <c r="J196" i="7" s="1"/>
  <c r="I207" i="7"/>
  <c r="J207" i="7" s="1"/>
  <c r="F213" i="7"/>
  <c r="I213" i="7" s="1"/>
  <c r="J213" i="7" s="1"/>
  <c r="F150" i="7"/>
  <c r="I150" i="7" s="1"/>
  <c r="J150" i="7" s="1"/>
  <c r="F177" i="7"/>
  <c r="I177" i="7" s="1"/>
  <c r="J177" i="7" s="1"/>
  <c r="I219" i="7"/>
  <c r="J219" i="7" s="1"/>
  <c r="I224" i="7"/>
  <c r="J224" i="7" s="1"/>
  <c r="I240" i="7"/>
  <c r="J240" i="7" s="1"/>
  <c r="F179" i="7"/>
  <c r="I179" i="7" s="1"/>
  <c r="J179" i="7" s="1"/>
  <c r="F192" i="7"/>
  <c r="I192" i="7" s="1"/>
  <c r="J192" i="7" s="1"/>
  <c r="I181" i="7"/>
  <c r="J181" i="7" s="1"/>
  <c r="F161" i="7"/>
  <c r="I161" i="7" s="1"/>
  <c r="J161" i="7" s="1"/>
  <c r="F168" i="7"/>
  <c r="I168" i="7" s="1"/>
  <c r="J168" i="7" s="1"/>
  <c r="F208" i="7"/>
  <c r="I208" i="7" s="1"/>
  <c r="J208" i="7" s="1"/>
  <c r="F217" i="7"/>
  <c r="I217" i="7" s="1"/>
  <c r="J217" i="7" s="1"/>
  <c r="F156" i="7"/>
  <c r="I156" i="7" s="1"/>
  <c r="J156" i="7" s="1"/>
  <c r="I195" i="7"/>
  <c r="J195" i="7" s="1"/>
  <c r="I238" i="7"/>
  <c r="J238" i="7" s="1"/>
  <c r="I186" i="7"/>
  <c r="J186" i="7" s="1"/>
  <c r="I214" i="7"/>
  <c r="J214" i="7" s="1"/>
  <c r="F176" i="7"/>
  <c r="I176" i="7" s="1"/>
  <c r="J176" i="7" s="1"/>
  <c r="F180" i="7"/>
  <c r="I180" i="7" s="1"/>
  <c r="J180" i="7" s="1"/>
  <c r="F198" i="7"/>
  <c r="I198" i="7" s="1"/>
  <c r="J198" i="7" s="1"/>
  <c r="F209" i="7"/>
  <c r="I209" i="7" s="1"/>
  <c r="J209" i="7" s="1"/>
  <c r="F226" i="7"/>
  <c r="I226" i="7" s="1"/>
  <c r="J226" i="7" s="1"/>
  <c r="I229" i="7"/>
  <c r="J229" i="7" s="1"/>
  <c r="F234" i="7"/>
  <c r="I234" i="7" s="1"/>
  <c r="J234" i="7" s="1"/>
  <c r="I278" i="7"/>
  <c r="J278" i="7" s="1"/>
  <c r="F210" i="7"/>
  <c r="I210" i="7" s="1"/>
  <c r="J210" i="7" s="1"/>
  <c r="F239" i="7"/>
  <c r="I239" i="7" s="1"/>
  <c r="J239" i="7" s="1"/>
  <c r="I260" i="7"/>
  <c r="J260" i="7" s="1"/>
  <c r="I272" i="7"/>
  <c r="J272" i="7" s="1"/>
  <c r="F225" i="7"/>
  <c r="I225" i="7" s="1"/>
  <c r="J225" i="7" s="1"/>
  <c r="I266" i="7"/>
  <c r="J266" i="7" s="1"/>
  <c r="F204" i="7"/>
  <c r="I204" i="7" s="1"/>
  <c r="J204" i="7" s="1"/>
  <c r="F231" i="7"/>
  <c r="I231" i="7" s="1"/>
  <c r="J231" i="7" s="1"/>
  <c r="I233" i="7"/>
  <c r="J233" i="7" s="1"/>
  <c r="I244" i="7"/>
  <c r="J244" i="7" s="1"/>
  <c r="I296" i="7"/>
  <c r="J296" i="7" s="1"/>
  <c r="F183" i="7"/>
  <c r="I183" i="7" s="1"/>
  <c r="J183" i="7" s="1"/>
  <c r="F201" i="7"/>
  <c r="I201" i="7" s="1"/>
  <c r="J201" i="7" s="1"/>
  <c r="F249" i="7"/>
  <c r="I249" i="7" s="1"/>
  <c r="J249" i="7" s="1"/>
  <c r="F257" i="7"/>
  <c r="I257" i="7" s="1"/>
  <c r="J257" i="7" s="1"/>
  <c r="F293" i="7"/>
  <c r="I293" i="7" s="1"/>
  <c r="J293" i="7" s="1"/>
  <c r="F216" i="7"/>
  <c r="I216" i="7" s="1"/>
  <c r="J216" i="7" s="1"/>
  <c r="F318" i="7"/>
  <c r="I318" i="7" s="1"/>
  <c r="J318" i="7" s="1"/>
  <c r="F321" i="7"/>
  <c r="I321" i="7" s="1"/>
  <c r="J321" i="7" s="1"/>
  <c r="F324" i="7"/>
  <c r="I324" i="7" s="1"/>
  <c r="J324" i="7" s="1"/>
  <c r="F327" i="7"/>
  <c r="I327" i="7" s="1"/>
  <c r="J327" i="7" s="1"/>
  <c r="F345" i="7"/>
  <c r="I345" i="7" s="1"/>
  <c r="J345" i="7" s="1"/>
  <c r="F264" i="7"/>
  <c r="I264" i="7" s="1"/>
  <c r="J264" i="7" s="1"/>
  <c r="I282" i="7"/>
  <c r="J282" i="7" s="1"/>
  <c r="I291" i="7"/>
  <c r="J291" i="7" s="1"/>
  <c r="I300" i="7"/>
  <c r="J300" i="7" s="1"/>
  <c r="I313" i="7"/>
  <c r="J313" i="7" s="1"/>
  <c r="F246" i="7"/>
  <c r="I246" i="7" s="1"/>
  <c r="J246" i="7" s="1"/>
  <c r="F280" i="7"/>
  <c r="I280" i="7" s="1"/>
  <c r="J280" i="7" s="1"/>
  <c r="F289" i="7"/>
  <c r="I289" i="7" s="1"/>
  <c r="J289" i="7" s="1"/>
  <c r="F298" i="7"/>
  <c r="I298" i="7" s="1"/>
  <c r="J298" i="7" s="1"/>
  <c r="I303" i="7"/>
  <c r="J303" i="7" s="1"/>
  <c r="I316" i="7"/>
  <c r="J316" i="7" s="1"/>
  <c r="I319" i="7"/>
  <c r="J319" i="7" s="1"/>
  <c r="I322" i="7"/>
  <c r="J322" i="7" s="1"/>
  <c r="I325" i="7"/>
  <c r="J325" i="7" s="1"/>
  <c r="F339" i="7"/>
  <c r="I339" i="7" s="1"/>
  <c r="J339" i="7" s="1"/>
  <c r="F243" i="7"/>
  <c r="I243" i="7" s="1"/>
  <c r="J243" i="7" s="1"/>
  <c r="F261" i="7"/>
  <c r="I261" i="7" s="1"/>
  <c r="J261" i="7" s="1"/>
  <c r="I270" i="7"/>
  <c r="J270" i="7" s="1"/>
  <c r="I276" i="7"/>
  <c r="J276" i="7" s="1"/>
  <c r="I306" i="7"/>
  <c r="J306" i="7" s="1"/>
  <c r="I332" i="7"/>
  <c r="J332" i="7" s="1"/>
  <c r="F285" i="7"/>
  <c r="I285" i="7" s="1"/>
  <c r="J285" i="7" s="1"/>
  <c r="F294" i="7"/>
  <c r="I294" i="7" s="1"/>
  <c r="J294" i="7" s="1"/>
  <c r="F336" i="7"/>
  <c r="I336" i="7" s="1"/>
  <c r="J336" i="7" s="1"/>
  <c r="F283" i="7"/>
  <c r="I283" i="7" s="1"/>
  <c r="J283" i="7" s="1"/>
  <c r="F292" i="7"/>
  <c r="I292" i="7" s="1"/>
  <c r="J292" i="7" s="1"/>
  <c r="I301" i="7"/>
  <c r="J301" i="7" s="1"/>
  <c r="I309" i="7"/>
  <c r="J309" i="7" s="1"/>
  <c r="F333" i="7"/>
  <c r="I333" i="7" s="1"/>
  <c r="J333" i="7" s="1"/>
  <c r="I351" i="7"/>
  <c r="J351" i="7" s="1"/>
  <c r="F237" i="7"/>
  <c r="I237" i="7" s="1"/>
  <c r="J237" i="7" s="1"/>
  <c r="F255" i="7"/>
  <c r="I255" i="7" s="1"/>
  <c r="J255" i="7" s="1"/>
  <c r="I304" i="7"/>
  <c r="J304" i="7" s="1"/>
  <c r="I312" i="7"/>
  <c r="J312" i="7" s="1"/>
  <c r="F267" i="7"/>
  <c r="I267" i="7" s="1"/>
  <c r="J267" i="7" s="1"/>
  <c r="F279" i="7"/>
  <c r="I279" i="7" s="1"/>
  <c r="J279" i="7" s="1"/>
  <c r="F288" i="7"/>
  <c r="I288" i="7" s="1"/>
  <c r="J288" i="7" s="1"/>
  <c r="F297" i="7"/>
  <c r="I297" i="7" s="1"/>
  <c r="J297" i="7" s="1"/>
  <c r="I307" i="7"/>
  <c r="J307" i="7" s="1"/>
  <c r="F330" i="7"/>
  <c r="I330" i="7" s="1"/>
  <c r="J330" i="7" s="1"/>
  <c r="F348" i="7"/>
  <c r="I348" i="7" s="1"/>
  <c r="J348" i="7" s="1"/>
  <c r="I273" i="7"/>
  <c r="J273" i="7" s="1"/>
  <c r="F286" i="7"/>
  <c r="I286" i="7" s="1"/>
  <c r="J286" i="7" s="1"/>
  <c r="F295" i="7"/>
  <c r="I295" i="7" s="1"/>
  <c r="J295" i="7" s="1"/>
  <c r="F315" i="7"/>
  <c r="I315" i="7" s="1"/>
  <c r="J315" i="7" s="1"/>
  <c r="I341" i="7"/>
  <c r="J341" i="7" s="1"/>
  <c r="I345" i="6"/>
  <c r="F54" i="6"/>
  <c r="I54" i="6" s="1"/>
  <c r="F42" i="6"/>
  <c r="I42" i="6" s="1"/>
  <c r="F30" i="6"/>
  <c r="I30" i="6" s="1"/>
  <c r="F18" i="6"/>
  <c r="I18" i="6" s="1"/>
  <c r="F6" i="6"/>
  <c r="I6" i="6" s="1"/>
  <c r="F111" i="6"/>
  <c r="I111" i="6" s="1"/>
  <c r="F99" i="6"/>
  <c r="I99" i="6" s="1"/>
  <c r="F87" i="6"/>
  <c r="I87" i="6" s="1"/>
  <c r="F75" i="6"/>
  <c r="I75" i="6" s="1"/>
  <c r="F63" i="6"/>
  <c r="I63" i="6" s="1"/>
  <c r="F51" i="6"/>
  <c r="I51" i="6" s="1"/>
  <c r="F39" i="6"/>
  <c r="I39" i="6" s="1"/>
  <c r="F27" i="6"/>
  <c r="I27" i="6" s="1"/>
  <c r="F15" i="6"/>
  <c r="I15" i="6" s="1"/>
  <c r="F3" i="6"/>
  <c r="I3" i="6" s="1"/>
  <c r="F38" i="6"/>
  <c r="I38" i="6" s="1"/>
  <c r="F341" i="6"/>
  <c r="I341" i="6" s="1"/>
  <c r="I333" i="6"/>
  <c r="I321" i="6"/>
  <c r="I309" i="6"/>
  <c r="I297" i="6"/>
  <c r="I285" i="6"/>
  <c r="I273" i="6"/>
  <c r="I261" i="6"/>
  <c r="I249" i="6"/>
  <c r="I237" i="6"/>
  <c r="I225" i="6"/>
  <c r="I213" i="6"/>
  <c r="I177" i="6"/>
  <c r="I153" i="6"/>
  <c r="I117" i="6"/>
  <c r="I105" i="6"/>
  <c r="I93" i="6"/>
  <c r="I81" i="6"/>
  <c r="I69" i="6"/>
  <c r="I57" i="6"/>
  <c r="I45" i="6"/>
  <c r="I33" i="6"/>
  <c r="I21" i="6"/>
  <c r="I9" i="6"/>
  <c r="F26" i="6"/>
  <c r="I26" i="6" s="1"/>
  <c r="F14" i="6"/>
  <c r="I14" i="6" s="1"/>
  <c r="F2" i="6"/>
  <c r="I2" i="6" s="1"/>
  <c r="F129" i="6"/>
  <c r="I129" i="6" s="1"/>
  <c r="F201" i="6"/>
  <c r="I201" i="6" s="1"/>
  <c r="F189" i="6"/>
  <c r="I189" i="6" s="1"/>
  <c r="F165" i="6"/>
  <c r="I165" i="6" s="1"/>
  <c r="F141" i="6"/>
  <c r="I141" i="6" s="1"/>
  <c r="F270" i="6"/>
  <c r="I270" i="6" s="1"/>
  <c r="F258" i="6"/>
  <c r="I258" i="6" s="1"/>
  <c r="F246" i="6"/>
  <c r="I246" i="6" s="1"/>
  <c r="F234" i="6"/>
  <c r="I234" i="6" s="1"/>
  <c r="F222" i="6"/>
  <c r="I222" i="6" s="1"/>
  <c r="F210" i="6"/>
  <c r="I210" i="6" s="1"/>
  <c r="F198" i="6"/>
  <c r="I198" i="6" s="1"/>
  <c r="F186" i="6"/>
  <c r="I186" i="6" s="1"/>
  <c r="F174" i="6"/>
  <c r="I174" i="6" s="1"/>
  <c r="F162" i="6"/>
  <c r="I162" i="6" s="1"/>
  <c r="F150" i="6"/>
  <c r="I150" i="6" s="1"/>
  <c r="F138" i="6"/>
  <c r="I138" i="6" s="1"/>
  <c r="F126" i="6"/>
  <c r="I126" i="6" s="1"/>
  <c r="F352" i="7" l="1"/>
  <c r="I2" i="7"/>
  <c r="I352" i="7" l="1"/>
  <c r="J2" i="7"/>
  <c r="J352" i="7" s="1"/>
</calcChain>
</file>

<file path=xl/sharedStrings.xml><?xml version="1.0" encoding="utf-8"?>
<sst xmlns="http://schemas.openxmlformats.org/spreadsheetml/2006/main" count="2155" uniqueCount="45">
  <si>
    <t>Дата</t>
  </si>
  <si>
    <t>Количество</t>
  </si>
  <si>
    <t>Тип сделки</t>
  </si>
  <si>
    <t>Покупка</t>
  </si>
  <si>
    <t>Продажа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</si>
  <si>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</si>
  <si>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</si>
  <si>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</si>
  <si>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</si>
  <si>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</si>
  <si>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</si>
  <si>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</si>
  <si>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</si>
  <si>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</si>
  <si>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&lt;OPENINT&gt;</t>
  </si>
  <si>
    <t>D</t>
  </si>
  <si>
    <t>СБЕРБ БО3R</t>
  </si>
  <si>
    <t>Купоны</t>
  </si>
  <si>
    <t>Погашение</t>
  </si>
  <si>
    <t>39,89 RUR  </t>
  </si>
  <si>
    <t>13,15 RUR  </t>
  </si>
  <si>
    <t>Ставка</t>
  </si>
  <si>
    <t>% от номинала</t>
  </si>
  <si>
    <t>№</t>
  </si>
  <si>
    <t>Размер</t>
  </si>
  <si>
    <t>% от номинала2</t>
  </si>
  <si>
    <t>Размер3</t>
  </si>
  <si>
    <t>Выплата купона</t>
  </si>
  <si>
    <t>Количество (net)</t>
  </si>
  <si>
    <t>Названия строк</t>
  </si>
  <si>
    <t>Общий итог</t>
  </si>
  <si>
    <t>Сумма по полю Количество (net)</t>
  </si>
  <si>
    <t>Цена сделки</t>
  </si>
  <si>
    <t>Дата купона</t>
  </si>
  <si>
    <t>НДК</t>
  </si>
  <si>
    <t>Денежный поток</t>
  </si>
  <si>
    <t>Открытая позиция</t>
  </si>
  <si>
    <t>Купонный доход</t>
  </si>
  <si>
    <t>Общий денежный поток</t>
  </si>
  <si>
    <t>Чистая приведенная стоимость</t>
  </si>
  <si>
    <t>Итог</t>
  </si>
  <si>
    <r>
      <t xml:space="preserve">Чему равен накопленный купонный доход, который надо уплатить при покупке </t>
    </r>
    <r>
      <rPr>
        <b/>
        <sz val="12"/>
        <color theme="1"/>
        <rFont val="Calibri"/>
        <family val="2"/>
        <charset val="204"/>
        <scheme val="minor"/>
      </rPr>
      <t>одной</t>
    </r>
    <r>
      <rPr>
        <sz val="12"/>
        <color theme="1"/>
        <rFont val="Calibri"/>
        <family val="2"/>
        <charset val="204"/>
        <scheme val="minor"/>
      </rPr>
      <t xml:space="preserve"> облигации </t>
    </r>
    <r>
      <rPr>
        <u/>
        <sz val="12"/>
        <color theme="1"/>
        <rFont val="Calibri"/>
        <family val="2"/>
        <charset val="204"/>
        <scheme val="minor"/>
      </rPr>
      <t>15 октября 2018</t>
    </r>
    <r>
      <rPr>
        <sz val="12"/>
        <color theme="1"/>
        <rFont val="Calibri"/>
        <family val="2"/>
        <charset val="204"/>
        <scheme val="minor"/>
      </rPr>
      <t xml:space="preserve"> года. </t>
    </r>
    <r>
      <rPr>
        <b/>
        <sz val="12"/>
        <color theme="1"/>
        <rFont val="Calibri"/>
        <family val="2"/>
        <charset val="204"/>
        <scheme val="minor"/>
      </rPr>
      <t>Укажите значение в процентах (то есть если ответ 5% - укажите 5, а не 0,05).</t>
    </r>
  </si>
  <si>
    <r>
      <t>Какая сумма (в рублях) была уплачена при покупке  облигаций</t>
    </r>
    <r>
      <rPr>
        <b/>
        <sz val="12"/>
        <color theme="1"/>
        <rFont val="Calibri"/>
        <family val="2"/>
        <charset val="204"/>
        <scheme val="minor"/>
      </rPr>
      <t xml:space="preserve"> 22 июня 2018</t>
    </r>
    <r>
      <rPr>
        <sz val="12"/>
        <color theme="1"/>
        <rFont val="Calibri"/>
        <family val="2"/>
        <charset val="204"/>
        <scheme val="minor"/>
      </rPr>
      <t xml:space="preserve"> года?</t>
    </r>
  </si>
  <si>
    <r>
      <t xml:space="preserve">Чему равна открытая позиция по облигациям (в штуках) на конец дня </t>
    </r>
    <r>
      <rPr>
        <b/>
        <sz val="12"/>
        <color theme="1"/>
        <rFont val="Calibri"/>
        <family val="2"/>
        <charset val="204"/>
        <scheme val="minor"/>
      </rPr>
      <t>8 мая 2018</t>
    </r>
    <r>
      <rPr>
        <sz val="12"/>
        <color theme="1"/>
        <rFont val="Calibri"/>
        <family val="2"/>
        <charset val="204"/>
        <scheme val="minor"/>
      </rPr>
      <t xml:space="preserve"> года?</t>
    </r>
  </si>
  <si>
    <r>
      <t xml:space="preserve">На какое количество облигаций был выплачен купонный доход </t>
    </r>
    <r>
      <rPr>
        <b/>
        <sz val="12"/>
        <color theme="1"/>
        <rFont val="Calibri"/>
        <family val="2"/>
        <charset val="204"/>
        <scheme val="minor"/>
      </rPr>
      <t>12.04.2019</t>
    </r>
    <r>
      <rPr>
        <sz val="12"/>
        <color theme="1"/>
        <rFont val="Calibri"/>
        <family val="2"/>
        <charset val="204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</si>
</sst>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slantDashDot">
        <color rgb="FFFFC000"/>
      </left>
      <right/>
      <top style="slantDashDot">
        <color rgb="FFFFC000"/>
      </top>
      <bottom/>
      <diagonal/>
    </border>
    <border>
      <left/>
      <right/>
      <top style="slantDashDot">
        <color rgb="FFFFC000"/>
      </top>
      <bottom/>
      <diagonal/>
    </border>
    <border>
      <left/>
      <right style="slantDashDot">
        <color rgb="FFFFC000"/>
      </right>
      <top style="slantDashDot">
        <color rgb="FFFFC000"/>
      </top>
      <bottom/>
      <diagonal/>
    </border>
    <border>
      <left style="slantDashDot">
        <color rgb="FFFFC000"/>
      </left>
      <right/>
      <top/>
      <bottom/>
      <diagonal/>
    </border>
    <border>
      <left/>
      <right style="slantDashDot">
        <color rgb="FFFFC000"/>
      </right>
      <top/>
      <bottom/>
      <diagonal/>
    </border>
    <border>
      <left style="slantDashDot">
        <color rgb="FFFFC000"/>
      </left>
      <right/>
      <top/>
      <bottom style="slantDashDot">
        <color rgb="FFFFC000"/>
      </bottom>
      <diagonal/>
    </border>
    <border>
      <left/>
      <right/>
      <top/>
      <bottom style="slantDashDot">
        <color rgb="FFFFC000"/>
      </bottom>
      <diagonal/>
    </border>
    <border>
      <left/>
      <right style="slantDashDot">
        <color rgb="FFFFC000"/>
      </right>
      <top/>
      <bottom style="slantDashDot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Fill="1" applyBorder="1"/>
    <xf numFmtId="0" fontId="0" fillId="0" borderId="0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0" borderId="0" xfId="0" applyNumberFormat="1"/>
    <xf numFmtId="14" fontId="0" fillId="0" borderId="0" xfId="0" applyNumberFormat="1"/>
    <xf numFmtId="0" fontId="4" fillId="0" borderId="0" xfId="0" applyFont="1"/>
    <xf numFmtId="164" fontId="2" fillId="0" borderId="0" xfId="0" applyNumberFormat="1" applyFont="1" applyFill="1" applyBorder="1"/>
    <xf numFmtId="0" fontId="0" fillId="0" borderId="0" xfId="0" applyFill="1"/>
    <xf numFmtId="164" fontId="2" fillId="0" borderId="0" xfId="0" applyNumberFormat="1" applyFont="1" applyFill="1"/>
    <xf numFmtId="0" fontId="1" fillId="0" borderId="0" xfId="0" applyFont="1" applyFill="1" applyBorder="1"/>
    <xf numFmtId="164" fontId="0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/>
    <xf numFmtId="0" fontId="0" fillId="0" borderId="0" xfId="0" pivotButton="1"/>
    <xf numFmtId="164" fontId="0" fillId="0" borderId="0" xfId="0" applyNumberFormat="1" applyAlignment="1">
      <alignment horizontal="left"/>
    </xf>
    <xf numFmtId="14" fontId="4" fillId="0" borderId="0" xfId="0" applyNumberFormat="1" applyFont="1"/>
    <xf numFmtId="0" fontId="3" fillId="2" borderId="0" xfId="0" applyFont="1" applyFill="1" applyAlignment="1">
      <alignment horizontal="center"/>
    </xf>
    <xf numFmtId="10" fontId="0" fillId="0" borderId="0" xfId="0" applyNumberFormat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0" xfId="0" applyBorder="1"/>
    <xf numFmtId="0" fontId="0" fillId="0" borderId="0" xfId="0" quotePrefix="1" applyBorder="1"/>
    <xf numFmtId="14" fontId="0" fillId="0" borderId="0" xfId="0" quotePrefix="1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2" fontId="0" fillId="0" borderId="6" xfId="0" applyNumberFormat="1" applyBorder="1"/>
    <xf numFmtId="0" fontId="0" fillId="0" borderId="2" xfId="0" applyBorder="1"/>
    <xf numFmtId="2" fontId="0" fillId="0" borderId="4" xfId="0" applyNumberForma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14" fontId="0" fillId="0" borderId="8" xfId="0" applyNumberFormat="1" applyBorder="1"/>
    <xf numFmtId="2" fontId="0" fillId="0" borderId="8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9" fontId="0" fillId="4" borderId="10" xfId="0" applyNumberFormat="1" applyFill="1" applyBorder="1"/>
    <xf numFmtId="0" fontId="2" fillId="3" borderId="10" xfId="0" applyFont="1" applyFill="1" applyBorder="1"/>
    <xf numFmtId="2" fontId="0" fillId="0" borderId="5" xfId="0" applyNumberFormat="1" applyBorder="1"/>
    <xf numFmtId="0" fontId="2" fillId="0" borderId="0" xfId="0" applyFont="1"/>
  </cellXfs>
  <cellStyles count="1">
    <cellStyle name="Обычный" xfId="0" builtinId="0"/>
  </cellStyles>
  <dxfs count="50">
    <dxf>
      <numFmt numFmtId="2" formatCode="0.00"/>
    </dxf>
    <dxf>
      <numFmt numFmtId="2" formatCode="0.00"/>
      <border diagonalUp="0" diagonalDown="0" outline="0">
        <left/>
        <right style="slantDashDot">
          <color rgb="FFFFC000"/>
        </right>
        <top/>
        <bottom style="slantDashDot">
          <color rgb="FFFFC000"/>
        </bottom>
      </border>
    </dxf>
    <dxf>
      <numFmt numFmtId="2" formatCode="0.00"/>
    </dxf>
    <dxf>
      <numFmt numFmtId="2" formatCode="0.00"/>
      <border diagonalUp="0" diagonalDown="0" outline="0">
        <left/>
        <right/>
        <top/>
        <bottom style="slantDashDot">
          <color rgb="FFFFC000"/>
        </bottom>
      </border>
    </dxf>
    <dxf>
      <numFmt numFmtId="2" formatCode="0.00"/>
      <border diagonalUp="0" diagonalDown="0">
        <left/>
        <right style="slantDashDot">
          <color rgb="FFFFC000"/>
        </right>
        <top/>
        <bottom/>
        <vertical/>
        <horizontal/>
      </border>
    </dxf>
    <dxf>
      <numFmt numFmtId="2" formatCode="0.00"/>
      <border diagonalUp="0" diagonalDown="0" outline="0">
        <left/>
        <right style="slantDashDot">
          <color rgb="FFFFC000"/>
        </right>
        <top/>
        <bottom style="slantDashDot">
          <color rgb="FFFFC000"/>
        </bottom>
      </border>
    </dxf>
    <dxf>
      <numFmt numFmtId="0" formatCode="General"/>
      <border diagonalUp="0" diagonalDown="0">
        <left style="slantDashDot">
          <color rgb="FFFFC000"/>
        </left>
        <right/>
        <top/>
        <bottom/>
        <vertical/>
        <horizontal/>
      </border>
    </dxf>
    <dxf>
      <border diagonalUp="0" diagonalDown="0" outline="0">
        <left/>
        <right/>
        <top/>
        <bottom style="slantDashDot">
          <color rgb="FFFFC000"/>
        </bottom>
      </border>
    </dxf>
    <dxf>
      <numFmt numFmtId="0" formatCode="General"/>
      <border diagonalUp="0" diagonalDown="0">
        <left/>
        <right style="slantDashDot">
          <color rgb="FFFFC000"/>
        </right>
        <top/>
        <bottom/>
        <vertical/>
        <horizontal/>
      </border>
    </dxf>
    <dxf>
      <border diagonalUp="0" diagonalDown="0" outline="0">
        <left/>
        <right style="slantDashDot">
          <color rgb="FFFFC000"/>
        </right>
        <top/>
        <bottom style="slantDashDot">
          <color rgb="FFFFC000"/>
        </bottom>
      </border>
    </dxf>
    <dxf>
      <numFmt numFmtId="0" formatCode="General"/>
    </dxf>
    <dxf>
      <border diagonalUp="0" diagonalDown="0" outline="0">
        <left/>
        <right/>
        <top/>
        <bottom style="slantDashDot">
          <color rgb="FFFFC000"/>
        </bottom>
      </border>
    </dxf>
    <dxf>
      <numFmt numFmtId="19" formatCode="dd/mm/yyyy"/>
    </dxf>
    <dxf>
      <numFmt numFmtId="19" formatCode="dd/mm/yyyy"/>
      <border diagonalUp="0" diagonalDown="0" outline="0">
        <left/>
        <right/>
        <top/>
        <bottom style="slantDashDot">
          <color rgb="FFFFC000"/>
        </bottom>
      </border>
    </dxf>
    <dxf>
      <numFmt numFmtId="0" formatCode="General"/>
    </dxf>
    <dxf>
      <border diagonalUp="0" diagonalDown="0" outline="0">
        <left/>
        <right/>
        <top/>
        <bottom style="slantDashDot">
          <color rgb="FFFFC000"/>
        </bottom>
      </border>
    </dxf>
    <dxf>
      <border diagonalUp="0" diagonalDown="0" outline="0">
        <left/>
        <right/>
        <top/>
        <bottom style="slantDashDot">
          <color rgb="FFFFC000"/>
        </bottom>
      </border>
    </dxf>
    <dxf>
      <numFmt numFmtId="19" formatCode="dd/mm/yyyy"/>
      <border diagonalUp="0" diagonalDown="0">
        <left style="slantDashDot">
          <color rgb="FFFFC000"/>
        </left>
        <right/>
        <top/>
        <bottom/>
        <vertical/>
        <horizontal/>
      </border>
    </dxf>
    <dxf>
      <border diagonalUp="0" diagonalDown="0" outline="0">
        <left style="slantDashDot">
          <color rgb="FFFFC000"/>
        </left>
        <right/>
        <top/>
        <bottom style="slantDashDot">
          <color rgb="FFFFC000"/>
        </bottom>
      </border>
    </dxf>
    <dxf>
      <numFmt numFmtId="2" formatCode="0.00"/>
    </dxf>
    <dxf>
      <numFmt numFmtId="2" formatCode="0.00"/>
      <border diagonalUp="0" diagonalDown="0" outline="0">
        <left/>
        <right style="slantDashDot">
          <color rgb="FFFFC000"/>
        </right>
        <top/>
        <bottom style="slantDashDot">
          <color rgb="FFFFC000"/>
        </bottom>
      </border>
    </dxf>
    <dxf>
      <numFmt numFmtId="2" formatCode="0.00"/>
      <border diagonalUp="0" diagonalDown="0" outline="0">
        <left/>
        <right/>
        <top/>
        <bottom style="slantDashDot">
          <color rgb="FFFFC000"/>
        </bottom>
      </border>
    </dxf>
    <dxf>
      <numFmt numFmtId="2" formatCode="0.00"/>
      <border diagonalUp="0" diagonalDown="0" outline="0">
        <left/>
        <right style="slantDashDot">
          <color rgb="FFFFC000"/>
        </right>
        <top/>
        <bottom style="slantDashDot">
          <color rgb="FFFFC000"/>
        </bottom>
      </border>
    </dxf>
    <dxf>
      <border diagonalUp="0" diagonalDown="0" outline="0">
        <left/>
        <right/>
        <top/>
        <bottom style="slantDashDot">
          <color rgb="FFFFC000"/>
        </bottom>
      </border>
    </dxf>
    <dxf>
      <border diagonalUp="0" diagonalDown="0" outline="0">
        <left/>
        <right style="slantDashDot">
          <color rgb="FFFFC000"/>
        </right>
        <top/>
        <bottom style="slantDashDot">
          <color rgb="FFFFC000"/>
        </bottom>
      </border>
    </dxf>
    <dxf>
      <border diagonalUp="0" diagonalDown="0" outline="0">
        <left/>
        <right/>
        <top/>
        <bottom style="slantDashDot">
          <color rgb="FFFFC000"/>
        </bottom>
      </border>
    </dxf>
    <dxf>
      <numFmt numFmtId="19" formatCode="dd/mm/yyyy"/>
      <border diagonalUp="0" diagonalDown="0" outline="0">
        <left/>
        <right/>
        <top/>
        <bottom style="slantDashDot">
          <color rgb="FFFFC000"/>
        </bottom>
      </border>
    </dxf>
    <dxf>
      <border diagonalUp="0" diagonalDown="0" outline="0">
        <left/>
        <right/>
        <top/>
        <bottom style="slantDashDot">
          <color rgb="FFFFC000"/>
        </bottom>
      </border>
    </dxf>
    <dxf>
      <border diagonalUp="0" diagonalDown="0" outline="0">
        <left/>
        <right/>
        <top/>
        <bottom style="slantDashDot">
          <color rgb="FFFFC000"/>
        </bottom>
      </border>
    </dxf>
    <dxf>
      <border diagonalUp="0" diagonalDown="0" outline="0">
        <left style="slantDashDot">
          <color rgb="FFFFC000"/>
        </left>
        <right/>
        <top/>
        <bottom style="slantDashDot">
          <color rgb="FFFFC000"/>
        </bottom>
      </border>
    </dxf>
    <dxf>
      <numFmt numFmtId="2" formatCode="0.00"/>
    </dxf>
    <dxf>
      <numFmt numFmtId="2" formatCode="0.00"/>
      <border diagonalUp="0" diagonalDown="0">
        <left/>
        <right style="slantDashDot">
          <color rgb="FFFFC000"/>
        </right>
        <top/>
        <bottom/>
        <vertical/>
        <horizontal/>
      </border>
    </dxf>
    <dxf>
      <numFmt numFmtId="0" formatCode="General"/>
      <border diagonalUp="0" diagonalDown="0">
        <left style="slantDashDot">
          <color rgb="FFFFC000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slantDashDot">
          <color rgb="FFFFC000"/>
        </right>
        <top/>
        <bottom/>
        <vertical/>
        <horizontal/>
      </border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  <border diagonalUp="0" diagonalDown="0">
        <left style="slantDashDot">
          <color rgb="FFFFC000"/>
        </left>
        <right/>
        <top/>
        <bottom/>
        <vertical/>
        <horizontal/>
      </border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/mm/yy;@"/>
      <fill>
        <patternFill patternType="none">
          <fgColor indexed="64"/>
          <bgColor auto="1"/>
        </patternFill>
      </fill>
    </dxf>
    <dxf>
      <border outline="0">
        <left style="thin">
          <color theme="4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frf-my.sharepoint.com/personal/elzolotareva_fa_ru/Documents/2020-2021/&#1055;&#1052;%202&#1082;/&#1054;&#1044;&#1080;&#1052;%20&#1074;%20Excel_20-21_&#1047;&#1086;&#1083;&#1086;&#1090;&#1072;&#1088;&#1077;&#1074;&#1072;/&#1057;&#1077;&#1084;&#1080;&#1085;&#1072;&#1088;%2013-14-15/&#1057;&#1073;&#1077;&#1088;&#1073;&#1072;&#1085;&#1082;_&#1086;&#1073;&#1083;&#1080;&#1075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делки_raw"/>
      <sheetName val="Сделки_mod"/>
      <sheetName val="Котировки"/>
      <sheetName val="Платежи"/>
      <sheetName val="Сводная"/>
    </sheetNames>
    <sheetDataSet>
      <sheetData sheetId="0"/>
      <sheetData sheetId="1"/>
      <sheetData sheetId="2"/>
      <sheetData sheetId="3"/>
      <sheetData sheetId="4">
        <row r="1">
          <cell r="C1">
            <v>43021</v>
          </cell>
          <cell r="F1">
            <v>1000</v>
          </cell>
          <cell r="I1">
            <v>0.05</v>
          </cell>
        </row>
        <row r="2">
          <cell r="C2">
            <v>0.08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стя Кот" refreshedDate="44522.77569988426" createdVersion="7" refreshedVersion="7" minRefreshableVersion="3" recordCount="508" xr:uid="{F23E834E-FA51-488B-B258-BAA741E077E1}">
  <cacheSource type="worksheet">
    <worksheetSource name="Сделки"/>
  </cacheSource>
  <cacheFields count="4">
    <cacheField name="Дата" numFmtId="164">
      <sharedItems containsSemiMixedTypes="0" containsNonDate="0" containsDate="1" containsString="0" minDate="2017-10-13T00:00:00" maxDate="2020-12-09T00:00:00" count="350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2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0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09T00:00:00"/>
        <d v="2020-10-14T00:00:00"/>
        <d v="2020-10-16T00:00:00"/>
        <d v="2020-10-20T00:00:00"/>
        <d v="2020-12-08T00:00:00"/>
      </sharedItems>
    </cacheField>
    <cacheField name="Количество" numFmtId="0">
      <sharedItems containsSemiMixedTypes="0" containsString="0" containsNumber="1" containsInteger="1" minValue="0" maxValue="2250"/>
    </cacheField>
    <cacheField name="Количество (net)" numFmtId="0">
      <sharedItems containsSemiMixedTypes="0" containsString="0" containsNumber="1" containsInteger="1" minValue="-2250" maxValue="750"/>
    </cacheField>
    <cacheField name="Тип сделк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n v="290"/>
    <n v="290"/>
    <s v="Покупка"/>
  </r>
  <r>
    <x v="0"/>
    <n v="90"/>
    <n v="90"/>
    <s v="Покупка"/>
  </r>
  <r>
    <x v="1"/>
    <n v="380"/>
    <n v="380"/>
    <s v="Покупка"/>
  </r>
  <r>
    <x v="2"/>
    <n v="570"/>
    <n v="570"/>
    <s v="Покупка"/>
  </r>
  <r>
    <x v="3"/>
    <n v="490"/>
    <n v="-490"/>
    <s v="Продажа"/>
  </r>
  <r>
    <x v="3"/>
    <n v="800"/>
    <n v="-800"/>
    <s v="Продажа"/>
  </r>
  <r>
    <x v="3"/>
    <n v="260"/>
    <n v="260"/>
    <s v="Покупка"/>
  </r>
  <r>
    <x v="4"/>
    <n v="230"/>
    <n v="230"/>
    <s v="Покупка"/>
  </r>
  <r>
    <x v="5"/>
    <n v="410"/>
    <n v="410"/>
    <s v="Покупка"/>
  </r>
  <r>
    <x v="5"/>
    <n v="390"/>
    <n v="-390"/>
    <s v="Продажа"/>
  </r>
  <r>
    <x v="6"/>
    <n v="90"/>
    <n v="90"/>
    <s v="Покупка"/>
  </r>
  <r>
    <x v="6"/>
    <n v="100"/>
    <n v="-100"/>
    <s v="Продажа"/>
  </r>
  <r>
    <x v="7"/>
    <n v="700"/>
    <n v="700"/>
    <s v="Покупка"/>
  </r>
  <r>
    <x v="8"/>
    <n v="330"/>
    <n v="-330"/>
    <s v="Продажа"/>
  </r>
  <r>
    <x v="8"/>
    <n v="470"/>
    <n v="-470"/>
    <s v="Продажа"/>
  </r>
  <r>
    <x v="9"/>
    <n v="150"/>
    <n v="150"/>
    <s v="Покупка"/>
  </r>
  <r>
    <x v="9"/>
    <n v="90"/>
    <n v="90"/>
    <s v="Покупка"/>
  </r>
  <r>
    <x v="10"/>
    <n v="30"/>
    <n v="30"/>
    <s v="Покупка"/>
  </r>
  <r>
    <x v="10"/>
    <n v="250"/>
    <n v="250"/>
    <s v="Покупка"/>
  </r>
  <r>
    <x v="10"/>
    <n v="700"/>
    <n v="700"/>
    <s v="Покупка"/>
  </r>
  <r>
    <x v="11"/>
    <n v="620"/>
    <n v="-620"/>
    <s v="Продажа"/>
  </r>
  <r>
    <x v="12"/>
    <n v="920"/>
    <n v="-920"/>
    <s v="Продажа"/>
  </r>
  <r>
    <x v="13"/>
    <n v="80"/>
    <n v="-80"/>
    <s v="Продажа"/>
  </r>
  <r>
    <x v="13"/>
    <n v="330"/>
    <n v="330"/>
    <s v="Покупка"/>
  </r>
  <r>
    <x v="14"/>
    <n v="550"/>
    <n v="550"/>
    <s v="Покупка"/>
  </r>
  <r>
    <x v="15"/>
    <n v="740"/>
    <n v="740"/>
    <s v="Покупка"/>
  </r>
  <r>
    <x v="16"/>
    <n v="1110"/>
    <n v="-1110"/>
    <s v="Продажа"/>
  </r>
  <r>
    <x v="17"/>
    <n v="520"/>
    <n v="-520"/>
    <s v="Продажа"/>
  </r>
  <r>
    <x v="18"/>
    <n v="30"/>
    <n v="-30"/>
    <s v="Продажа"/>
  </r>
  <r>
    <x v="18"/>
    <n v="610"/>
    <n v="610"/>
    <s v="Покупка"/>
  </r>
  <r>
    <x v="18"/>
    <n v="460"/>
    <n v="-460"/>
    <s v="Продажа"/>
  </r>
  <r>
    <x v="18"/>
    <n v="570"/>
    <n v="570"/>
    <s v="Покупка"/>
  </r>
  <r>
    <x v="19"/>
    <n v="60"/>
    <n v="60"/>
    <s v="Покупка"/>
  </r>
  <r>
    <x v="20"/>
    <n v="320"/>
    <n v="-320"/>
    <s v="Продажа"/>
  </r>
  <r>
    <x v="21"/>
    <n v="410"/>
    <n v="410"/>
    <s v="Покупка"/>
  </r>
  <r>
    <x v="22"/>
    <n v="640"/>
    <n v="-640"/>
    <s v="Продажа"/>
  </r>
  <r>
    <x v="23"/>
    <n v="510"/>
    <n v="510"/>
    <s v="Покупка"/>
  </r>
  <r>
    <x v="24"/>
    <n v="40"/>
    <n v="40"/>
    <s v="Покупка"/>
  </r>
  <r>
    <x v="25"/>
    <n v="750"/>
    <n v="-750"/>
    <s v="Продажа"/>
  </r>
  <r>
    <x v="25"/>
    <n v="220"/>
    <n v="220"/>
    <s v="Покупка"/>
  </r>
  <r>
    <x v="25"/>
    <n v="170"/>
    <n v="-170"/>
    <s v="Продажа"/>
  </r>
  <r>
    <x v="26"/>
    <n v="540"/>
    <n v="540"/>
    <s v="Покупка"/>
  </r>
  <r>
    <x v="27"/>
    <n v="620"/>
    <n v="-620"/>
    <s v="Продажа"/>
  </r>
  <r>
    <x v="28"/>
    <n v="50"/>
    <n v="50"/>
    <s v="Покупка"/>
  </r>
  <r>
    <x v="28"/>
    <n v="50"/>
    <n v="50"/>
    <s v="Покупка"/>
  </r>
  <r>
    <x v="28"/>
    <n v="360"/>
    <n v="360"/>
    <s v="Покупка"/>
  </r>
  <r>
    <x v="29"/>
    <n v="290"/>
    <n v="-290"/>
    <s v="Продажа"/>
  </r>
  <r>
    <x v="30"/>
    <n v="390"/>
    <n v="390"/>
    <s v="Покупка"/>
  </r>
  <r>
    <x v="31"/>
    <n v="200"/>
    <n v="200"/>
    <s v="Покупка"/>
  </r>
  <r>
    <x v="32"/>
    <n v="750"/>
    <n v="-750"/>
    <s v="Продажа"/>
  </r>
  <r>
    <x v="33"/>
    <n v="450"/>
    <n v="450"/>
    <s v="Покупка"/>
  </r>
  <r>
    <x v="34"/>
    <n v="390"/>
    <n v="-390"/>
    <s v="Продажа"/>
  </r>
  <r>
    <x v="34"/>
    <n v="350"/>
    <n v="350"/>
    <s v="Покупка"/>
  </r>
  <r>
    <x v="35"/>
    <n v="220"/>
    <n v="-220"/>
    <s v="Продажа"/>
  </r>
  <r>
    <x v="36"/>
    <n v="30"/>
    <n v="30"/>
    <s v="Покупка"/>
  </r>
  <r>
    <x v="37"/>
    <n v="80"/>
    <n v="80"/>
    <s v="Покупка"/>
  </r>
  <r>
    <x v="38"/>
    <n v="90"/>
    <n v="-90"/>
    <s v="Продажа"/>
  </r>
  <r>
    <x v="39"/>
    <n v="360"/>
    <n v="360"/>
    <s v="Покупка"/>
  </r>
  <r>
    <x v="39"/>
    <n v="600"/>
    <n v="600"/>
    <s v="Покупка"/>
  </r>
  <r>
    <x v="40"/>
    <n v="660"/>
    <n v="-660"/>
    <s v="Продажа"/>
  </r>
  <r>
    <x v="40"/>
    <n v="230"/>
    <n v="230"/>
    <s v="Покупка"/>
  </r>
  <r>
    <x v="41"/>
    <n v="570"/>
    <n v="570"/>
    <s v="Покупка"/>
  </r>
  <r>
    <x v="41"/>
    <n v="1000"/>
    <n v="-1000"/>
    <s v="Продажа"/>
  </r>
  <r>
    <x v="41"/>
    <n v="200"/>
    <n v="200"/>
    <s v="Покупка"/>
  </r>
  <r>
    <x v="42"/>
    <n v="320"/>
    <n v="320"/>
    <s v="Покупка"/>
  </r>
  <r>
    <x v="42"/>
    <n v="230"/>
    <n v="-230"/>
    <s v="Продажа"/>
  </r>
  <r>
    <x v="42"/>
    <n v="110"/>
    <n v="110"/>
    <s v="Покупка"/>
  </r>
  <r>
    <x v="43"/>
    <n v="500"/>
    <n v="-500"/>
    <s v="Продажа"/>
  </r>
  <r>
    <x v="44"/>
    <n v="500"/>
    <n v="500"/>
    <s v="Покупка"/>
  </r>
  <r>
    <x v="45"/>
    <n v="40"/>
    <n v="-40"/>
    <s v="Продажа"/>
  </r>
  <r>
    <x v="45"/>
    <n v="120"/>
    <n v="-120"/>
    <s v="Продажа"/>
  </r>
  <r>
    <x v="46"/>
    <n v="580"/>
    <n v="580"/>
    <s v="Покупка"/>
  </r>
  <r>
    <x v="46"/>
    <n v="290"/>
    <n v="-290"/>
    <s v="Продажа"/>
  </r>
  <r>
    <x v="47"/>
    <n v="420"/>
    <n v="420"/>
    <s v="Покупка"/>
  </r>
  <r>
    <x v="47"/>
    <n v="710"/>
    <n v="-710"/>
    <s v="Продажа"/>
  </r>
  <r>
    <x v="48"/>
    <n v="380"/>
    <n v="-380"/>
    <s v="Продажа"/>
  </r>
  <r>
    <x v="49"/>
    <n v="130"/>
    <n v="130"/>
    <s v="Покупка"/>
  </r>
  <r>
    <x v="49"/>
    <n v="290"/>
    <n v="290"/>
    <s v="Покупка"/>
  </r>
  <r>
    <x v="49"/>
    <n v="590"/>
    <n v="590"/>
    <s v="Покупка"/>
  </r>
  <r>
    <x v="49"/>
    <n v="240"/>
    <n v="-240"/>
    <s v="Продажа"/>
  </r>
  <r>
    <x v="50"/>
    <n v="320"/>
    <n v="-320"/>
    <s v="Продажа"/>
  </r>
  <r>
    <x v="51"/>
    <n v="40"/>
    <n v="-40"/>
    <s v="Продажа"/>
  </r>
  <r>
    <x v="52"/>
    <n v="60"/>
    <n v="-60"/>
    <s v="Продажа"/>
  </r>
  <r>
    <x v="52"/>
    <n v="590"/>
    <n v="590"/>
    <s v="Покупка"/>
  </r>
  <r>
    <x v="53"/>
    <n v="570"/>
    <n v="570"/>
    <s v="Покупка"/>
  </r>
  <r>
    <x v="53"/>
    <n v="1000"/>
    <n v="-1000"/>
    <s v="Продажа"/>
  </r>
  <r>
    <x v="54"/>
    <n v="640"/>
    <n v="640"/>
    <s v="Покупка"/>
  </r>
  <r>
    <x v="54"/>
    <n v="640"/>
    <n v="640"/>
    <s v="Покупка"/>
  </r>
  <r>
    <x v="55"/>
    <n v="1680"/>
    <n v="-1680"/>
    <s v="Продажа"/>
  </r>
  <r>
    <x v="56"/>
    <n v="380"/>
    <n v="380"/>
    <s v="Покупка"/>
  </r>
  <r>
    <x v="57"/>
    <n v="0"/>
    <n v="0"/>
    <s v="Выплата купона"/>
  </r>
  <r>
    <x v="57"/>
    <n v="190"/>
    <n v="190"/>
    <s v="Покупка"/>
  </r>
  <r>
    <x v="57"/>
    <n v="220"/>
    <n v="220"/>
    <s v="Покупка"/>
  </r>
  <r>
    <x v="57"/>
    <n v="50"/>
    <n v="-50"/>
    <s v="Продажа"/>
  </r>
  <r>
    <x v="58"/>
    <n v="470"/>
    <n v="470"/>
    <s v="Покупка"/>
  </r>
  <r>
    <x v="59"/>
    <n v="60"/>
    <n v="60"/>
    <s v="Покупка"/>
  </r>
  <r>
    <x v="60"/>
    <n v="740"/>
    <n v="740"/>
    <s v="Покупка"/>
  </r>
  <r>
    <x v="60"/>
    <n v="180"/>
    <n v="180"/>
    <s v="Покупка"/>
  </r>
  <r>
    <x v="61"/>
    <n v="2130"/>
    <n v="-2130"/>
    <s v="Продажа"/>
  </r>
  <r>
    <x v="62"/>
    <n v="310"/>
    <n v="-310"/>
    <s v="Продажа"/>
  </r>
  <r>
    <x v="63"/>
    <n v="530"/>
    <n v="530"/>
    <s v="Покупка"/>
  </r>
  <r>
    <x v="63"/>
    <n v="360"/>
    <n v="360"/>
    <s v="Покупка"/>
  </r>
  <r>
    <x v="64"/>
    <n v="420"/>
    <n v="420"/>
    <s v="Покупка"/>
  </r>
  <r>
    <x v="64"/>
    <n v="330"/>
    <n v="-330"/>
    <s v="Продажа"/>
  </r>
  <r>
    <x v="65"/>
    <n v="660"/>
    <n v="-660"/>
    <s v="Продажа"/>
  </r>
  <r>
    <x v="65"/>
    <n v="280"/>
    <n v="280"/>
    <s v="Покупка"/>
  </r>
  <r>
    <x v="66"/>
    <n v="40"/>
    <n v="-40"/>
    <s v="Продажа"/>
  </r>
  <r>
    <x v="66"/>
    <n v="90"/>
    <n v="90"/>
    <s v="Покупка"/>
  </r>
  <r>
    <x v="67"/>
    <n v="380"/>
    <n v="380"/>
    <s v="Покупка"/>
  </r>
  <r>
    <x v="68"/>
    <n v="400"/>
    <n v="-400"/>
    <s v="Продажа"/>
  </r>
  <r>
    <x v="69"/>
    <n v="680"/>
    <n v="680"/>
    <s v="Покупка"/>
  </r>
  <r>
    <x v="69"/>
    <n v="770"/>
    <n v="-770"/>
    <s v="Продажа"/>
  </r>
  <r>
    <x v="70"/>
    <n v="550"/>
    <n v="-550"/>
    <s v="Продажа"/>
  </r>
  <r>
    <x v="70"/>
    <n v="360"/>
    <n v="360"/>
    <s v="Покупка"/>
  </r>
  <r>
    <x v="71"/>
    <n v="450"/>
    <n v="450"/>
    <s v="Покупка"/>
  </r>
  <r>
    <x v="72"/>
    <n v="310"/>
    <n v="310"/>
    <s v="Покупка"/>
  </r>
  <r>
    <x v="73"/>
    <n v="1010"/>
    <n v="-1010"/>
    <s v="Продажа"/>
  </r>
  <r>
    <x v="74"/>
    <n v="400"/>
    <n v="400"/>
    <s v="Покупка"/>
  </r>
  <r>
    <x v="74"/>
    <n v="600"/>
    <n v="600"/>
    <s v="Покупка"/>
  </r>
  <r>
    <x v="75"/>
    <n v="170"/>
    <n v="-170"/>
    <s v="Продажа"/>
  </r>
  <r>
    <x v="76"/>
    <n v="410"/>
    <n v="-410"/>
    <s v="Продажа"/>
  </r>
  <r>
    <x v="77"/>
    <n v="380"/>
    <n v="-380"/>
    <s v="Продажа"/>
  </r>
  <r>
    <x v="78"/>
    <n v="440"/>
    <n v="440"/>
    <s v="Покупка"/>
  </r>
  <r>
    <x v="79"/>
    <n v="610"/>
    <n v="-610"/>
    <s v="Продажа"/>
  </r>
  <r>
    <x v="79"/>
    <n v="490"/>
    <n v="490"/>
    <s v="Покупка"/>
  </r>
  <r>
    <x v="79"/>
    <n v="210"/>
    <n v="210"/>
    <s v="Покупка"/>
  </r>
  <r>
    <x v="80"/>
    <n v="170"/>
    <n v="170"/>
    <s v="Покупка"/>
  </r>
  <r>
    <x v="81"/>
    <n v="600"/>
    <n v="-600"/>
    <s v="Продажа"/>
  </r>
  <r>
    <x v="82"/>
    <n v="100"/>
    <n v="-100"/>
    <s v="Продажа"/>
  </r>
  <r>
    <x v="82"/>
    <n v="710"/>
    <n v="710"/>
    <s v="Покупка"/>
  </r>
  <r>
    <x v="83"/>
    <n v="10"/>
    <n v="-10"/>
    <s v="Продажа"/>
  </r>
  <r>
    <x v="84"/>
    <n v="360"/>
    <n v="360"/>
    <s v="Покупка"/>
  </r>
  <r>
    <x v="84"/>
    <n v="540"/>
    <n v="540"/>
    <s v="Покупка"/>
  </r>
  <r>
    <x v="85"/>
    <n v="1370"/>
    <n v="-1370"/>
    <s v="Продажа"/>
  </r>
  <r>
    <x v="85"/>
    <n v="690"/>
    <n v="690"/>
    <s v="Покупка"/>
  </r>
  <r>
    <x v="86"/>
    <n v="810"/>
    <n v="-810"/>
    <s v="Продажа"/>
  </r>
  <r>
    <x v="86"/>
    <n v="100"/>
    <n v="-100"/>
    <s v="Продажа"/>
  </r>
  <r>
    <x v="87"/>
    <n v="60"/>
    <n v="60"/>
    <s v="Покупка"/>
  </r>
  <r>
    <x v="88"/>
    <n v="440"/>
    <n v="440"/>
    <s v="Покупка"/>
  </r>
  <r>
    <x v="88"/>
    <n v="600"/>
    <n v="-600"/>
    <s v="Продажа"/>
  </r>
  <r>
    <x v="89"/>
    <n v="530"/>
    <n v="530"/>
    <s v="Покупка"/>
  </r>
  <r>
    <x v="90"/>
    <n v="610"/>
    <n v="610"/>
    <s v="Покупка"/>
  </r>
  <r>
    <x v="91"/>
    <n v="1070"/>
    <n v="-1070"/>
    <s v="Продажа"/>
  </r>
  <r>
    <x v="92"/>
    <n v="190"/>
    <n v="190"/>
    <s v="Покупка"/>
  </r>
  <r>
    <x v="93"/>
    <n v="530"/>
    <n v="530"/>
    <s v="Покупка"/>
  </r>
  <r>
    <x v="93"/>
    <n v="460"/>
    <n v="460"/>
    <s v="Покупка"/>
  </r>
  <r>
    <x v="93"/>
    <n v="160"/>
    <n v="160"/>
    <s v="Покупка"/>
  </r>
  <r>
    <x v="94"/>
    <n v="1320"/>
    <n v="-1320"/>
    <s v="Продажа"/>
  </r>
  <r>
    <x v="95"/>
    <n v="340"/>
    <n v="340"/>
    <s v="Покупка"/>
  </r>
  <r>
    <x v="96"/>
    <n v="490"/>
    <n v="-490"/>
    <s v="Продажа"/>
  </r>
  <r>
    <x v="97"/>
    <n v="310"/>
    <n v="310"/>
    <s v="Покупка"/>
  </r>
  <r>
    <x v="98"/>
    <n v="110"/>
    <n v="110"/>
    <s v="Покупка"/>
  </r>
  <r>
    <x v="99"/>
    <n v="300"/>
    <n v="-300"/>
    <s v="Продажа"/>
  </r>
  <r>
    <x v="100"/>
    <n v="80"/>
    <n v="80"/>
    <s v="Покупка"/>
  </r>
  <r>
    <x v="100"/>
    <n v="270"/>
    <n v="270"/>
    <s v="Покупка"/>
  </r>
  <r>
    <x v="100"/>
    <n v="350"/>
    <n v="350"/>
    <s v="Покупка"/>
  </r>
  <r>
    <x v="101"/>
    <n v="580"/>
    <n v="-580"/>
    <s v="Продажа"/>
  </r>
  <r>
    <x v="102"/>
    <n v="500"/>
    <n v="500"/>
    <s v="Покупка"/>
  </r>
  <r>
    <x v="103"/>
    <n v="610"/>
    <n v="610"/>
    <s v="Покупка"/>
  </r>
  <r>
    <x v="103"/>
    <n v="1250"/>
    <n v="-1250"/>
    <s v="Продажа"/>
  </r>
  <r>
    <x v="103"/>
    <n v="640"/>
    <n v="640"/>
    <s v="Покупка"/>
  </r>
  <r>
    <x v="104"/>
    <n v="80"/>
    <n v="80"/>
    <s v="Покупка"/>
  </r>
  <r>
    <x v="105"/>
    <n v="690"/>
    <n v="690"/>
    <s v="Покупка"/>
  </r>
  <r>
    <x v="106"/>
    <n v="1060"/>
    <n v="-1060"/>
    <s v="Продажа"/>
  </r>
  <r>
    <x v="107"/>
    <n v="0"/>
    <n v="0"/>
    <s v="Покупка"/>
  </r>
  <r>
    <x v="108"/>
    <n v="400"/>
    <n v="400"/>
    <s v="Покупка"/>
  </r>
  <r>
    <x v="109"/>
    <n v="640"/>
    <n v="640"/>
    <s v="Покупка"/>
  </r>
  <r>
    <x v="110"/>
    <n v="1300"/>
    <n v="-1300"/>
    <s v="Продажа"/>
  </r>
  <r>
    <x v="111"/>
    <n v="60"/>
    <n v="60"/>
    <s v="Покупка"/>
  </r>
  <r>
    <x v="112"/>
    <n v="750"/>
    <n v="750"/>
    <s v="Покупка"/>
  </r>
  <r>
    <x v="112"/>
    <n v="430"/>
    <n v="-430"/>
    <s v="Продажа"/>
  </r>
  <r>
    <x v="112"/>
    <n v="530"/>
    <n v="530"/>
    <s v="Покупка"/>
  </r>
  <r>
    <x v="113"/>
    <n v="1120"/>
    <n v="-1120"/>
    <s v="Продажа"/>
  </r>
  <r>
    <x v="113"/>
    <n v="220"/>
    <n v="220"/>
    <s v="Покупка"/>
  </r>
  <r>
    <x v="114"/>
    <n v="50"/>
    <n v="50"/>
    <s v="Покупка"/>
  </r>
  <r>
    <x v="115"/>
    <n v="20"/>
    <n v="-20"/>
    <s v="Продажа"/>
  </r>
  <r>
    <x v="116"/>
    <n v="540"/>
    <n v="540"/>
    <s v="Покупка"/>
  </r>
  <r>
    <x v="117"/>
    <n v="0"/>
    <n v="0"/>
    <s v="Выплата купона"/>
  </r>
  <r>
    <x v="117"/>
    <n v="540"/>
    <n v="540"/>
    <s v="Покупка"/>
  </r>
  <r>
    <x v="117"/>
    <n v="830"/>
    <n v="-830"/>
    <s v="Продажа"/>
  </r>
  <r>
    <x v="117"/>
    <n v="270"/>
    <n v="270"/>
    <s v="Покупка"/>
  </r>
  <r>
    <x v="118"/>
    <n v="80"/>
    <n v="80"/>
    <s v="Покупка"/>
  </r>
  <r>
    <x v="119"/>
    <n v="80"/>
    <n v="80"/>
    <s v="Покупка"/>
  </r>
  <r>
    <x v="119"/>
    <n v="720"/>
    <n v="-720"/>
    <s v="Продажа"/>
  </r>
  <r>
    <x v="120"/>
    <n v="370"/>
    <n v="370"/>
    <s v="Покупка"/>
  </r>
  <r>
    <x v="121"/>
    <n v="340"/>
    <n v="-340"/>
    <s v="Продажа"/>
  </r>
  <r>
    <x v="122"/>
    <n v="590"/>
    <n v="590"/>
    <s v="Покупка"/>
  </r>
  <r>
    <x v="122"/>
    <n v="130"/>
    <n v="130"/>
    <s v="Покупка"/>
  </r>
  <r>
    <x v="123"/>
    <n v="180"/>
    <n v="-180"/>
    <s v="Продажа"/>
  </r>
  <r>
    <x v="124"/>
    <n v="410"/>
    <n v="410"/>
    <s v="Покупка"/>
  </r>
  <r>
    <x v="125"/>
    <n v="610"/>
    <n v="610"/>
    <s v="Покупка"/>
  </r>
  <r>
    <x v="126"/>
    <n v="690"/>
    <n v="690"/>
    <s v="Покупка"/>
  </r>
  <r>
    <x v="127"/>
    <n v="970"/>
    <n v="-970"/>
    <s v="Продажа"/>
  </r>
  <r>
    <x v="127"/>
    <n v="240"/>
    <n v="240"/>
    <s v="Покупка"/>
  </r>
  <r>
    <x v="128"/>
    <n v="610"/>
    <n v="610"/>
    <s v="Покупка"/>
  </r>
  <r>
    <x v="128"/>
    <n v="1320"/>
    <n v="-1320"/>
    <s v="Продажа"/>
  </r>
  <r>
    <x v="129"/>
    <n v="710"/>
    <n v="-710"/>
    <s v="Продажа"/>
  </r>
  <r>
    <x v="130"/>
    <n v="750"/>
    <n v="750"/>
    <s v="Покупка"/>
  </r>
  <r>
    <x v="131"/>
    <n v="170"/>
    <n v="170"/>
    <s v="Покупка"/>
  </r>
  <r>
    <x v="132"/>
    <n v="780"/>
    <n v="-780"/>
    <s v="Продажа"/>
  </r>
  <r>
    <x v="132"/>
    <n v="660"/>
    <n v="660"/>
    <s v="Покупка"/>
  </r>
  <r>
    <x v="133"/>
    <n v="180"/>
    <n v="-180"/>
    <s v="Продажа"/>
  </r>
  <r>
    <x v="133"/>
    <n v="340"/>
    <n v="-340"/>
    <s v="Продажа"/>
  </r>
  <r>
    <x v="133"/>
    <n v="610"/>
    <n v="610"/>
    <s v="Покупка"/>
  </r>
  <r>
    <x v="134"/>
    <n v="1190"/>
    <n v="-1190"/>
    <s v="Продажа"/>
  </r>
  <r>
    <x v="135"/>
    <n v="280"/>
    <n v="280"/>
    <s v="Покупка"/>
  </r>
  <r>
    <x v="135"/>
    <n v="90"/>
    <n v="-90"/>
    <s v="Продажа"/>
  </r>
  <r>
    <x v="136"/>
    <n v="570"/>
    <n v="570"/>
    <s v="Покупка"/>
  </r>
  <r>
    <x v="137"/>
    <n v="290"/>
    <n v="290"/>
    <s v="Покупка"/>
  </r>
  <r>
    <x v="137"/>
    <n v="190"/>
    <n v="-190"/>
    <s v="Продажа"/>
  </r>
  <r>
    <x v="138"/>
    <n v="310"/>
    <n v="-310"/>
    <s v="Продажа"/>
  </r>
  <r>
    <x v="139"/>
    <n v="580"/>
    <n v="580"/>
    <s v="Покупка"/>
  </r>
  <r>
    <x v="140"/>
    <n v="720"/>
    <n v="720"/>
    <s v="Покупка"/>
  </r>
  <r>
    <x v="141"/>
    <n v="1420"/>
    <n v="-1420"/>
    <s v="Продажа"/>
  </r>
  <r>
    <x v="141"/>
    <n v="730"/>
    <n v="730"/>
    <s v="Покупка"/>
  </r>
  <r>
    <x v="141"/>
    <n v="460"/>
    <n v="460"/>
    <s v="Покупка"/>
  </r>
  <r>
    <x v="142"/>
    <n v="970"/>
    <n v="-970"/>
    <s v="Продажа"/>
  </r>
  <r>
    <x v="142"/>
    <n v="590"/>
    <n v="-590"/>
    <s v="Продажа"/>
  </r>
  <r>
    <x v="143"/>
    <n v="250"/>
    <n v="250"/>
    <s v="Покупка"/>
  </r>
  <r>
    <x v="144"/>
    <n v="50"/>
    <n v="50"/>
    <s v="Покупка"/>
  </r>
  <r>
    <x v="145"/>
    <n v="110"/>
    <n v="-110"/>
    <s v="Продажа"/>
  </r>
  <r>
    <x v="146"/>
    <n v="230"/>
    <n v="230"/>
    <s v="Покупка"/>
  </r>
  <r>
    <x v="147"/>
    <n v="270"/>
    <n v="-270"/>
    <s v="Продажа"/>
  </r>
  <r>
    <x v="148"/>
    <n v="420"/>
    <n v="420"/>
    <s v="Покупка"/>
  </r>
  <r>
    <x v="148"/>
    <n v="490"/>
    <n v="490"/>
    <s v="Покупка"/>
  </r>
  <r>
    <x v="149"/>
    <n v="390"/>
    <n v="-390"/>
    <s v="Продажа"/>
  </r>
  <r>
    <x v="149"/>
    <n v="690"/>
    <n v="-690"/>
    <s v="Продажа"/>
  </r>
  <r>
    <x v="150"/>
    <n v="680"/>
    <n v="680"/>
    <s v="Покупка"/>
  </r>
  <r>
    <x v="150"/>
    <n v="310"/>
    <n v="-310"/>
    <s v="Продажа"/>
  </r>
  <r>
    <x v="151"/>
    <n v="310"/>
    <n v="-310"/>
    <s v="Продажа"/>
  </r>
  <r>
    <x v="151"/>
    <n v="360"/>
    <n v="360"/>
    <s v="Покупка"/>
  </r>
  <r>
    <x v="152"/>
    <n v="540"/>
    <n v="540"/>
    <s v="Покупка"/>
  </r>
  <r>
    <x v="153"/>
    <n v="610"/>
    <n v="-610"/>
    <s v="Продажа"/>
  </r>
  <r>
    <x v="153"/>
    <n v="450"/>
    <n v="450"/>
    <s v="Покупка"/>
  </r>
  <r>
    <x v="154"/>
    <n v="310"/>
    <n v="-310"/>
    <s v="Продажа"/>
  </r>
  <r>
    <x v="155"/>
    <n v="460"/>
    <n v="-460"/>
    <s v="Продажа"/>
  </r>
  <r>
    <x v="156"/>
    <n v="0"/>
    <n v="0"/>
    <s v="Покупка"/>
  </r>
  <r>
    <x v="156"/>
    <n v="560"/>
    <n v="560"/>
    <s v="Покупка"/>
  </r>
  <r>
    <x v="157"/>
    <n v="500"/>
    <n v="-500"/>
    <s v="Продажа"/>
  </r>
  <r>
    <x v="158"/>
    <n v="450"/>
    <n v="450"/>
    <s v="Покупка"/>
  </r>
  <r>
    <x v="159"/>
    <n v="600"/>
    <n v="-600"/>
    <s v="Продажа"/>
  </r>
  <r>
    <x v="159"/>
    <n v="120"/>
    <n v="120"/>
    <s v="Покупка"/>
  </r>
  <r>
    <x v="160"/>
    <n v="590"/>
    <n v="590"/>
    <s v="Покупка"/>
  </r>
  <r>
    <x v="160"/>
    <n v="20"/>
    <n v="-20"/>
    <s v="Продажа"/>
  </r>
  <r>
    <x v="161"/>
    <n v="510"/>
    <n v="510"/>
    <s v="Покупка"/>
  </r>
  <r>
    <x v="161"/>
    <n v="1020"/>
    <n v="-1020"/>
    <s v="Продажа"/>
  </r>
  <r>
    <x v="162"/>
    <n v="650"/>
    <n v="650"/>
    <s v="Покупка"/>
  </r>
  <r>
    <x v="163"/>
    <n v="410"/>
    <n v="-410"/>
    <s v="Продажа"/>
  </r>
  <r>
    <x v="164"/>
    <n v="350"/>
    <n v="-350"/>
    <s v="Продажа"/>
  </r>
  <r>
    <x v="165"/>
    <n v="40"/>
    <n v="-40"/>
    <s v="Продажа"/>
  </r>
  <r>
    <x v="166"/>
    <n v="130"/>
    <n v="130"/>
    <s v="Покупка"/>
  </r>
  <r>
    <x v="167"/>
    <n v="300"/>
    <n v="300"/>
    <s v="Покупка"/>
  </r>
  <r>
    <x v="168"/>
    <n v="570"/>
    <n v="570"/>
    <s v="Покупка"/>
  </r>
  <r>
    <x v="169"/>
    <n v="40"/>
    <n v="40"/>
    <s v="Покупка"/>
  </r>
  <r>
    <x v="170"/>
    <n v="300"/>
    <n v="-300"/>
    <s v="Продажа"/>
  </r>
  <r>
    <x v="171"/>
    <n v="780"/>
    <n v="-780"/>
    <s v="Продажа"/>
  </r>
  <r>
    <x v="171"/>
    <n v="380"/>
    <n v="380"/>
    <s v="Покупка"/>
  </r>
  <r>
    <x v="172"/>
    <n v="220"/>
    <n v="220"/>
    <s v="Покупка"/>
  </r>
  <r>
    <x v="173"/>
    <n v="120"/>
    <n v="120"/>
    <s v="Покупка"/>
  </r>
  <r>
    <x v="173"/>
    <n v="600"/>
    <n v="-600"/>
    <s v="Продажа"/>
  </r>
  <r>
    <x v="174"/>
    <n v="550"/>
    <n v="550"/>
    <s v="Покупка"/>
  </r>
  <r>
    <x v="174"/>
    <n v="570"/>
    <n v="-570"/>
    <s v="Продажа"/>
  </r>
  <r>
    <x v="174"/>
    <n v="20"/>
    <n v="-20"/>
    <s v="Продажа"/>
  </r>
  <r>
    <x v="175"/>
    <n v="10"/>
    <n v="10"/>
    <s v="Покупка"/>
  </r>
  <r>
    <x v="176"/>
    <n v="370"/>
    <n v="370"/>
    <s v="Покупка"/>
  </r>
  <r>
    <x v="177"/>
    <n v="0"/>
    <n v="0"/>
    <s v="Выплата купона"/>
  </r>
  <r>
    <x v="178"/>
    <n v="670"/>
    <n v="670"/>
    <s v="Покупка"/>
  </r>
  <r>
    <x v="179"/>
    <n v="1120"/>
    <n v="-1120"/>
    <s v="Продажа"/>
  </r>
  <r>
    <x v="180"/>
    <n v="510"/>
    <n v="510"/>
    <s v="Покупка"/>
  </r>
  <r>
    <x v="181"/>
    <n v="660"/>
    <n v="660"/>
    <s v="Покупка"/>
  </r>
  <r>
    <x v="182"/>
    <n v="310"/>
    <n v="-310"/>
    <s v="Продажа"/>
  </r>
  <r>
    <x v="182"/>
    <n v="630"/>
    <n v="-630"/>
    <s v="Продажа"/>
  </r>
  <r>
    <x v="183"/>
    <n v="140"/>
    <n v="-140"/>
    <s v="Продажа"/>
  </r>
  <r>
    <x v="183"/>
    <n v="730"/>
    <n v="730"/>
    <s v="Покупка"/>
  </r>
  <r>
    <x v="184"/>
    <n v="160"/>
    <n v="-160"/>
    <s v="Продажа"/>
  </r>
  <r>
    <x v="185"/>
    <n v="220"/>
    <n v="220"/>
    <s v="Покупка"/>
  </r>
  <r>
    <x v="186"/>
    <n v="360"/>
    <n v="-360"/>
    <s v="Продажа"/>
  </r>
  <r>
    <x v="187"/>
    <n v="140"/>
    <n v="140"/>
    <s v="Покупка"/>
  </r>
  <r>
    <x v="188"/>
    <n v="140"/>
    <n v="140"/>
    <s v="Покупка"/>
  </r>
  <r>
    <x v="189"/>
    <n v="280"/>
    <n v="-280"/>
    <s v="Продажа"/>
  </r>
  <r>
    <x v="190"/>
    <n v="230"/>
    <n v="-230"/>
    <s v="Продажа"/>
  </r>
  <r>
    <x v="191"/>
    <n v="550"/>
    <n v="550"/>
    <s v="Покупка"/>
  </r>
  <r>
    <x v="192"/>
    <n v="660"/>
    <n v="-660"/>
    <s v="Продажа"/>
  </r>
  <r>
    <x v="193"/>
    <n v="330"/>
    <n v="330"/>
    <s v="Покупка"/>
  </r>
  <r>
    <x v="194"/>
    <n v="400"/>
    <n v="400"/>
    <s v="Покупка"/>
  </r>
  <r>
    <x v="195"/>
    <n v="30"/>
    <n v="30"/>
    <s v="Покупка"/>
  </r>
  <r>
    <x v="196"/>
    <n v="520"/>
    <n v="-520"/>
    <s v="Продажа"/>
  </r>
  <r>
    <x v="196"/>
    <n v="160"/>
    <n v="-160"/>
    <s v="Продажа"/>
  </r>
  <r>
    <x v="197"/>
    <n v="680"/>
    <n v="680"/>
    <s v="Покупка"/>
  </r>
  <r>
    <x v="198"/>
    <n v="330"/>
    <n v="-330"/>
    <s v="Продажа"/>
  </r>
  <r>
    <x v="199"/>
    <n v="540"/>
    <n v="540"/>
    <s v="Покупка"/>
  </r>
  <r>
    <x v="199"/>
    <n v="520"/>
    <n v="520"/>
    <s v="Покупка"/>
  </r>
  <r>
    <x v="199"/>
    <n v="680"/>
    <n v="-680"/>
    <s v="Продажа"/>
  </r>
  <r>
    <x v="200"/>
    <n v="20"/>
    <n v="20"/>
    <s v="Покупка"/>
  </r>
  <r>
    <x v="201"/>
    <n v="410"/>
    <n v="410"/>
    <s v="Покупка"/>
  </r>
  <r>
    <x v="201"/>
    <n v="670"/>
    <n v="670"/>
    <s v="Покупка"/>
  </r>
  <r>
    <x v="201"/>
    <n v="1750"/>
    <n v="-1750"/>
    <s v="Продажа"/>
  </r>
  <r>
    <x v="201"/>
    <n v="530"/>
    <n v="530"/>
    <s v="Покупка"/>
  </r>
  <r>
    <x v="202"/>
    <n v="750"/>
    <n v="750"/>
    <s v="Покупка"/>
  </r>
  <r>
    <x v="203"/>
    <n v="1180"/>
    <n v="-1180"/>
    <s v="Продажа"/>
  </r>
  <r>
    <x v="204"/>
    <n v="280"/>
    <n v="280"/>
    <s v="Покупка"/>
  </r>
  <r>
    <x v="205"/>
    <n v="80"/>
    <n v="-80"/>
    <s v="Продажа"/>
  </r>
  <r>
    <x v="206"/>
    <n v="440"/>
    <n v="440"/>
    <s v="Покупка"/>
  </r>
  <r>
    <x v="207"/>
    <n v="630"/>
    <n v="-630"/>
    <s v="Продажа"/>
  </r>
  <r>
    <x v="208"/>
    <n v="80"/>
    <n v="80"/>
    <s v="Покупка"/>
  </r>
  <r>
    <x v="209"/>
    <n v="580"/>
    <n v="580"/>
    <s v="Покупка"/>
  </r>
  <r>
    <x v="210"/>
    <n v="720"/>
    <n v="-720"/>
    <s v="Продажа"/>
  </r>
  <r>
    <x v="210"/>
    <n v="730"/>
    <n v="730"/>
    <s v="Покупка"/>
  </r>
  <r>
    <x v="211"/>
    <n v="480"/>
    <n v="480"/>
    <s v="Покупка"/>
  </r>
  <r>
    <x v="212"/>
    <n v="1540"/>
    <n v="-1540"/>
    <s v="Продажа"/>
  </r>
  <r>
    <x v="212"/>
    <n v="210"/>
    <n v="210"/>
    <s v="Покупка"/>
  </r>
  <r>
    <x v="213"/>
    <n v="650"/>
    <n v="650"/>
    <s v="Покупка"/>
  </r>
  <r>
    <x v="214"/>
    <n v="530"/>
    <n v="-530"/>
    <s v="Продажа"/>
  </r>
  <r>
    <x v="214"/>
    <n v="570"/>
    <n v="570"/>
    <s v="Покупка"/>
  </r>
  <r>
    <x v="215"/>
    <n v="580"/>
    <n v="580"/>
    <s v="Покупка"/>
  </r>
  <r>
    <x v="216"/>
    <n v="460"/>
    <n v="-460"/>
    <s v="Продажа"/>
  </r>
  <r>
    <x v="217"/>
    <n v="140"/>
    <n v="-140"/>
    <s v="Продажа"/>
  </r>
  <r>
    <x v="218"/>
    <n v="40"/>
    <n v="-40"/>
    <s v="Продажа"/>
  </r>
  <r>
    <x v="219"/>
    <n v="340"/>
    <n v="-340"/>
    <s v="Продажа"/>
  </r>
  <r>
    <x v="219"/>
    <n v="340"/>
    <n v="-340"/>
    <s v="Продажа"/>
  </r>
  <r>
    <x v="220"/>
    <n v="570"/>
    <n v="570"/>
    <s v="Покупка"/>
  </r>
  <r>
    <x v="221"/>
    <n v="660"/>
    <n v="-660"/>
    <s v="Продажа"/>
  </r>
  <r>
    <x v="221"/>
    <n v="160"/>
    <n v="-160"/>
    <s v="Продажа"/>
  </r>
  <r>
    <x v="221"/>
    <n v="690"/>
    <n v="690"/>
    <s v="Покупка"/>
  </r>
  <r>
    <x v="222"/>
    <n v="730"/>
    <n v="730"/>
    <s v="Покупка"/>
  </r>
  <r>
    <x v="222"/>
    <n v="750"/>
    <n v="750"/>
    <s v="Покупка"/>
  </r>
  <r>
    <x v="223"/>
    <n v="790"/>
    <n v="-790"/>
    <s v="Продажа"/>
  </r>
  <r>
    <x v="224"/>
    <n v="1280"/>
    <n v="-1280"/>
    <s v="Продажа"/>
  </r>
  <r>
    <x v="225"/>
    <n v="580"/>
    <n v="580"/>
    <s v="Покупка"/>
  </r>
  <r>
    <x v="226"/>
    <n v="610"/>
    <n v="-610"/>
    <s v="Продажа"/>
  </r>
  <r>
    <x v="227"/>
    <n v="490"/>
    <n v="490"/>
    <s v="Покупка"/>
  </r>
  <r>
    <x v="227"/>
    <n v="70"/>
    <n v="-70"/>
    <s v="Продажа"/>
  </r>
  <r>
    <x v="228"/>
    <n v="0"/>
    <n v="0"/>
    <s v="Выплата купона"/>
  </r>
  <r>
    <x v="228"/>
    <n v="170"/>
    <n v="170"/>
    <s v="Покупка"/>
  </r>
  <r>
    <x v="229"/>
    <n v="630"/>
    <n v="630"/>
    <s v="Покупка"/>
  </r>
  <r>
    <x v="230"/>
    <n v="110"/>
    <n v="110"/>
    <s v="Покупка"/>
  </r>
  <r>
    <x v="231"/>
    <n v="310"/>
    <n v="310"/>
    <s v="Покупка"/>
  </r>
  <r>
    <x v="232"/>
    <n v="460"/>
    <n v="460"/>
    <s v="Покупка"/>
  </r>
  <r>
    <x v="232"/>
    <n v="400"/>
    <n v="-400"/>
    <s v="Продажа"/>
  </r>
  <r>
    <x v="233"/>
    <n v="1520"/>
    <n v="-1520"/>
    <s v="Продажа"/>
  </r>
  <r>
    <x v="234"/>
    <n v="380"/>
    <n v="380"/>
    <s v="Покупка"/>
  </r>
  <r>
    <x v="234"/>
    <n v="450"/>
    <n v="450"/>
    <s v="Покупка"/>
  </r>
  <r>
    <x v="234"/>
    <n v="780"/>
    <n v="-780"/>
    <s v="Продажа"/>
  </r>
  <r>
    <x v="235"/>
    <n v="130"/>
    <n v="-130"/>
    <s v="Продажа"/>
  </r>
  <r>
    <x v="236"/>
    <n v="690"/>
    <n v="690"/>
    <s v="Покупка"/>
  </r>
  <r>
    <x v="237"/>
    <n v="220"/>
    <n v="220"/>
    <s v="Покупка"/>
  </r>
  <r>
    <x v="237"/>
    <n v="700"/>
    <n v="700"/>
    <s v="Покупка"/>
  </r>
  <r>
    <x v="238"/>
    <n v="300"/>
    <n v="-300"/>
    <s v="Продажа"/>
  </r>
  <r>
    <x v="238"/>
    <n v="1020"/>
    <n v="-1020"/>
    <s v="Продажа"/>
  </r>
  <r>
    <x v="238"/>
    <n v="280"/>
    <n v="280"/>
    <s v="Покупка"/>
  </r>
  <r>
    <x v="238"/>
    <n v="510"/>
    <n v="-510"/>
    <s v="Продажа"/>
  </r>
  <r>
    <x v="239"/>
    <n v="610"/>
    <n v="610"/>
    <s v="Покупка"/>
  </r>
  <r>
    <x v="240"/>
    <n v="370"/>
    <n v="370"/>
    <s v="Покупка"/>
  </r>
  <r>
    <x v="241"/>
    <n v="160"/>
    <n v="-160"/>
    <s v="Продажа"/>
  </r>
  <r>
    <x v="242"/>
    <n v="190"/>
    <n v="-190"/>
    <s v="Продажа"/>
  </r>
  <r>
    <x v="242"/>
    <n v="80"/>
    <n v="80"/>
    <s v="Покупка"/>
  </r>
  <r>
    <x v="243"/>
    <n v="690"/>
    <n v="690"/>
    <s v="Покупка"/>
  </r>
  <r>
    <x v="243"/>
    <n v="1140"/>
    <n v="-1140"/>
    <s v="Продажа"/>
  </r>
  <r>
    <x v="244"/>
    <n v="220"/>
    <n v="-220"/>
    <s v="Продажа"/>
  </r>
  <r>
    <x v="244"/>
    <n v="730"/>
    <n v="730"/>
    <s v="Покупка"/>
  </r>
  <r>
    <x v="245"/>
    <n v="70"/>
    <n v="-70"/>
    <s v="Продажа"/>
  </r>
  <r>
    <x v="246"/>
    <n v="630"/>
    <n v="-630"/>
    <s v="Продажа"/>
  </r>
  <r>
    <x v="246"/>
    <n v="130"/>
    <n v="-130"/>
    <s v="Продажа"/>
  </r>
  <r>
    <x v="247"/>
    <n v="330"/>
    <n v="330"/>
    <s v="Покупка"/>
  </r>
  <r>
    <x v="248"/>
    <n v="540"/>
    <n v="540"/>
    <s v="Покупка"/>
  </r>
  <r>
    <x v="249"/>
    <n v="80"/>
    <n v="-80"/>
    <s v="Продажа"/>
  </r>
  <r>
    <x v="250"/>
    <n v="540"/>
    <n v="-540"/>
    <s v="Продажа"/>
  </r>
  <r>
    <x v="251"/>
    <n v="130"/>
    <n v="130"/>
    <s v="Покупка"/>
  </r>
  <r>
    <x v="252"/>
    <n v="250"/>
    <n v="-250"/>
    <s v="Продажа"/>
  </r>
  <r>
    <x v="252"/>
    <n v="370"/>
    <n v="370"/>
    <s v="Покупка"/>
  </r>
  <r>
    <x v="253"/>
    <n v="130"/>
    <n v="-130"/>
    <s v="Продажа"/>
  </r>
  <r>
    <x v="254"/>
    <n v="160"/>
    <n v="160"/>
    <s v="Покупка"/>
  </r>
  <r>
    <x v="255"/>
    <n v="150"/>
    <n v="-150"/>
    <s v="Продажа"/>
  </r>
  <r>
    <x v="256"/>
    <n v="290"/>
    <n v="290"/>
    <s v="Покупка"/>
  </r>
  <r>
    <x v="257"/>
    <n v="290"/>
    <n v="-290"/>
    <s v="Продажа"/>
  </r>
  <r>
    <x v="257"/>
    <n v="510"/>
    <n v="510"/>
    <s v="Покупка"/>
  </r>
  <r>
    <x v="258"/>
    <n v="560"/>
    <n v="-560"/>
    <s v="Продажа"/>
  </r>
  <r>
    <x v="259"/>
    <n v="200"/>
    <n v="-200"/>
    <s v="Продажа"/>
  </r>
  <r>
    <x v="260"/>
    <n v="40"/>
    <n v="40"/>
    <s v="Покупка"/>
  </r>
  <r>
    <x v="260"/>
    <n v="120"/>
    <n v="120"/>
    <s v="Покупка"/>
  </r>
  <r>
    <x v="261"/>
    <n v="720"/>
    <n v="720"/>
    <s v="Покупка"/>
  </r>
  <r>
    <x v="262"/>
    <n v="330"/>
    <n v="330"/>
    <s v="Покупка"/>
  </r>
  <r>
    <x v="262"/>
    <n v="940"/>
    <n v="-940"/>
    <s v="Продажа"/>
  </r>
  <r>
    <x v="263"/>
    <n v="320"/>
    <n v="320"/>
    <s v="Покупка"/>
  </r>
  <r>
    <x v="264"/>
    <n v="160"/>
    <n v="-160"/>
    <s v="Продажа"/>
  </r>
  <r>
    <x v="264"/>
    <n v="610"/>
    <n v="-610"/>
    <s v="Продажа"/>
  </r>
  <r>
    <x v="264"/>
    <n v="250"/>
    <n v="250"/>
    <s v="Покупка"/>
  </r>
  <r>
    <x v="265"/>
    <n v="290"/>
    <n v="-290"/>
    <s v="Продажа"/>
  </r>
  <r>
    <x v="266"/>
    <n v="400"/>
    <n v="400"/>
    <s v="Покупка"/>
  </r>
  <r>
    <x v="267"/>
    <n v="10"/>
    <n v="10"/>
    <s v="Покупка"/>
  </r>
  <r>
    <x v="267"/>
    <n v="640"/>
    <n v="640"/>
    <s v="Покупка"/>
  </r>
  <r>
    <x v="268"/>
    <n v="750"/>
    <n v="750"/>
    <s v="Покупка"/>
  </r>
  <r>
    <x v="269"/>
    <n v="380"/>
    <n v="380"/>
    <s v="Покупка"/>
  </r>
  <r>
    <x v="270"/>
    <n v="2250"/>
    <n v="-2250"/>
    <s v="Продажа"/>
  </r>
  <r>
    <x v="271"/>
    <n v="570"/>
    <n v="570"/>
    <s v="Покупка"/>
  </r>
  <r>
    <x v="271"/>
    <n v="430"/>
    <n v="-430"/>
    <s v="Продажа"/>
  </r>
  <r>
    <x v="272"/>
    <n v="10"/>
    <n v="-10"/>
    <s v="Продажа"/>
  </r>
  <r>
    <x v="273"/>
    <n v="540"/>
    <n v="540"/>
    <s v="Покупка"/>
  </r>
  <r>
    <x v="273"/>
    <n v="150"/>
    <n v="150"/>
    <s v="Покупка"/>
  </r>
  <r>
    <x v="274"/>
    <n v="560"/>
    <n v="-560"/>
    <s v="Продажа"/>
  </r>
  <r>
    <x v="275"/>
    <n v="380"/>
    <n v="380"/>
    <s v="Покупка"/>
  </r>
  <r>
    <x v="275"/>
    <n v="330"/>
    <n v="330"/>
    <s v="Покупка"/>
  </r>
  <r>
    <x v="276"/>
    <n v="500"/>
    <n v="500"/>
    <s v="Покупка"/>
  </r>
  <r>
    <x v="277"/>
    <n v="1360"/>
    <n v="-1360"/>
    <s v="Продажа"/>
  </r>
  <r>
    <x v="277"/>
    <n v="220"/>
    <n v="220"/>
    <s v="Покупка"/>
  </r>
  <r>
    <x v="278"/>
    <n v="120"/>
    <n v="120"/>
    <s v="Покупка"/>
  </r>
  <r>
    <x v="279"/>
    <n v="450"/>
    <n v="-450"/>
    <s v="Продажа"/>
  </r>
  <r>
    <x v="279"/>
    <n v="670"/>
    <n v="670"/>
    <s v="Покупка"/>
  </r>
  <r>
    <x v="279"/>
    <n v="580"/>
    <n v="-580"/>
    <s v="Продажа"/>
  </r>
  <r>
    <x v="280"/>
    <n v="280"/>
    <n v="280"/>
    <s v="Покупка"/>
  </r>
  <r>
    <x v="281"/>
    <n v="690"/>
    <n v="690"/>
    <s v="Покупка"/>
  </r>
  <r>
    <x v="282"/>
    <n v="220"/>
    <n v="-220"/>
    <s v="Продажа"/>
  </r>
  <r>
    <x v="283"/>
    <n v="460"/>
    <n v="-460"/>
    <s v="Продажа"/>
  </r>
  <r>
    <x v="283"/>
    <n v="180"/>
    <n v="-180"/>
    <s v="Продажа"/>
  </r>
  <r>
    <x v="284"/>
    <n v="520"/>
    <n v="520"/>
    <s v="Покупка"/>
  </r>
  <r>
    <x v="285"/>
    <n v="300"/>
    <n v="300"/>
    <s v="Покупка"/>
  </r>
  <r>
    <x v="286"/>
    <n v="170"/>
    <n v="170"/>
    <s v="Покупка"/>
  </r>
  <r>
    <x v="287"/>
    <n v="0"/>
    <n v="0"/>
    <s v="Выплата купона"/>
  </r>
  <r>
    <x v="288"/>
    <n v="150"/>
    <n v="150"/>
    <s v="Покупка"/>
  </r>
  <r>
    <x v="289"/>
    <n v="970"/>
    <n v="-970"/>
    <s v="Продажа"/>
  </r>
  <r>
    <x v="290"/>
    <n v="130"/>
    <n v="-130"/>
    <s v="Продажа"/>
  </r>
  <r>
    <x v="291"/>
    <n v="340"/>
    <n v="340"/>
    <s v="Покупка"/>
  </r>
  <r>
    <x v="291"/>
    <n v="50"/>
    <n v="50"/>
    <s v="Покупка"/>
  </r>
  <r>
    <x v="292"/>
    <n v="640"/>
    <n v="-640"/>
    <s v="Продажа"/>
  </r>
  <r>
    <x v="292"/>
    <n v="680"/>
    <n v="680"/>
    <s v="Покупка"/>
  </r>
  <r>
    <x v="293"/>
    <n v="390"/>
    <n v="390"/>
    <s v="Покупка"/>
  </r>
  <r>
    <x v="294"/>
    <n v="110"/>
    <n v="110"/>
    <s v="Покупка"/>
  </r>
  <r>
    <x v="295"/>
    <n v="220"/>
    <n v="-220"/>
    <s v="Продажа"/>
  </r>
  <r>
    <x v="296"/>
    <n v="400"/>
    <n v="-400"/>
    <s v="Продажа"/>
  </r>
  <r>
    <x v="297"/>
    <n v="510"/>
    <n v="510"/>
    <s v="Покупка"/>
  </r>
  <r>
    <x v="297"/>
    <n v="210"/>
    <n v="-210"/>
    <s v="Продажа"/>
  </r>
  <r>
    <x v="298"/>
    <n v="170"/>
    <n v="-170"/>
    <s v="Продажа"/>
  </r>
  <r>
    <x v="298"/>
    <n v="480"/>
    <n v="-480"/>
    <s v="Продажа"/>
  </r>
  <r>
    <x v="299"/>
    <n v="510"/>
    <n v="510"/>
    <s v="Покупка"/>
  </r>
  <r>
    <x v="300"/>
    <n v="480"/>
    <n v="-480"/>
    <s v="Продажа"/>
  </r>
  <r>
    <x v="300"/>
    <n v="90"/>
    <n v="90"/>
    <s v="Покупка"/>
  </r>
  <r>
    <x v="300"/>
    <n v="180"/>
    <n v="180"/>
    <s v="Покупка"/>
  </r>
  <r>
    <x v="300"/>
    <n v="450"/>
    <n v="-450"/>
    <s v="Продажа"/>
  </r>
  <r>
    <x v="301"/>
    <n v="510"/>
    <n v="510"/>
    <s v="Покупка"/>
  </r>
  <r>
    <x v="302"/>
    <n v="390"/>
    <n v="-390"/>
    <s v="Продажа"/>
  </r>
  <r>
    <x v="303"/>
    <n v="390"/>
    <n v="390"/>
    <s v="Покупка"/>
  </r>
  <r>
    <x v="303"/>
    <n v="730"/>
    <n v="730"/>
    <s v="Покупка"/>
  </r>
  <r>
    <x v="304"/>
    <n v="790"/>
    <n v="-790"/>
    <s v="Продажа"/>
  </r>
  <r>
    <x v="305"/>
    <n v="110"/>
    <n v="110"/>
    <s v="Покупка"/>
  </r>
  <r>
    <x v="306"/>
    <n v="280"/>
    <n v="-280"/>
    <s v="Продажа"/>
  </r>
  <r>
    <x v="307"/>
    <n v="70"/>
    <n v="-70"/>
    <s v="Продажа"/>
  </r>
  <r>
    <x v="308"/>
    <n v="170"/>
    <n v="-170"/>
    <s v="Продажа"/>
  </r>
  <r>
    <x v="309"/>
    <n v="530"/>
    <n v="530"/>
    <s v="Покупка"/>
  </r>
  <r>
    <x v="309"/>
    <n v="340"/>
    <n v="-340"/>
    <s v="Продажа"/>
  </r>
  <r>
    <x v="310"/>
    <n v="70"/>
    <n v="-70"/>
    <s v="Продажа"/>
  </r>
  <r>
    <x v="310"/>
    <n v="170"/>
    <n v="-170"/>
    <s v="Продажа"/>
  </r>
  <r>
    <x v="311"/>
    <n v="520"/>
    <n v="520"/>
    <s v="Покупка"/>
  </r>
  <r>
    <x v="311"/>
    <n v="110"/>
    <n v="-110"/>
    <s v="Продажа"/>
  </r>
  <r>
    <x v="312"/>
    <n v="630"/>
    <n v="630"/>
    <s v="Покупка"/>
  </r>
  <r>
    <x v="313"/>
    <n v="420"/>
    <n v="-420"/>
    <s v="Продажа"/>
  </r>
  <r>
    <x v="313"/>
    <n v="130"/>
    <n v="-130"/>
    <s v="Продажа"/>
  </r>
  <r>
    <x v="314"/>
    <n v="300"/>
    <n v="-300"/>
    <s v="Продажа"/>
  </r>
  <r>
    <x v="315"/>
    <n v="290"/>
    <n v="290"/>
    <s v="Покупка"/>
  </r>
  <r>
    <x v="316"/>
    <n v="450"/>
    <n v="450"/>
    <s v="Покупка"/>
  </r>
  <r>
    <x v="317"/>
    <n v="410"/>
    <n v="-410"/>
    <s v="Продажа"/>
  </r>
  <r>
    <x v="318"/>
    <n v="250"/>
    <n v="-250"/>
    <s v="Продажа"/>
  </r>
  <r>
    <x v="318"/>
    <n v="600"/>
    <n v="600"/>
    <s v="Покупка"/>
  </r>
  <r>
    <x v="319"/>
    <n v="570"/>
    <n v="570"/>
    <s v="Покупка"/>
  </r>
  <r>
    <x v="320"/>
    <n v="720"/>
    <n v="720"/>
    <s v="Покупка"/>
  </r>
  <r>
    <x v="320"/>
    <n v="380"/>
    <n v="-380"/>
    <s v="Продажа"/>
  </r>
  <r>
    <x v="321"/>
    <n v="1260"/>
    <n v="-1260"/>
    <s v="Продажа"/>
  </r>
  <r>
    <x v="321"/>
    <n v="690"/>
    <n v="690"/>
    <s v="Покупка"/>
  </r>
  <r>
    <x v="322"/>
    <n v="500"/>
    <n v="-500"/>
    <s v="Продажа"/>
  </r>
  <r>
    <x v="323"/>
    <n v="540"/>
    <n v="-540"/>
    <s v="Продажа"/>
  </r>
  <r>
    <x v="324"/>
    <n v="410"/>
    <n v="410"/>
    <s v="Покупка"/>
  </r>
  <r>
    <x v="325"/>
    <n v="200"/>
    <n v="200"/>
    <s v="Покупка"/>
  </r>
  <r>
    <x v="326"/>
    <n v="530"/>
    <n v="-530"/>
    <s v="Продажа"/>
  </r>
  <r>
    <x v="326"/>
    <n v="350"/>
    <n v="350"/>
    <s v="Покупка"/>
  </r>
  <r>
    <x v="327"/>
    <n v="100"/>
    <n v="100"/>
    <s v="Покупка"/>
  </r>
  <r>
    <x v="328"/>
    <n v="390"/>
    <n v="-390"/>
    <s v="Продажа"/>
  </r>
  <r>
    <x v="329"/>
    <n v="250"/>
    <n v="-250"/>
    <s v="Продажа"/>
  </r>
  <r>
    <x v="329"/>
    <n v="100"/>
    <n v="-100"/>
    <s v="Продажа"/>
  </r>
  <r>
    <x v="330"/>
    <n v="170"/>
    <n v="170"/>
    <s v="Покупка"/>
  </r>
  <r>
    <x v="331"/>
    <n v="260"/>
    <n v="260"/>
    <s v="Покупка"/>
  </r>
  <r>
    <x v="332"/>
    <n v="590"/>
    <n v="590"/>
    <s v="Покупка"/>
  </r>
  <r>
    <x v="332"/>
    <n v="420"/>
    <n v="-420"/>
    <s v="Продажа"/>
  </r>
  <r>
    <x v="333"/>
    <n v="500"/>
    <n v="-500"/>
    <s v="Продажа"/>
  </r>
  <r>
    <x v="334"/>
    <n v="740"/>
    <n v="740"/>
    <s v="Покупка"/>
  </r>
  <r>
    <x v="334"/>
    <n v="510"/>
    <n v="-510"/>
    <s v="Продажа"/>
  </r>
  <r>
    <x v="335"/>
    <n v="380"/>
    <n v="380"/>
    <s v="Покупка"/>
  </r>
  <r>
    <x v="336"/>
    <n v="60"/>
    <n v="-60"/>
    <s v="Продажа"/>
  </r>
  <r>
    <x v="337"/>
    <n v="750"/>
    <n v="750"/>
    <s v="Покупка"/>
  </r>
  <r>
    <x v="337"/>
    <n v="100"/>
    <n v="100"/>
    <s v="Покупка"/>
  </r>
  <r>
    <x v="338"/>
    <n v="400"/>
    <n v="-400"/>
    <s v="Продажа"/>
  </r>
  <r>
    <x v="338"/>
    <n v="1000"/>
    <n v="-1000"/>
    <s v="Продажа"/>
  </r>
  <r>
    <x v="339"/>
    <n v="520"/>
    <n v="520"/>
    <s v="Покупка"/>
  </r>
  <r>
    <x v="339"/>
    <n v="110"/>
    <n v="110"/>
    <s v="Покупка"/>
  </r>
  <r>
    <x v="339"/>
    <n v="120"/>
    <n v="-120"/>
    <s v="Продажа"/>
  </r>
  <r>
    <x v="339"/>
    <n v="130"/>
    <n v="130"/>
    <s v="Покупка"/>
  </r>
  <r>
    <x v="340"/>
    <n v="380"/>
    <n v="380"/>
    <s v="Покупка"/>
  </r>
  <r>
    <x v="341"/>
    <n v="650"/>
    <n v="-650"/>
    <s v="Продажа"/>
  </r>
  <r>
    <x v="341"/>
    <n v="360"/>
    <n v="360"/>
    <s v="Покупка"/>
  </r>
  <r>
    <x v="342"/>
    <n v="440"/>
    <n v="440"/>
    <s v="Покупка"/>
  </r>
  <r>
    <x v="343"/>
    <n v="1100"/>
    <n v="-1100"/>
    <s v="Продажа"/>
  </r>
  <r>
    <x v="344"/>
    <n v="280"/>
    <n v="280"/>
    <s v="Покупка"/>
  </r>
  <r>
    <x v="344"/>
    <n v="260"/>
    <n v="260"/>
    <s v="Покупка"/>
  </r>
  <r>
    <x v="344"/>
    <n v="160"/>
    <n v="-160"/>
    <s v="Продажа"/>
  </r>
  <r>
    <x v="344"/>
    <n v="410"/>
    <n v="-410"/>
    <s v="Продажа"/>
  </r>
  <r>
    <x v="345"/>
    <n v="0"/>
    <n v="0"/>
    <s v="Выплата купона"/>
  </r>
  <r>
    <x v="346"/>
    <n v="340"/>
    <n v="340"/>
    <s v="Покупка"/>
  </r>
  <r>
    <x v="347"/>
    <n v="370"/>
    <n v="-370"/>
    <s v="Продажа"/>
  </r>
  <r>
    <x v="348"/>
    <n v="120"/>
    <n v="-120"/>
    <s v="Продажа"/>
  </r>
  <r>
    <x v="349"/>
    <n v="0"/>
    <n v="0"/>
    <s v="Выплата купон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ED1D8-C10A-4863-ABC9-8C90BC382E38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1:B352" firstHeaderRow="1" firstDataRow="1" firstDataCol="1"/>
  <pivotFields count="4">
    <pivotField axis="axisRow" compact="0" numFmtId="164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showAll="0"/>
    <pivotField dataField="1" showAll="0"/>
    <pivotField showAll="0"/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 (net)" fld="2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EC364-C622-4D7C-9B01-6E80ABE0C567}" name="Сделки" displayName="Сделки" ref="A1:D509" totalsRowShown="0" headerRowDxfId="49" dataDxfId="48" tableBorderDxfId="47">
  <autoFilter ref="A1:D509" xr:uid="{BB7F0B33-599E-44EE-ADBA-9DD3A8C4F66B}"/>
  <tableColumns count="4">
    <tableColumn id="1" xr3:uid="{538814CF-EFEB-4864-99D0-581D5580580D}" name="Дата" dataDxfId="46"/>
    <tableColumn id="2" xr3:uid="{7C27AF34-8BEE-47A7-9F2A-008942FAC08F}" name="Количество" dataDxfId="45"/>
    <tableColumn id="4" xr3:uid="{EC462EA5-F703-4F44-818C-085FC8939D87}" name="Количество (net)" dataDxfId="44">
      <calculatedColumnFormula>IF(Сделки[[#This Row],[Тип сделки]]="Покупка",Сделки[[#This Row],[Количество]],-Сделки[[#This Row],[Количество]])</calculatedColumnFormula>
    </tableColumn>
    <tableColumn id="3" xr3:uid="{BE20D136-A546-4610-AFA7-4791CA903C93}" name="Тип сделки" dataDxfId="4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F958BD-92B2-4505-BAA8-3D7A54210F85}" name="Котировки" displayName="Котировки" ref="A1:J793" totalsRowShown="0">
  <autoFilter ref="A1:J793" xr:uid="{73F958BD-92B2-4505-BAA8-3D7A54210F85}"/>
  <tableColumns count="10">
    <tableColumn id="1" xr3:uid="{37F1AAC7-FE28-4452-8B36-1255C1B1003A}" name="&lt;TICKER&gt;" dataDxfId="42"/>
    <tableColumn id="2" xr3:uid="{F23B824A-6446-4861-B531-692965D0FB1B}" name="&lt;PER&gt;" dataDxfId="41"/>
    <tableColumn id="3" xr3:uid="{5588FE82-5D3B-4486-A252-EEBE79F1BF99}" name="&lt;DATE&gt;" dataDxfId="40"/>
    <tableColumn id="4" xr3:uid="{4A2C2CD8-ED39-40CC-B6B5-CB68857A432F}" name="&lt;TIME&gt;"/>
    <tableColumn id="5" xr3:uid="{CB3469AF-CEDB-4EFF-81A4-8697AC497542}" name="&lt;OPEN&gt;"/>
    <tableColumn id="6" xr3:uid="{CD7C9F48-D4CF-4413-8644-C6BFEC9F4803}" name="&lt;HIGH&gt;"/>
    <tableColumn id="7" xr3:uid="{E7383EE0-C8E8-4F4C-A04B-B1DD88047C24}" name="&lt;LOW&gt;"/>
    <tableColumn id="8" xr3:uid="{E1F9DE4F-DCD0-441F-BA9A-353E0F3AEA71}" name="&lt;CLOSE&gt;"/>
    <tableColumn id="9" xr3:uid="{1FD92507-FEB1-44BC-85ED-9C73EB340399}" name="&lt;VOL&gt;"/>
    <tableColumn id="10" xr3:uid="{01F5CB07-D11E-43B6-BB9A-98C3F34524D8}" name="&lt;OPENINT&gt;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6295A6-7F71-4096-849C-5342E273B635}" name="Купоны" displayName="Купоны" ref="A2:G10" totalsRowShown="0" headerRowDxfId="39">
  <autoFilter ref="A2:G10" xr:uid="{7F6295A6-7F71-4096-849C-5342E273B635}"/>
  <tableColumns count="7">
    <tableColumn id="1" xr3:uid="{CFFBAE9F-36AA-4F82-800D-3EDF30EE6ABA}" name="№"/>
    <tableColumn id="2" xr3:uid="{B57D313C-D2BC-45DC-A1B0-D9527126C457}" name="Дата" dataDxfId="38"/>
    <tableColumn id="3" xr3:uid="{C66A0685-1A27-4B40-94B7-FCE78297C822}" name="Ставка"/>
    <tableColumn id="4" xr3:uid="{382A8535-BA39-49EB-978A-61E508AB3068}" name="% от номинала"/>
    <tableColumn id="5" xr3:uid="{AC487A88-5E54-4570-A24F-D321D881BB7F}" name="Размер"/>
    <tableColumn id="6" xr3:uid="{9C410A95-083C-48EC-A7F7-91B666808DBD}" name="% от номинала2"/>
    <tableColumn id="7" xr3:uid="{055A13E8-53BD-4556-8A59-B9A9AD94C761}" name="Размер3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88BDE-F7DF-4146-9D8E-EEA18D121D1F}" name="Таблица1" displayName="Таблица1" ref="A1:J352" totalsRowCount="1">
  <autoFilter ref="A1:J351" xr:uid="{E8C88BDE-F7DF-4146-9D8E-EEA18D121D1F}"/>
  <tableColumns count="10">
    <tableColumn id="1" xr3:uid="{00D0B3DF-6A0F-4260-9861-9F5A518C4AF5}" name="Названия строк" totalsRowLabel="Итог" dataDxfId="37" totalsRowDxfId="29"/>
    <tableColumn id="2" xr3:uid="{58C1A667-C03A-4AFC-9027-8CD6AAA2794E}" name="Сумма по полю Количество (net)" totalsRowFunction="sum" totalsRowDxfId="28"/>
    <tableColumn id="3" xr3:uid="{20A84BD1-A664-4194-BE08-78EDAED6DC82}" name="Цена сделки" totalsRowFunction="sum" dataDxfId="36" totalsRowDxfId="27">
      <calculatedColumnFormula>VLOOKUP(Таблица1[[#This Row],[Названия строк]],Котировки[[&lt;DATE&gt;]:[&lt;VOL&gt;]],6,0)</calculatedColumnFormula>
    </tableColumn>
    <tableColumn id="4" xr3:uid="{8D145D0E-7244-43AA-91AD-5B095CCEB902}" name="Дата купона" totalsRowLabel="Итог" dataDxfId="35" totalsRowDxfId="26">
      <calculatedColumnFormula>_xlfn.MAXIFS(Купоны[Дата],A1:A351,Таблица1[[#This Row],[Названия строк]]&lt;Купоны!B4)</calculatedColumnFormula>
    </tableColumn>
    <tableColumn id="5" xr3:uid="{90169C1A-6C21-426D-8E84-BFB93A5729B5}" name="НДК" totalsRowFunction="sum" dataDxfId="34" totalsRowDxfId="25">
      <calculatedColumnFormula>Купоны!$C$4*(A2-D2)/365*100</calculatedColumnFormula>
    </tableColumn>
    <tableColumn id="6" xr3:uid="{9FF76573-D1FF-4A5F-999D-28A3C6C136BF}" name="Денежный поток" totalsRowFunction="sum" dataDxfId="33" totalsRowDxfId="24">
      <calculatedColumnFormula>-B2*(C2+E2)*Купоны!$G$10/100</calculatedColumnFormula>
    </tableColumn>
    <tableColumn id="7" xr3:uid="{A63DF3B8-9D13-4F38-8EC2-CFD3723D7BEA}" name="Открытая позиция" totalsRowFunction="sum" dataDxfId="32" totalsRowDxfId="23">
      <calculatedColumnFormula>SUM($B$2:B2)</calculatedColumnFormula>
    </tableColumn>
    <tableColumn id="8" xr3:uid="{FBD7B637-9E3B-4428-85BA-CE35709D5251}" name="Купонный доход" totalsRowFunction="sum" dataDxfId="31" totalsRowDxfId="22">
      <calculatedColumnFormula>_xlfn.IFNA(VLOOKUP($A2,Купоны[[Дата]:[% от номинала]],3,0),0)*Купоны!$G$10/100*G2</calculatedColumnFormula>
    </tableColumn>
    <tableColumn id="9" xr3:uid="{1C119CCE-89F6-4D8C-9736-55B2B5812E7E}" name="Общий денежный поток" totalsRowFunction="sum" dataDxfId="30" totalsRowDxfId="21">
      <calculatedColumnFormula>Таблица1[[#This Row],[Денежный поток]]+Таблица1[[#This Row],[Купонный доход]]</calculatedColumnFormula>
    </tableColumn>
    <tableColumn id="10" xr3:uid="{83748056-6748-41F5-97AC-2B5891706B77}" name="Чистая приведенная стоимость" totalsRowFunction="sum" dataDxfId="19" totalsRowDxfId="20">
      <calculatedColumnFormula>Таблица1[[#This Row],[Общий денежный поток]]/((1+$L$2)^((Таблица1[[#This Row],[Названия строк]]-$A$2)/365))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C9E385-4408-4E92-9BF0-CCA50DF3C07D}" name="Таблица16" displayName="Таблица16" ref="A1:J352" totalsRowCount="1">
  <autoFilter ref="A1:J351" xr:uid="{E8C88BDE-F7DF-4146-9D8E-EEA18D121D1F}"/>
  <tableColumns count="10">
    <tableColumn id="1" xr3:uid="{B23FC848-57DF-4921-9098-A76C43453B43}" name="Названия строк" totalsRowLabel="Итог" dataDxfId="17" totalsRowDxfId="18"/>
    <tableColumn id="2" xr3:uid="{BD12A98D-593A-4663-88DE-C3BB6ACB72D7}" name="Сумма по полю Количество (net)" totalsRowFunction="sum" totalsRowDxfId="16"/>
    <tableColumn id="3" xr3:uid="{29CD7A51-7594-4A52-9452-12EC3A02B3DE}" name="Цена сделки" totalsRowFunction="sum" dataDxfId="14" totalsRowDxfId="15">
      <calculatedColumnFormula>VLOOKUP(Таблица16[[#This Row],[Названия строк]],Котировки[[&lt;DATE&gt;]:[&lt;VOL&gt;]],6,0)</calculatedColumnFormula>
    </tableColumn>
    <tableColumn id="4" xr3:uid="{542531D0-A034-4FFE-B397-363DC0777A32}" name="Дата купона" totalsRowLabel="Итог" dataDxfId="12" totalsRowDxfId="13">
      <calculatedColumnFormula>INDEX(Купоны[Дата],MATCH($A2,Купоны[Дата],1))</calculatedColumnFormula>
    </tableColumn>
    <tableColumn id="5" xr3:uid="{02D9FF83-E7FC-4E4B-AC64-C530130F0ACF}" name="НДК" totalsRowFunction="sum" dataDxfId="10" totalsRowDxfId="11">
      <calculatedColumnFormula>Купоны!$C$4*(A2-D2)/365*100</calculatedColumnFormula>
    </tableColumn>
    <tableColumn id="6" xr3:uid="{C1178139-0975-4C41-AE5F-CA3295436152}" name="Денежный поток" totalsRowFunction="sum" dataDxfId="8" totalsRowDxfId="9">
      <calculatedColumnFormula>-B2*(C2+E2)*Купоны!$G$10/100</calculatedColumnFormula>
    </tableColumn>
    <tableColumn id="7" xr3:uid="{521DE287-79FC-44D3-940C-7A03C6E09D70}" name="Открытая позиция" totalsRowFunction="sum" dataDxfId="6" totalsRowDxfId="7">
      <calculatedColumnFormula>SUM($B$2:B2)</calculatedColumnFormula>
    </tableColumn>
    <tableColumn id="8" xr3:uid="{8CEF48F3-FF2D-40DA-9FD5-A373FBC8D3DF}" name="Купонный доход" totalsRowFunction="sum" dataDxfId="4" totalsRowDxfId="5">
      <calculatedColumnFormula>_xlfn.IFNA(VLOOKUP($A2,Купоны[[Дата]:[% от номинала]],3,0),0)*Купоны!$G$10/100*G2</calculatedColumnFormula>
    </tableColumn>
    <tableColumn id="9" xr3:uid="{45513E08-C0C6-4ED5-A866-36B58929CD07}" name="Общий денежный поток" totalsRowFunction="sum" dataDxfId="2" totalsRowDxfId="3">
      <calculatedColumnFormula>Таблица16[[#This Row],[Денежный поток]]+Таблица16[[#This Row],[Купонный доход]]</calculatedColumnFormula>
    </tableColumn>
    <tableColumn id="10" xr3:uid="{59FF479F-6634-479E-AFDA-F5802392CDA9}" name="Чистая приведенная стоимость" totalsRowFunction="sum" dataDxfId="0" totalsRowDxfId="1">
      <calculatedColumnFormula>Таблица16[[#This Row],[Общий денежный поток]]/((1+$L$2)^((Таблица16[[#This Row],[Названия строк]]-$A$2)/365))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0B33-599E-44EE-ADBA-9DD3A8C4F66B}">
  <dimension ref="A1:D509"/>
  <sheetViews>
    <sheetView workbookViewId="0">
      <selection activeCell="B10" sqref="B10"/>
    </sheetView>
  </sheetViews>
  <sheetFormatPr defaultColWidth="11" defaultRowHeight="15.6" x14ac:dyDescent="0.3"/>
  <cols>
    <col min="1" max="1" width="12.796875" customWidth="1"/>
    <col min="2" max="3" width="15.69921875" customWidth="1"/>
    <col min="4" max="4" width="13.5" customWidth="1"/>
    <col min="6" max="6" width="11.796875" customWidth="1"/>
    <col min="7" max="7" width="13.69921875" customWidth="1"/>
  </cols>
  <sheetData>
    <row r="1" spans="1:4" x14ac:dyDescent="0.3">
      <c r="A1" s="3" t="s">
        <v>0</v>
      </c>
      <c r="B1" s="3" t="s">
        <v>1</v>
      </c>
      <c r="C1" s="11" t="s">
        <v>28</v>
      </c>
      <c r="D1" s="4" t="s">
        <v>2</v>
      </c>
    </row>
    <row r="2" spans="1:4" x14ac:dyDescent="0.3">
      <c r="A2" s="1">
        <v>43021</v>
      </c>
      <c r="B2" s="2">
        <v>290</v>
      </c>
      <c r="C2" s="2">
        <f>IF(Сделки[[#This Row],[Тип сделки]]="Покупка",Сделки[[#This Row],[Количество]],-Сделки[[#This Row],[Количество]])</f>
        <v>290</v>
      </c>
      <c r="D2" s="2" t="s">
        <v>3</v>
      </c>
    </row>
    <row r="3" spans="1:4" x14ac:dyDescent="0.3">
      <c r="A3" s="1">
        <v>43021</v>
      </c>
      <c r="B3" s="2">
        <v>90</v>
      </c>
      <c r="C3" s="2">
        <f>IF(Сделки[[#This Row],[Тип сделки]]="Покупка",Сделки[[#This Row],[Количество]],-Сделки[[#This Row],[Количество]])</f>
        <v>90</v>
      </c>
      <c r="D3" s="2" t="s">
        <v>3</v>
      </c>
    </row>
    <row r="4" spans="1:4" x14ac:dyDescent="0.3">
      <c r="A4" s="1">
        <v>43026</v>
      </c>
      <c r="B4" s="2">
        <v>380</v>
      </c>
      <c r="C4" s="2">
        <f>IF(Сделки[[#This Row],[Тип сделки]]="Покупка",Сделки[[#This Row],[Количество]],-Сделки[[#This Row],[Количество]])</f>
        <v>380</v>
      </c>
      <c r="D4" s="2" t="s">
        <v>3</v>
      </c>
    </row>
    <row r="5" spans="1:4" x14ac:dyDescent="0.3">
      <c r="A5" s="1">
        <v>43027</v>
      </c>
      <c r="B5" s="2">
        <v>570</v>
      </c>
      <c r="C5" s="2">
        <f>IF(Сделки[[#This Row],[Тип сделки]]="Покупка",Сделки[[#This Row],[Количество]],-Сделки[[#This Row],[Количество]])</f>
        <v>570</v>
      </c>
      <c r="D5" s="2" t="s">
        <v>3</v>
      </c>
    </row>
    <row r="6" spans="1:4" x14ac:dyDescent="0.3">
      <c r="A6" s="1">
        <v>43028</v>
      </c>
      <c r="B6" s="2">
        <v>490</v>
      </c>
      <c r="C6" s="2">
        <f>IF(Сделки[[#This Row],[Тип сделки]]="Покупка",Сделки[[#This Row],[Количество]],-Сделки[[#This Row],[Количество]])</f>
        <v>-490</v>
      </c>
      <c r="D6" s="2" t="s">
        <v>4</v>
      </c>
    </row>
    <row r="7" spans="1:4" x14ac:dyDescent="0.3">
      <c r="A7" s="1">
        <v>43028</v>
      </c>
      <c r="B7" s="2">
        <v>800</v>
      </c>
      <c r="C7" s="2">
        <f>IF(Сделки[[#This Row],[Тип сделки]]="Покупка",Сделки[[#This Row],[Количество]],-Сделки[[#This Row],[Количество]])</f>
        <v>-800</v>
      </c>
      <c r="D7" s="2" t="s">
        <v>4</v>
      </c>
    </row>
    <row r="8" spans="1:4" x14ac:dyDescent="0.3">
      <c r="A8" s="1">
        <v>43028</v>
      </c>
      <c r="B8" s="2">
        <v>260</v>
      </c>
      <c r="C8" s="2">
        <f>IF(Сделки[[#This Row],[Тип сделки]]="Покупка",Сделки[[#This Row],[Количество]],-Сделки[[#This Row],[Количество]])</f>
        <v>260</v>
      </c>
      <c r="D8" s="2" t="s">
        <v>3</v>
      </c>
    </row>
    <row r="9" spans="1:4" x14ac:dyDescent="0.3">
      <c r="A9" s="1">
        <v>43031</v>
      </c>
      <c r="B9" s="2">
        <v>230</v>
      </c>
      <c r="C9" s="2">
        <f>IF(Сделки[[#This Row],[Тип сделки]]="Покупка",Сделки[[#This Row],[Количество]],-Сделки[[#This Row],[Количество]])</f>
        <v>230</v>
      </c>
      <c r="D9" s="2" t="s">
        <v>3</v>
      </c>
    </row>
    <row r="10" spans="1:4" x14ac:dyDescent="0.3">
      <c r="A10" s="1">
        <v>43032</v>
      </c>
      <c r="B10" s="2">
        <v>410</v>
      </c>
      <c r="C10" s="2">
        <f>IF(Сделки[[#This Row],[Тип сделки]]="Покупка",Сделки[[#This Row],[Количество]],-Сделки[[#This Row],[Количество]])</f>
        <v>410</v>
      </c>
      <c r="D10" s="2" t="s">
        <v>3</v>
      </c>
    </row>
    <row r="11" spans="1:4" x14ac:dyDescent="0.3">
      <c r="A11" s="1">
        <v>43032</v>
      </c>
      <c r="B11" s="2">
        <v>390</v>
      </c>
      <c r="C11" s="2">
        <f>IF(Сделки[[#This Row],[Тип сделки]]="Покупка",Сделки[[#This Row],[Количество]],-Сделки[[#This Row],[Количество]])</f>
        <v>-390</v>
      </c>
      <c r="D11" s="2" t="s">
        <v>4</v>
      </c>
    </row>
    <row r="12" spans="1:4" x14ac:dyDescent="0.3">
      <c r="A12" s="1">
        <v>43035</v>
      </c>
      <c r="B12" s="2">
        <v>90</v>
      </c>
      <c r="C12" s="2">
        <f>IF(Сделки[[#This Row],[Тип сделки]]="Покупка",Сделки[[#This Row],[Количество]],-Сделки[[#This Row],[Количество]])</f>
        <v>90</v>
      </c>
      <c r="D12" s="2" t="s">
        <v>3</v>
      </c>
    </row>
    <row r="13" spans="1:4" x14ac:dyDescent="0.3">
      <c r="A13" s="1">
        <v>43035</v>
      </c>
      <c r="B13" s="2">
        <v>100</v>
      </c>
      <c r="C13" s="2">
        <f>IF(Сделки[[#This Row],[Тип сделки]]="Покупка",Сделки[[#This Row],[Количество]],-Сделки[[#This Row],[Количество]])</f>
        <v>-100</v>
      </c>
      <c r="D13" s="2" t="s">
        <v>4</v>
      </c>
    </row>
    <row r="14" spans="1:4" x14ac:dyDescent="0.3">
      <c r="A14" s="1">
        <v>43041</v>
      </c>
      <c r="B14" s="2">
        <v>700</v>
      </c>
      <c r="C14" s="2">
        <f>IF(Сделки[[#This Row],[Тип сделки]]="Покупка",Сделки[[#This Row],[Количество]],-Сделки[[#This Row],[Количество]])</f>
        <v>700</v>
      </c>
      <c r="D14" s="2" t="s">
        <v>3</v>
      </c>
    </row>
    <row r="15" spans="1:4" x14ac:dyDescent="0.3">
      <c r="A15" s="1">
        <v>43042</v>
      </c>
      <c r="B15" s="2">
        <v>330</v>
      </c>
      <c r="C15" s="2">
        <f>IF(Сделки[[#This Row],[Тип сделки]]="Покупка",Сделки[[#This Row],[Количество]],-Сделки[[#This Row],[Количество]])</f>
        <v>-330</v>
      </c>
      <c r="D15" s="2" t="s">
        <v>4</v>
      </c>
    </row>
    <row r="16" spans="1:4" x14ac:dyDescent="0.3">
      <c r="A16" s="1">
        <v>43042</v>
      </c>
      <c r="B16" s="2">
        <v>470</v>
      </c>
      <c r="C16" s="2">
        <f>IF(Сделки[[#This Row],[Тип сделки]]="Покупка",Сделки[[#This Row],[Количество]],-Сделки[[#This Row],[Количество]])</f>
        <v>-470</v>
      </c>
      <c r="D16" s="2" t="s">
        <v>4</v>
      </c>
    </row>
    <row r="17" spans="1:4" x14ac:dyDescent="0.3">
      <c r="A17" s="1">
        <v>43046</v>
      </c>
      <c r="B17" s="2">
        <v>150</v>
      </c>
      <c r="C17" s="2">
        <f>IF(Сделки[[#This Row],[Тип сделки]]="Покупка",Сделки[[#This Row],[Количество]],-Сделки[[#This Row],[Количество]])</f>
        <v>150</v>
      </c>
      <c r="D17" s="2" t="s">
        <v>3</v>
      </c>
    </row>
    <row r="18" spans="1:4" x14ac:dyDescent="0.3">
      <c r="A18" s="1">
        <v>43046</v>
      </c>
      <c r="B18" s="2">
        <v>90</v>
      </c>
      <c r="C18" s="2">
        <f>IF(Сделки[[#This Row],[Тип сделки]]="Покупка",Сделки[[#This Row],[Количество]],-Сделки[[#This Row],[Количество]])</f>
        <v>90</v>
      </c>
      <c r="D18" s="2" t="s">
        <v>3</v>
      </c>
    </row>
    <row r="19" spans="1:4" x14ac:dyDescent="0.3">
      <c r="A19" s="1">
        <v>43049</v>
      </c>
      <c r="B19" s="2">
        <v>30</v>
      </c>
      <c r="C19" s="2">
        <f>IF(Сделки[[#This Row],[Тип сделки]]="Покупка",Сделки[[#This Row],[Количество]],-Сделки[[#This Row],[Количество]])</f>
        <v>30</v>
      </c>
      <c r="D19" s="2" t="s">
        <v>3</v>
      </c>
    </row>
    <row r="20" spans="1:4" x14ac:dyDescent="0.3">
      <c r="A20" s="1">
        <v>43049</v>
      </c>
      <c r="B20" s="2">
        <v>250</v>
      </c>
      <c r="C20" s="2">
        <f>IF(Сделки[[#This Row],[Тип сделки]]="Покупка",Сделки[[#This Row],[Количество]],-Сделки[[#This Row],[Количество]])</f>
        <v>250</v>
      </c>
      <c r="D20" s="2" t="s">
        <v>3</v>
      </c>
    </row>
    <row r="21" spans="1:4" x14ac:dyDescent="0.3">
      <c r="A21" s="1">
        <v>43049</v>
      </c>
      <c r="B21" s="2">
        <v>700</v>
      </c>
      <c r="C21" s="2">
        <f>IF(Сделки[[#This Row],[Тип сделки]]="Покупка",Сделки[[#This Row],[Количество]],-Сделки[[#This Row],[Количество]])</f>
        <v>700</v>
      </c>
      <c r="D21" s="2" t="s">
        <v>3</v>
      </c>
    </row>
    <row r="22" spans="1:4" x14ac:dyDescent="0.3">
      <c r="A22" s="1">
        <v>43053</v>
      </c>
      <c r="B22" s="2">
        <v>620</v>
      </c>
      <c r="C22" s="2">
        <f>IF(Сделки[[#This Row],[Тип сделки]]="Покупка",Сделки[[#This Row],[Количество]],-Сделки[[#This Row],[Количество]])</f>
        <v>-620</v>
      </c>
      <c r="D22" s="2" t="s">
        <v>4</v>
      </c>
    </row>
    <row r="23" spans="1:4" x14ac:dyDescent="0.3">
      <c r="A23" s="1">
        <v>43055</v>
      </c>
      <c r="B23" s="2">
        <v>920</v>
      </c>
      <c r="C23" s="2">
        <f>IF(Сделки[[#This Row],[Тип сделки]]="Покупка",Сделки[[#This Row],[Количество]],-Сделки[[#This Row],[Количество]])</f>
        <v>-920</v>
      </c>
      <c r="D23" s="2" t="s">
        <v>4</v>
      </c>
    </row>
    <row r="24" spans="1:4" x14ac:dyDescent="0.3">
      <c r="A24" s="1">
        <v>43056</v>
      </c>
      <c r="B24" s="2">
        <v>80</v>
      </c>
      <c r="C24" s="2">
        <f>IF(Сделки[[#This Row],[Тип сделки]]="Покупка",Сделки[[#This Row],[Количество]],-Сделки[[#This Row],[Количество]])</f>
        <v>-80</v>
      </c>
      <c r="D24" s="2" t="s">
        <v>4</v>
      </c>
    </row>
    <row r="25" spans="1:4" x14ac:dyDescent="0.3">
      <c r="A25" s="1">
        <v>43056</v>
      </c>
      <c r="B25" s="2">
        <v>330</v>
      </c>
      <c r="C25" s="2">
        <f>IF(Сделки[[#This Row],[Тип сделки]]="Покупка",Сделки[[#This Row],[Количество]],-Сделки[[#This Row],[Количество]])</f>
        <v>330</v>
      </c>
      <c r="D25" s="2" t="s">
        <v>3</v>
      </c>
    </row>
    <row r="26" spans="1:4" x14ac:dyDescent="0.3">
      <c r="A26" s="1">
        <v>43061</v>
      </c>
      <c r="B26" s="2">
        <v>550</v>
      </c>
      <c r="C26" s="2">
        <f>IF(Сделки[[#This Row],[Тип сделки]]="Покупка",Сделки[[#This Row],[Количество]],-Сделки[[#This Row],[Количество]])</f>
        <v>550</v>
      </c>
      <c r="D26" s="2" t="s">
        <v>3</v>
      </c>
    </row>
    <row r="27" spans="1:4" x14ac:dyDescent="0.3">
      <c r="A27" s="1">
        <v>43069</v>
      </c>
      <c r="B27" s="2">
        <v>740</v>
      </c>
      <c r="C27" s="2">
        <f>IF(Сделки[[#This Row],[Тип сделки]]="Покупка",Сделки[[#This Row],[Количество]],-Сделки[[#This Row],[Количество]])</f>
        <v>740</v>
      </c>
      <c r="D27" s="2" t="s">
        <v>3</v>
      </c>
    </row>
    <row r="28" spans="1:4" x14ac:dyDescent="0.3">
      <c r="A28" s="1">
        <v>43070</v>
      </c>
      <c r="B28" s="2">
        <v>1110</v>
      </c>
      <c r="C28" s="2">
        <f>IF(Сделки[[#This Row],[Тип сделки]]="Покупка",Сделки[[#This Row],[Количество]],-Сделки[[#This Row],[Количество]])</f>
        <v>-1110</v>
      </c>
      <c r="D28" s="2" t="s">
        <v>4</v>
      </c>
    </row>
    <row r="29" spans="1:4" x14ac:dyDescent="0.3">
      <c r="A29" s="1">
        <v>43073</v>
      </c>
      <c r="B29" s="2">
        <v>520</v>
      </c>
      <c r="C29" s="2">
        <f>IF(Сделки[[#This Row],[Тип сделки]]="Покупка",Сделки[[#This Row],[Количество]],-Сделки[[#This Row],[Количество]])</f>
        <v>-520</v>
      </c>
      <c r="D29" s="2" t="s">
        <v>4</v>
      </c>
    </row>
    <row r="30" spans="1:4" x14ac:dyDescent="0.3">
      <c r="A30" s="1">
        <v>43077</v>
      </c>
      <c r="B30" s="2">
        <v>30</v>
      </c>
      <c r="C30" s="2">
        <f>IF(Сделки[[#This Row],[Тип сделки]]="Покупка",Сделки[[#This Row],[Количество]],-Сделки[[#This Row],[Количество]])</f>
        <v>-30</v>
      </c>
      <c r="D30" s="2" t="s">
        <v>4</v>
      </c>
    </row>
    <row r="31" spans="1:4" x14ac:dyDescent="0.3">
      <c r="A31" s="1">
        <v>43077</v>
      </c>
      <c r="B31" s="2">
        <v>610</v>
      </c>
      <c r="C31" s="2">
        <f>IF(Сделки[[#This Row],[Тип сделки]]="Покупка",Сделки[[#This Row],[Количество]],-Сделки[[#This Row],[Количество]])</f>
        <v>610</v>
      </c>
      <c r="D31" s="2" t="s">
        <v>3</v>
      </c>
    </row>
    <row r="32" spans="1:4" x14ac:dyDescent="0.3">
      <c r="A32" s="1">
        <v>43077</v>
      </c>
      <c r="B32" s="2">
        <v>460</v>
      </c>
      <c r="C32" s="2">
        <f>IF(Сделки[[#This Row],[Тип сделки]]="Покупка",Сделки[[#This Row],[Количество]],-Сделки[[#This Row],[Количество]])</f>
        <v>-460</v>
      </c>
      <c r="D32" s="2" t="s">
        <v>4</v>
      </c>
    </row>
    <row r="33" spans="1:4" x14ac:dyDescent="0.3">
      <c r="A33" s="1">
        <v>43077</v>
      </c>
      <c r="B33" s="2">
        <v>570</v>
      </c>
      <c r="C33" s="2">
        <f>IF(Сделки[[#This Row],[Тип сделки]]="Покупка",Сделки[[#This Row],[Количество]],-Сделки[[#This Row],[Количество]])</f>
        <v>570</v>
      </c>
      <c r="D33" s="2" t="s">
        <v>3</v>
      </c>
    </row>
    <row r="34" spans="1:4" x14ac:dyDescent="0.3">
      <c r="A34" s="1">
        <v>43080</v>
      </c>
      <c r="B34" s="2">
        <v>60</v>
      </c>
      <c r="C34" s="2">
        <f>IF(Сделки[[#This Row],[Тип сделки]]="Покупка",Сделки[[#This Row],[Количество]],-Сделки[[#This Row],[Количество]])</f>
        <v>60</v>
      </c>
      <c r="D34" s="2" t="s">
        <v>3</v>
      </c>
    </row>
    <row r="35" spans="1:4" x14ac:dyDescent="0.3">
      <c r="A35" s="1">
        <v>43081</v>
      </c>
      <c r="B35" s="2">
        <v>320</v>
      </c>
      <c r="C35" s="2">
        <f>IF(Сделки[[#This Row],[Тип сделки]]="Покупка",Сделки[[#This Row],[Количество]],-Сделки[[#This Row],[Количество]])</f>
        <v>-320</v>
      </c>
      <c r="D35" s="2" t="s">
        <v>4</v>
      </c>
    </row>
    <row r="36" spans="1:4" x14ac:dyDescent="0.3">
      <c r="A36" s="1">
        <v>43083</v>
      </c>
      <c r="B36" s="2">
        <v>410</v>
      </c>
      <c r="C36" s="2">
        <f>IF(Сделки[[#This Row],[Тип сделки]]="Покупка",Сделки[[#This Row],[Количество]],-Сделки[[#This Row],[Количество]])</f>
        <v>410</v>
      </c>
      <c r="D36" s="2" t="s">
        <v>3</v>
      </c>
    </row>
    <row r="37" spans="1:4" x14ac:dyDescent="0.3">
      <c r="A37" s="1">
        <v>43084</v>
      </c>
      <c r="B37" s="2">
        <v>640</v>
      </c>
      <c r="C37" s="2">
        <f>IF(Сделки[[#This Row],[Тип сделки]]="Покупка",Сделки[[#This Row],[Количество]],-Сделки[[#This Row],[Количество]])</f>
        <v>-640</v>
      </c>
      <c r="D37" s="2" t="s">
        <v>4</v>
      </c>
    </row>
    <row r="38" spans="1:4" x14ac:dyDescent="0.3">
      <c r="A38" s="1">
        <v>43091</v>
      </c>
      <c r="B38" s="2">
        <v>510</v>
      </c>
      <c r="C38" s="2">
        <f>IF(Сделки[[#This Row],[Тип сделки]]="Покупка",Сделки[[#This Row],[Количество]],-Сделки[[#This Row],[Количество]])</f>
        <v>510</v>
      </c>
      <c r="D38" s="2" t="s">
        <v>3</v>
      </c>
    </row>
    <row r="39" spans="1:4" x14ac:dyDescent="0.3">
      <c r="A39" s="1">
        <v>43095</v>
      </c>
      <c r="B39" s="2">
        <v>40</v>
      </c>
      <c r="C39" s="2">
        <f>IF(Сделки[[#This Row],[Тип сделки]]="Покупка",Сделки[[#This Row],[Количество]],-Сделки[[#This Row],[Количество]])</f>
        <v>40</v>
      </c>
      <c r="D39" s="2" t="s">
        <v>3</v>
      </c>
    </row>
    <row r="40" spans="1:4" x14ac:dyDescent="0.3">
      <c r="A40" s="1">
        <v>43098</v>
      </c>
      <c r="B40" s="2">
        <v>750</v>
      </c>
      <c r="C40" s="2">
        <f>IF(Сделки[[#This Row],[Тип сделки]]="Покупка",Сделки[[#This Row],[Количество]],-Сделки[[#This Row],[Количество]])</f>
        <v>-750</v>
      </c>
      <c r="D40" s="2" t="s">
        <v>4</v>
      </c>
    </row>
    <row r="41" spans="1:4" x14ac:dyDescent="0.3">
      <c r="A41" s="1">
        <v>43098</v>
      </c>
      <c r="B41" s="2">
        <v>220</v>
      </c>
      <c r="C41" s="2">
        <f>IF(Сделки[[#This Row],[Тип сделки]]="Покупка",Сделки[[#This Row],[Количество]],-Сделки[[#This Row],[Количество]])</f>
        <v>220</v>
      </c>
      <c r="D41" s="2" t="s">
        <v>3</v>
      </c>
    </row>
    <row r="42" spans="1:4" x14ac:dyDescent="0.3">
      <c r="A42" s="1">
        <v>43098</v>
      </c>
      <c r="B42" s="2">
        <v>170</v>
      </c>
      <c r="C42" s="2">
        <f>IF(Сделки[[#This Row],[Тип сделки]]="Покупка",Сделки[[#This Row],[Количество]],-Сделки[[#This Row],[Количество]])</f>
        <v>-170</v>
      </c>
      <c r="D42" s="2" t="s">
        <v>4</v>
      </c>
    </row>
    <row r="43" spans="1:4" x14ac:dyDescent="0.3">
      <c r="A43" s="1">
        <v>43103</v>
      </c>
      <c r="B43" s="2">
        <v>540</v>
      </c>
      <c r="C43" s="2">
        <f>IF(Сделки[[#This Row],[Тип сделки]]="Покупка",Сделки[[#This Row],[Количество]],-Сделки[[#This Row],[Количество]])</f>
        <v>540</v>
      </c>
      <c r="D43" s="2" t="s">
        <v>3</v>
      </c>
    </row>
    <row r="44" spans="1:4" x14ac:dyDescent="0.3">
      <c r="A44" s="1">
        <v>43105</v>
      </c>
      <c r="B44" s="2">
        <v>620</v>
      </c>
      <c r="C44" s="2">
        <f>IF(Сделки[[#This Row],[Тип сделки]]="Покупка",Сделки[[#This Row],[Количество]],-Сделки[[#This Row],[Количество]])</f>
        <v>-620</v>
      </c>
      <c r="D44" s="2" t="s">
        <v>4</v>
      </c>
    </row>
    <row r="45" spans="1:4" x14ac:dyDescent="0.3">
      <c r="A45" s="1">
        <v>43112</v>
      </c>
      <c r="B45" s="2">
        <v>50</v>
      </c>
      <c r="C45" s="2">
        <f>IF(Сделки[[#This Row],[Тип сделки]]="Покупка",Сделки[[#This Row],[Количество]],-Сделки[[#This Row],[Количество]])</f>
        <v>50</v>
      </c>
      <c r="D45" s="2" t="s">
        <v>3</v>
      </c>
    </row>
    <row r="46" spans="1:4" x14ac:dyDescent="0.3">
      <c r="A46" s="1">
        <v>43112</v>
      </c>
      <c r="B46" s="2">
        <v>50</v>
      </c>
      <c r="C46" s="2">
        <f>IF(Сделки[[#This Row],[Тип сделки]]="Покупка",Сделки[[#This Row],[Количество]],-Сделки[[#This Row],[Количество]])</f>
        <v>50</v>
      </c>
      <c r="D46" s="2" t="s">
        <v>3</v>
      </c>
    </row>
    <row r="47" spans="1:4" x14ac:dyDescent="0.3">
      <c r="A47" s="1">
        <v>43112</v>
      </c>
      <c r="B47" s="2">
        <v>360</v>
      </c>
      <c r="C47" s="2">
        <f>IF(Сделки[[#This Row],[Тип сделки]]="Покупка",Сделки[[#This Row],[Количество]],-Сделки[[#This Row],[Количество]])</f>
        <v>360</v>
      </c>
      <c r="D47" s="2" t="s">
        <v>3</v>
      </c>
    </row>
    <row r="48" spans="1:4" x14ac:dyDescent="0.3">
      <c r="A48" s="1">
        <v>43123</v>
      </c>
      <c r="B48" s="2">
        <v>290</v>
      </c>
      <c r="C48" s="2">
        <f>IF(Сделки[[#This Row],[Тип сделки]]="Покупка",Сделки[[#This Row],[Количество]],-Сделки[[#This Row],[Количество]])</f>
        <v>-290</v>
      </c>
      <c r="D48" s="2" t="s">
        <v>4</v>
      </c>
    </row>
    <row r="49" spans="1:4" x14ac:dyDescent="0.3">
      <c r="A49" s="1">
        <v>43124</v>
      </c>
      <c r="B49" s="2">
        <v>390</v>
      </c>
      <c r="C49" s="2">
        <f>IF(Сделки[[#This Row],[Тип сделки]]="Покупка",Сделки[[#This Row],[Количество]],-Сделки[[#This Row],[Количество]])</f>
        <v>390</v>
      </c>
      <c r="D49" s="2" t="s">
        <v>3</v>
      </c>
    </row>
    <row r="50" spans="1:4" x14ac:dyDescent="0.3">
      <c r="A50" s="1">
        <v>43125</v>
      </c>
      <c r="B50" s="2">
        <v>200</v>
      </c>
      <c r="C50" s="2">
        <f>IF(Сделки[[#This Row],[Тип сделки]]="Покупка",Сделки[[#This Row],[Количество]],-Сделки[[#This Row],[Количество]])</f>
        <v>200</v>
      </c>
      <c r="D50" s="2" t="s">
        <v>3</v>
      </c>
    </row>
    <row r="51" spans="1:4" x14ac:dyDescent="0.3">
      <c r="A51" s="1">
        <v>43126</v>
      </c>
      <c r="B51" s="2">
        <v>750</v>
      </c>
      <c r="C51" s="2">
        <f>IF(Сделки[[#This Row],[Тип сделки]]="Покупка",Сделки[[#This Row],[Количество]],-Сделки[[#This Row],[Количество]])</f>
        <v>-750</v>
      </c>
      <c r="D51" s="2" t="s">
        <v>4</v>
      </c>
    </row>
    <row r="52" spans="1:4" x14ac:dyDescent="0.3">
      <c r="A52" s="1">
        <v>43132</v>
      </c>
      <c r="B52" s="2">
        <v>450</v>
      </c>
      <c r="C52" s="2">
        <f>IF(Сделки[[#This Row],[Тип сделки]]="Покупка",Сделки[[#This Row],[Количество]],-Сделки[[#This Row],[Количество]])</f>
        <v>450</v>
      </c>
      <c r="D52" s="2" t="s">
        <v>3</v>
      </c>
    </row>
    <row r="53" spans="1:4" x14ac:dyDescent="0.3">
      <c r="A53" s="1">
        <v>43140</v>
      </c>
      <c r="B53" s="2">
        <v>390</v>
      </c>
      <c r="C53" s="2">
        <f>IF(Сделки[[#This Row],[Тип сделки]]="Покупка",Сделки[[#This Row],[Количество]],-Сделки[[#This Row],[Количество]])</f>
        <v>-390</v>
      </c>
      <c r="D53" s="2" t="s">
        <v>4</v>
      </c>
    </row>
    <row r="54" spans="1:4" x14ac:dyDescent="0.3">
      <c r="A54" s="1">
        <v>43140</v>
      </c>
      <c r="B54" s="2">
        <v>350</v>
      </c>
      <c r="C54" s="2">
        <f>IF(Сделки[[#This Row],[Тип сделки]]="Покупка",Сделки[[#This Row],[Количество]],-Сделки[[#This Row],[Количество]])</f>
        <v>350</v>
      </c>
      <c r="D54" s="2" t="s">
        <v>3</v>
      </c>
    </row>
    <row r="55" spans="1:4" x14ac:dyDescent="0.3">
      <c r="A55" s="1">
        <v>43146</v>
      </c>
      <c r="B55" s="2">
        <v>220</v>
      </c>
      <c r="C55" s="2">
        <f>IF(Сделки[[#This Row],[Тип сделки]]="Покупка",Сделки[[#This Row],[Количество]],-Сделки[[#This Row],[Количество]])</f>
        <v>-220</v>
      </c>
      <c r="D55" s="2" t="s">
        <v>4</v>
      </c>
    </row>
    <row r="56" spans="1:4" x14ac:dyDescent="0.3">
      <c r="A56" s="1">
        <v>43147</v>
      </c>
      <c r="B56" s="2">
        <v>30</v>
      </c>
      <c r="C56" s="2">
        <f>IF(Сделки[[#This Row],[Тип сделки]]="Покупка",Сделки[[#This Row],[Количество]],-Сделки[[#This Row],[Количество]])</f>
        <v>30</v>
      </c>
      <c r="D56" s="2" t="s">
        <v>3</v>
      </c>
    </row>
    <row r="57" spans="1:4" x14ac:dyDescent="0.3">
      <c r="A57" s="1">
        <v>43152</v>
      </c>
      <c r="B57" s="2">
        <v>80</v>
      </c>
      <c r="C57" s="2">
        <f>IF(Сделки[[#This Row],[Тип сделки]]="Покупка",Сделки[[#This Row],[Количество]],-Сделки[[#This Row],[Количество]])</f>
        <v>80</v>
      </c>
      <c r="D57" s="2" t="s">
        <v>3</v>
      </c>
    </row>
    <row r="58" spans="1:4" x14ac:dyDescent="0.3">
      <c r="A58" s="1">
        <v>43153</v>
      </c>
      <c r="B58" s="2">
        <v>90</v>
      </c>
      <c r="C58" s="2">
        <f>IF(Сделки[[#This Row],[Тип сделки]]="Покупка",Сделки[[#This Row],[Количество]],-Сделки[[#This Row],[Количество]])</f>
        <v>-90</v>
      </c>
      <c r="D58" s="2" t="s">
        <v>4</v>
      </c>
    </row>
    <row r="59" spans="1:4" x14ac:dyDescent="0.3">
      <c r="A59" s="1">
        <v>43161</v>
      </c>
      <c r="B59" s="2">
        <v>360</v>
      </c>
      <c r="C59" s="2">
        <f>IF(Сделки[[#This Row],[Тип сделки]]="Покупка",Сделки[[#This Row],[Количество]],-Сделки[[#This Row],[Количество]])</f>
        <v>360</v>
      </c>
      <c r="D59" s="2" t="s">
        <v>3</v>
      </c>
    </row>
    <row r="60" spans="1:4" x14ac:dyDescent="0.3">
      <c r="A60" s="1">
        <v>43161</v>
      </c>
      <c r="B60" s="2">
        <v>600</v>
      </c>
      <c r="C60" s="2">
        <f>IF(Сделки[[#This Row],[Тип сделки]]="Покупка",Сделки[[#This Row],[Количество]],-Сделки[[#This Row],[Количество]])</f>
        <v>600</v>
      </c>
      <c r="D60" s="2" t="s">
        <v>3</v>
      </c>
    </row>
    <row r="61" spans="1:4" x14ac:dyDescent="0.3">
      <c r="A61" s="1">
        <v>43164</v>
      </c>
      <c r="B61" s="2">
        <v>660</v>
      </c>
      <c r="C61" s="2">
        <f>IF(Сделки[[#This Row],[Тип сделки]]="Покупка",Сделки[[#This Row],[Количество]],-Сделки[[#This Row],[Количество]])</f>
        <v>-660</v>
      </c>
      <c r="D61" s="2" t="s">
        <v>4</v>
      </c>
    </row>
    <row r="62" spans="1:4" x14ac:dyDescent="0.3">
      <c r="A62" s="1">
        <v>43164</v>
      </c>
      <c r="B62" s="2">
        <v>230</v>
      </c>
      <c r="C62" s="2">
        <f>IF(Сделки[[#This Row],[Тип сделки]]="Покупка",Сделки[[#This Row],[Количество]],-Сделки[[#This Row],[Количество]])</f>
        <v>230</v>
      </c>
      <c r="D62" s="2" t="s">
        <v>3</v>
      </c>
    </row>
    <row r="63" spans="1:4" x14ac:dyDescent="0.3">
      <c r="A63" s="1">
        <v>43166</v>
      </c>
      <c r="B63" s="2">
        <v>570</v>
      </c>
      <c r="C63" s="2">
        <f>IF(Сделки[[#This Row],[Тип сделки]]="Покупка",Сделки[[#This Row],[Количество]],-Сделки[[#This Row],[Количество]])</f>
        <v>570</v>
      </c>
      <c r="D63" s="2" t="s">
        <v>3</v>
      </c>
    </row>
    <row r="64" spans="1:4" x14ac:dyDescent="0.3">
      <c r="A64" s="1">
        <v>43166</v>
      </c>
      <c r="B64" s="2">
        <v>1000</v>
      </c>
      <c r="C64" s="2">
        <f>IF(Сделки[[#This Row],[Тип сделки]]="Покупка",Сделки[[#This Row],[Количество]],-Сделки[[#This Row],[Количество]])</f>
        <v>-1000</v>
      </c>
      <c r="D64" s="2" t="s">
        <v>4</v>
      </c>
    </row>
    <row r="65" spans="1:4" x14ac:dyDescent="0.3">
      <c r="A65" s="1">
        <v>43166</v>
      </c>
      <c r="B65" s="2">
        <v>200</v>
      </c>
      <c r="C65" s="2">
        <f>IF(Сделки[[#This Row],[Тип сделки]]="Покупка",Сделки[[#This Row],[Количество]],-Сделки[[#This Row],[Количество]])</f>
        <v>200</v>
      </c>
      <c r="D65" s="2" t="s">
        <v>3</v>
      </c>
    </row>
    <row r="66" spans="1:4" x14ac:dyDescent="0.3">
      <c r="A66" s="1">
        <v>43168</v>
      </c>
      <c r="B66" s="2">
        <v>320</v>
      </c>
      <c r="C66" s="2">
        <f>IF(Сделки[[#This Row],[Тип сделки]]="Покупка",Сделки[[#This Row],[Количество]],-Сделки[[#This Row],[Количество]])</f>
        <v>320</v>
      </c>
      <c r="D66" s="2" t="s">
        <v>3</v>
      </c>
    </row>
    <row r="67" spans="1:4" x14ac:dyDescent="0.3">
      <c r="A67" s="1">
        <v>43168</v>
      </c>
      <c r="B67" s="2">
        <v>230</v>
      </c>
      <c r="C67" s="2">
        <f>IF(Сделки[[#This Row],[Тип сделки]]="Покупка",Сделки[[#This Row],[Количество]],-Сделки[[#This Row],[Количество]])</f>
        <v>-230</v>
      </c>
      <c r="D67" s="2" t="s">
        <v>4</v>
      </c>
    </row>
    <row r="68" spans="1:4" x14ac:dyDescent="0.3">
      <c r="A68" s="1">
        <v>43168</v>
      </c>
      <c r="B68" s="2">
        <v>110</v>
      </c>
      <c r="C68" s="2">
        <f>IF(Сделки[[#This Row],[Тип сделки]]="Покупка",Сделки[[#This Row],[Количество]],-Сделки[[#This Row],[Количество]])</f>
        <v>110</v>
      </c>
      <c r="D68" s="2" t="s">
        <v>3</v>
      </c>
    </row>
    <row r="69" spans="1:4" x14ac:dyDescent="0.3">
      <c r="A69" s="1">
        <v>43172</v>
      </c>
      <c r="B69" s="2">
        <v>500</v>
      </c>
      <c r="C69" s="2">
        <f>IF(Сделки[[#This Row],[Тип сделки]]="Покупка",Сделки[[#This Row],[Количество]],-Сделки[[#This Row],[Количество]])</f>
        <v>-500</v>
      </c>
      <c r="D69" s="2" t="s">
        <v>4</v>
      </c>
    </row>
    <row r="70" spans="1:4" x14ac:dyDescent="0.3">
      <c r="A70" s="1">
        <v>43173</v>
      </c>
      <c r="B70" s="2">
        <v>500</v>
      </c>
      <c r="C70" s="2">
        <f>IF(Сделки[[#This Row],[Тип сделки]]="Покупка",Сделки[[#This Row],[Количество]],-Сделки[[#This Row],[Количество]])</f>
        <v>500</v>
      </c>
      <c r="D70" s="2" t="s">
        <v>3</v>
      </c>
    </row>
    <row r="71" spans="1:4" x14ac:dyDescent="0.3">
      <c r="A71" s="1">
        <v>43174</v>
      </c>
      <c r="B71" s="2">
        <v>40</v>
      </c>
      <c r="C71" s="2">
        <f>IF(Сделки[[#This Row],[Тип сделки]]="Покупка",Сделки[[#This Row],[Количество]],-Сделки[[#This Row],[Количество]])</f>
        <v>-40</v>
      </c>
      <c r="D71" s="2" t="s">
        <v>4</v>
      </c>
    </row>
    <row r="72" spans="1:4" x14ac:dyDescent="0.3">
      <c r="A72" s="1">
        <v>43174</v>
      </c>
      <c r="B72" s="2">
        <v>120</v>
      </c>
      <c r="C72" s="2">
        <f>IF(Сделки[[#This Row],[Тип сделки]]="Покупка",Сделки[[#This Row],[Количество]],-Сделки[[#This Row],[Количество]])</f>
        <v>-120</v>
      </c>
      <c r="D72" s="2" t="s">
        <v>4</v>
      </c>
    </row>
    <row r="73" spans="1:4" x14ac:dyDescent="0.3">
      <c r="A73" s="1">
        <v>43175</v>
      </c>
      <c r="B73" s="2">
        <v>580</v>
      </c>
      <c r="C73" s="2">
        <f>IF(Сделки[[#This Row],[Тип сделки]]="Покупка",Сделки[[#This Row],[Количество]],-Сделки[[#This Row],[Количество]])</f>
        <v>580</v>
      </c>
      <c r="D73" s="2" t="s">
        <v>3</v>
      </c>
    </row>
    <row r="74" spans="1:4" x14ac:dyDescent="0.3">
      <c r="A74" s="1">
        <v>43175</v>
      </c>
      <c r="B74" s="2">
        <v>290</v>
      </c>
      <c r="C74" s="2">
        <f>IF(Сделки[[#This Row],[Тип сделки]]="Покупка",Сделки[[#This Row],[Количество]],-Сделки[[#This Row],[Количество]])</f>
        <v>-290</v>
      </c>
      <c r="D74" s="2" t="s">
        <v>4</v>
      </c>
    </row>
    <row r="75" spans="1:4" x14ac:dyDescent="0.3">
      <c r="A75" s="1">
        <v>43178</v>
      </c>
      <c r="B75" s="2">
        <v>420</v>
      </c>
      <c r="C75" s="2">
        <f>IF(Сделки[[#This Row],[Тип сделки]]="Покупка",Сделки[[#This Row],[Количество]],-Сделки[[#This Row],[Количество]])</f>
        <v>420</v>
      </c>
      <c r="D75" s="2" t="s">
        <v>3</v>
      </c>
    </row>
    <row r="76" spans="1:4" x14ac:dyDescent="0.3">
      <c r="A76" s="1">
        <v>43178</v>
      </c>
      <c r="B76" s="2">
        <v>710</v>
      </c>
      <c r="C76" s="2">
        <f>IF(Сделки[[#This Row],[Тип сделки]]="Покупка",Сделки[[#This Row],[Количество]],-Сделки[[#This Row],[Количество]])</f>
        <v>-710</v>
      </c>
      <c r="D76" s="2" t="s">
        <v>4</v>
      </c>
    </row>
    <row r="77" spans="1:4" x14ac:dyDescent="0.3">
      <c r="A77" s="1">
        <v>43179</v>
      </c>
      <c r="B77" s="2">
        <v>380</v>
      </c>
      <c r="C77" s="2">
        <f>IF(Сделки[[#This Row],[Тип сделки]]="Покупка",Сделки[[#This Row],[Количество]],-Сделки[[#This Row],[Количество]])</f>
        <v>-380</v>
      </c>
      <c r="D77" s="2" t="s">
        <v>4</v>
      </c>
    </row>
    <row r="78" spans="1:4" x14ac:dyDescent="0.3">
      <c r="A78" s="1">
        <v>43182</v>
      </c>
      <c r="B78" s="2">
        <v>130</v>
      </c>
      <c r="C78" s="2">
        <f>IF(Сделки[[#This Row],[Тип сделки]]="Покупка",Сделки[[#This Row],[Количество]],-Сделки[[#This Row],[Количество]])</f>
        <v>130</v>
      </c>
      <c r="D78" s="2" t="s">
        <v>3</v>
      </c>
    </row>
    <row r="79" spans="1:4" x14ac:dyDescent="0.3">
      <c r="A79" s="1">
        <v>43182</v>
      </c>
      <c r="B79" s="2">
        <v>290</v>
      </c>
      <c r="C79" s="2">
        <f>IF(Сделки[[#This Row],[Тип сделки]]="Покупка",Сделки[[#This Row],[Количество]],-Сделки[[#This Row],[Количество]])</f>
        <v>290</v>
      </c>
      <c r="D79" s="2" t="s">
        <v>3</v>
      </c>
    </row>
    <row r="80" spans="1:4" x14ac:dyDescent="0.3">
      <c r="A80" s="1">
        <v>43182</v>
      </c>
      <c r="B80" s="2">
        <v>590</v>
      </c>
      <c r="C80" s="2">
        <f>IF(Сделки[[#This Row],[Тип сделки]]="Покупка",Сделки[[#This Row],[Количество]],-Сделки[[#This Row],[Количество]])</f>
        <v>590</v>
      </c>
      <c r="D80" s="2" t="s">
        <v>3</v>
      </c>
    </row>
    <row r="81" spans="1:4" x14ac:dyDescent="0.3">
      <c r="A81" s="1">
        <v>43182</v>
      </c>
      <c r="B81" s="2">
        <v>240</v>
      </c>
      <c r="C81" s="2">
        <f>IF(Сделки[[#This Row],[Тип сделки]]="Покупка",Сделки[[#This Row],[Количество]],-Сделки[[#This Row],[Количество]])</f>
        <v>-240</v>
      </c>
      <c r="D81" s="2" t="s">
        <v>4</v>
      </c>
    </row>
    <row r="82" spans="1:4" x14ac:dyDescent="0.3">
      <c r="A82" s="1">
        <v>43187</v>
      </c>
      <c r="B82" s="2">
        <v>320</v>
      </c>
      <c r="C82" s="2">
        <f>IF(Сделки[[#This Row],[Тип сделки]]="Покупка",Сделки[[#This Row],[Количество]],-Сделки[[#This Row],[Количество]])</f>
        <v>-320</v>
      </c>
      <c r="D82" s="2" t="s">
        <v>4</v>
      </c>
    </row>
    <row r="83" spans="1:4" x14ac:dyDescent="0.3">
      <c r="A83" s="1">
        <v>43188</v>
      </c>
      <c r="B83" s="2">
        <v>40</v>
      </c>
      <c r="C83" s="2">
        <f>IF(Сделки[[#This Row],[Тип сделки]]="Покупка",Сделки[[#This Row],[Количество]],-Сделки[[#This Row],[Количество]])</f>
        <v>-40</v>
      </c>
      <c r="D83" s="2" t="s">
        <v>4</v>
      </c>
    </row>
    <row r="84" spans="1:4" x14ac:dyDescent="0.3">
      <c r="A84" s="1">
        <v>43189</v>
      </c>
      <c r="B84" s="2">
        <v>60</v>
      </c>
      <c r="C84" s="2">
        <f>IF(Сделки[[#This Row],[Тип сделки]]="Покупка",Сделки[[#This Row],[Количество]],-Сделки[[#This Row],[Количество]])</f>
        <v>-60</v>
      </c>
      <c r="D84" s="2" t="s">
        <v>4</v>
      </c>
    </row>
    <row r="85" spans="1:4" x14ac:dyDescent="0.3">
      <c r="A85" s="1">
        <v>43189</v>
      </c>
      <c r="B85" s="2">
        <v>590</v>
      </c>
      <c r="C85" s="2">
        <f>IF(Сделки[[#This Row],[Тип сделки]]="Покупка",Сделки[[#This Row],[Количество]],-Сделки[[#This Row],[Количество]])</f>
        <v>590</v>
      </c>
      <c r="D85" s="2" t="s">
        <v>3</v>
      </c>
    </row>
    <row r="86" spans="1:4" x14ac:dyDescent="0.3">
      <c r="A86" s="1">
        <v>43193</v>
      </c>
      <c r="B86" s="2">
        <v>570</v>
      </c>
      <c r="C86" s="2">
        <f>IF(Сделки[[#This Row],[Тип сделки]]="Покупка",Сделки[[#This Row],[Количество]],-Сделки[[#This Row],[Количество]])</f>
        <v>570</v>
      </c>
      <c r="D86" s="2" t="s">
        <v>3</v>
      </c>
    </row>
    <row r="87" spans="1:4" x14ac:dyDescent="0.3">
      <c r="A87" s="1">
        <v>43193</v>
      </c>
      <c r="B87" s="2">
        <v>1000</v>
      </c>
      <c r="C87" s="2">
        <f>IF(Сделки[[#This Row],[Тип сделки]]="Покупка",Сделки[[#This Row],[Количество]],-Сделки[[#This Row],[Количество]])</f>
        <v>-1000</v>
      </c>
      <c r="D87" s="2" t="s">
        <v>4</v>
      </c>
    </row>
    <row r="88" spans="1:4" x14ac:dyDescent="0.3">
      <c r="A88" s="1">
        <v>43196</v>
      </c>
      <c r="B88" s="2">
        <v>640</v>
      </c>
      <c r="C88" s="2">
        <f>IF(Сделки[[#This Row],[Тип сделки]]="Покупка",Сделки[[#This Row],[Количество]],-Сделки[[#This Row],[Количество]])</f>
        <v>640</v>
      </c>
      <c r="D88" s="2" t="s">
        <v>3</v>
      </c>
    </row>
    <row r="89" spans="1:4" x14ac:dyDescent="0.3">
      <c r="A89" s="1">
        <v>43196</v>
      </c>
      <c r="B89" s="2">
        <v>640</v>
      </c>
      <c r="C89" s="2">
        <f>IF(Сделки[[#This Row],[Тип сделки]]="Покупка",Сделки[[#This Row],[Количество]],-Сделки[[#This Row],[Количество]])</f>
        <v>640</v>
      </c>
      <c r="D89" s="2" t="s">
        <v>3</v>
      </c>
    </row>
    <row r="90" spans="1:4" x14ac:dyDescent="0.3">
      <c r="A90" s="1">
        <v>43200</v>
      </c>
      <c r="B90" s="2">
        <v>1680</v>
      </c>
      <c r="C90" s="2">
        <f>IF(Сделки[[#This Row],[Тип сделки]]="Покупка",Сделки[[#This Row],[Количество]],-Сделки[[#This Row],[Количество]])</f>
        <v>-1680</v>
      </c>
      <c r="D90" s="2" t="s">
        <v>4</v>
      </c>
    </row>
    <row r="91" spans="1:4" x14ac:dyDescent="0.3">
      <c r="A91" s="1">
        <v>43202</v>
      </c>
      <c r="B91" s="2">
        <v>380</v>
      </c>
      <c r="C91" s="2">
        <f>IF(Сделки[[#This Row],[Тип сделки]]="Покупка",Сделки[[#This Row],[Количество]],-Сделки[[#This Row],[Количество]])</f>
        <v>380</v>
      </c>
      <c r="D91" s="2" t="s">
        <v>3</v>
      </c>
    </row>
    <row r="92" spans="1:4" x14ac:dyDescent="0.3">
      <c r="A92" s="8">
        <v>43203</v>
      </c>
      <c r="B92" s="13">
        <v>0</v>
      </c>
      <c r="C92" s="14">
        <f>IF(Сделки[[#This Row],[Тип сделки]]="Покупка",Сделки[[#This Row],[Количество]],-Сделки[[#This Row],[Количество]])</f>
        <v>0</v>
      </c>
      <c r="D92" s="13" t="s">
        <v>27</v>
      </c>
    </row>
    <row r="93" spans="1:4" x14ac:dyDescent="0.3">
      <c r="A93" s="12">
        <v>43203</v>
      </c>
      <c r="B93" s="2">
        <v>190</v>
      </c>
      <c r="C93" s="2">
        <f>IF(Сделки[[#This Row],[Тип сделки]]="Покупка",Сделки[[#This Row],[Количество]],-Сделки[[#This Row],[Количество]])</f>
        <v>190</v>
      </c>
      <c r="D93" s="2" t="s">
        <v>3</v>
      </c>
    </row>
    <row r="94" spans="1:4" x14ac:dyDescent="0.3">
      <c r="A94" s="12">
        <v>43203</v>
      </c>
      <c r="B94" s="2">
        <v>220</v>
      </c>
      <c r="C94" s="2">
        <f>IF(Сделки[[#This Row],[Тип сделки]]="Покупка",Сделки[[#This Row],[Количество]],-Сделки[[#This Row],[Количество]])</f>
        <v>220</v>
      </c>
      <c r="D94" s="2" t="s">
        <v>3</v>
      </c>
    </row>
    <row r="95" spans="1:4" x14ac:dyDescent="0.3">
      <c r="A95" s="12">
        <v>43203</v>
      </c>
      <c r="B95" s="2">
        <v>50</v>
      </c>
      <c r="C95" s="2">
        <f>IF(Сделки[[#This Row],[Тип сделки]]="Покупка",Сделки[[#This Row],[Количество]],-Сделки[[#This Row],[Количество]])</f>
        <v>-50</v>
      </c>
      <c r="D95" s="2" t="s">
        <v>4</v>
      </c>
    </row>
    <row r="96" spans="1:4" x14ac:dyDescent="0.3">
      <c r="A96" s="12">
        <v>43213</v>
      </c>
      <c r="B96" s="2">
        <v>470</v>
      </c>
      <c r="C96" s="2">
        <f>IF(Сделки[[#This Row],[Тип сделки]]="Покупка",Сделки[[#This Row],[Количество]],-Сделки[[#This Row],[Количество]])</f>
        <v>470</v>
      </c>
      <c r="D96" s="2" t="s">
        <v>3</v>
      </c>
    </row>
    <row r="97" spans="1:4" x14ac:dyDescent="0.3">
      <c r="A97" s="1">
        <v>43215</v>
      </c>
      <c r="B97" s="2">
        <v>60</v>
      </c>
      <c r="C97" s="2">
        <f>IF(Сделки[[#This Row],[Тип сделки]]="Покупка",Сделки[[#This Row],[Количество]],-Сделки[[#This Row],[Количество]])</f>
        <v>60</v>
      </c>
      <c r="D97" s="2" t="s">
        <v>3</v>
      </c>
    </row>
    <row r="98" spans="1:4" x14ac:dyDescent="0.3">
      <c r="A98" s="1">
        <v>43220</v>
      </c>
      <c r="B98" s="2">
        <v>740</v>
      </c>
      <c r="C98" s="2">
        <f>IF(Сделки[[#This Row],[Тип сделки]]="Покупка",Сделки[[#This Row],[Количество]],-Сделки[[#This Row],[Количество]])</f>
        <v>740</v>
      </c>
      <c r="D98" s="2" t="s">
        <v>3</v>
      </c>
    </row>
    <row r="99" spans="1:4" x14ac:dyDescent="0.3">
      <c r="A99" s="1">
        <v>43220</v>
      </c>
      <c r="B99" s="2">
        <v>180</v>
      </c>
      <c r="C99" s="2">
        <f>IF(Сделки[[#This Row],[Тип сделки]]="Покупка",Сделки[[#This Row],[Количество]],-Сделки[[#This Row],[Количество]])</f>
        <v>180</v>
      </c>
      <c r="D99" s="2" t="s">
        <v>3</v>
      </c>
    </row>
    <row r="100" spans="1:4" x14ac:dyDescent="0.3">
      <c r="A100" s="1">
        <v>43228</v>
      </c>
      <c r="B100" s="2">
        <v>2130</v>
      </c>
      <c r="C100" s="2">
        <f>IF(Сделки[[#This Row],[Тип сделки]]="Покупка",Сделки[[#This Row],[Количество]],-Сделки[[#This Row],[Количество]])</f>
        <v>-2130</v>
      </c>
      <c r="D100" s="2" t="s">
        <v>4</v>
      </c>
    </row>
    <row r="101" spans="1:4" x14ac:dyDescent="0.3">
      <c r="A101" s="1">
        <v>43230</v>
      </c>
      <c r="B101" s="2">
        <v>310</v>
      </c>
      <c r="C101" s="2">
        <f>IF(Сделки[[#This Row],[Тип сделки]]="Покупка",Сделки[[#This Row],[Количество]],-Сделки[[#This Row],[Количество]])</f>
        <v>-310</v>
      </c>
      <c r="D101" s="2" t="s">
        <v>4</v>
      </c>
    </row>
    <row r="102" spans="1:4" x14ac:dyDescent="0.3">
      <c r="A102" s="1">
        <v>43231</v>
      </c>
      <c r="B102" s="2">
        <v>530</v>
      </c>
      <c r="C102" s="2">
        <f>IF(Сделки[[#This Row],[Тип сделки]]="Покупка",Сделки[[#This Row],[Количество]],-Сделки[[#This Row],[Количество]])</f>
        <v>530</v>
      </c>
      <c r="D102" s="2" t="s">
        <v>3</v>
      </c>
    </row>
    <row r="103" spans="1:4" x14ac:dyDescent="0.3">
      <c r="A103" s="1">
        <v>43231</v>
      </c>
      <c r="B103" s="2">
        <v>360</v>
      </c>
      <c r="C103" s="2">
        <f>IF(Сделки[[#This Row],[Тип сделки]]="Покупка",Сделки[[#This Row],[Количество]],-Сделки[[#This Row],[Количество]])</f>
        <v>360</v>
      </c>
      <c r="D103" s="2" t="s">
        <v>3</v>
      </c>
    </row>
    <row r="104" spans="1:4" x14ac:dyDescent="0.3">
      <c r="A104" s="1">
        <v>43234</v>
      </c>
      <c r="B104" s="2">
        <v>420</v>
      </c>
      <c r="C104" s="2">
        <f>IF(Сделки[[#This Row],[Тип сделки]]="Покупка",Сделки[[#This Row],[Количество]],-Сделки[[#This Row],[Количество]])</f>
        <v>420</v>
      </c>
      <c r="D104" s="2" t="s">
        <v>3</v>
      </c>
    </row>
    <row r="105" spans="1:4" x14ac:dyDescent="0.3">
      <c r="A105" s="1">
        <v>43234</v>
      </c>
      <c r="B105" s="2">
        <v>330</v>
      </c>
      <c r="C105" s="2">
        <f>IF(Сделки[[#This Row],[Тип сделки]]="Покупка",Сделки[[#This Row],[Количество]],-Сделки[[#This Row],[Количество]])</f>
        <v>-330</v>
      </c>
      <c r="D105" s="2" t="s">
        <v>4</v>
      </c>
    </row>
    <row r="106" spans="1:4" x14ac:dyDescent="0.3">
      <c r="A106" s="1">
        <v>43238</v>
      </c>
      <c r="B106" s="2">
        <v>660</v>
      </c>
      <c r="C106" s="2">
        <f>IF(Сделки[[#This Row],[Тип сделки]]="Покупка",Сделки[[#This Row],[Количество]],-Сделки[[#This Row],[Количество]])</f>
        <v>-660</v>
      </c>
      <c r="D106" s="2" t="s">
        <v>4</v>
      </c>
    </row>
    <row r="107" spans="1:4" x14ac:dyDescent="0.3">
      <c r="A107" s="1">
        <v>43238</v>
      </c>
      <c r="B107" s="2">
        <v>280</v>
      </c>
      <c r="C107" s="2">
        <f>IF(Сделки[[#This Row],[Тип сделки]]="Покупка",Сделки[[#This Row],[Количество]],-Сделки[[#This Row],[Количество]])</f>
        <v>280</v>
      </c>
      <c r="D107" s="2" t="s">
        <v>3</v>
      </c>
    </row>
    <row r="108" spans="1:4" x14ac:dyDescent="0.3">
      <c r="A108" s="1">
        <v>43242</v>
      </c>
      <c r="B108" s="2">
        <v>40</v>
      </c>
      <c r="C108" s="2">
        <f>IF(Сделки[[#This Row],[Тип сделки]]="Покупка",Сделки[[#This Row],[Количество]],-Сделки[[#This Row],[Количество]])</f>
        <v>-40</v>
      </c>
      <c r="D108" s="2" t="s">
        <v>4</v>
      </c>
    </row>
    <row r="109" spans="1:4" x14ac:dyDescent="0.3">
      <c r="A109" s="1">
        <v>43242</v>
      </c>
      <c r="B109" s="2">
        <v>90</v>
      </c>
      <c r="C109" s="2">
        <f>IF(Сделки[[#This Row],[Тип сделки]]="Покупка",Сделки[[#This Row],[Количество]],-Сделки[[#This Row],[Количество]])</f>
        <v>90</v>
      </c>
      <c r="D109" s="2" t="s">
        <v>3</v>
      </c>
    </row>
    <row r="110" spans="1:4" x14ac:dyDescent="0.3">
      <c r="A110" s="1">
        <v>43244</v>
      </c>
      <c r="B110" s="2">
        <v>380</v>
      </c>
      <c r="C110" s="2">
        <f>IF(Сделки[[#This Row],[Тип сделки]]="Покупка",Сделки[[#This Row],[Количество]],-Сделки[[#This Row],[Количество]])</f>
        <v>380</v>
      </c>
      <c r="D110" s="2" t="s">
        <v>3</v>
      </c>
    </row>
    <row r="111" spans="1:4" x14ac:dyDescent="0.3">
      <c r="A111" s="1">
        <v>43250</v>
      </c>
      <c r="B111" s="2">
        <v>400</v>
      </c>
      <c r="C111" s="2">
        <f>IF(Сделки[[#This Row],[Тип сделки]]="Покупка",Сделки[[#This Row],[Количество]],-Сделки[[#This Row],[Количество]])</f>
        <v>-400</v>
      </c>
      <c r="D111" s="2" t="s">
        <v>4</v>
      </c>
    </row>
    <row r="112" spans="1:4" x14ac:dyDescent="0.3">
      <c r="A112" s="1">
        <v>43252</v>
      </c>
      <c r="B112" s="2">
        <v>680</v>
      </c>
      <c r="C112" s="2">
        <f>IF(Сделки[[#This Row],[Тип сделки]]="Покупка",Сделки[[#This Row],[Количество]],-Сделки[[#This Row],[Количество]])</f>
        <v>680</v>
      </c>
      <c r="D112" s="2" t="s">
        <v>3</v>
      </c>
    </row>
    <row r="113" spans="1:4" x14ac:dyDescent="0.3">
      <c r="A113" s="1">
        <v>43252</v>
      </c>
      <c r="B113" s="2">
        <v>770</v>
      </c>
      <c r="C113" s="2">
        <f>IF(Сделки[[#This Row],[Тип сделки]]="Покупка",Сделки[[#This Row],[Количество]],-Сделки[[#This Row],[Количество]])</f>
        <v>-770</v>
      </c>
      <c r="D113" s="2" t="s">
        <v>4</v>
      </c>
    </row>
    <row r="114" spans="1:4" x14ac:dyDescent="0.3">
      <c r="A114" s="1">
        <v>43262</v>
      </c>
      <c r="B114" s="2">
        <v>550</v>
      </c>
      <c r="C114" s="2">
        <f>IF(Сделки[[#This Row],[Тип сделки]]="Покупка",Сделки[[#This Row],[Количество]],-Сделки[[#This Row],[Количество]])</f>
        <v>-550</v>
      </c>
      <c r="D114" s="2" t="s">
        <v>4</v>
      </c>
    </row>
    <row r="115" spans="1:4" x14ac:dyDescent="0.3">
      <c r="A115" s="1">
        <v>43262</v>
      </c>
      <c r="B115" s="2">
        <v>360</v>
      </c>
      <c r="C115" s="2">
        <f>IF(Сделки[[#This Row],[Тип сделки]]="Покупка",Сделки[[#This Row],[Количество]],-Сделки[[#This Row],[Количество]])</f>
        <v>360</v>
      </c>
      <c r="D115" s="2" t="s">
        <v>3</v>
      </c>
    </row>
    <row r="116" spans="1:4" x14ac:dyDescent="0.3">
      <c r="A116" s="1">
        <v>43266</v>
      </c>
      <c r="B116" s="2">
        <v>450</v>
      </c>
      <c r="C116" s="2">
        <f>IF(Сделки[[#This Row],[Тип сделки]]="Покупка",Сделки[[#This Row],[Количество]],-Сделки[[#This Row],[Количество]])</f>
        <v>450</v>
      </c>
      <c r="D116" s="2" t="s">
        <v>3</v>
      </c>
    </row>
    <row r="117" spans="1:4" x14ac:dyDescent="0.3">
      <c r="A117" s="1">
        <v>43269</v>
      </c>
      <c r="B117" s="2">
        <v>310</v>
      </c>
      <c r="C117" s="2">
        <f>IF(Сделки[[#This Row],[Тип сделки]]="Покупка",Сделки[[#This Row],[Количество]],-Сделки[[#This Row],[Количество]])</f>
        <v>310</v>
      </c>
      <c r="D117" s="2" t="s">
        <v>3</v>
      </c>
    </row>
    <row r="118" spans="1:4" x14ac:dyDescent="0.3">
      <c r="A118" s="1">
        <v>43270</v>
      </c>
      <c r="B118" s="2">
        <v>1010</v>
      </c>
      <c r="C118" s="2">
        <f>IF(Сделки[[#This Row],[Тип сделки]]="Покупка",Сделки[[#This Row],[Количество]],-Сделки[[#This Row],[Количество]])</f>
        <v>-1010</v>
      </c>
      <c r="D118" s="2" t="s">
        <v>4</v>
      </c>
    </row>
    <row r="119" spans="1:4" x14ac:dyDescent="0.3">
      <c r="A119" s="1">
        <v>43273</v>
      </c>
      <c r="B119" s="2">
        <v>400</v>
      </c>
      <c r="C119" s="2">
        <f>IF(Сделки[[#This Row],[Тип сделки]]="Покупка",Сделки[[#This Row],[Количество]],-Сделки[[#This Row],[Количество]])</f>
        <v>400</v>
      </c>
      <c r="D119" s="2" t="s">
        <v>3</v>
      </c>
    </row>
    <row r="120" spans="1:4" x14ac:dyDescent="0.3">
      <c r="A120" s="1">
        <v>43273</v>
      </c>
      <c r="B120" s="2">
        <v>600</v>
      </c>
      <c r="C120" s="2">
        <f>IF(Сделки[[#This Row],[Тип сделки]]="Покупка",Сделки[[#This Row],[Количество]],-Сделки[[#This Row],[Количество]])</f>
        <v>600</v>
      </c>
      <c r="D120" s="2" t="s">
        <v>3</v>
      </c>
    </row>
    <row r="121" spans="1:4" x14ac:dyDescent="0.3">
      <c r="A121" s="1">
        <v>43276</v>
      </c>
      <c r="B121" s="2">
        <v>170</v>
      </c>
      <c r="C121" s="2">
        <f>IF(Сделки[[#This Row],[Тип сделки]]="Покупка",Сделки[[#This Row],[Количество]],-Сделки[[#This Row],[Количество]])</f>
        <v>-170</v>
      </c>
      <c r="D121" s="2" t="s">
        <v>4</v>
      </c>
    </row>
    <row r="122" spans="1:4" x14ac:dyDescent="0.3">
      <c r="A122" s="1">
        <v>43280</v>
      </c>
      <c r="B122" s="2">
        <v>410</v>
      </c>
      <c r="C122" s="2">
        <f>IF(Сделки[[#This Row],[Тип сделки]]="Покупка",Сделки[[#This Row],[Количество]],-Сделки[[#This Row],[Количество]])</f>
        <v>-410</v>
      </c>
      <c r="D122" s="2" t="s">
        <v>4</v>
      </c>
    </row>
    <row r="123" spans="1:4" x14ac:dyDescent="0.3">
      <c r="A123" s="1">
        <v>43283</v>
      </c>
      <c r="B123" s="2">
        <v>380</v>
      </c>
      <c r="C123" s="2">
        <f>IF(Сделки[[#This Row],[Тип сделки]]="Покупка",Сделки[[#This Row],[Количество]],-Сделки[[#This Row],[Количество]])</f>
        <v>-380</v>
      </c>
      <c r="D123" s="2" t="s">
        <v>4</v>
      </c>
    </row>
    <row r="124" spans="1:4" x14ac:dyDescent="0.3">
      <c r="A124" s="1">
        <v>43287</v>
      </c>
      <c r="B124" s="2">
        <v>440</v>
      </c>
      <c r="C124" s="2">
        <f>IF(Сделки[[#This Row],[Тип сделки]]="Покупка",Сделки[[#This Row],[Количество]],-Сделки[[#This Row],[Количество]])</f>
        <v>440</v>
      </c>
      <c r="D124" s="2" t="s">
        <v>3</v>
      </c>
    </row>
    <row r="125" spans="1:4" x14ac:dyDescent="0.3">
      <c r="A125" s="1">
        <v>43294</v>
      </c>
      <c r="B125" s="2">
        <v>610</v>
      </c>
      <c r="C125" s="2">
        <f>IF(Сделки[[#This Row],[Тип сделки]]="Покупка",Сделки[[#This Row],[Количество]],-Сделки[[#This Row],[Количество]])</f>
        <v>-610</v>
      </c>
      <c r="D125" s="2" t="s">
        <v>4</v>
      </c>
    </row>
    <row r="126" spans="1:4" x14ac:dyDescent="0.3">
      <c r="A126" s="1">
        <v>43294</v>
      </c>
      <c r="B126" s="2">
        <v>490</v>
      </c>
      <c r="C126" s="2">
        <f>IF(Сделки[[#This Row],[Тип сделки]]="Покупка",Сделки[[#This Row],[Количество]],-Сделки[[#This Row],[Количество]])</f>
        <v>490</v>
      </c>
      <c r="D126" s="2" t="s">
        <v>3</v>
      </c>
    </row>
    <row r="127" spans="1:4" x14ac:dyDescent="0.3">
      <c r="A127" s="1">
        <v>43294</v>
      </c>
      <c r="B127" s="2">
        <v>210</v>
      </c>
      <c r="C127" s="2">
        <f>IF(Сделки[[#This Row],[Тип сделки]]="Покупка",Сделки[[#This Row],[Количество]],-Сделки[[#This Row],[Количество]])</f>
        <v>210</v>
      </c>
      <c r="D127" s="2" t="s">
        <v>3</v>
      </c>
    </row>
    <row r="128" spans="1:4" x14ac:dyDescent="0.3">
      <c r="A128" s="1">
        <v>43299</v>
      </c>
      <c r="B128" s="2">
        <v>170</v>
      </c>
      <c r="C128" s="2">
        <f>IF(Сделки[[#This Row],[Тип сделки]]="Покупка",Сделки[[#This Row],[Количество]],-Сделки[[#This Row],[Количество]])</f>
        <v>170</v>
      </c>
      <c r="D128" s="2" t="s">
        <v>3</v>
      </c>
    </row>
    <row r="129" spans="1:4" x14ac:dyDescent="0.3">
      <c r="A129" s="1">
        <v>43307</v>
      </c>
      <c r="B129" s="2">
        <v>600</v>
      </c>
      <c r="C129" s="2">
        <f>IF(Сделки[[#This Row],[Тип сделки]]="Покупка",Сделки[[#This Row],[Количество]],-Сделки[[#This Row],[Количество]])</f>
        <v>-600</v>
      </c>
      <c r="D129" s="2" t="s">
        <v>4</v>
      </c>
    </row>
    <row r="130" spans="1:4" x14ac:dyDescent="0.3">
      <c r="A130" s="1">
        <v>43308</v>
      </c>
      <c r="B130" s="2">
        <v>100</v>
      </c>
      <c r="C130" s="2">
        <f>IF(Сделки[[#This Row],[Тип сделки]]="Покупка",Сделки[[#This Row],[Количество]],-Сделки[[#This Row],[Количество]])</f>
        <v>-100</v>
      </c>
      <c r="D130" s="2" t="s">
        <v>4</v>
      </c>
    </row>
    <row r="131" spans="1:4" x14ac:dyDescent="0.3">
      <c r="A131" s="1">
        <v>43308</v>
      </c>
      <c r="B131" s="2">
        <v>710</v>
      </c>
      <c r="C131" s="2">
        <f>IF(Сделки[[#This Row],[Тип сделки]]="Покупка",Сделки[[#This Row],[Количество]],-Сделки[[#This Row],[Количество]])</f>
        <v>710</v>
      </c>
      <c r="D131" s="2" t="s">
        <v>3</v>
      </c>
    </row>
    <row r="132" spans="1:4" x14ac:dyDescent="0.3">
      <c r="A132" s="1">
        <v>43311</v>
      </c>
      <c r="B132" s="2">
        <v>10</v>
      </c>
      <c r="C132" s="2">
        <f>IF(Сделки[[#This Row],[Тип сделки]]="Покупка",Сделки[[#This Row],[Количество]],-Сделки[[#This Row],[Количество]])</f>
        <v>-10</v>
      </c>
      <c r="D132" s="2" t="s">
        <v>4</v>
      </c>
    </row>
    <row r="133" spans="1:4" x14ac:dyDescent="0.3">
      <c r="A133" s="1">
        <v>43313</v>
      </c>
      <c r="B133" s="2">
        <v>360</v>
      </c>
      <c r="C133" s="2">
        <f>IF(Сделки[[#This Row],[Тип сделки]]="Покупка",Сделки[[#This Row],[Количество]],-Сделки[[#This Row],[Количество]])</f>
        <v>360</v>
      </c>
      <c r="D133" s="2" t="s">
        <v>3</v>
      </c>
    </row>
    <row r="134" spans="1:4" x14ac:dyDescent="0.3">
      <c r="A134" s="1">
        <v>43313</v>
      </c>
      <c r="B134" s="2">
        <v>540</v>
      </c>
      <c r="C134" s="2">
        <f>IF(Сделки[[#This Row],[Тип сделки]]="Покупка",Сделки[[#This Row],[Количество]],-Сделки[[#This Row],[Количество]])</f>
        <v>540</v>
      </c>
      <c r="D134" s="2" t="s">
        <v>3</v>
      </c>
    </row>
    <row r="135" spans="1:4" x14ac:dyDescent="0.3">
      <c r="A135" s="1">
        <v>43314</v>
      </c>
      <c r="B135" s="2">
        <v>1370</v>
      </c>
      <c r="C135" s="2">
        <f>IF(Сделки[[#This Row],[Тип сделки]]="Покупка",Сделки[[#This Row],[Количество]],-Сделки[[#This Row],[Количество]])</f>
        <v>-1370</v>
      </c>
      <c r="D135" s="2" t="s">
        <v>4</v>
      </c>
    </row>
    <row r="136" spans="1:4" x14ac:dyDescent="0.3">
      <c r="A136" s="1">
        <v>43314</v>
      </c>
      <c r="B136" s="2">
        <v>690</v>
      </c>
      <c r="C136" s="2">
        <f>IF(Сделки[[#This Row],[Тип сделки]]="Покупка",Сделки[[#This Row],[Количество]],-Сделки[[#This Row],[Количество]])</f>
        <v>690</v>
      </c>
      <c r="D136" s="2" t="s">
        <v>3</v>
      </c>
    </row>
    <row r="137" spans="1:4" x14ac:dyDescent="0.3">
      <c r="A137" s="1">
        <v>43315</v>
      </c>
      <c r="B137" s="2">
        <v>810</v>
      </c>
      <c r="C137" s="2">
        <f>IF(Сделки[[#This Row],[Тип сделки]]="Покупка",Сделки[[#This Row],[Количество]],-Сделки[[#This Row],[Количество]])</f>
        <v>-810</v>
      </c>
      <c r="D137" s="2" t="s">
        <v>4</v>
      </c>
    </row>
    <row r="138" spans="1:4" x14ac:dyDescent="0.3">
      <c r="A138" s="1">
        <v>43315</v>
      </c>
      <c r="B138" s="2">
        <v>100</v>
      </c>
      <c r="C138" s="2">
        <f>IF(Сделки[[#This Row],[Тип сделки]]="Покупка",Сделки[[#This Row],[Количество]],-Сделки[[#This Row],[Количество]])</f>
        <v>-100</v>
      </c>
      <c r="D138" s="2" t="s">
        <v>4</v>
      </c>
    </row>
    <row r="139" spans="1:4" x14ac:dyDescent="0.3">
      <c r="A139" s="1">
        <v>43318</v>
      </c>
      <c r="B139" s="2">
        <v>60</v>
      </c>
      <c r="C139" s="2">
        <f>IF(Сделки[[#This Row],[Тип сделки]]="Покупка",Сделки[[#This Row],[Количество]],-Сделки[[#This Row],[Количество]])</f>
        <v>60</v>
      </c>
      <c r="D139" s="2" t="s">
        <v>3</v>
      </c>
    </row>
    <row r="140" spans="1:4" x14ac:dyDescent="0.3">
      <c r="A140" s="1">
        <v>43319</v>
      </c>
      <c r="B140" s="2">
        <v>440</v>
      </c>
      <c r="C140" s="2">
        <f>IF(Сделки[[#This Row],[Тип сделки]]="Покупка",Сделки[[#This Row],[Количество]],-Сделки[[#This Row],[Количество]])</f>
        <v>440</v>
      </c>
      <c r="D140" s="2" t="s">
        <v>3</v>
      </c>
    </row>
    <row r="141" spans="1:4" x14ac:dyDescent="0.3">
      <c r="A141" s="1">
        <v>43319</v>
      </c>
      <c r="B141" s="2">
        <v>600</v>
      </c>
      <c r="C141" s="2">
        <f>IF(Сделки[[#This Row],[Тип сделки]]="Покупка",Сделки[[#This Row],[Количество]],-Сделки[[#This Row],[Количество]])</f>
        <v>-600</v>
      </c>
      <c r="D141" s="2" t="s">
        <v>4</v>
      </c>
    </row>
    <row r="142" spans="1:4" x14ac:dyDescent="0.3">
      <c r="A142" s="1">
        <v>43322</v>
      </c>
      <c r="B142" s="2">
        <v>530</v>
      </c>
      <c r="C142" s="2">
        <f>IF(Сделки[[#This Row],[Тип сделки]]="Покупка",Сделки[[#This Row],[Количество]],-Сделки[[#This Row],[Количество]])</f>
        <v>530</v>
      </c>
      <c r="D142" s="2" t="s">
        <v>3</v>
      </c>
    </row>
    <row r="143" spans="1:4" x14ac:dyDescent="0.3">
      <c r="A143" s="1">
        <v>43326</v>
      </c>
      <c r="B143" s="2">
        <v>610</v>
      </c>
      <c r="C143" s="2">
        <f>IF(Сделки[[#This Row],[Тип сделки]]="Покупка",Сделки[[#This Row],[Количество]],-Сделки[[#This Row],[Количество]])</f>
        <v>610</v>
      </c>
      <c r="D143" s="2" t="s">
        <v>3</v>
      </c>
    </row>
    <row r="144" spans="1:4" x14ac:dyDescent="0.3">
      <c r="A144" s="1">
        <v>43327</v>
      </c>
      <c r="B144" s="2">
        <v>1070</v>
      </c>
      <c r="C144" s="2">
        <f>IF(Сделки[[#This Row],[Тип сделки]]="Покупка",Сделки[[#This Row],[Количество]],-Сделки[[#This Row],[Количество]])</f>
        <v>-1070</v>
      </c>
      <c r="D144" s="2" t="s">
        <v>4</v>
      </c>
    </row>
    <row r="145" spans="1:4" x14ac:dyDescent="0.3">
      <c r="A145" s="1">
        <v>43328</v>
      </c>
      <c r="B145" s="2">
        <v>190</v>
      </c>
      <c r="C145" s="2">
        <f>IF(Сделки[[#This Row],[Тип сделки]]="Покупка",Сделки[[#This Row],[Количество]],-Сделки[[#This Row],[Количество]])</f>
        <v>190</v>
      </c>
      <c r="D145" s="2" t="s">
        <v>3</v>
      </c>
    </row>
    <row r="146" spans="1:4" x14ac:dyDescent="0.3">
      <c r="A146" s="1">
        <v>43329</v>
      </c>
      <c r="B146" s="2">
        <v>530</v>
      </c>
      <c r="C146" s="2">
        <f>IF(Сделки[[#This Row],[Тип сделки]]="Покупка",Сделки[[#This Row],[Количество]],-Сделки[[#This Row],[Количество]])</f>
        <v>530</v>
      </c>
      <c r="D146" s="2" t="s">
        <v>3</v>
      </c>
    </row>
    <row r="147" spans="1:4" x14ac:dyDescent="0.3">
      <c r="A147" s="1">
        <v>43329</v>
      </c>
      <c r="B147" s="2">
        <v>460</v>
      </c>
      <c r="C147" s="2">
        <f>IF(Сделки[[#This Row],[Тип сделки]]="Покупка",Сделки[[#This Row],[Количество]],-Сделки[[#This Row],[Количество]])</f>
        <v>460</v>
      </c>
      <c r="D147" s="2" t="s">
        <v>3</v>
      </c>
    </row>
    <row r="148" spans="1:4" x14ac:dyDescent="0.3">
      <c r="A148" s="1">
        <v>43329</v>
      </c>
      <c r="B148" s="2">
        <v>160</v>
      </c>
      <c r="C148" s="2">
        <f>IF(Сделки[[#This Row],[Тип сделки]]="Покупка",Сделки[[#This Row],[Количество]],-Сделки[[#This Row],[Количество]])</f>
        <v>160</v>
      </c>
      <c r="D148" s="2" t="s">
        <v>3</v>
      </c>
    </row>
    <row r="149" spans="1:4" x14ac:dyDescent="0.3">
      <c r="A149" s="1">
        <v>43332</v>
      </c>
      <c r="B149" s="2">
        <v>1320</v>
      </c>
      <c r="C149" s="2">
        <f>IF(Сделки[[#This Row],[Тип сделки]]="Покупка",Сделки[[#This Row],[Количество]],-Сделки[[#This Row],[Количество]])</f>
        <v>-1320</v>
      </c>
      <c r="D149" s="2" t="s">
        <v>4</v>
      </c>
    </row>
    <row r="150" spans="1:4" x14ac:dyDescent="0.3">
      <c r="A150" s="1">
        <v>43333</v>
      </c>
      <c r="B150" s="2">
        <v>340</v>
      </c>
      <c r="C150" s="2">
        <f>IF(Сделки[[#This Row],[Тип сделки]]="Покупка",Сделки[[#This Row],[Количество]],-Сделки[[#This Row],[Количество]])</f>
        <v>340</v>
      </c>
      <c r="D150" s="2" t="s">
        <v>3</v>
      </c>
    </row>
    <row r="151" spans="1:4" x14ac:dyDescent="0.3">
      <c r="A151" s="1">
        <v>43334</v>
      </c>
      <c r="B151" s="2">
        <v>490</v>
      </c>
      <c r="C151" s="2">
        <f>IF(Сделки[[#This Row],[Тип сделки]]="Покупка",Сделки[[#This Row],[Количество]],-Сделки[[#This Row],[Количество]])</f>
        <v>-490</v>
      </c>
      <c r="D151" s="2" t="s">
        <v>4</v>
      </c>
    </row>
    <row r="152" spans="1:4" x14ac:dyDescent="0.3">
      <c r="A152" s="1">
        <v>43340</v>
      </c>
      <c r="B152" s="2">
        <v>310</v>
      </c>
      <c r="C152" s="2">
        <f>IF(Сделки[[#This Row],[Тип сделки]]="Покупка",Сделки[[#This Row],[Количество]],-Сделки[[#This Row],[Количество]])</f>
        <v>310</v>
      </c>
      <c r="D152" s="2" t="s">
        <v>3</v>
      </c>
    </row>
    <row r="153" spans="1:4" x14ac:dyDescent="0.3">
      <c r="A153" s="1">
        <v>43341</v>
      </c>
      <c r="B153" s="2">
        <v>110</v>
      </c>
      <c r="C153" s="2">
        <f>IF(Сделки[[#This Row],[Тип сделки]]="Покупка",Сделки[[#This Row],[Количество]],-Сделки[[#This Row],[Количество]])</f>
        <v>110</v>
      </c>
      <c r="D153" s="2" t="s">
        <v>3</v>
      </c>
    </row>
    <row r="154" spans="1:4" x14ac:dyDescent="0.3">
      <c r="A154" s="1">
        <v>43343</v>
      </c>
      <c r="B154" s="2">
        <v>300</v>
      </c>
      <c r="C154" s="2">
        <f>IF(Сделки[[#This Row],[Тип сделки]]="Покупка",Сделки[[#This Row],[Количество]],-Сделки[[#This Row],[Количество]])</f>
        <v>-300</v>
      </c>
      <c r="D154" s="2" t="s">
        <v>4</v>
      </c>
    </row>
    <row r="155" spans="1:4" x14ac:dyDescent="0.3">
      <c r="A155" s="1">
        <v>43346</v>
      </c>
      <c r="B155" s="2">
        <v>80</v>
      </c>
      <c r="C155" s="2">
        <f>IF(Сделки[[#This Row],[Тип сделки]]="Покупка",Сделки[[#This Row],[Количество]],-Сделки[[#This Row],[Количество]])</f>
        <v>80</v>
      </c>
      <c r="D155" s="2" t="s">
        <v>3</v>
      </c>
    </row>
    <row r="156" spans="1:4" x14ac:dyDescent="0.3">
      <c r="A156" s="1">
        <v>43346</v>
      </c>
      <c r="B156" s="2">
        <v>270</v>
      </c>
      <c r="C156" s="2">
        <f>IF(Сделки[[#This Row],[Тип сделки]]="Покупка",Сделки[[#This Row],[Количество]],-Сделки[[#This Row],[Количество]])</f>
        <v>270</v>
      </c>
      <c r="D156" s="2" t="s">
        <v>3</v>
      </c>
    </row>
    <row r="157" spans="1:4" x14ac:dyDescent="0.3">
      <c r="A157" s="1">
        <v>43346</v>
      </c>
      <c r="B157" s="2">
        <v>350</v>
      </c>
      <c r="C157" s="2">
        <f>IF(Сделки[[#This Row],[Тип сделки]]="Покупка",Сделки[[#This Row],[Количество]],-Сделки[[#This Row],[Количество]])</f>
        <v>350</v>
      </c>
      <c r="D157" s="2" t="s">
        <v>3</v>
      </c>
    </row>
    <row r="158" spans="1:4" x14ac:dyDescent="0.3">
      <c r="A158" s="1">
        <v>43347</v>
      </c>
      <c r="B158" s="2">
        <v>580</v>
      </c>
      <c r="C158" s="2">
        <f>IF(Сделки[[#This Row],[Тип сделки]]="Покупка",Сделки[[#This Row],[Количество]],-Сделки[[#This Row],[Количество]])</f>
        <v>-580</v>
      </c>
      <c r="D158" s="2" t="s">
        <v>4</v>
      </c>
    </row>
    <row r="159" spans="1:4" x14ac:dyDescent="0.3">
      <c r="A159" s="1">
        <v>43348</v>
      </c>
      <c r="B159" s="2">
        <v>500</v>
      </c>
      <c r="C159" s="2">
        <f>IF(Сделки[[#This Row],[Тип сделки]]="Покупка",Сделки[[#This Row],[Количество]],-Сделки[[#This Row],[Количество]])</f>
        <v>500</v>
      </c>
      <c r="D159" s="2" t="s">
        <v>3</v>
      </c>
    </row>
    <row r="160" spans="1:4" x14ac:dyDescent="0.3">
      <c r="A160" s="1">
        <v>43349</v>
      </c>
      <c r="B160" s="2">
        <v>610</v>
      </c>
      <c r="C160" s="2">
        <f>IF(Сделки[[#This Row],[Тип сделки]]="Покупка",Сделки[[#This Row],[Количество]],-Сделки[[#This Row],[Количество]])</f>
        <v>610</v>
      </c>
      <c r="D160" s="2" t="s">
        <v>3</v>
      </c>
    </row>
    <row r="161" spans="1:4" x14ac:dyDescent="0.3">
      <c r="A161" s="1">
        <v>43349</v>
      </c>
      <c r="B161" s="2">
        <v>1250</v>
      </c>
      <c r="C161" s="2">
        <f>IF(Сделки[[#This Row],[Тип сделки]]="Покупка",Сделки[[#This Row],[Количество]],-Сделки[[#This Row],[Количество]])</f>
        <v>-1250</v>
      </c>
      <c r="D161" s="2" t="s">
        <v>4</v>
      </c>
    </row>
    <row r="162" spans="1:4" x14ac:dyDescent="0.3">
      <c r="A162" s="1">
        <v>43349</v>
      </c>
      <c r="B162" s="2">
        <v>640</v>
      </c>
      <c r="C162" s="2">
        <f>IF(Сделки[[#This Row],[Тип сделки]]="Покупка",Сделки[[#This Row],[Количество]],-Сделки[[#This Row],[Количество]])</f>
        <v>640</v>
      </c>
      <c r="D162" s="2" t="s">
        <v>3</v>
      </c>
    </row>
    <row r="163" spans="1:4" x14ac:dyDescent="0.3">
      <c r="A163" s="1">
        <v>43350</v>
      </c>
      <c r="B163" s="2">
        <v>80</v>
      </c>
      <c r="C163" s="2">
        <f>IF(Сделки[[#This Row],[Тип сделки]]="Покупка",Сделки[[#This Row],[Количество]],-Сделки[[#This Row],[Количество]])</f>
        <v>80</v>
      </c>
      <c r="D163" s="2" t="s">
        <v>3</v>
      </c>
    </row>
    <row r="164" spans="1:4" x14ac:dyDescent="0.3">
      <c r="A164" s="1">
        <v>43355</v>
      </c>
      <c r="B164" s="2">
        <v>690</v>
      </c>
      <c r="C164" s="2">
        <f>IF(Сделки[[#This Row],[Тип сделки]]="Покупка",Сделки[[#This Row],[Количество]],-Сделки[[#This Row],[Количество]])</f>
        <v>690</v>
      </c>
      <c r="D164" s="2" t="s">
        <v>3</v>
      </c>
    </row>
    <row r="165" spans="1:4" x14ac:dyDescent="0.3">
      <c r="A165" s="1">
        <v>43357</v>
      </c>
      <c r="B165" s="2">
        <v>1060</v>
      </c>
      <c r="C165" s="2">
        <f>IF(Сделки[[#This Row],[Тип сделки]]="Покупка",Сделки[[#This Row],[Количество]],-Сделки[[#This Row],[Количество]])</f>
        <v>-1060</v>
      </c>
      <c r="D165" s="2" t="s">
        <v>4</v>
      </c>
    </row>
    <row r="166" spans="1:4" x14ac:dyDescent="0.3">
      <c r="A166" s="1">
        <v>43360</v>
      </c>
      <c r="B166" s="2">
        <v>0</v>
      </c>
      <c r="C166" s="2">
        <f>IF(Сделки[[#This Row],[Тип сделки]]="Покупка",Сделки[[#This Row],[Количество]],-Сделки[[#This Row],[Количество]])</f>
        <v>0</v>
      </c>
      <c r="D166" s="2" t="s">
        <v>3</v>
      </c>
    </row>
    <row r="167" spans="1:4" x14ac:dyDescent="0.3">
      <c r="A167" s="1">
        <v>43361</v>
      </c>
      <c r="B167" s="2">
        <v>400</v>
      </c>
      <c r="C167" s="2">
        <f>IF(Сделки[[#This Row],[Тип сделки]]="Покупка",Сделки[[#This Row],[Количество]],-Сделки[[#This Row],[Количество]])</f>
        <v>400</v>
      </c>
      <c r="D167" s="2" t="s">
        <v>3</v>
      </c>
    </row>
    <row r="168" spans="1:4" x14ac:dyDescent="0.3">
      <c r="A168" s="1">
        <v>43364</v>
      </c>
      <c r="B168" s="2">
        <v>640</v>
      </c>
      <c r="C168" s="2">
        <f>IF(Сделки[[#This Row],[Тип сделки]]="Покупка",Сделки[[#This Row],[Количество]],-Сделки[[#This Row],[Количество]])</f>
        <v>640</v>
      </c>
      <c r="D168" s="2" t="s">
        <v>3</v>
      </c>
    </row>
    <row r="169" spans="1:4" x14ac:dyDescent="0.3">
      <c r="A169" s="1">
        <v>43367</v>
      </c>
      <c r="B169" s="2">
        <v>1300</v>
      </c>
      <c r="C169" s="2">
        <f>IF(Сделки[[#This Row],[Тип сделки]]="Покупка",Сделки[[#This Row],[Количество]],-Сделки[[#This Row],[Количество]])</f>
        <v>-1300</v>
      </c>
      <c r="D169" s="2" t="s">
        <v>4</v>
      </c>
    </row>
    <row r="170" spans="1:4" x14ac:dyDescent="0.3">
      <c r="A170" s="1">
        <v>43368</v>
      </c>
      <c r="B170" s="2">
        <v>60</v>
      </c>
      <c r="C170" s="2">
        <f>IF(Сделки[[#This Row],[Тип сделки]]="Покупка",Сделки[[#This Row],[Количество]],-Сделки[[#This Row],[Количество]])</f>
        <v>60</v>
      </c>
      <c r="D170" s="2" t="s">
        <v>3</v>
      </c>
    </row>
    <row r="171" spans="1:4" x14ac:dyDescent="0.3">
      <c r="A171" s="1">
        <v>43371</v>
      </c>
      <c r="B171" s="2">
        <v>750</v>
      </c>
      <c r="C171" s="2">
        <f>IF(Сделки[[#This Row],[Тип сделки]]="Покупка",Сделки[[#This Row],[Количество]],-Сделки[[#This Row],[Количество]])</f>
        <v>750</v>
      </c>
      <c r="D171" s="2" t="s">
        <v>3</v>
      </c>
    </row>
    <row r="172" spans="1:4" x14ac:dyDescent="0.3">
      <c r="A172" s="1">
        <v>43371</v>
      </c>
      <c r="B172" s="2">
        <v>430</v>
      </c>
      <c r="C172" s="2">
        <f>IF(Сделки[[#This Row],[Тип сделки]]="Покупка",Сделки[[#This Row],[Количество]],-Сделки[[#This Row],[Количество]])</f>
        <v>-430</v>
      </c>
      <c r="D172" s="2" t="s">
        <v>4</v>
      </c>
    </row>
    <row r="173" spans="1:4" x14ac:dyDescent="0.3">
      <c r="A173" s="1">
        <v>43371</v>
      </c>
      <c r="B173" s="2">
        <v>530</v>
      </c>
      <c r="C173" s="2">
        <f>IF(Сделки[[#This Row],[Тип сделки]]="Покупка",Сделки[[#This Row],[Количество]],-Сделки[[#This Row],[Количество]])</f>
        <v>530</v>
      </c>
      <c r="D173" s="2" t="s">
        <v>3</v>
      </c>
    </row>
    <row r="174" spans="1:4" x14ac:dyDescent="0.3">
      <c r="A174" s="1">
        <v>43378</v>
      </c>
      <c r="B174" s="2">
        <v>1120</v>
      </c>
      <c r="C174" s="2">
        <f>IF(Сделки[[#This Row],[Тип сделки]]="Покупка",Сделки[[#This Row],[Количество]],-Сделки[[#This Row],[Количество]])</f>
        <v>-1120</v>
      </c>
      <c r="D174" s="2" t="s">
        <v>4</v>
      </c>
    </row>
    <row r="175" spans="1:4" x14ac:dyDescent="0.3">
      <c r="A175" s="1">
        <v>43378</v>
      </c>
      <c r="B175" s="2">
        <v>220</v>
      </c>
      <c r="C175" s="2">
        <f>IF(Сделки[[#This Row],[Тип сделки]]="Покупка",Сделки[[#This Row],[Количество]],-Сделки[[#This Row],[Количество]])</f>
        <v>220</v>
      </c>
      <c r="D175" s="2" t="s">
        <v>3</v>
      </c>
    </row>
    <row r="176" spans="1:4" x14ac:dyDescent="0.3">
      <c r="A176" s="1">
        <v>43382</v>
      </c>
      <c r="B176" s="2">
        <v>50</v>
      </c>
      <c r="C176" s="2">
        <f>IF(Сделки[[#This Row],[Тип сделки]]="Покупка",Сделки[[#This Row],[Количество]],-Сделки[[#This Row],[Количество]])</f>
        <v>50</v>
      </c>
      <c r="D176" s="2" t="s">
        <v>3</v>
      </c>
    </row>
    <row r="177" spans="1:4" x14ac:dyDescent="0.3">
      <c r="A177" s="1">
        <v>43383</v>
      </c>
      <c r="B177" s="2">
        <v>20</v>
      </c>
      <c r="C177" s="2">
        <f>IF(Сделки[[#This Row],[Тип сделки]]="Покупка",Сделки[[#This Row],[Количество]],-Сделки[[#This Row],[Количество]])</f>
        <v>-20</v>
      </c>
      <c r="D177" s="2" t="s">
        <v>4</v>
      </c>
    </row>
    <row r="178" spans="1:4" x14ac:dyDescent="0.3">
      <c r="A178" s="1">
        <v>43384</v>
      </c>
      <c r="B178" s="2">
        <v>540</v>
      </c>
      <c r="C178" s="2">
        <f>IF(Сделки[[#This Row],[Тип сделки]]="Покупка",Сделки[[#This Row],[Количество]],-Сделки[[#This Row],[Количество]])</f>
        <v>540</v>
      </c>
      <c r="D178" s="2" t="s">
        <v>3</v>
      </c>
    </row>
    <row r="179" spans="1:4" x14ac:dyDescent="0.3">
      <c r="A179" s="8">
        <v>43385</v>
      </c>
      <c r="B179" s="13">
        <v>0</v>
      </c>
      <c r="C179" s="14">
        <f>IF(Сделки[[#This Row],[Тип сделки]]="Покупка",Сделки[[#This Row],[Количество]],-Сделки[[#This Row],[Количество]])</f>
        <v>0</v>
      </c>
      <c r="D179" s="13" t="s">
        <v>27</v>
      </c>
    </row>
    <row r="180" spans="1:4" x14ac:dyDescent="0.3">
      <c r="A180" s="12">
        <v>43385</v>
      </c>
      <c r="B180" s="2">
        <v>540</v>
      </c>
      <c r="C180" s="2">
        <f>IF(Сделки[[#This Row],[Тип сделки]]="Покупка",Сделки[[#This Row],[Количество]],-Сделки[[#This Row],[Количество]])</f>
        <v>540</v>
      </c>
      <c r="D180" s="2" t="s">
        <v>3</v>
      </c>
    </row>
    <row r="181" spans="1:4" x14ac:dyDescent="0.3">
      <c r="A181" s="12">
        <v>43385</v>
      </c>
      <c r="B181" s="2">
        <v>830</v>
      </c>
      <c r="C181" s="2">
        <f>IF(Сделки[[#This Row],[Тип сделки]]="Покупка",Сделки[[#This Row],[Количество]],-Сделки[[#This Row],[Количество]])</f>
        <v>-830</v>
      </c>
      <c r="D181" s="2" t="s">
        <v>4</v>
      </c>
    </row>
    <row r="182" spans="1:4" x14ac:dyDescent="0.3">
      <c r="A182" s="12">
        <v>43385</v>
      </c>
      <c r="B182" s="2">
        <v>270</v>
      </c>
      <c r="C182" s="2">
        <f>IF(Сделки[[#This Row],[Тип сделки]]="Покупка",Сделки[[#This Row],[Количество]],-Сделки[[#This Row],[Количество]])</f>
        <v>270</v>
      </c>
      <c r="D182" s="2" t="s">
        <v>3</v>
      </c>
    </row>
    <row r="183" spans="1:4" x14ac:dyDescent="0.3">
      <c r="A183" s="1">
        <v>43388</v>
      </c>
      <c r="B183" s="2">
        <v>80</v>
      </c>
      <c r="C183" s="2">
        <f>IF(Сделки[[#This Row],[Тип сделки]]="Покупка",Сделки[[#This Row],[Количество]],-Сделки[[#This Row],[Количество]])</f>
        <v>80</v>
      </c>
      <c r="D183" s="2" t="s">
        <v>3</v>
      </c>
    </row>
    <row r="184" spans="1:4" x14ac:dyDescent="0.3">
      <c r="A184" s="1">
        <v>43392</v>
      </c>
      <c r="B184" s="2">
        <v>80</v>
      </c>
      <c r="C184" s="2">
        <f>IF(Сделки[[#This Row],[Тип сделки]]="Покупка",Сделки[[#This Row],[Количество]],-Сделки[[#This Row],[Количество]])</f>
        <v>80</v>
      </c>
      <c r="D184" s="2" t="s">
        <v>3</v>
      </c>
    </row>
    <row r="185" spans="1:4" x14ac:dyDescent="0.3">
      <c r="A185" s="1">
        <v>43392</v>
      </c>
      <c r="B185" s="2">
        <v>720</v>
      </c>
      <c r="C185" s="2">
        <f>IF(Сделки[[#This Row],[Тип сделки]]="Покупка",Сделки[[#This Row],[Количество]],-Сделки[[#This Row],[Количество]])</f>
        <v>-720</v>
      </c>
      <c r="D185" s="2" t="s">
        <v>4</v>
      </c>
    </row>
    <row r="186" spans="1:4" x14ac:dyDescent="0.3">
      <c r="A186" s="1">
        <v>43397</v>
      </c>
      <c r="B186" s="2">
        <v>370</v>
      </c>
      <c r="C186" s="2">
        <f>IF(Сделки[[#This Row],[Тип сделки]]="Покупка",Сделки[[#This Row],[Количество]],-Сделки[[#This Row],[Количество]])</f>
        <v>370</v>
      </c>
      <c r="D186" s="2" t="s">
        <v>3</v>
      </c>
    </row>
    <row r="187" spans="1:4" x14ac:dyDescent="0.3">
      <c r="A187" s="1">
        <v>43399</v>
      </c>
      <c r="B187" s="2">
        <v>340</v>
      </c>
      <c r="C187" s="2">
        <f>IF(Сделки[[#This Row],[Тип сделки]]="Покупка",Сделки[[#This Row],[Количество]],-Сделки[[#This Row],[Количество]])</f>
        <v>-340</v>
      </c>
      <c r="D187" s="2" t="s">
        <v>4</v>
      </c>
    </row>
    <row r="188" spans="1:4" x14ac:dyDescent="0.3">
      <c r="A188" s="1">
        <v>43402</v>
      </c>
      <c r="B188" s="2">
        <v>590</v>
      </c>
      <c r="C188" s="2">
        <f>IF(Сделки[[#This Row],[Тип сделки]]="Покупка",Сделки[[#This Row],[Количество]],-Сделки[[#This Row],[Количество]])</f>
        <v>590</v>
      </c>
      <c r="D188" s="2" t="s">
        <v>3</v>
      </c>
    </row>
    <row r="189" spans="1:4" x14ac:dyDescent="0.3">
      <c r="A189" s="1">
        <v>43402</v>
      </c>
      <c r="B189" s="2">
        <v>130</v>
      </c>
      <c r="C189" s="2">
        <f>IF(Сделки[[#This Row],[Тип сделки]]="Покупка",Сделки[[#This Row],[Количество]],-Сделки[[#This Row],[Количество]])</f>
        <v>130</v>
      </c>
      <c r="D189" s="2" t="s">
        <v>3</v>
      </c>
    </row>
    <row r="190" spans="1:4" x14ac:dyDescent="0.3">
      <c r="A190" s="1">
        <v>43403</v>
      </c>
      <c r="B190" s="2">
        <v>180</v>
      </c>
      <c r="C190" s="2">
        <f>IF(Сделки[[#This Row],[Тип сделки]]="Покупка",Сделки[[#This Row],[Количество]],-Сделки[[#This Row],[Количество]])</f>
        <v>-180</v>
      </c>
      <c r="D190" s="2" t="s">
        <v>4</v>
      </c>
    </row>
    <row r="191" spans="1:4" x14ac:dyDescent="0.3">
      <c r="A191" s="1">
        <v>43406</v>
      </c>
      <c r="B191" s="2">
        <v>410</v>
      </c>
      <c r="C191" s="2">
        <f>IF(Сделки[[#This Row],[Тип сделки]]="Покупка",Сделки[[#This Row],[Количество]],-Сделки[[#This Row],[Количество]])</f>
        <v>410</v>
      </c>
      <c r="D191" s="2" t="s">
        <v>3</v>
      </c>
    </row>
    <row r="192" spans="1:4" x14ac:dyDescent="0.3">
      <c r="A192" s="1">
        <v>43410</v>
      </c>
      <c r="B192" s="2">
        <v>610</v>
      </c>
      <c r="C192" s="2">
        <f>IF(Сделки[[#This Row],[Тип сделки]]="Покупка",Сделки[[#This Row],[Количество]],-Сделки[[#This Row],[Количество]])</f>
        <v>610</v>
      </c>
      <c r="D192" s="2" t="s">
        <v>3</v>
      </c>
    </row>
    <row r="193" spans="1:4" x14ac:dyDescent="0.3">
      <c r="A193" s="1">
        <v>43412</v>
      </c>
      <c r="B193" s="2">
        <v>690</v>
      </c>
      <c r="C193" s="2">
        <f>IF(Сделки[[#This Row],[Тип сделки]]="Покупка",Сделки[[#This Row],[Количество]],-Сделки[[#This Row],[Количество]])</f>
        <v>690</v>
      </c>
      <c r="D193" s="2" t="s">
        <v>3</v>
      </c>
    </row>
    <row r="194" spans="1:4" x14ac:dyDescent="0.3">
      <c r="A194" s="1">
        <v>43413</v>
      </c>
      <c r="B194" s="2">
        <v>970</v>
      </c>
      <c r="C194" s="2">
        <f>IF(Сделки[[#This Row],[Тип сделки]]="Покупка",Сделки[[#This Row],[Количество]],-Сделки[[#This Row],[Количество]])</f>
        <v>-970</v>
      </c>
      <c r="D194" s="2" t="s">
        <v>4</v>
      </c>
    </row>
    <row r="195" spans="1:4" x14ac:dyDescent="0.3">
      <c r="A195" s="1">
        <v>43413</v>
      </c>
      <c r="B195" s="2">
        <v>240</v>
      </c>
      <c r="C195" s="2">
        <f>IF(Сделки[[#This Row],[Тип сделки]]="Покупка",Сделки[[#This Row],[Количество]],-Сделки[[#This Row],[Количество]])</f>
        <v>240</v>
      </c>
      <c r="D195" s="2" t="s">
        <v>3</v>
      </c>
    </row>
    <row r="196" spans="1:4" x14ac:dyDescent="0.3">
      <c r="A196" s="1">
        <v>43420</v>
      </c>
      <c r="B196" s="2">
        <v>610</v>
      </c>
      <c r="C196" s="2">
        <f>IF(Сделки[[#This Row],[Тип сделки]]="Покупка",Сделки[[#This Row],[Количество]],-Сделки[[#This Row],[Количество]])</f>
        <v>610</v>
      </c>
      <c r="D196" s="2" t="s">
        <v>3</v>
      </c>
    </row>
    <row r="197" spans="1:4" x14ac:dyDescent="0.3">
      <c r="A197" s="1">
        <v>43420</v>
      </c>
      <c r="B197" s="2">
        <v>1320</v>
      </c>
      <c r="C197" s="2">
        <f>IF(Сделки[[#This Row],[Тип сделки]]="Покупка",Сделки[[#This Row],[Количество]],-Сделки[[#This Row],[Количество]])</f>
        <v>-1320</v>
      </c>
      <c r="D197" s="2" t="s">
        <v>4</v>
      </c>
    </row>
    <row r="198" spans="1:4" x14ac:dyDescent="0.3">
      <c r="A198" s="1">
        <v>43423</v>
      </c>
      <c r="B198" s="2">
        <v>710</v>
      </c>
      <c r="C198" s="2">
        <f>IF(Сделки[[#This Row],[Тип сделки]]="Покупка",Сделки[[#This Row],[Количество]],-Сделки[[#This Row],[Количество]])</f>
        <v>-710</v>
      </c>
      <c r="D198" s="2" t="s">
        <v>4</v>
      </c>
    </row>
    <row r="199" spans="1:4" x14ac:dyDescent="0.3">
      <c r="A199" s="1">
        <v>43426</v>
      </c>
      <c r="B199" s="2">
        <v>750</v>
      </c>
      <c r="C199" s="2">
        <f>IF(Сделки[[#This Row],[Тип сделки]]="Покупка",Сделки[[#This Row],[Количество]],-Сделки[[#This Row],[Количество]])</f>
        <v>750</v>
      </c>
      <c r="D199" s="2" t="s">
        <v>3</v>
      </c>
    </row>
    <row r="200" spans="1:4" x14ac:dyDescent="0.3">
      <c r="A200" s="1">
        <v>43431</v>
      </c>
      <c r="B200" s="2">
        <v>170</v>
      </c>
      <c r="C200" s="2">
        <f>IF(Сделки[[#This Row],[Тип сделки]]="Покупка",Сделки[[#This Row],[Количество]],-Сделки[[#This Row],[Количество]])</f>
        <v>170</v>
      </c>
      <c r="D200" s="2" t="s">
        <v>3</v>
      </c>
    </row>
    <row r="201" spans="1:4" x14ac:dyDescent="0.3">
      <c r="A201" s="1">
        <v>43433</v>
      </c>
      <c r="B201" s="2">
        <v>780</v>
      </c>
      <c r="C201" s="2">
        <f>IF(Сделки[[#This Row],[Тип сделки]]="Покупка",Сделки[[#This Row],[Количество]],-Сделки[[#This Row],[Количество]])</f>
        <v>-780</v>
      </c>
      <c r="D201" s="2" t="s">
        <v>4</v>
      </c>
    </row>
    <row r="202" spans="1:4" x14ac:dyDescent="0.3">
      <c r="A202" s="1">
        <v>43433</v>
      </c>
      <c r="B202" s="2">
        <v>660</v>
      </c>
      <c r="C202" s="2">
        <f>IF(Сделки[[#This Row],[Тип сделки]]="Покупка",Сделки[[#This Row],[Количество]],-Сделки[[#This Row],[Количество]])</f>
        <v>660</v>
      </c>
      <c r="D202" s="2" t="s">
        <v>3</v>
      </c>
    </row>
    <row r="203" spans="1:4" x14ac:dyDescent="0.3">
      <c r="A203" s="1">
        <v>43434</v>
      </c>
      <c r="B203" s="2">
        <v>180</v>
      </c>
      <c r="C203" s="2">
        <f>IF(Сделки[[#This Row],[Тип сделки]]="Покупка",Сделки[[#This Row],[Количество]],-Сделки[[#This Row],[Количество]])</f>
        <v>-180</v>
      </c>
      <c r="D203" s="2" t="s">
        <v>4</v>
      </c>
    </row>
    <row r="204" spans="1:4" x14ac:dyDescent="0.3">
      <c r="A204" s="1">
        <v>43434</v>
      </c>
      <c r="B204" s="2">
        <v>340</v>
      </c>
      <c r="C204" s="2">
        <f>IF(Сделки[[#This Row],[Тип сделки]]="Покупка",Сделки[[#This Row],[Количество]],-Сделки[[#This Row],[Количество]])</f>
        <v>-340</v>
      </c>
      <c r="D204" s="2" t="s">
        <v>4</v>
      </c>
    </row>
    <row r="205" spans="1:4" x14ac:dyDescent="0.3">
      <c r="A205" s="1">
        <v>43434</v>
      </c>
      <c r="B205" s="2">
        <v>610</v>
      </c>
      <c r="C205" s="2">
        <f>IF(Сделки[[#This Row],[Тип сделки]]="Покупка",Сделки[[#This Row],[Количество]],-Сделки[[#This Row],[Количество]])</f>
        <v>610</v>
      </c>
      <c r="D205" s="2" t="s">
        <v>3</v>
      </c>
    </row>
    <row r="206" spans="1:4" x14ac:dyDescent="0.3">
      <c r="A206" s="1">
        <v>43438</v>
      </c>
      <c r="B206" s="2">
        <v>1190</v>
      </c>
      <c r="C206" s="2">
        <f>IF(Сделки[[#This Row],[Тип сделки]]="Покупка",Сделки[[#This Row],[Количество]],-Сделки[[#This Row],[Количество]])</f>
        <v>-1190</v>
      </c>
      <c r="D206" s="2" t="s">
        <v>4</v>
      </c>
    </row>
    <row r="207" spans="1:4" x14ac:dyDescent="0.3">
      <c r="A207" s="1">
        <v>43440</v>
      </c>
      <c r="B207" s="2">
        <v>280</v>
      </c>
      <c r="C207" s="2">
        <f>IF(Сделки[[#This Row],[Тип сделки]]="Покупка",Сделки[[#This Row],[Количество]],-Сделки[[#This Row],[Количество]])</f>
        <v>280</v>
      </c>
      <c r="D207" s="2" t="s">
        <v>3</v>
      </c>
    </row>
    <row r="208" spans="1:4" x14ac:dyDescent="0.3">
      <c r="A208" s="1">
        <v>43440</v>
      </c>
      <c r="B208" s="2">
        <v>90</v>
      </c>
      <c r="C208" s="2">
        <f>IF(Сделки[[#This Row],[Тип сделки]]="Покупка",Сделки[[#This Row],[Количество]],-Сделки[[#This Row],[Количество]])</f>
        <v>-90</v>
      </c>
      <c r="D208" s="2" t="s">
        <v>4</v>
      </c>
    </row>
    <row r="209" spans="1:4" x14ac:dyDescent="0.3">
      <c r="A209" s="1">
        <v>43441</v>
      </c>
      <c r="B209" s="2">
        <v>570</v>
      </c>
      <c r="C209" s="2">
        <f>IF(Сделки[[#This Row],[Тип сделки]]="Покупка",Сделки[[#This Row],[Количество]],-Сделки[[#This Row],[Количество]])</f>
        <v>570</v>
      </c>
      <c r="D209" s="2" t="s">
        <v>3</v>
      </c>
    </row>
    <row r="210" spans="1:4" x14ac:dyDescent="0.3">
      <c r="A210" s="1">
        <v>43445</v>
      </c>
      <c r="B210" s="2">
        <v>290</v>
      </c>
      <c r="C210" s="2">
        <f>IF(Сделки[[#This Row],[Тип сделки]]="Покупка",Сделки[[#This Row],[Количество]],-Сделки[[#This Row],[Количество]])</f>
        <v>290</v>
      </c>
      <c r="D210" s="2" t="s">
        <v>3</v>
      </c>
    </row>
    <row r="211" spans="1:4" x14ac:dyDescent="0.3">
      <c r="A211" s="1">
        <v>43445</v>
      </c>
      <c r="B211" s="2">
        <v>190</v>
      </c>
      <c r="C211" s="2">
        <f>IF(Сделки[[#This Row],[Тип сделки]]="Покупка",Сделки[[#This Row],[Количество]],-Сделки[[#This Row],[Количество]])</f>
        <v>-190</v>
      </c>
      <c r="D211" s="2" t="s">
        <v>4</v>
      </c>
    </row>
    <row r="212" spans="1:4" x14ac:dyDescent="0.3">
      <c r="A212" s="1">
        <v>43448</v>
      </c>
      <c r="B212" s="2">
        <v>310</v>
      </c>
      <c r="C212" s="2">
        <f>IF(Сделки[[#This Row],[Тип сделки]]="Покупка",Сделки[[#This Row],[Количество]],-Сделки[[#This Row],[Количество]])</f>
        <v>-310</v>
      </c>
      <c r="D212" s="2" t="s">
        <v>4</v>
      </c>
    </row>
    <row r="213" spans="1:4" x14ac:dyDescent="0.3">
      <c r="A213" s="1">
        <v>43452</v>
      </c>
      <c r="B213" s="2">
        <v>580</v>
      </c>
      <c r="C213" s="2">
        <f>IF(Сделки[[#This Row],[Тип сделки]]="Покупка",Сделки[[#This Row],[Количество]],-Сделки[[#This Row],[Количество]])</f>
        <v>580</v>
      </c>
      <c r="D213" s="2" t="s">
        <v>3</v>
      </c>
    </row>
    <row r="214" spans="1:4" x14ac:dyDescent="0.3">
      <c r="A214" s="1">
        <v>43453</v>
      </c>
      <c r="B214" s="2">
        <v>720</v>
      </c>
      <c r="C214" s="2">
        <f>IF(Сделки[[#This Row],[Тип сделки]]="Покупка",Сделки[[#This Row],[Количество]],-Сделки[[#This Row],[Количество]])</f>
        <v>720</v>
      </c>
      <c r="D214" s="2" t="s">
        <v>3</v>
      </c>
    </row>
    <row r="215" spans="1:4" x14ac:dyDescent="0.3">
      <c r="A215" s="1">
        <v>43455</v>
      </c>
      <c r="B215" s="2">
        <v>1420</v>
      </c>
      <c r="C215" s="2">
        <f>IF(Сделки[[#This Row],[Тип сделки]]="Покупка",Сделки[[#This Row],[Количество]],-Сделки[[#This Row],[Количество]])</f>
        <v>-1420</v>
      </c>
      <c r="D215" s="2" t="s">
        <v>4</v>
      </c>
    </row>
    <row r="216" spans="1:4" x14ac:dyDescent="0.3">
      <c r="A216" s="1">
        <v>43455</v>
      </c>
      <c r="B216" s="2">
        <v>730</v>
      </c>
      <c r="C216" s="2">
        <f>IF(Сделки[[#This Row],[Тип сделки]]="Покупка",Сделки[[#This Row],[Количество]],-Сделки[[#This Row],[Количество]])</f>
        <v>730</v>
      </c>
      <c r="D216" s="2" t="s">
        <v>3</v>
      </c>
    </row>
    <row r="217" spans="1:4" x14ac:dyDescent="0.3">
      <c r="A217" s="1">
        <v>43455</v>
      </c>
      <c r="B217" s="2">
        <v>460</v>
      </c>
      <c r="C217" s="2">
        <f>IF(Сделки[[#This Row],[Тип сделки]]="Покупка",Сделки[[#This Row],[Количество]],-Сделки[[#This Row],[Количество]])</f>
        <v>460</v>
      </c>
      <c r="D217" s="2" t="s">
        <v>3</v>
      </c>
    </row>
    <row r="218" spans="1:4" x14ac:dyDescent="0.3">
      <c r="A218" s="1">
        <v>43460</v>
      </c>
      <c r="B218" s="2">
        <v>970</v>
      </c>
      <c r="C218" s="2">
        <f>IF(Сделки[[#This Row],[Тип сделки]]="Покупка",Сделки[[#This Row],[Количество]],-Сделки[[#This Row],[Количество]])</f>
        <v>-970</v>
      </c>
      <c r="D218" s="2" t="s">
        <v>4</v>
      </c>
    </row>
    <row r="219" spans="1:4" x14ac:dyDescent="0.3">
      <c r="A219" s="1">
        <v>43460</v>
      </c>
      <c r="B219" s="2">
        <v>590</v>
      </c>
      <c r="C219" s="2">
        <f>IF(Сделки[[#This Row],[Тип сделки]]="Покупка",Сделки[[#This Row],[Количество]],-Сделки[[#This Row],[Количество]])</f>
        <v>-590</v>
      </c>
      <c r="D219" s="2" t="s">
        <v>4</v>
      </c>
    </row>
    <row r="220" spans="1:4" x14ac:dyDescent="0.3">
      <c r="A220" s="1">
        <v>43468</v>
      </c>
      <c r="B220" s="2">
        <v>250</v>
      </c>
      <c r="C220" s="2">
        <f>IF(Сделки[[#This Row],[Тип сделки]]="Покупка",Сделки[[#This Row],[Количество]],-Сделки[[#This Row],[Количество]])</f>
        <v>250</v>
      </c>
      <c r="D220" s="2" t="s">
        <v>3</v>
      </c>
    </row>
    <row r="221" spans="1:4" x14ac:dyDescent="0.3">
      <c r="A221" s="1">
        <v>43474</v>
      </c>
      <c r="B221" s="2">
        <v>50</v>
      </c>
      <c r="C221" s="2">
        <f>IF(Сделки[[#This Row],[Тип сделки]]="Покупка",Сделки[[#This Row],[Количество]],-Сделки[[#This Row],[Количество]])</f>
        <v>50</v>
      </c>
      <c r="D221" s="2" t="s">
        <v>3</v>
      </c>
    </row>
    <row r="222" spans="1:4" x14ac:dyDescent="0.3">
      <c r="A222" s="1">
        <v>43476</v>
      </c>
      <c r="B222" s="2">
        <v>110</v>
      </c>
      <c r="C222" s="2">
        <f>IF(Сделки[[#This Row],[Тип сделки]]="Покупка",Сделки[[#This Row],[Количество]],-Сделки[[#This Row],[Количество]])</f>
        <v>-110</v>
      </c>
      <c r="D222" s="2" t="s">
        <v>4</v>
      </c>
    </row>
    <row r="223" spans="1:4" x14ac:dyDescent="0.3">
      <c r="A223" s="1">
        <v>43479</v>
      </c>
      <c r="B223" s="2">
        <v>230</v>
      </c>
      <c r="C223" s="2">
        <f>IF(Сделки[[#This Row],[Тип сделки]]="Покупка",Сделки[[#This Row],[Количество]],-Сделки[[#This Row],[Количество]])</f>
        <v>230</v>
      </c>
      <c r="D223" s="2" t="s">
        <v>3</v>
      </c>
    </row>
    <row r="224" spans="1:4" x14ac:dyDescent="0.3">
      <c r="A224" s="1">
        <v>43480</v>
      </c>
      <c r="B224" s="2">
        <v>270</v>
      </c>
      <c r="C224" s="2">
        <f>IF(Сделки[[#This Row],[Тип сделки]]="Покупка",Сделки[[#This Row],[Количество]],-Сделки[[#This Row],[Количество]])</f>
        <v>-270</v>
      </c>
      <c r="D224" s="2" t="s">
        <v>4</v>
      </c>
    </row>
    <row r="225" spans="1:4" x14ac:dyDescent="0.3">
      <c r="A225" s="1">
        <v>43481</v>
      </c>
      <c r="B225" s="2">
        <v>420</v>
      </c>
      <c r="C225" s="2">
        <f>IF(Сделки[[#This Row],[Тип сделки]]="Покупка",Сделки[[#This Row],[Количество]],-Сделки[[#This Row],[Количество]])</f>
        <v>420</v>
      </c>
      <c r="D225" s="2" t="s">
        <v>3</v>
      </c>
    </row>
    <row r="226" spans="1:4" x14ac:dyDescent="0.3">
      <c r="A226" s="1">
        <v>43481</v>
      </c>
      <c r="B226" s="2">
        <v>490</v>
      </c>
      <c r="C226" s="2">
        <f>IF(Сделки[[#This Row],[Тип сделки]]="Покупка",Сделки[[#This Row],[Количество]],-Сделки[[#This Row],[Количество]])</f>
        <v>490</v>
      </c>
      <c r="D226" s="2" t="s">
        <v>3</v>
      </c>
    </row>
    <row r="227" spans="1:4" x14ac:dyDescent="0.3">
      <c r="A227" s="1">
        <v>43482</v>
      </c>
      <c r="B227" s="2">
        <v>390</v>
      </c>
      <c r="C227" s="2">
        <f>IF(Сделки[[#This Row],[Тип сделки]]="Покупка",Сделки[[#This Row],[Количество]],-Сделки[[#This Row],[Количество]])</f>
        <v>-390</v>
      </c>
      <c r="D227" s="2" t="s">
        <v>4</v>
      </c>
    </row>
    <row r="228" spans="1:4" x14ac:dyDescent="0.3">
      <c r="A228" s="1">
        <v>43482</v>
      </c>
      <c r="B228" s="2">
        <v>690</v>
      </c>
      <c r="C228" s="2">
        <f>IF(Сделки[[#This Row],[Тип сделки]]="Покупка",Сделки[[#This Row],[Количество]],-Сделки[[#This Row],[Количество]])</f>
        <v>-690</v>
      </c>
      <c r="D228" s="2" t="s">
        <v>4</v>
      </c>
    </row>
    <row r="229" spans="1:4" x14ac:dyDescent="0.3">
      <c r="A229" s="1">
        <v>43483</v>
      </c>
      <c r="B229" s="2">
        <v>680</v>
      </c>
      <c r="C229" s="2">
        <f>IF(Сделки[[#This Row],[Тип сделки]]="Покупка",Сделки[[#This Row],[Количество]],-Сделки[[#This Row],[Количество]])</f>
        <v>680</v>
      </c>
      <c r="D229" s="2" t="s">
        <v>3</v>
      </c>
    </row>
    <row r="230" spans="1:4" x14ac:dyDescent="0.3">
      <c r="A230" s="1">
        <v>43483</v>
      </c>
      <c r="B230" s="2">
        <v>310</v>
      </c>
      <c r="C230" s="2">
        <f>IF(Сделки[[#This Row],[Тип сделки]]="Покупка",Сделки[[#This Row],[Количество]],-Сделки[[#This Row],[Количество]])</f>
        <v>-310</v>
      </c>
      <c r="D230" s="2" t="s">
        <v>4</v>
      </c>
    </row>
    <row r="231" spans="1:4" x14ac:dyDescent="0.3">
      <c r="A231" s="1">
        <v>43486</v>
      </c>
      <c r="B231" s="2">
        <v>310</v>
      </c>
      <c r="C231" s="2">
        <f>IF(Сделки[[#This Row],[Тип сделки]]="Покупка",Сделки[[#This Row],[Количество]],-Сделки[[#This Row],[Количество]])</f>
        <v>-310</v>
      </c>
      <c r="D231" s="2" t="s">
        <v>4</v>
      </c>
    </row>
    <row r="232" spans="1:4" x14ac:dyDescent="0.3">
      <c r="A232" s="1">
        <v>43486</v>
      </c>
      <c r="B232" s="2">
        <v>360</v>
      </c>
      <c r="C232" s="2">
        <f>IF(Сделки[[#This Row],[Тип сделки]]="Покупка",Сделки[[#This Row],[Количество]],-Сделки[[#This Row],[Количество]])</f>
        <v>360</v>
      </c>
      <c r="D232" s="2" t="s">
        <v>3</v>
      </c>
    </row>
    <row r="233" spans="1:4" x14ac:dyDescent="0.3">
      <c r="A233" s="1">
        <v>43489</v>
      </c>
      <c r="B233" s="2">
        <v>540</v>
      </c>
      <c r="C233" s="2">
        <f>IF(Сделки[[#This Row],[Тип сделки]]="Покупка",Сделки[[#This Row],[Количество]],-Сделки[[#This Row],[Количество]])</f>
        <v>540</v>
      </c>
      <c r="D233" s="2" t="s">
        <v>3</v>
      </c>
    </row>
    <row r="234" spans="1:4" x14ac:dyDescent="0.3">
      <c r="A234" s="1">
        <v>43490</v>
      </c>
      <c r="B234" s="2">
        <v>610</v>
      </c>
      <c r="C234" s="2">
        <f>IF(Сделки[[#This Row],[Тип сделки]]="Покупка",Сделки[[#This Row],[Количество]],-Сделки[[#This Row],[Количество]])</f>
        <v>-610</v>
      </c>
      <c r="D234" s="2" t="s">
        <v>4</v>
      </c>
    </row>
    <row r="235" spans="1:4" x14ac:dyDescent="0.3">
      <c r="A235" s="1">
        <v>43490</v>
      </c>
      <c r="B235" s="2">
        <v>450</v>
      </c>
      <c r="C235" s="2">
        <f>IF(Сделки[[#This Row],[Тип сделки]]="Покупка",Сделки[[#This Row],[Количество]],-Сделки[[#This Row],[Количество]])</f>
        <v>450</v>
      </c>
      <c r="D235" s="2" t="s">
        <v>3</v>
      </c>
    </row>
    <row r="236" spans="1:4" x14ac:dyDescent="0.3">
      <c r="A236" s="1">
        <v>43494</v>
      </c>
      <c r="B236" s="2">
        <v>310</v>
      </c>
      <c r="C236" s="2">
        <f>IF(Сделки[[#This Row],[Тип сделки]]="Покупка",Сделки[[#This Row],[Количество]],-Сделки[[#This Row],[Количество]])</f>
        <v>-310</v>
      </c>
      <c r="D236" s="2" t="s">
        <v>4</v>
      </c>
    </row>
    <row r="237" spans="1:4" x14ac:dyDescent="0.3">
      <c r="A237" s="1">
        <v>43497</v>
      </c>
      <c r="B237" s="2">
        <v>460</v>
      </c>
      <c r="C237" s="2">
        <f>IF(Сделки[[#This Row],[Тип сделки]]="Покупка",Сделки[[#This Row],[Количество]],-Сделки[[#This Row],[Количество]])</f>
        <v>-460</v>
      </c>
      <c r="D237" s="2" t="s">
        <v>4</v>
      </c>
    </row>
    <row r="238" spans="1:4" x14ac:dyDescent="0.3">
      <c r="A238" s="1">
        <v>43501</v>
      </c>
      <c r="B238" s="2">
        <v>0</v>
      </c>
      <c r="C238" s="2">
        <f>IF(Сделки[[#This Row],[Тип сделки]]="Покупка",Сделки[[#This Row],[Количество]],-Сделки[[#This Row],[Количество]])</f>
        <v>0</v>
      </c>
      <c r="D238" s="2" t="s">
        <v>3</v>
      </c>
    </row>
    <row r="239" spans="1:4" x14ac:dyDescent="0.3">
      <c r="A239" s="1">
        <v>43501</v>
      </c>
      <c r="B239" s="2">
        <v>560</v>
      </c>
      <c r="C239" s="2">
        <f>IF(Сделки[[#This Row],[Тип сделки]]="Покупка",Сделки[[#This Row],[Количество]],-Сделки[[#This Row],[Количество]])</f>
        <v>560</v>
      </c>
      <c r="D239" s="2" t="s">
        <v>3</v>
      </c>
    </row>
    <row r="240" spans="1:4" x14ac:dyDescent="0.3">
      <c r="A240" s="1">
        <v>43503</v>
      </c>
      <c r="B240" s="2">
        <v>500</v>
      </c>
      <c r="C240" s="2">
        <f>IF(Сделки[[#This Row],[Тип сделки]]="Покупка",Сделки[[#This Row],[Количество]],-Сделки[[#This Row],[Количество]])</f>
        <v>-500</v>
      </c>
      <c r="D240" s="2" t="s">
        <v>4</v>
      </c>
    </row>
    <row r="241" spans="1:4" x14ac:dyDescent="0.3">
      <c r="A241" s="1">
        <v>43509</v>
      </c>
      <c r="B241" s="2">
        <v>450</v>
      </c>
      <c r="C241" s="2">
        <f>IF(Сделки[[#This Row],[Тип сделки]]="Покупка",Сделки[[#This Row],[Количество]],-Сделки[[#This Row],[Количество]])</f>
        <v>450</v>
      </c>
      <c r="D241" s="2" t="s">
        <v>3</v>
      </c>
    </row>
    <row r="242" spans="1:4" x14ac:dyDescent="0.3">
      <c r="A242" s="1">
        <v>43511</v>
      </c>
      <c r="B242" s="2">
        <v>600</v>
      </c>
      <c r="C242" s="2">
        <f>IF(Сделки[[#This Row],[Тип сделки]]="Покупка",Сделки[[#This Row],[Количество]],-Сделки[[#This Row],[Количество]])</f>
        <v>-600</v>
      </c>
      <c r="D242" s="2" t="s">
        <v>4</v>
      </c>
    </row>
    <row r="243" spans="1:4" x14ac:dyDescent="0.3">
      <c r="A243" s="1">
        <v>43511</v>
      </c>
      <c r="B243" s="2">
        <v>120</v>
      </c>
      <c r="C243" s="2">
        <f>IF(Сделки[[#This Row],[Тип сделки]]="Покупка",Сделки[[#This Row],[Количество]],-Сделки[[#This Row],[Количество]])</f>
        <v>120</v>
      </c>
      <c r="D243" s="2" t="s">
        <v>3</v>
      </c>
    </row>
    <row r="244" spans="1:4" x14ac:dyDescent="0.3">
      <c r="A244" s="1">
        <v>43518</v>
      </c>
      <c r="B244" s="2">
        <v>590</v>
      </c>
      <c r="C244" s="2">
        <f>IF(Сделки[[#This Row],[Тип сделки]]="Покупка",Сделки[[#This Row],[Количество]],-Сделки[[#This Row],[Количество]])</f>
        <v>590</v>
      </c>
      <c r="D244" s="2" t="s">
        <v>3</v>
      </c>
    </row>
    <row r="245" spans="1:4" x14ac:dyDescent="0.3">
      <c r="A245" s="1">
        <v>43518</v>
      </c>
      <c r="B245" s="2">
        <v>20</v>
      </c>
      <c r="C245" s="2">
        <f>IF(Сделки[[#This Row],[Тип сделки]]="Покупка",Сделки[[#This Row],[Количество]],-Сделки[[#This Row],[Количество]])</f>
        <v>-20</v>
      </c>
      <c r="D245" s="2" t="s">
        <v>4</v>
      </c>
    </row>
    <row r="246" spans="1:4" x14ac:dyDescent="0.3">
      <c r="A246" s="1">
        <v>43525</v>
      </c>
      <c r="B246" s="2">
        <v>510</v>
      </c>
      <c r="C246" s="2">
        <f>IF(Сделки[[#This Row],[Тип сделки]]="Покупка",Сделки[[#This Row],[Количество]],-Сделки[[#This Row],[Количество]])</f>
        <v>510</v>
      </c>
      <c r="D246" s="2" t="s">
        <v>3</v>
      </c>
    </row>
    <row r="247" spans="1:4" x14ac:dyDescent="0.3">
      <c r="A247" s="1">
        <v>43525</v>
      </c>
      <c r="B247" s="2">
        <v>1020</v>
      </c>
      <c r="C247" s="2">
        <f>IF(Сделки[[#This Row],[Тип сделки]]="Покупка",Сделки[[#This Row],[Количество]],-Сделки[[#This Row],[Количество]])</f>
        <v>-1020</v>
      </c>
      <c r="D247" s="2" t="s">
        <v>4</v>
      </c>
    </row>
    <row r="248" spans="1:4" x14ac:dyDescent="0.3">
      <c r="A248" s="1">
        <v>43530</v>
      </c>
      <c r="B248" s="2">
        <v>650</v>
      </c>
      <c r="C248" s="2">
        <f>IF(Сделки[[#This Row],[Тип сделки]]="Покупка",Сделки[[#This Row],[Количество]],-Сделки[[#This Row],[Количество]])</f>
        <v>650</v>
      </c>
      <c r="D248" s="2" t="s">
        <v>3</v>
      </c>
    </row>
    <row r="249" spans="1:4" x14ac:dyDescent="0.3">
      <c r="A249" s="1">
        <v>43531</v>
      </c>
      <c r="B249" s="2">
        <v>410</v>
      </c>
      <c r="C249" s="2">
        <f>IF(Сделки[[#This Row],[Тип сделки]]="Покупка",Сделки[[#This Row],[Количество]],-Сделки[[#This Row],[Количество]])</f>
        <v>-410</v>
      </c>
      <c r="D249" s="2" t="s">
        <v>4</v>
      </c>
    </row>
    <row r="250" spans="1:4" x14ac:dyDescent="0.3">
      <c r="A250" s="1">
        <v>43538</v>
      </c>
      <c r="B250" s="2">
        <v>350</v>
      </c>
      <c r="C250" s="2">
        <f>IF(Сделки[[#This Row],[Тип сделки]]="Покупка",Сделки[[#This Row],[Количество]],-Сделки[[#This Row],[Количество]])</f>
        <v>-350</v>
      </c>
      <c r="D250" s="2" t="s">
        <v>4</v>
      </c>
    </row>
    <row r="251" spans="1:4" x14ac:dyDescent="0.3">
      <c r="A251" s="1">
        <v>43539</v>
      </c>
      <c r="B251" s="2">
        <v>40</v>
      </c>
      <c r="C251" s="2">
        <f>IF(Сделки[[#This Row],[Тип сделки]]="Покупка",Сделки[[#This Row],[Количество]],-Сделки[[#This Row],[Количество]])</f>
        <v>-40</v>
      </c>
      <c r="D251" s="2" t="s">
        <v>4</v>
      </c>
    </row>
    <row r="252" spans="1:4" x14ac:dyDescent="0.3">
      <c r="A252" s="1">
        <v>43542</v>
      </c>
      <c r="B252" s="2">
        <v>130</v>
      </c>
      <c r="C252" s="2">
        <f>IF(Сделки[[#This Row],[Тип сделки]]="Покупка",Сделки[[#This Row],[Количество]],-Сделки[[#This Row],[Количество]])</f>
        <v>130</v>
      </c>
      <c r="D252" s="2" t="s">
        <v>3</v>
      </c>
    </row>
    <row r="253" spans="1:4" x14ac:dyDescent="0.3">
      <c r="A253" s="1">
        <v>43544</v>
      </c>
      <c r="B253" s="2">
        <v>300</v>
      </c>
      <c r="C253" s="2">
        <f>IF(Сделки[[#This Row],[Тип сделки]]="Покупка",Сделки[[#This Row],[Количество]],-Сделки[[#This Row],[Количество]])</f>
        <v>300</v>
      </c>
      <c r="D253" s="2" t="s">
        <v>3</v>
      </c>
    </row>
    <row r="254" spans="1:4" x14ac:dyDescent="0.3">
      <c r="A254" s="1">
        <v>43546</v>
      </c>
      <c r="B254" s="2">
        <v>570</v>
      </c>
      <c r="C254" s="2">
        <f>IF(Сделки[[#This Row],[Тип сделки]]="Покупка",Сделки[[#This Row],[Количество]],-Сделки[[#This Row],[Количество]])</f>
        <v>570</v>
      </c>
      <c r="D254" s="2" t="s">
        <v>3</v>
      </c>
    </row>
    <row r="255" spans="1:4" x14ac:dyDescent="0.3">
      <c r="A255" s="1">
        <v>43550</v>
      </c>
      <c r="B255" s="2">
        <v>40</v>
      </c>
      <c r="C255" s="2">
        <f>IF(Сделки[[#This Row],[Тип сделки]]="Покупка",Сделки[[#This Row],[Количество]],-Сделки[[#This Row],[Количество]])</f>
        <v>40</v>
      </c>
      <c r="D255" s="2" t="s">
        <v>3</v>
      </c>
    </row>
    <row r="256" spans="1:4" x14ac:dyDescent="0.3">
      <c r="A256" s="1">
        <v>43551</v>
      </c>
      <c r="B256" s="2">
        <v>300</v>
      </c>
      <c r="C256" s="2">
        <f>IF(Сделки[[#This Row],[Тип сделки]]="Покупка",Сделки[[#This Row],[Количество]],-Сделки[[#This Row],[Количество]])</f>
        <v>-300</v>
      </c>
      <c r="D256" s="2" t="s">
        <v>4</v>
      </c>
    </row>
    <row r="257" spans="1:4" x14ac:dyDescent="0.3">
      <c r="A257" s="1">
        <v>43553</v>
      </c>
      <c r="B257" s="2">
        <v>780</v>
      </c>
      <c r="C257" s="2">
        <f>IF(Сделки[[#This Row],[Тип сделки]]="Покупка",Сделки[[#This Row],[Количество]],-Сделки[[#This Row],[Количество]])</f>
        <v>-780</v>
      </c>
      <c r="D257" s="2" t="s">
        <v>4</v>
      </c>
    </row>
    <row r="258" spans="1:4" x14ac:dyDescent="0.3">
      <c r="A258" s="1">
        <v>43553</v>
      </c>
      <c r="B258" s="2">
        <v>380</v>
      </c>
      <c r="C258" s="2">
        <f>IF(Сделки[[#This Row],[Тип сделки]]="Покупка",Сделки[[#This Row],[Количество]],-Сделки[[#This Row],[Количество]])</f>
        <v>380</v>
      </c>
      <c r="D258" s="2" t="s">
        <v>3</v>
      </c>
    </row>
    <row r="259" spans="1:4" x14ac:dyDescent="0.3">
      <c r="A259" s="1">
        <v>43557</v>
      </c>
      <c r="B259" s="2">
        <v>220</v>
      </c>
      <c r="C259" s="2">
        <f>IF(Сделки[[#This Row],[Тип сделки]]="Покупка",Сделки[[#This Row],[Количество]],-Сделки[[#This Row],[Количество]])</f>
        <v>220</v>
      </c>
      <c r="D259" s="2" t="s">
        <v>3</v>
      </c>
    </row>
    <row r="260" spans="1:4" x14ac:dyDescent="0.3">
      <c r="A260" s="1">
        <v>43559</v>
      </c>
      <c r="B260" s="2">
        <v>120</v>
      </c>
      <c r="C260" s="2">
        <f>IF(Сделки[[#This Row],[Тип сделки]]="Покупка",Сделки[[#This Row],[Количество]],-Сделки[[#This Row],[Количество]])</f>
        <v>120</v>
      </c>
      <c r="D260" s="2" t="s">
        <v>3</v>
      </c>
    </row>
    <row r="261" spans="1:4" x14ac:dyDescent="0.3">
      <c r="A261" s="1">
        <v>43559</v>
      </c>
      <c r="B261" s="2">
        <v>600</v>
      </c>
      <c r="C261" s="2">
        <f>IF(Сделки[[#This Row],[Тип сделки]]="Покупка",Сделки[[#This Row],[Количество]],-Сделки[[#This Row],[Количество]])</f>
        <v>-600</v>
      </c>
      <c r="D261" s="2" t="s">
        <v>4</v>
      </c>
    </row>
    <row r="262" spans="1:4" x14ac:dyDescent="0.3">
      <c r="A262" s="1">
        <v>43560</v>
      </c>
      <c r="B262" s="2">
        <v>550</v>
      </c>
      <c r="C262" s="2">
        <f>IF(Сделки[[#This Row],[Тип сделки]]="Покупка",Сделки[[#This Row],[Количество]],-Сделки[[#This Row],[Количество]])</f>
        <v>550</v>
      </c>
      <c r="D262" s="2" t="s">
        <v>3</v>
      </c>
    </row>
    <row r="263" spans="1:4" x14ac:dyDescent="0.3">
      <c r="A263" s="1">
        <v>43560</v>
      </c>
      <c r="B263" s="2">
        <v>570</v>
      </c>
      <c r="C263" s="2">
        <f>IF(Сделки[[#This Row],[Тип сделки]]="Покупка",Сделки[[#This Row],[Количество]],-Сделки[[#This Row],[Количество]])</f>
        <v>-570</v>
      </c>
      <c r="D263" s="2" t="s">
        <v>4</v>
      </c>
    </row>
    <row r="264" spans="1:4" x14ac:dyDescent="0.3">
      <c r="A264" s="1">
        <v>43560</v>
      </c>
      <c r="B264" s="2">
        <v>20</v>
      </c>
      <c r="C264" s="2">
        <f>IF(Сделки[[#This Row],[Тип сделки]]="Покупка",Сделки[[#This Row],[Количество]],-Сделки[[#This Row],[Количество]])</f>
        <v>-20</v>
      </c>
      <c r="D264" s="2" t="s">
        <v>4</v>
      </c>
    </row>
    <row r="265" spans="1:4" x14ac:dyDescent="0.3">
      <c r="A265" s="1">
        <v>43564</v>
      </c>
      <c r="B265" s="2">
        <v>10</v>
      </c>
      <c r="C265" s="2">
        <f>IF(Сделки[[#This Row],[Тип сделки]]="Покупка",Сделки[[#This Row],[Количество]],-Сделки[[#This Row],[Количество]])</f>
        <v>10</v>
      </c>
      <c r="D265" s="2" t="s">
        <v>3</v>
      </c>
    </row>
    <row r="266" spans="1:4" x14ac:dyDescent="0.3">
      <c r="A266" s="1">
        <v>43565</v>
      </c>
      <c r="B266" s="2">
        <v>370</v>
      </c>
      <c r="C266" s="2">
        <f>IF(Сделки[[#This Row],[Тип сделки]]="Покупка",Сделки[[#This Row],[Количество]],-Сделки[[#This Row],[Количество]])</f>
        <v>370</v>
      </c>
      <c r="D266" s="2" t="s">
        <v>3</v>
      </c>
    </row>
    <row r="267" spans="1:4" x14ac:dyDescent="0.3">
      <c r="A267" s="8">
        <v>43567</v>
      </c>
      <c r="B267" s="13">
        <v>0</v>
      </c>
      <c r="C267" s="13">
        <f>IF(Сделки[[#This Row],[Тип сделки]]="Покупка",Сделки[[#This Row],[Количество]],-Сделки[[#This Row],[Количество]])</f>
        <v>0</v>
      </c>
      <c r="D267" s="13" t="s">
        <v>27</v>
      </c>
    </row>
    <row r="268" spans="1:4" x14ac:dyDescent="0.3">
      <c r="A268" s="1">
        <v>43570</v>
      </c>
      <c r="B268" s="2">
        <v>670</v>
      </c>
      <c r="C268" s="2">
        <f>IF(Сделки[[#This Row],[Тип сделки]]="Покупка",Сделки[[#This Row],[Количество]],-Сделки[[#This Row],[Количество]])</f>
        <v>670</v>
      </c>
      <c r="D268" s="2" t="s">
        <v>3</v>
      </c>
    </row>
    <row r="269" spans="1:4" x14ac:dyDescent="0.3">
      <c r="A269" s="1">
        <v>43572</v>
      </c>
      <c r="B269" s="2">
        <v>1120</v>
      </c>
      <c r="C269" s="2">
        <f>IF(Сделки[[#This Row],[Тип сделки]]="Покупка",Сделки[[#This Row],[Количество]],-Сделки[[#This Row],[Количество]])</f>
        <v>-1120</v>
      </c>
      <c r="D269" s="2" t="s">
        <v>4</v>
      </c>
    </row>
    <row r="270" spans="1:4" x14ac:dyDescent="0.3">
      <c r="A270" s="1">
        <v>43574</v>
      </c>
      <c r="B270" s="2">
        <v>510</v>
      </c>
      <c r="C270" s="2">
        <f>IF(Сделки[[#This Row],[Тип сделки]]="Покупка",Сделки[[#This Row],[Количество]],-Сделки[[#This Row],[Количество]])</f>
        <v>510</v>
      </c>
      <c r="D270" s="2" t="s">
        <v>3</v>
      </c>
    </row>
    <row r="271" spans="1:4" x14ac:dyDescent="0.3">
      <c r="A271" s="1">
        <v>43578</v>
      </c>
      <c r="B271" s="2">
        <v>660</v>
      </c>
      <c r="C271" s="2">
        <f>IF(Сделки[[#This Row],[Тип сделки]]="Покупка",Сделки[[#This Row],[Количество]],-Сделки[[#This Row],[Количество]])</f>
        <v>660</v>
      </c>
      <c r="D271" s="2" t="s">
        <v>3</v>
      </c>
    </row>
    <row r="272" spans="1:4" x14ac:dyDescent="0.3">
      <c r="A272" s="1">
        <v>43579</v>
      </c>
      <c r="B272" s="2">
        <v>310</v>
      </c>
      <c r="C272" s="2">
        <f>IF(Сделки[[#This Row],[Тип сделки]]="Покупка",Сделки[[#This Row],[Количество]],-Сделки[[#This Row],[Количество]])</f>
        <v>-310</v>
      </c>
      <c r="D272" s="2" t="s">
        <v>4</v>
      </c>
    </row>
    <row r="273" spans="1:4" x14ac:dyDescent="0.3">
      <c r="A273" s="1">
        <v>43579</v>
      </c>
      <c r="B273" s="2">
        <v>630</v>
      </c>
      <c r="C273" s="2">
        <f>IF(Сделки[[#This Row],[Тип сделки]]="Покупка",Сделки[[#This Row],[Количество]],-Сделки[[#This Row],[Количество]])</f>
        <v>-630</v>
      </c>
      <c r="D273" s="2" t="s">
        <v>4</v>
      </c>
    </row>
    <row r="274" spans="1:4" x14ac:dyDescent="0.3">
      <c r="A274" s="1">
        <v>43581</v>
      </c>
      <c r="B274" s="2">
        <v>140</v>
      </c>
      <c r="C274" s="2">
        <f>IF(Сделки[[#This Row],[Тип сделки]]="Покупка",Сделки[[#This Row],[Количество]],-Сделки[[#This Row],[Количество]])</f>
        <v>-140</v>
      </c>
      <c r="D274" s="2" t="s">
        <v>4</v>
      </c>
    </row>
    <row r="275" spans="1:4" x14ac:dyDescent="0.3">
      <c r="A275" s="1">
        <v>43581</v>
      </c>
      <c r="B275" s="2">
        <v>730</v>
      </c>
      <c r="C275" s="2">
        <f>IF(Сделки[[#This Row],[Тип сделки]]="Покупка",Сделки[[#This Row],[Количество]],-Сделки[[#This Row],[Количество]])</f>
        <v>730</v>
      </c>
      <c r="D275" s="2" t="s">
        <v>3</v>
      </c>
    </row>
    <row r="276" spans="1:4" x14ac:dyDescent="0.3">
      <c r="A276" s="1">
        <v>43585</v>
      </c>
      <c r="B276" s="2">
        <v>160</v>
      </c>
      <c r="C276" s="2">
        <f>IF(Сделки[[#This Row],[Тип сделки]]="Покупка",Сделки[[#This Row],[Количество]],-Сделки[[#This Row],[Количество]])</f>
        <v>-160</v>
      </c>
      <c r="D276" s="2" t="s">
        <v>4</v>
      </c>
    </row>
    <row r="277" spans="1:4" x14ac:dyDescent="0.3">
      <c r="A277" s="1">
        <v>43587</v>
      </c>
      <c r="B277" s="2">
        <v>220</v>
      </c>
      <c r="C277" s="2">
        <f>IF(Сделки[[#This Row],[Тип сделки]]="Покупка",Сделки[[#This Row],[Количество]],-Сделки[[#This Row],[Количество]])</f>
        <v>220</v>
      </c>
      <c r="D277" s="2" t="s">
        <v>3</v>
      </c>
    </row>
    <row r="278" spans="1:4" x14ac:dyDescent="0.3">
      <c r="A278" s="1">
        <v>43588</v>
      </c>
      <c r="B278" s="2">
        <v>360</v>
      </c>
      <c r="C278" s="2">
        <f>IF(Сделки[[#This Row],[Тип сделки]]="Покупка",Сделки[[#This Row],[Количество]],-Сделки[[#This Row],[Количество]])</f>
        <v>-360</v>
      </c>
      <c r="D278" s="2" t="s">
        <v>4</v>
      </c>
    </row>
    <row r="279" spans="1:4" x14ac:dyDescent="0.3">
      <c r="A279" s="1">
        <v>43593</v>
      </c>
      <c r="B279" s="2">
        <v>140</v>
      </c>
      <c r="C279" s="2">
        <f>IF(Сделки[[#This Row],[Тип сделки]]="Покупка",Сделки[[#This Row],[Количество]],-Сделки[[#This Row],[Количество]])</f>
        <v>140</v>
      </c>
      <c r="D279" s="2" t="s">
        <v>3</v>
      </c>
    </row>
    <row r="280" spans="1:4" x14ac:dyDescent="0.3">
      <c r="A280" s="1">
        <v>43598</v>
      </c>
      <c r="B280" s="2">
        <v>140</v>
      </c>
      <c r="C280" s="2">
        <f>IF(Сделки[[#This Row],[Тип сделки]]="Покупка",Сделки[[#This Row],[Количество]],-Сделки[[#This Row],[Количество]])</f>
        <v>140</v>
      </c>
      <c r="D280" s="2" t="s">
        <v>3</v>
      </c>
    </row>
    <row r="281" spans="1:4" x14ac:dyDescent="0.3">
      <c r="A281" s="1">
        <v>43599</v>
      </c>
      <c r="B281" s="2">
        <v>280</v>
      </c>
      <c r="C281" s="2">
        <f>IF(Сделки[[#This Row],[Тип сделки]]="Покупка",Сделки[[#This Row],[Количество]],-Сделки[[#This Row],[Количество]])</f>
        <v>-280</v>
      </c>
      <c r="D281" s="2" t="s">
        <v>4</v>
      </c>
    </row>
    <row r="282" spans="1:4" x14ac:dyDescent="0.3">
      <c r="A282" s="1">
        <v>43600</v>
      </c>
      <c r="B282" s="2">
        <v>230</v>
      </c>
      <c r="C282" s="2">
        <f>IF(Сделки[[#This Row],[Тип сделки]]="Покупка",Сделки[[#This Row],[Количество]],-Сделки[[#This Row],[Количество]])</f>
        <v>-230</v>
      </c>
      <c r="D282" s="2" t="s">
        <v>4</v>
      </c>
    </row>
    <row r="283" spans="1:4" x14ac:dyDescent="0.3">
      <c r="A283" s="1">
        <v>43601</v>
      </c>
      <c r="B283" s="2">
        <v>550</v>
      </c>
      <c r="C283" s="2">
        <f>IF(Сделки[[#This Row],[Тип сделки]]="Покупка",Сделки[[#This Row],[Количество]],-Сделки[[#This Row],[Количество]])</f>
        <v>550</v>
      </c>
      <c r="D283" s="2" t="s">
        <v>3</v>
      </c>
    </row>
    <row r="284" spans="1:4" x14ac:dyDescent="0.3">
      <c r="A284" s="1">
        <v>43605</v>
      </c>
      <c r="B284" s="2">
        <v>660</v>
      </c>
      <c r="C284" s="2">
        <f>IF(Сделки[[#This Row],[Тип сделки]]="Покупка",Сделки[[#This Row],[Количество]],-Сделки[[#This Row],[Количество]])</f>
        <v>-660</v>
      </c>
      <c r="D284" s="2" t="s">
        <v>4</v>
      </c>
    </row>
    <row r="285" spans="1:4" x14ac:dyDescent="0.3">
      <c r="A285" s="1">
        <v>43608</v>
      </c>
      <c r="B285" s="2">
        <v>330</v>
      </c>
      <c r="C285" s="2">
        <f>IF(Сделки[[#This Row],[Тип сделки]]="Покупка",Сделки[[#This Row],[Количество]],-Сделки[[#This Row],[Количество]])</f>
        <v>330</v>
      </c>
      <c r="D285" s="2" t="s">
        <v>3</v>
      </c>
    </row>
    <row r="286" spans="1:4" x14ac:dyDescent="0.3">
      <c r="A286" s="1">
        <v>43609</v>
      </c>
      <c r="B286" s="2">
        <v>400</v>
      </c>
      <c r="C286" s="2">
        <f>IF(Сделки[[#This Row],[Тип сделки]]="Покупка",Сделки[[#This Row],[Количество]],-Сделки[[#This Row],[Количество]])</f>
        <v>400</v>
      </c>
      <c r="D286" s="2" t="s">
        <v>3</v>
      </c>
    </row>
    <row r="287" spans="1:4" x14ac:dyDescent="0.3">
      <c r="A287" s="1">
        <v>43615</v>
      </c>
      <c r="B287" s="2">
        <v>30</v>
      </c>
      <c r="C287" s="2">
        <f>IF(Сделки[[#This Row],[Тип сделки]]="Покупка",Сделки[[#This Row],[Количество]],-Сделки[[#This Row],[Количество]])</f>
        <v>30</v>
      </c>
      <c r="D287" s="2" t="s">
        <v>3</v>
      </c>
    </row>
    <row r="288" spans="1:4" x14ac:dyDescent="0.3">
      <c r="A288" s="1">
        <v>43616</v>
      </c>
      <c r="B288" s="2">
        <v>520</v>
      </c>
      <c r="C288" s="2">
        <f>IF(Сделки[[#This Row],[Тип сделки]]="Покупка",Сделки[[#This Row],[Количество]],-Сделки[[#This Row],[Количество]])</f>
        <v>-520</v>
      </c>
      <c r="D288" s="2" t="s">
        <v>4</v>
      </c>
    </row>
    <row r="289" spans="1:4" x14ac:dyDescent="0.3">
      <c r="A289" s="1">
        <v>43616</v>
      </c>
      <c r="B289" s="2">
        <v>160</v>
      </c>
      <c r="C289" s="2">
        <f>IF(Сделки[[#This Row],[Тип сделки]]="Покупка",Сделки[[#This Row],[Количество]],-Сделки[[#This Row],[Количество]])</f>
        <v>-160</v>
      </c>
      <c r="D289" s="2" t="s">
        <v>4</v>
      </c>
    </row>
    <row r="290" spans="1:4" x14ac:dyDescent="0.3">
      <c r="A290" s="1">
        <v>43621</v>
      </c>
      <c r="B290" s="2">
        <v>680</v>
      </c>
      <c r="C290" s="2">
        <f>IF(Сделки[[#This Row],[Тип сделки]]="Покупка",Сделки[[#This Row],[Количество]],-Сделки[[#This Row],[Количество]])</f>
        <v>680</v>
      </c>
      <c r="D290" s="2" t="s">
        <v>3</v>
      </c>
    </row>
    <row r="291" spans="1:4" x14ac:dyDescent="0.3">
      <c r="A291" s="1">
        <v>43623</v>
      </c>
      <c r="B291" s="2">
        <v>330</v>
      </c>
      <c r="C291" s="2">
        <f>IF(Сделки[[#This Row],[Тип сделки]]="Покупка",Сделки[[#This Row],[Количество]],-Сделки[[#This Row],[Количество]])</f>
        <v>-330</v>
      </c>
      <c r="D291" s="2" t="s">
        <v>4</v>
      </c>
    </row>
    <row r="292" spans="1:4" x14ac:dyDescent="0.3">
      <c r="A292" s="1">
        <v>43626</v>
      </c>
      <c r="B292" s="2">
        <v>540</v>
      </c>
      <c r="C292" s="2">
        <f>IF(Сделки[[#This Row],[Тип сделки]]="Покупка",Сделки[[#This Row],[Количество]],-Сделки[[#This Row],[Количество]])</f>
        <v>540</v>
      </c>
      <c r="D292" s="2" t="s">
        <v>3</v>
      </c>
    </row>
    <row r="293" spans="1:4" x14ac:dyDescent="0.3">
      <c r="A293" s="1">
        <v>43626</v>
      </c>
      <c r="B293" s="2">
        <v>520</v>
      </c>
      <c r="C293" s="2">
        <f>IF(Сделки[[#This Row],[Тип сделки]]="Покупка",Сделки[[#This Row],[Количество]],-Сделки[[#This Row],[Количество]])</f>
        <v>520</v>
      </c>
      <c r="D293" s="2" t="s">
        <v>3</v>
      </c>
    </row>
    <row r="294" spans="1:4" x14ac:dyDescent="0.3">
      <c r="A294" s="1">
        <v>43626</v>
      </c>
      <c r="B294" s="2">
        <v>680</v>
      </c>
      <c r="C294" s="2">
        <f>IF(Сделки[[#This Row],[Тип сделки]]="Покупка",Сделки[[#This Row],[Количество]],-Сделки[[#This Row],[Количество]])</f>
        <v>-680</v>
      </c>
      <c r="D294" s="2" t="s">
        <v>4</v>
      </c>
    </row>
    <row r="295" spans="1:4" x14ac:dyDescent="0.3">
      <c r="A295" s="1">
        <v>43627</v>
      </c>
      <c r="B295" s="2">
        <v>20</v>
      </c>
      <c r="C295" s="2">
        <f>IF(Сделки[[#This Row],[Тип сделки]]="Покупка",Сделки[[#This Row],[Количество]],-Сделки[[#This Row],[Количество]])</f>
        <v>20</v>
      </c>
      <c r="D295" s="2" t="s">
        <v>3</v>
      </c>
    </row>
    <row r="296" spans="1:4" x14ac:dyDescent="0.3">
      <c r="A296" s="1">
        <v>43630</v>
      </c>
      <c r="B296" s="2">
        <v>410</v>
      </c>
      <c r="C296" s="2">
        <f>IF(Сделки[[#This Row],[Тип сделки]]="Покупка",Сделки[[#This Row],[Количество]],-Сделки[[#This Row],[Количество]])</f>
        <v>410</v>
      </c>
      <c r="D296" s="2" t="s">
        <v>3</v>
      </c>
    </row>
    <row r="297" spans="1:4" x14ac:dyDescent="0.3">
      <c r="A297" s="1">
        <v>43630</v>
      </c>
      <c r="B297" s="2">
        <v>670</v>
      </c>
      <c r="C297" s="2">
        <f>IF(Сделки[[#This Row],[Тип сделки]]="Покупка",Сделки[[#This Row],[Количество]],-Сделки[[#This Row],[Количество]])</f>
        <v>670</v>
      </c>
      <c r="D297" s="2" t="s">
        <v>3</v>
      </c>
    </row>
    <row r="298" spans="1:4" x14ac:dyDescent="0.3">
      <c r="A298" s="1">
        <v>43630</v>
      </c>
      <c r="B298" s="2">
        <v>1750</v>
      </c>
      <c r="C298" s="2">
        <f>IF(Сделки[[#This Row],[Тип сделки]]="Покупка",Сделки[[#This Row],[Количество]],-Сделки[[#This Row],[Количество]])</f>
        <v>-1750</v>
      </c>
      <c r="D298" s="2" t="s">
        <v>4</v>
      </c>
    </row>
    <row r="299" spans="1:4" x14ac:dyDescent="0.3">
      <c r="A299" s="1">
        <v>43630</v>
      </c>
      <c r="B299" s="2">
        <v>530</v>
      </c>
      <c r="C299" s="2">
        <f>IF(Сделки[[#This Row],[Тип сделки]]="Покупка",Сделки[[#This Row],[Количество]],-Сделки[[#This Row],[Количество]])</f>
        <v>530</v>
      </c>
      <c r="D299" s="2" t="s">
        <v>3</v>
      </c>
    </row>
    <row r="300" spans="1:4" x14ac:dyDescent="0.3">
      <c r="A300" s="1">
        <v>43637</v>
      </c>
      <c r="B300" s="2">
        <v>750</v>
      </c>
      <c r="C300" s="2">
        <f>IF(Сделки[[#This Row],[Тип сделки]]="Покупка",Сделки[[#This Row],[Количество]],-Сделки[[#This Row],[Количество]])</f>
        <v>750</v>
      </c>
      <c r="D300" s="2" t="s">
        <v>3</v>
      </c>
    </row>
    <row r="301" spans="1:4" x14ac:dyDescent="0.3">
      <c r="A301" s="1">
        <v>43641</v>
      </c>
      <c r="B301" s="2">
        <v>1180</v>
      </c>
      <c r="C301" s="2">
        <f>IF(Сделки[[#This Row],[Тип сделки]]="Покупка",Сделки[[#This Row],[Количество]],-Сделки[[#This Row],[Количество]])</f>
        <v>-1180</v>
      </c>
      <c r="D301" s="2" t="s">
        <v>4</v>
      </c>
    </row>
    <row r="302" spans="1:4" x14ac:dyDescent="0.3">
      <c r="A302" s="1">
        <v>43650</v>
      </c>
      <c r="B302" s="2">
        <v>280</v>
      </c>
      <c r="C302" s="2">
        <f>IF(Сделки[[#This Row],[Тип сделки]]="Покупка",Сделки[[#This Row],[Количество]],-Сделки[[#This Row],[Количество]])</f>
        <v>280</v>
      </c>
      <c r="D302" s="2" t="s">
        <v>3</v>
      </c>
    </row>
    <row r="303" spans="1:4" x14ac:dyDescent="0.3">
      <c r="A303" s="1">
        <v>43654</v>
      </c>
      <c r="B303" s="2">
        <v>80</v>
      </c>
      <c r="C303" s="2">
        <f>IF(Сделки[[#This Row],[Тип сделки]]="Покупка",Сделки[[#This Row],[Количество]],-Сделки[[#This Row],[Количество]])</f>
        <v>-80</v>
      </c>
      <c r="D303" s="2" t="s">
        <v>4</v>
      </c>
    </row>
    <row r="304" spans="1:4" x14ac:dyDescent="0.3">
      <c r="A304" s="1">
        <v>43655</v>
      </c>
      <c r="B304" s="2">
        <v>440</v>
      </c>
      <c r="C304" s="2">
        <f>IF(Сделки[[#This Row],[Тип сделки]]="Покупка",Сделки[[#This Row],[Количество]],-Сделки[[#This Row],[Количество]])</f>
        <v>440</v>
      </c>
      <c r="D304" s="2" t="s">
        <v>3</v>
      </c>
    </row>
    <row r="305" spans="1:4" x14ac:dyDescent="0.3">
      <c r="A305" s="1">
        <v>43656</v>
      </c>
      <c r="B305" s="2">
        <v>630</v>
      </c>
      <c r="C305" s="2">
        <f>IF(Сделки[[#This Row],[Тип сделки]]="Покупка",Сделки[[#This Row],[Количество]],-Сделки[[#This Row],[Количество]])</f>
        <v>-630</v>
      </c>
      <c r="D305" s="2" t="s">
        <v>4</v>
      </c>
    </row>
    <row r="306" spans="1:4" x14ac:dyDescent="0.3">
      <c r="A306" s="1">
        <v>43658</v>
      </c>
      <c r="B306" s="2">
        <v>80</v>
      </c>
      <c r="C306" s="2">
        <f>IF(Сделки[[#This Row],[Тип сделки]]="Покупка",Сделки[[#This Row],[Количество]],-Сделки[[#This Row],[Количество]])</f>
        <v>80</v>
      </c>
      <c r="D306" s="2" t="s">
        <v>3</v>
      </c>
    </row>
    <row r="307" spans="1:4" x14ac:dyDescent="0.3">
      <c r="A307" s="1">
        <v>43664</v>
      </c>
      <c r="B307" s="2">
        <v>580</v>
      </c>
      <c r="C307" s="2">
        <f>IF(Сделки[[#This Row],[Тип сделки]]="Покупка",Сделки[[#This Row],[Количество]],-Сделки[[#This Row],[Количество]])</f>
        <v>580</v>
      </c>
      <c r="D307" s="2" t="s">
        <v>3</v>
      </c>
    </row>
    <row r="308" spans="1:4" x14ac:dyDescent="0.3">
      <c r="A308" s="1">
        <v>43665</v>
      </c>
      <c r="B308" s="2">
        <v>720</v>
      </c>
      <c r="C308" s="2">
        <f>IF(Сделки[[#This Row],[Тип сделки]]="Покупка",Сделки[[#This Row],[Количество]],-Сделки[[#This Row],[Количество]])</f>
        <v>-720</v>
      </c>
      <c r="D308" s="2" t="s">
        <v>4</v>
      </c>
    </row>
    <row r="309" spans="1:4" x14ac:dyDescent="0.3">
      <c r="A309" s="1">
        <v>43665</v>
      </c>
      <c r="B309" s="2">
        <v>730</v>
      </c>
      <c r="C309" s="2">
        <f>IF(Сделки[[#This Row],[Тип сделки]]="Покупка",Сделки[[#This Row],[Количество]],-Сделки[[#This Row],[Количество]])</f>
        <v>730</v>
      </c>
      <c r="D309" s="2" t="s">
        <v>3</v>
      </c>
    </row>
    <row r="310" spans="1:4" x14ac:dyDescent="0.3">
      <c r="A310" s="1">
        <v>43669</v>
      </c>
      <c r="B310" s="2">
        <v>480</v>
      </c>
      <c r="C310" s="2">
        <f>IF(Сделки[[#This Row],[Тип сделки]]="Покупка",Сделки[[#This Row],[Количество]],-Сделки[[#This Row],[Количество]])</f>
        <v>480</v>
      </c>
      <c r="D310" s="2" t="s">
        <v>3</v>
      </c>
    </row>
    <row r="311" spans="1:4" x14ac:dyDescent="0.3">
      <c r="A311" s="1">
        <v>43676</v>
      </c>
      <c r="B311" s="2">
        <v>1540</v>
      </c>
      <c r="C311" s="2">
        <f>IF(Сделки[[#This Row],[Тип сделки]]="Покупка",Сделки[[#This Row],[Количество]],-Сделки[[#This Row],[Количество]])</f>
        <v>-1540</v>
      </c>
      <c r="D311" s="2" t="s">
        <v>4</v>
      </c>
    </row>
    <row r="312" spans="1:4" x14ac:dyDescent="0.3">
      <c r="A312" s="1">
        <v>43676</v>
      </c>
      <c r="B312" s="2">
        <v>210</v>
      </c>
      <c r="C312" s="2">
        <f>IF(Сделки[[#This Row],[Тип сделки]]="Покупка",Сделки[[#This Row],[Количество]],-Сделки[[#This Row],[Количество]])</f>
        <v>210</v>
      </c>
      <c r="D312" s="2" t="s">
        <v>3</v>
      </c>
    </row>
    <row r="313" spans="1:4" x14ac:dyDescent="0.3">
      <c r="A313" s="1">
        <v>43685</v>
      </c>
      <c r="B313" s="2">
        <v>650</v>
      </c>
      <c r="C313" s="2">
        <f>IF(Сделки[[#This Row],[Тип сделки]]="Покупка",Сделки[[#This Row],[Количество]],-Сделки[[#This Row],[Количество]])</f>
        <v>650</v>
      </c>
      <c r="D313" s="2" t="s">
        <v>3</v>
      </c>
    </row>
    <row r="314" spans="1:4" x14ac:dyDescent="0.3">
      <c r="A314" s="1">
        <v>43686</v>
      </c>
      <c r="B314" s="2">
        <v>530</v>
      </c>
      <c r="C314" s="2">
        <f>IF(Сделки[[#This Row],[Тип сделки]]="Покупка",Сделки[[#This Row],[Количество]],-Сделки[[#This Row],[Количество]])</f>
        <v>-530</v>
      </c>
      <c r="D314" s="2" t="s">
        <v>4</v>
      </c>
    </row>
    <row r="315" spans="1:4" x14ac:dyDescent="0.3">
      <c r="A315" s="1">
        <v>43686</v>
      </c>
      <c r="B315" s="2">
        <v>570</v>
      </c>
      <c r="C315" s="2">
        <f>IF(Сделки[[#This Row],[Тип сделки]]="Покупка",Сделки[[#This Row],[Количество]],-Сделки[[#This Row],[Количество]])</f>
        <v>570</v>
      </c>
      <c r="D315" s="2" t="s">
        <v>3</v>
      </c>
    </row>
    <row r="316" spans="1:4" x14ac:dyDescent="0.3">
      <c r="A316" s="1">
        <v>43696</v>
      </c>
      <c r="B316" s="2">
        <v>580</v>
      </c>
      <c r="C316" s="2">
        <f>IF(Сделки[[#This Row],[Тип сделки]]="Покупка",Сделки[[#This Row],[Количество]],-Сделки[[#This Row],[Количество]])</f>
        <v>580</v>
      </c>
      <c r="D316" s="2" t="s">
        <v>3</v>
      </c>
    </row>
    <row r="317" spans="1:4" x14ac:dyDescent="0.3">
      <c r="A317" s="1">
        <v>43705</v>
      </c>
      <c r="B317" s="2">
        <v>460</v>
      </c>
      <c r="C317" s="2">
        <f>IF(Сделки[[#This Row],[Тип сделки]]="Покупка",Сделки[[#This Row],[Количество]],-Сделки[[#This Row],[Количество]])</f>
        <v>-460</v>
      </c>
      <c r="D317" s="2" t="s">
        <v>4</v>
      </c>
    </row>
    <row r="318" spans="1:4" x14ac:dyDescent="0.3">
      <c r="A318" s="1">
        <v>43706</v>
      </c>
      <c r="B318" s="2">
        <v>140</v>
      </c>
      <c r="C318" s="2">
        <f>IF(Сделки[[#This Row],[Тип сделки]]="Покупка",Сделки[[#This Row],[Количество]],-Сделки[[#This Row],[Количество]])</f>
        <v>-140</v>
      </c>
      <c r="D318" s="2" t="s">
        <v>4</v>
      </c>
    </row>
    <row r="319" spans="1:4" x14ac:dyDescent="0.3">
      <c r="A319" s="1">
        <v>43707</v>
      </c>
      <c r="B319" s="2">
        <v>40</v>
      </c>
      <c r="C319" s="2">
        <f>IF(Сделки[[#This Row],[Тип сделки]]="Покупка",Сделки[[#This Row],[Количество]],-Сделки[[#This Row],[Количество]])</f>
        <v>-40</v>
      </c>
      <c r="D319" s="2" t="s">
        <v>4</v>
      </c>
    </row>
    <row r="320" spans="1:4" x14ac:dyDescent="0.3">
      <c r="A320" s="1">
        <v>43710</v>
      </c>
      <c r="B320" s="2">
        <v>340</v>
      </c>
      <c r="C320" s="2">
        <f>IF(Сделки[[#This Row],[Тип сделки]]="Покупка",Сделки[[#This Row],[Количество]],-Сделки[[#This Row],[Количество]])</f>
        <v>-340</v>
      </c>
      <c r="D320" s="2" t="s">
        <v>4</v>
      </c>
    </row>
    <row r="321" spans="1:4" x14ac:dyDescent="0.3">
      <c r="A321" s="1">
        <v>43710</v>
      </c>
      <c r="B321" s="2">
        <v>340</v>
      </c>
      <c r="C321" s="2">
        <f>IF(Сделки[[#This Row],[Тип сделки]]="Покупка",Сделки[[#This Row],[Количество]],-Сделки[[#This Row],[Количество]])</f>
        <v>-340</v>
      </c>
      <c r="D321" s="2" t="s">
        <v>4</v>
      </c>
    </row>
    <row r="322" spans="1:4" x14ac:dyDescent="0.3">
      <c r="A322" s="1">
        <v>43714</v>
      </c>
      <c r="B322" s="2">
        <v>570</v>
      </c>
      <c r="C322" s="2">
        <f>IF(Сделки[[#This Row],[Тип сделки]]="Покупка",Сделки[[#This Row],[Количество]],-Сделки[[#This Row],[Количество]])</f>
        <v>570</v>
      </c>
      <c r="D322" s="2" t="s">
        <v>3</v>
      </c>
    </row>
    <row r="323" spans="1:4" x14ac:dyDescent="0.3">
      <c r="A323" s="1">
        <v>43721</v>
      </c>
      <c r="B323" s="2">
        <v>660</v>
      </c>
      <c r="C323" s="2">
        <f>IF(Сделки[[#This Row],[Тип сделки]]="Покупка",Сделки[[#This Row],[Количество]],-Сделки[[#This Row],[Количество]])</f>
        <v>-660</v>
      </c>
      <c r="D323" s="2" t="s">
        <v>4</v>
      </c>
    </row>
    <row r="324" spans="1:4" x14ac:dyDescent="0.3">
      <c r="A324" s="1">
        <v>43721</v>
      </c>
      <c r="B324" s="2">
        <v>160</v>
      </c>
      <c r="C324" s="2">
        <f>IF(Сделки[[#This Row],[Тип сделки]]="Покупка",Сделки[[#This Row],[Количество]],-Сделки[[#This Row],[Количество]])</f>
        <v>-160</v>
      </c>
      <c r="D324" s="2" t="s">
        <v>4</v>
      </c>
    </row>
    <row r="325" spans="1:4" x14ac:dyDescent="0.3">
      <c r="A325" s="1">
        <v>43721</v>
      </c>
      <c r="B325" s="2">
        <v>690</v>
      </c>
      <c r="C325" s="2">
        <f>IF(Сделки[[#This Row],[Тип сделки]]="Покупка",Сделки[[#This Row],[Количество]],-Сделки[[#This Row],[Количество]])</f>
        <v>690</v>
      </c>
      <c r="D325" s="2" t="s">
        <v>3</v>
      </c>
    </row>
    <row r="326" spans="1:4" x14ac:dyDescent="0.3">
      <c r="A326" s="1">
        <v>43724</v>
      </c>
      <c r="B326" s="2">
        <v>730</v>
      </c>
      <c r="C326" s="2">
        <f>IF(Сделки[[#This Row],[Тип сделки]]="Покупка",Сделки[[#This Row],[Количество]],-Сделки[[#This Row],[Количество]])</f>
        <v>730</v>
      </c>
      <c r="D326" s="2" t="s">
        <v>3</v>
      </c>
    </row>
    <row r="327" spans="1:4" x14ac:dyDescent="0.3">
      <c r="A327" s="1">
        <v>43724</v>
      </c>
      <c r="B327" s="2">
        <v>750</v>
      </c>
      <c r="C327" s="2">
        <f>IF(Сделки[[#This Row],[Тип сделки]]="Покупка",Сделки[[#This Row],[Количество]],-Сделки[[#This Row],[Количество]])</f>
        <v>750</v>
      </c>
      <c r="D327" s="2" t="s">
        <v>3</v>
      </c>
    </row>
    <row r="328" spans="1:4" x14ac:dyDescent="0.3">
      <c r="A328" s="1">
        <v>43725</v>
      </c>
      <c r="B328" s="2">
        <v>790</v>
      </c>
      <c r="C328" s="2">
        <f>IF(Сделки[[#This Row],[Тип сделки]]="Покупка",Сделки[[#This Row],[Количество]],-Сделки[[#This Row],[Количество]])</f>
        <v>-790</v>
      </c>
      <c r="D328" s="2" t="s">
        <v>4</v>
      </c>
    </row>
    <row r="329" spans="1:4" x14ac:dyDescent="0.3">
      <c r="A329" s="1">
        <v>43733</v>
      </c>
      <c r="B329" s="2">
        <v>1280</v>
      </c>
      <c r="C329" s="2">
        <f>IF(Сделки[[#This Row],[Тип сделки]]="Покупка",Сделки[[#This Row],[Количество]],-Сделки[[#This Row],[Количество]])</f>
        <v>-1280</v>
      </c>
      <c r="D329" s="2" t="s">
        <v>4</v>
      </c>
    </row>
    <row r="330" spans="1:4" x14ac:dyDescent="0.3">
      <c r="A330" s="1">
        <v>43734</v>
      </c>
      <c r="B330" s="2">
        <v>580</v>
      </c>
      <c r="C330" s="2">
        <f>IF(Сделки[[#This Row],[Тип сделки]]="Покупка",Сделки[[#This Row],[Количество]],-Сделки[[#This Row],[Количество]])</f>
        <v>580</v>
      </c>
      <c r="D330" s="2" t="s">
        <v>3</v>
      </c>
    </row>
    <row r="331" spans="1:4" x14ac:dyDescent="0.3">
      <c r="A331" s="1">
        <v>43746</v>
      </c>
      <c r="B331" s="2">
        <v>610</v>
      </c>
      <c r="C331" s="2">
        <f>IF(Сделки[[#This Row],[Тип сделки]]="Покупка",Сделки[[#This Row],[Количество]],-Сделки[[#This Row],[Количество]])</f>
        <v>-610</v>
      </c>
      <c r="D331" s="2" t="s">
        <v>4</v>
      </c>
    </row>
    <row r="332" spans="1:4" x14ac:dyDescent="0.3">
      <c r="A332" s="1">
        <v>43748</v>
      </c>
      <c r="B332" s="2">
        <v>490</v>
      </c>
      <c r="C332" s="2">
        <f>IF(Сделки[[#This Row],[Тип сделки]]="Покупка",Сделки[[#This Row],[Количество]],-Сделки[[#This Row],[Количество]])</f>
        <v>490</v>
      </c>
      <c r="D332" s="2" t="s">
        <v>3</v>
      </c>
    </row>
    <row r="333" spans="1:4" x14ac:dyDescent="0.3">
      <c r="A333" s="1">
        <v>43748</v>
      </c>
      <c r="B333" s="2">
        <v>70</v>
      </c>
      <c r="C333" s="2">
        <f>IF(Сделки[[#This Row],[Тип сделки]]="Покупка",Сделки[[#This Row],[Количество]],-Сделки[[#This Row],[Количество]])</f>
        <v>-70</v>
      </c>
      <c r="D333" s="2" t="s">
        <v>4</v>
      </c>
    </row>
    <row r="334" spans="1:4" x14ac:dyDescent="0.3">
      <c r="A334" s="8">
        <v>43749</v>
      </c>
      <c r="B334" s="13">
        <v>0</v>
      </c>
      <c r="C334" s="14">
        <f>IF(Сделки[[#This Row],[Тип сделки]]="Покупка",Сделки[[#This Row],[Количество]],-Сделки[[#This Row],[Количество]])</f>
        <v>0</v>
      </c>
      <c r="D334" s="13" t="s">
        <v>27</v>
      </c>
    </row>
    <row r="335" spans="1:4" x14ac:dyDescent="0.3">
      <c r="A335" s="12">
        <v>43749</v>
      </c>
      <c r="B335" s="2">
        <v>170</v>
      </c>
      <c r="C335" s="2">
        <f>IF(Сделки[[#This Row],[Тип сделки]]="Покупка",Сделки[[#This Row],[Количество]],-Сделки[[#This Row],[Количество]])</f>
        <v>170</v>
      </c>
      <c r="D335" s="2" t="s">
        <v>3</v>
      </c>
    </row>
    <row r="336" spans="1:4" x14ac:dyDescent="0.3">
      <c r="A336" s="1">
        <v>43752</v>
      </c>
      <c r="B336" s="2">
        <v>630</v>
      </c>
      <c r="C336" s="2">
        <f>IF(Сделки[[#This Row],[Тип сделки]]="Покупка",Сделки[[#This Row],[Количество]],-Сделки[[#This Row],[Количество]])</f>
        <v>630</v>
      </c>
      <c r="D336" s="2" t="s">
        <v>3</v>
      </c>
    </row>
    <row r="337" spans="1:4" x14ac:dyDescent="0.3">
      <c r="A337" s="1">
        <v>43753</v>
      </c>
      <c r="B337" s="2">
        <v>110</v>
      </c>
      <c r="C337" s="2">
        <f>IF(Сделки[[#This Row],[Тип сделки]]="Покупка",Сделки[[#This Row],[Количество]],-Сделки[[#This Row],[Количество]])</f>
        <v>110</v>
      </c>
      <c r="D337" s="2" t="s">
        <v>3</v>
      </c>
    </row>
    <row r="338" spans="1:4" x14ac:dyDescent="0.3">
      <c r="A338" s="1">
        <v>43754</v>
      </c>
      <c r="B338" s="2">
        <v>310</v>
      </c>
      <c r="C338" s="2">
        <f>IF(Сделки[[#This Row],[Тип сделки]]="Покупка",Сделки[[#This Row],[Количество]],-Сделки[[#This Row],[Количество]])</f>
        <v>310</v>
      </c>
      <c r="D338" s="2" t="s">
        <v>3</v>
      </c>
    </row>
    <row r="339" spans="1:4" x14ac:dyDescent="0.3">
      <c r="A339" s="1">
        <v>43756</v>
      </c>
      <c r="B339" s="2">
        <v>460</v>
      </c>
      <c r="C339" s="2">
        <f>IF(Сделки[[#This Row],[Тип сделки]]="Покупка",Сделки[[#This Row],[Количество]],-Сделки[[#This Row],[Количество]])</f>
        <v>460</v>
      </c>
      <c r="D339" s="2" t="s">
        <v>3</v>
      </c>
    </row>
    <row r="340" spans="1:4" x14ac:dyDescent="0.3">
      <c r="A340" s="1">
        <v>43756</v>
      </c>
      <c r="B340" s="2">
        <v>400</v>
      </c>
      <c r="C340" s="2">
        <f>IF(Сделки[[#This Row],[Тип сделки]]="Покупка",Сделки[[#This Row],[Количество]],-Сделки[[#This Row],[Количество]])</f>
        <v>-400</v>
      </c>
      <c r="D340" s="2" t="s">
        <v>4</v>
      </c>
    </row>
    <row r="341" spans="1:4" x14ac:dyDescent="0.3">
      <c r="A341" s="1">
        <v>43762</v>
      </c>
      <c r="B341" s="2">
        <v>1520</v>
      </c>
      <c r="C341" s="2">
        <f>IF(Сделки[[#This Row],[Тип сделки]]="Покупка",Сделки[[#This Row],[Количество]],-Сделки[[#This Row],[Количество]])</f>
        <v>-1520</v>
      </c>
      <c r="D341" s="2" t="s">
        <v>4</v>
      </c>
    </row>
    <row r="342" spans="1:4" x14ac:dyDescent="0.3">
      <c r="A342" s="1">
        <v>43770</v>
      </c>
      <c r="B342" s="2">
        <v>380</v>
      </c>
      <c r="C342" s="2">
        <f>IF(Сделки[[#This Row],[Тип сделки]]="Покупка",Сделки[[#This Row],[Количество]],-Сделки[[#This Row],[Количество]])</f>
        <v>380</v>
      </c>
      <c r="D342" s="2" t="s">
        <v>3</v>
      </c>
    </row>
    <row r="343" spans="1:4" x14ac:dyDescent="0.3">
      <c r="A343" s="1">
        <v>43770</v>
      </c>
      <c r="B343" s="2">
        <v>450</v>
      </c>
      <c r="C343" s="2">
        <f>IF(Сделки[[#This Row],[Тип сделки]]="Покупка",Сделки[[#This Row],[Количество]],-Сделки[[#This Row],[Количество]])</f>
        <v>450</v>
      </c>
      <c r="D343" s="2" t="s">
        <v>3</v>
      </c>
    </row>
    <row r="344" spans="1:4" x14ac:dyDescent="0.3">
      <c r="A344" s="1">
        <v>43770</v>
      </c>
      <c r="B344" s="2">
        <v>780</v>
      </c>
      <c r="C344" s="2">
        <f>IF(Сделки[[#This Row],[Тип сделки]]="Покупка",Сделки[[#This Row],[Количество]],-Сделки[[#This Row],[Количество]])</f>
        <v>-780</v>
      </c>
      <c r="D344" s="2" t="s">
        <v>4</v>
      </c>
    </row>
    <row r="345" spans="1:4" x14ac:dyDescent="0.3">
      <c r="A345" s="1">
        <v>43775</v>
      </c>
      <c r="B345" s="2">
        <v>130</v>
      </c>
      <c r="C345" s="2">
        <f>IF(Сделки[[#This Row],[Тип сделки]]="Покупка",Сделки[[#This Row],[Количество]],-Сделки[[#This Row],[Количество]])</f>
        <v>-130</v>
      </c>
      <c r="D345" s="2" t="s">
        <v>4</v>
      </c>
    </row>
    <row r="346" spans="1:4" x14ac:dyDescent="0.3">
      <c r="A346" s="1">
        <v>43776</v>
      </c>
      <c r="B346" s="2">
        <v>690</v>
      </c>
      <c r="C346" s="2">
        <f>IF(Сделки[[#This Row],[Тип сделки]]="Покупка",Сделки[[#This Row],[Количество]],-Сделки[[#This Row],[Количество]])</f>
        <v>690</v>
      </c>
      <c r="D346" s="2" t="s">
        <v>3</v>
      </c>
    </row>
    <row r="347" spans="1:4" x14ac:dyDescent="0.3">
      <c r="A347" s="1">
        <v>43777</v>
      </c>
      <c r="B347" s="2">
        <v>220</v>
      </c>
      <c r="C347" s="2">
        <f>IF(Сделки[[#This Row],[Тип сделки]]="Покупка",Сделки[[#This Row],[Количество]],-Сделки[[#This Row],[Количество]])</f>
        <v>220</v>
      </c>
      <c r="D347" s="2" t="s">
        <v>3</v>
      </c>
    </row>
    <row r="348" spans="1:4" x14ac:dyDescent="0.3">
      <c r="A348" s="1">
        <v>43777</v>
      </c>
      <c r="B348" s="2">
        <v>700</v>
      </c>
      <c r="C348" s="2">
        <f>IF(Сделки[[#This Row],[Тип сделки]]="Покупка",Сделки[[#This Row],[Количество]],-Сделки[[#This Row],[Количество]])</f>
        <v>700</v>
      </c>
      <c r="D348" s="2" t="s">
        <v>3</v>
      </c>
    </row>
    <row r="349" spans="1:4" x14ac:dyDescent="0.3">
      <c r="A349" s="1">
        <v>43784</v>
      </c>
      <c r="B349" s="2">
        <v>300</v>
      </c>
      <c r="C349" s="2">
        <f>IF(Сделки[[#This Row],[Тип сделки]]="Покупка",Сделки[[#This Row],[Количество]],-Сделки[[#This Row],[Количество]])</f>
        <v>-300</v>
      </c>
      <c r="D349" s="2" t="s">
        <v>4</v>
      </c>
    </row>
    <row r="350" spans="1:4" x14ac:dyDescent="0.3">
      <c r="A350" s="1">
        <v>43784</v>
      </c>
      <c r="B350" s="2">
        <v>1020</v>
      </c>
      <c r="C350" s="2">
        <f>IF(Сделки[[#This Row],[Тип сделки]]="Покупка",Сделки[[#This Row],[Количество]],-Сделки[[#This Row],[Количество]])</f>
        <v>-1020</v>
      </c>
      <c r="D350" s="2" t="s">
        <v>4</v>
      </c>
    </row>
    <row r="351" spans="1:4" x14ac:dyDescent="0.3">
      <c r="A351" s="1">
        <v>43784</v>
      </c>
      <c r="B351" s="2">
        <v>280</v>
      </c>
      <c r="C351" s="2">
        <f>IF(Сделки[[#This Row],[Тип сделки]]="Покупка",Сделки[[#This Row],[Количество]],-Сделки[[#This Row],[Количество]])</f>
        <v>280</v>
      </c>
      <c r="D351" s="2" t="s">
        <v>3</v>
      </c>
    </row>
    <row r="352" spans="1:4" x14ac:dyDescent="0.3">
      <c r="A352" s="1">
        <v>43784</v>
      </c>
      <c r="B352" s="2">
        <v>510</v>
      </c>
      <c r="C352" s="2">
        <f>IF(Сделки[[#This Row],[Тип сделки]]="Покупка",Сделки[[#This Row],[Количество]],-Сделки[[#This Row],[Количество]])</f>
        <v>-510</v>
      </c>
      <c r="D352" s="2" t="s">
        <v>4</v>
      </c>
    </row>
    <row r="353" spans="1:4" x14ac:dyDescent="0.3">
      <c r="A353" s="1">
        <v>43791</v>
      </c>
      <c r="B353" s="2">
        <v>610</v>
      </c>
      <c r="C353" s="2">
        <f>IF(Сделки[[#This Row],[Тип сделки]]="Покупка",Сделки[[#This Row],[Количество]],-Сделки[[#This Row],[Количество]])</f>
        <v>610</v>
      </c>
      <c r="D353" s="2" t="s">
        <v>3</v>
      </c>
    </row>
    <row r="354" spans="1:4" x14ac:dyDescent="0.3">
      <c r="A354" s="1">
        <v>43796</v>
      </c>
      <c r="B354" s="2">
        <v>370</v>
      </c>
      <c r="C354" s="2">
        <f>IF(Сделки[[#This Row],[Тип сделки]]="Покупка",Сделки[[#This Row],[Количество]],-Сделки[[#This Row],[Количество]])</f>
        <v>370</v>
      </c>
      <c r="D354" s="2" t="s">
        <v>3</v>
      </c>
    </row>
    <row r="355" spans="1:4" x14ac:dyDescent="0.3">
      <c r="A355" s="1">
        <v>43803</v>
      </c>
      <c r="B355" s="2">
        <v>160</v>
      </c>
      <c r="C355" s="2">
        <f>IF(Сделки[[#This Row],[Тип сделки]]="Покупка",Сделки[[#This Row],[Количество]],-Сделки[[#This Row],[Количество]])</f>
        <v>-160</v>
      </c>
      <c r="D355" s="2" t="s">
        <v>4</v>
      </c>
    </row>
    <row r="356" spans="1:4" x14ac:dyDescent="0.3">
      <c r="A356" s="1">
        <v>43805</v>
      </c>
      <c r="B356" s="2">
        <v>190</v>
      </c>
      <c r="C356" s="2">
        <f>IF(Сделки[[#This Row],[Тип сделки]]="Покупка",Сделки[[#This Row],[Количество]],-Сделки[[#This Row],[Количество]])</f>
        <v>-190</v>
      </c>
      <c r="D356" s="2" t="s">
        <v>4</v>
      </c>
    </row>
    <row r="357" spans="1:4" x14ac:dyDescent="0.3">
      <c r="A357" s="1">
        <v>43805</v>
      </c>
      <c r="B357" s="2">
        <v>80</v>
      </c>
      <c r="C357" s="2">
        <f>IF(Сделки[[#This Row],[Тип сделки]]="Покупка",Сделки[[#This Row],[Количество]],-Сделки[[#This Row],[Количество]])</f>
        <v>80</v>
      </c>
      <c r="D357" s="2" t="s">
        <v>3</v>
      </c>
    </row>
    <row r="358" spans="1:4" x14ac:dyDescent="0.3">
      <c r="A358" s="1">
        <v>43808</v>
      </c>
      <c r="B358" s="2">
        <v>690</v>
      </c>
      <c r="C358" s="2">
        <f>IF(Сделки[[#This Row],[Тип сделки]]="Покупка",Сделки[[#This Row],[Количество]],-Сделки[[#This Row],[Количество]])</f>
        <v>690</v>
      </c>
      <c r="D358" s="2" t="s">
        <v>3</v>
      </c>
    </row>
    <row r="359" spans="1:4" x14ac:dyDescent="0.3">
      <c r="A359" s="1">
        <v>43808</v>
      </c>
      <c r="B359" s="2">
        <v>1140</v>
      </c>
      <c r="C359" s="2">
        <f>IF(Сделки[[#This Row],[Тип сделки]]="Покупка",Сделки[[#This Row],[Количество]],-Сделки[[#This Row],[Количество]])</f>
        <v>-1140</v>
      </c>
      <c r="D359" s="2" t="s">
        <v>4</v>
      </c>
    </row>
    <row r="360" spans="1:4" x14ac:dyDescent="0.3">
      <c r="A360" s="1">
        <v>43811</v>
      </c>
      <c r="B360" s="2">
        <v>220</v>
      </c>
      <c r="C360" s="2">
        <f>IF(Сделки[[#This Row],[Тип сделки]]="Покупка",Сделки[[#This Row],[Количество]],-Сделки[[#This Row],[Количество]])</f>
        <v>-220</v>
      </c>
      <c r="D360" s="2" t="s">
        <v>4</v>
      </c>
    </row>
    <row r="361" spans="1:4" x14ac:dyDescent="0.3">
      <c r="A361" s="1">
        <v>43811</v>
      </c>
      <c r="B361" s="2">
        <v>730</v>
      </c>
      <c r="C361" s="2">
        <f>IF(Сделки[[#This Row],[Тип сделки]]="Покупка",Сделки[[#This Row],[Количество]],-Сделки[[#This Row],[Количество]])</f>
        <v>730</v>
      </c>
      <c r="D361" s="2" t="s">
        <v>3</v>
      </c>
    </row>
    <row r="362" spans="1:4" x14ac:dyDescent="0.3">
      <c r="A362" s="1">
        <v>43816</v>
      </c>
      <c r="B362" s="2">
        <v>70</v>
      </c>
      <c r="C362" s="2">
        <f>IF(Сделки[[#This Row],[Тип сделки]]="Покупка",Сделки[[#This Row],[Количество]],-Сделки[[#This Row],[Количество]])</f>
        <v>-70</v>
      </c>
      <c r="D362" s="2" t="s">
        <v>4</v>
      </c>
    </row>
    <row r="363" spans="1:4" x14ac:dyDescent="0.3">
      <c r="A363" s="1">
        <v>43817</v>
      </c>
      <c r="B363" s="2">
        <v>630</v>
      </c>
      <c r="C363" s="2">
        <f>IF(Сделки[[#This Row],[Тип сделки]]="Покупка",Сделки[[#This Row],[Количество]],-Сделки[[#This Row],[Количество]])</f>
        <v>-630</v>
      </c>
      <c r="D363" s="2" t="s">
        <v>4</v>
      </c>
    </row>
    <row r="364" spans="1:4" x14ac:dyDescent="0.3">
      <c r="A364" s="1">
        <v>43817</v>
      </c>
      <c r="B364" s="2">
        <v>130</v>
      </c>
      <c r="C364" s="2">
        <f>IF(Сделки[[#This Row],[Тип сделки]]="Покупка",Сделки[[#This Row],[Количество]],-Сделки[[#This Row],[Количество]])</f>
        <v>-130</v>
      </c>
      <c r="D364" s="2" t="s">
        <v>4</v>
      </c>
    </row>
    <row r="365" spans="1:4" x14ac:dyDescent="0.3">
      <c r="A365" s="1">
        <v>43818</v>
      </c>
      <c r="B365" s="2">
        <v>330</v>
      </c>
      <c r="C365" s="2">
        <f>IF(Сделки[[#This Row],[Тип сделки]]="Покупка",Сделки[[#This Row],[Количество]],-Сделки[[#This Row],[Количество]])</f>
        <v>330</v>
      </c>
      <c r="D365" s="2" t="s">
        <v>3</v>
      </c>
    </row>
    <row r="366" spans="1:4" x14ac:dyDescent="0.3">
      <c r="A366" s="1">
        <v>43819</v>
      </c>
      <c r="B366" s="2">
        <v>540</v>
      </c>
      <c r="C366" s="2">
        <f>IF(Сделки[[#This Row],[Тип сделки]]="Покупка",Сделки[[#This Row],[Количество]],-Сделки[[#This Row],[Количество]])</f>
        <v>540</v>
      </c>
      <c r="D366" s="2" t="s">
        <v>3</v>
      </c>
    </row>
    <row r="367" spans="1:4" x14ac:dyDescent="0.3">
      <c r="A367" s="1">
        <v>43823</v>
      </c>
      <c r="B367" s="2">
        <v>80</v>
      </c>
      <c r="C367" s="2">
        <f>IF(Сделки[[#This Row],[Тип сделки]]="Покупка",Сделки[[#This Row],[Количество]],-Сделки[[#This Row],[Количество]])</f>
        <v>-80</v>
      </c>
      <c r="D367" s="2" t="s">
        <v>4</v>
      </c>
    </row>
    <row r="368" spans="1:4" x14ac:dyDescent="0.3">
      <c r="A368" s="1">
        <v>43829</v>
      </c>
      <c r="B368" s="2">
        <v>540</v>
      </c>
      <c r="C368" s="2">
        <f>IF(Сделки[[#This Row],[Тип сделки]]="Покупка",Сделки[[#This Row],[Количество]],-Сделки[[#This Row],[Количество]])</f>
        <v>-540</v>
      </c>
      <c r="D368" s="2" t="s">
        <v>4</v>
      </c>
    </row>
    <row r="369" spans="1:4" x14ac:dyDescent="0.3">
      <c r="A369" s="1">
        <v>43833</v>
      </c>
      <c r="B369" s="2">
        <v>130</v>
      </c>
      <c r="C369" s="2">
        <f>IF(Сделки[[#This Row],[Тип сделки]]="Покупка",Сделки[[#This Row],[Количество]],-Сделки[[#This Row],[Количество]])</f>
        <v>130</v>
      </c>
      <c r="D369" s="2" t="s">
        <v>3</v>
      </c>
    </row>
    <row r="370" spans="1:4" x14ac:dyDescent="0.3">
      <c r="A370" s="1">
        <v>43836</v>
      </c>
      <c r="B370" s="2">
        <v>250</v>
      </c>
      <c r="C370" s="2">
        <f>IF(Сделки[[#This Row],[Тип сделки]]="Покупка",Сделки[[#This Row],[Количество]],-Сделки[[#This Row],[Количество]])</f>
        <v>-250</v>
      </c>
      <c r="D370" s="2" t="s">
        <v>4</v>
      </c>
    </row>
    <row r="371" spans="1:4" x14ac:dyDescent="0.3">
      <c r="A371" s="1">
        <v>43836</v>
      </c>
      <c r="B371" s="2">
        <v>370</v>
      </c>
      <c r="C371" s="2">
        <f>IF(Сделки[[#This Row],[Тип сделки]]="Покупка",Сделки[[#This Row],[Количество]],-Сделки[[#This Row],[Количество]])</f>
        <v>370</v>
      </c>
      <c r="D371" s="2" t="s">
        <v>3</v>
      </c>
    </row>
    <row r="372" spans="1:4" x14ac:dyDescent="0.3">
      <c r="A372" s="1">
        <v>43840</v>
      </c>
      <c r="B372" s="2">
        <v>130</v>
      </c>
      <c r="C372" s="2">
        <f>IF(Сделки[[#This Row],[Тип сделки]]="Покупка",Сделки[[#This Row],[Количество]],-Сделки[[#This Row],[Количество]])</f>
        <v>-130</v>
      </c>
      <c r="D372" s="2" t="s">
        <v>4</v>
      </c>
    </row>
    <row r="373" spans="1:4" x14ac:dyDescent="0.3">
      <c r="A373" s="1">
        <v>43846</v>
      </c>
      <c r="B373" s="2">
        <v>160</v>
      </c>
      <c r="C373" s="2">
        <f>IF(Сделки[[#This Row],[Тип сделки]]="Покупка",Сделки[[#This Row],[Количество]],-Сделки[[#This Row],[Количество]])</f>
        <v>160</v>
      </c>
      <c r="D373" s="2" t="s">
        <v>3</v>
      </c>
    </row>
    <row r="374" spans="1:4" x14ac:dyDescent="0.3">
      <c r="A374" s="1">
        <v>43852</v>
      </c>
      <c r="B374" s="2">
        <v>150</v>
      </c>
      <c r="C374" s="2">
        <f>IF(Сделки[[#This Row],[Тип сделки]]="Покупка",Сделки[[#This Row],[Количество]],-Сделки[[#This Row],[Количество]])</f>
        <v>-150</v>
      </c>
      <c r="D374" s="2" t="s">
        <v>4</v>
      </c>
    </row>
    <row r="375" spans="1:4" x14ac:dyDescent="0.3">
      <c r="A375" s="1">
        <v>43853</v>
      </c>
      <c r="B375" s="2">
        <v>290</v>
      </c>
      <c r="C375" s="2">
        <f>IF(Сделки[[#This Row],[Тип сделки]]="Покупка",Сделки[[#This Row],[Количество]],-Сделки[[#This Row],[Количество]])</f>
        <v>290</v>
      </c>
      <c r="D375" s="2" t="s">
        <v>3</v>
      </c>
    </row>
    <row r="376" spans="1:4" x14ac:dyDescent="0.3">
      <c r="A376" s="1">
        <v>43854</v>
      </c>
      <c r="B376" s="2">
        <v>290</v>
      </c>
      <c r="C376" s="2">
        <f>IF(Сделки[[#This Row],[Тип сделки]]="Покупка",Сделки[[#This Row],[Количество]],-Сделки[[#This Row],[Количество]])</f>
        <v>-290</v>
      </c>
      <c r="D376" s="2" t="s">
        <v>4</v>
      </c>
    </row>
    <row r="377" spans="1:4" x14ac:dyDescent="0.3">
      <c r="A377" s="1">
        <v>43854</v>
      </c>
      <c r="B377" s="2">
        <v>510</v>
      </c>
      <c r="C377" s="2">
        <f>IF(Сделки[[#This Row],[Тип сделки]]="Покупка",Сделки[[#This Row],[Количество]],-Сделки[[#This Row],[Количество]])</f>
        <v>510</v>
      </c>
      <c r="D377" s="2" t="s">
        <v>3</v>
      </c>
    </row>
    <row r="378" spans="1:4" x14ac:dyDescent="0.3">
      <c r="A378" s="1">
        <v>43858</v>
      </c>
      <c r="B378" s="2">
        <v>560</v>
      </c>
      <c r="C378" s="2">
        <f>IF(Сделки[[#This Row],[Тип сделки]]="Покупка",Сделки[[#This Row],[Количество]],-Сделки[[#This Row],[Количество]])</f>
        <v>-560</v>
      </c>
      <c r="D378" s="2" t="s">
        <v>4</v>
      </c>
    </row>
    <row r="379" spans="1:4" x14ac:dyDescent="0.3">
      <c r="A379" s="1">
        <v>43860</v>
      </c>
      <c r="B379" s="2">
        <v>200</v>
      </c>
      <c r="C379" s="2">
        <f>IF(Сделки[[#This Row],[Тип сделки]]="Покупка",Сделки[[#This Row],[Количество]],-Сделки[[#This Row],[Количество]])</f>
        <v>-200</v>
      </c>
      <c r="D379" s="2" t="s">
        <v>4</v>
      </c>
    </row>
    <row r="380" spans="1:4" x14ac:dyDescent="0.3">
      <c r="A380" s="1">
        <v>43861</v>
      </c>
      <c r="B380" s="2">
        <v>40</v>
      </c>
      <c r="C380" s="2">
        <f>IF(Сделки[[#This Row],[Тип сделки]]="Покупка",Сделки[[#This Row],[Количество]],-Сделки[[#This Row],[Количество]])</f>
        <v>40</v>
      </c>
      <c r="D380" s="2" t="s">
        <v>3</v>
      </c>
    </row>
    <row r="381" spans="1:4" x14ac:dyDescent="0.3">
      <c r="A381" s="1">
        <v>43861</v>
      </c>
      <c r="B381" s="2">
        <v>120</v>
      </c>
      <c r="C381" s="2">
        <f>IF(Сделки[[#This Row],[Тип сделки]]="Покупка",Сделки[[#This Row],[Количество]],-Сделки[[#This Row],[Количество]])</f>
        <v>120</v>
      </c>
      <c r="D381" s="2" t="s">
        <v>3</v>
      </c>
    </row>
    <row r="382" spans="1:4" x14ac:dyDescent="0.3">
      <c r="A382" s="1">
        <v>43864</v>
      </c>
      <c r="B382" s="2">
        <v>720</v>
      </c>
      <c r="C382" s="2">
        <f>IF(Сделки[[#This Row],[Тип сделки]]="Покупка",Сделки[[#This Row],[Количество]],-Сделки[[#This Row],[Количество]])</f>
        <v>720</v>
      </c>
      <c r="D382" s="2" t="s">
        <v>3</v>
      </c>
    </row>
    <row r="383" spans="1:4" x14ac:dyDescent="0.3">
      <c r="A383" s="1">
        <v>43865</v>
      </c>
      <c r="B383" s="2">
        <v>330</v>
      </c>
      <c r="C383" s="2">
        <f>IF(Сделки[[#This Row],[Тип сделки]]="Покупка",Сделки[[#This Row],[Количество]],-Сделки[[#This Row],[Количество]])</f>
        <v>330</v>
      </c>
      <c r="D383" s="2" t="s">
        <v>3</v>
      </c>
    </row>
    <row r="384" spans="1:4" x14ac:dyDescent="0.3">
      <c r="A384" s="1">
        <v>43865</v>
      </c>
      <c r="B384" s="2">
        <v>940</v>
      </c>
      <c r="C384" s="2">
        <f>IF(Сделки[[#This Row],[Тип сделки]]="Покупка",Сделки[[#This Row],[Количество]],-Сделки[[#This Row],[Количество]])</f>
        <v>-940</v>
      </c>
      <c r="D384" s="2" t="s">
        <v>4</v>
      </c>
    </row>
    <row r="385" spans="1:4" x14ac:dyDescent="0.3">
      <c r="A385" s="1">
        <v>43866</v>
      </c>
      <c r="B385" s="2">
        <v>320</v>
      </c>
      <c r="C385" s="2">
        <f>IF(Сделки[[#This Row],[Тип сделки]]="Покупка",Сделки[[#This Row],[Количество]],-Сделки[[#This Row],[Количество]])</f>
        <v>320</v>
      </c>
      <c r="D385" s="2" t="s">
        <v>3</v>
      </c>
    </row>
    <row r="386" spans="1:4" x14ac:dyDescent="0.3">
      <c r="A386" s="1">
        <v>43868</v>
      </c>
      <c r="B386" s="2">
        <v>160</v>
      </c>
      <c r="C386" s="2">
        <f>IF(Сделки[[#This Row],[Тип сделки]]="Покупка",Сделки[[#This Row],[Количество]],-Сделки[[#This Row],[Количество]])</f>
        <v>-160</v>
      </c>
      <c r="D386" s="2" t="s">
        <v>4</v>
      </c>
    </row>
    <row r="387" spans="1:4" x14ac:dyDescent="0.3">
      <c r="A387" s="1">
        <v>43868</v>
      </c>
      <c r="B387" s="2">
        <v>610</v>
      </c>
      <c r="C387" s="2">
        <f>IF(Сделки[[#This Row],[Тип сделки]]="Покупка",Сделки[[#This Row],[Количество]],-Сделки[[#This Row],[Количество]])</f>
        <v>-610</v>
      </c>
      <c r="D387" s="2" t="s">
        <v>4</v>
      </c>
    </row>
    <row r="388" spans="1:4" x14ac:dyDescent="0.3">
      <c r="A388" s="1">
        <v>43868</v>
      </c>
      <c r="B388" s="2">
        <v>250</v>
      </c>
      <c r="C388" s="2">
        <f>IF(Сделки[[#This Row],[Тип сделки]]="Покупка",Сделки[[#This Row],[Количество]],-Сделки[[#This Row],[Количество]])</f>
        <v>250</v>
      </c>
      <c r="D388" s="2" t="s">
        <v>3</v>
      </c>
    </row>
    <row r="389" spans="1:4" x14ac:dyDescent="0.3">
      <c r="A389" s="1">
        <v>43871</v>
      </c>
      <c r="B389" s="2">
        <v>290</v>
      </c>
      <c r="C389" s="2">
        <f>IF(Сделки[[#This Row],[Тип сделки]]="Покупка",Сделки[[#This Row],[Количество]],-Сделки[[#This Row],[Количество]])</f>
        <v>-290</v>
      </c>
      <c r="D389" s="2" t="s">
        <v>4</v>
      </c>
    </row>
    <row r="390" spans="1:4" x14ac:dyDescent="0.3">
      <c r="A390" s="1">
        <v>43874</v>
      </c>
      <c r="B390" s="2">
        <v>400</v>
      </c>
      <c r="C390" s="2">
        <f>IF(Сделки[[#This Row],[Тип сделки]]="Покупка",Сделки[[#This Row],[Количество]],-Сделки[[#This Row],[Количество]])</f>
        <v>400</v>
      </c>
      <c r="D390" s="2" t="s">
        <v>3</v>
      </c>
    </row>
    <row r="391" spans="1:4" x14ac:dyDescent="0.3">
      <c r="A391" s="1">
        <v>43875</v>
      </c>
      <c r="B391" s="2">
        <v>10</v>
      </c>
      <c r="C391" s="2">
        <f>IF(Сделки[[#This Row],[Тип сделки]]="Покупка",Сделки[[#This Row],[Количество]],-Сделки[[#This Row],[Количество]])</f>
        <v>10</v>
      </c>
      <c r="D391" s="2" t="s">
        <v>3</v>
      </c>
    </row>
    <row r="392" spans="1:4" x14ac:dyDescent="0.3">
      <c r="A392" s="1">
        <v>43875</v>
      </c>
      <c r="B392" s="2">
        <v>640</v>
      </c>
      <c r="C392" s="2">
        <f>IF(Сделки[[#This Row],[Тип сделки]]="Покупка",Сделки[[#This Row],[Количество]],-Сделки[[#This Row],[Количество]])</f>
        <v>640</v>
      </c>
      <c r="D392" s="2" t="s">
        <v>3</v>
      </c>
    </row>
    <row r="393" spans="1:4" x14ac:dyDescent="0.3">
      <c r="A393" s="1">
        <v>43878</v>
      </c>
      <c r="B393" s="2">
        <v>750</v>
      </c>
      <c r="C393" s="2">
        <f>IF(Сделки[[#This Row],[Тип сделки]]="Покупка",Сделки[[#This Row],[Количество]],-Сделки[[#This Row],[Количество]])</f>
        <v>750</v>
      </c>
      <c r="D393" s="2" t="s">
        <v>3</v>
      </c>
    </row>
    <row r="394" spans="1:4" x14ac:dyDescent="0.3">
      <c r="A394" s="1">
        <v>43879</v>
      </c>
      <c r="B394" s="2">
        <v>380</v>
      </c>
      <c r="C394" s="2">
        <f>IF(Сделки[[#This Row],[Тип сделки]]="Покупка",Сделки[[#This Row],[Количество]],-Сделки[[#This Row],[Количество]])</f>
        <v>380</v>
      </c>
      <c r="D394" s="2" t="s">
        <v>3</v>
      </c>
    </row>
    <row r="395" spans="1:4" x14ac:dyDescent="0.3">
      <c r="A395" s="1">
        <v>43881</v>
      </c>
      <c r="B395" s="2">
        <v>2250</v>
      </c>
      <c r="C395" s="2">
        <f>IF(Сделки[[#This Row],[Тип сделки]]="Покупка",Сделки[[#This Row],[Количество]],-Сделки[[#This Row],[Количество]])</f>
        <v>-2250</v>
      </c>
      <c r="D395" s="2" t="s">
        <v>4</v>
      </c>
    </row>
    <row r="396" spans="1:4" x14ac:dyDescent="0.3">
      <c r="A396" s="1">
        <v>43882</v>
      </c>
      <c r="B396" s="2">
        <v>570</v>
      </c>
      <c r="C396" s="2">
        <f>IF(Сделки[[#This Row],[Тип сделки]]="Покупка",Сделки[[#This Row],[Количество]],-Сделки[[#This Row],[Количество]])</f>
        <v>570</v>
      </c>
      <c r="D396" s="2" t="s">
        <v>3</v>
      </c>
    </row>
    <row r="397" spans="1:4" x14ac:dyDescent="0.3">
      <c r="A397" s="1">
        <v>43882</v>
      </c>
      <c r="B397" s="2">
        <v>430</v>
      </c>
      <c r="C397" s="2">
        <f>IF(Сделки[[#This Row],[Тип сделки]]="Покупка",Сделки[[#This Row],[Количество]],-Сделки[[#This Row],[Количество]])</f>
        <v>-430</v>
      </c>
      <c r="D397" s="2" t="s">
        <v>4</v>
      </c>
    </row>
    <row r="398" spans="1:4" x14ac:dyDescent="0.3">
      <c r="A398" s="1">
        <v>43886</v>
      </c>
      <c r="B398" s="2">
        <v>10</v>
      </c>
      <c r="C398" s="2">
        <f>IF(Сделки[[#This Row],[Тип сделки]]="Покупка",Сделки[[#This Row],[Количество]],-Сделки[[#This Row],[Количество]])</f>
        <v>-10</v>
      </c>
      <c r="D398" s="2" t="s">
        <v>4</v>
      </c>
    </row>
    <row r="399" spans="1:4" x14ac:dyDescent="0.3">
      <c r="A399" s="1">
        <v>43887</v>
      </c>
      <c r="B399" s="2">
        <v>540</v>
      </c>
      <c r="C399" s="2">
        <f>IF(Сделки[[#This Row],[Тип сделки]]="Покупка",Сделки[[#This Row],[Количество]],-Сделки[[#This Row],[Количество]])</f>
        <v>540</v>
      </c>
      <c r="D399" s="2" t="s">
        <v>3</v>
      </c>
    </row>
    <row r="400" spans="1:4" x14ac:dyDescent="0.3">
      <c r="A400" s="1">
        <v>43887</v>
      </c>
      <c r="B400" s="2">
        <v>150</v>
      </c>
      <c r="C400" s="2">
        <f>IF(Сделки[[#This Row],[Тип сделки]]="Покупка",Сделки[[#This Row],[Количество]],-Сделки[[#This Row],[Количество]])</f>
        <v>150</v>
      </c>
      <c r="D400" s="2" t="s">
        <v>3</v>
      </c>
    </row>
    <row r="401" spans="1:4" x14ac:dyDescent="0.3">
      <c r="A401" s="1">
        <v>43889</v>
      </c>
      <c r="B401" s="2">
        <v>560</v>
      </c>
      <c r="C401" s="2">
        <f>IF(Сделки[[#This Row],[Тип сделки]]="Покупка",Сделки[[#This Row],[Количество]],-Сделки[[#This Row],[Количество]])</f>
        <v>-560</v>
      </c>
      <c r="D401" s="2" t="s">
        <v>4</v>
      </c>
    </row>
    <row r="402" spans="1:4" x14ac:dyDescent="0.3">
      <c r="A402" s="1">
        <v>43896</v>
      </c>
      <c r="B402" s="2">
        <v>380</v>
      </c>
      <c r="C402" s="2">
        <f>IF(Сделки[[#This Row],[Тип сделки]]="Покупка",Сделки[[#This Row],[Количество]],-Сделки[[#This Row],[Количество]])</f>
        <v>380</v>
      </c>
      <c r="D402" s="2" t="s">
        <v>3</v>
      </c>
    </row>
    <row r="403" spans="1:4" x14ac:dyDescent="0.3">
      <c r="A403" s="1">
        <v>43896</v>
      </c>
      <c r="B403" s="2">
        <v>330</v>
      </c>
      <c r="C403" s="2">
        <f>IF(Сделки[[#This Row],[Тип сделки]]="Покупка",Сделки[[#This Row],[Количество]],-Сделки[[#This Row],[Количество]])</f>
        <v>330</v>
      </c>
      <c r="D403" s="2" t="s">
        <v>3</v>
      </c>
    </row>
    <row r="404" spans="1:4" x14ac:dyDescent="0.3">
      <c r="A404" s="1">
        <v>43901</v>
      </c>
      <c r="B404" s="2">
        <v>500</v>
      </c>
      <c r="C404" s="2">
        <f>IF(Сделки[[#This Row],[Тип сделки]]="Покупка",Сделки[[#This Row],[Количество]],-Сделки[[#This Row],[Количество]])</f>
        <v>500</v>
      </c>
      <c r="D404" s="2" t="s">
        <v>3</v>
      </c>
    </row>
    <row r="405" spans="1:4" x14ac:dyDescent="0.3">
      <c r="A405" s="1">
        <v>43903</v>
      </c>
      <c r="B405" s="2">
        <v>1360</v>
      </c>
      <c r="C405" s="2">
        <f>IF(Сделки[[#This Row],[Тип сделки]]="Покупка",Сделки[[#This Row],[Количество]],-Сделки[[#This Row],[Количество]])</f>
        <v>-1360</v>
      </c>
      <c r="D405" s="2" t="s">
        <v>4</v>
      </c>
    </row>
    <row r="406" spans="1:4" x14ac:dyDescent="0.3">
      <c r="A406" s="1">
        <v>43903</v>
      </c>
      <c r="B406" s="2">
        <v>220</v>
      </c>
      <c r="C406" s="2">
        <f>IF(Сделки[[#This Row],[Тип сделки]]="Покупка",Сделки[[#This Row],[Количество]],-Сделки[[#This Row],[Количество]])</f>
        <v>220</v>
      </c>
      <c r="D406" s="2" t="s">
        <v>3</v>
      </c>
    </row>
    <row r="407" spans="1:4" x14ac:dyDescent="0.3">
      <c r="A407" s="1">
        <v>43908</v>
      </c>
      <c r="B407" s="2">
        <v>120</v>
      </c>
      <c r="C407" s="2">
        <f>IF(Сделки[[#This Row],[Тип сделки]]="Покупка",Сделки[[#This Row],[Количество]],-Сделки[[#This Row],[Количество]])</f>
        <v>120</v>
      </c>
      <c r="D407" s="2" t="s">
        <v>3</v>
      </c>
    </row>
    <row r="408" spans="1:4" x14ac:dyDescent="0.3">
      <c r="A408" s="1">
        <v>43910</v>
      </c>
      <c r="B408" s="2">
        <v>450</v>
      </c>
      <c r="C408" s="2">
        <f>IF(Сделки[[#This Row],[Тип сделки]]="Покупка",Сделки[[#This Row],[Количество]],-Сделки[[#This Row],[Количество]])</f>
        <v>-450</v>
      </c>
      <c r="D408" s="2" t="s">
        <v>4</v>
      </c>
    </row>
    <row r="409" spans="1:4" x14ac:dyDescent="0.3">
      <c r="A409" s="1">
        <v>43910</v>
      </c>
      <c r="B409" s="2">
        <v>670</v>
      </c>
      <c r="C409" s="2">
        <f>IF(Сделки[[#This Row],[Тип сделки]]="Покупка",Сделки[[#This Row],[Количество]],-Сделки[[#This Row],[Количество]])</f>
        <v>670</v>
      </c>
      <c r="D409" s="2" t="s">
        <v>3</v>
      </c>
    </row>
    <row r="410" spans="1:4" x14ac:dyDescent="0.3">
      <c r="A410" s="1">
        <v>43910</v>
      </c>
      <c r="B410" s="2">
        <v>580</v>
      </c>
      <c r="C410" s="2">
        <f>IF(Сделки[[#This Row],[Тип сделки]]="Покупка",Сделки[[#This Row],[Количество]],-Сделки[[#This Row],[Количество]])</f>
        <v>-580</v>
      </c>
      <c r="D410" s="2" t="s">
        <v>4</v>
      </c>
    </row>
    <row r="411" spans="1:4" x14ac:dyDescent="0.3">
      <c r="A411" s="1">
        <v>43914</v>
      </c>
      <c r="B411" s="2">
        <v>280</v>
      </c>
      <c r="C411" s="2">
        <f>IF(Сделки[[#This Row],[Тип сделки]]="Покупка",Сделки[[#This Row],[Количество]],-Сделки[[#This Row],[Количество]])</f>
        <v>280</v>
      </c>
      <c r="D411" s="2" t="s">
        <v>3</v>
      </c>
    </row>
    <row r="412" spans="1:4" x14ac:dyDescent="0.3">
      <c r="A412" s="1">
        <v>43915</v>
      </c>
      <c r="B412" s="2">
        <v>690</v>
      </c>
      <c r="C412" s="2">
        <f>IF(Сделки[[#This Row],[Тип сделки]]="Покупка",Сделки[[#This Row],[Количество]],-Сделки[[#This Row],[Количество]])</f>
        <v>690</v>
      </c>
      <c r="D412" s="2" t="s">
        <v>3</v>
      </c>
    </row>
    <row r="413" spans="1:4" x14ac:dyDescent="0.3">
      <c r="A413" s="1">
        <v>43916</v>
      </c>
      <c r="B413" s="2">
        <v>220</v>
      </c>
      <c r="C413" s="2">
        <f>IF(Сделки[[#This Row],[Тип сделки]]="Покупка",Сделки[[#This Row],[Количество]],-Сделки[[#This Row],[Количество]])</f>
        <v>-220</v>
      </c>
      <c r="D413" s="2" t="s">
        <v>4</v>
      </c>
    </row>
    <row r="414" spans="1:4" x14ac:dyDescent="0.3">
      <c r="A414" s="1">
        <v>43924</v>
      </c>
      <c r="B414" s="2">
        <v>460</v>
      </c>
      <c r="C414" s="2">
        <f>IF(Сделки[[#This Row],[Тип сделки]]="Покупка",Сделки[[#This Row],[Количество]],-Сделки[[#This Row],[Количество]])</f>
        <v>-460</v>
      </c>
      <c r="D414" s="2" t="s">
        <v>4</v>
      </c>
    </row>
    <row r="415" spans="1:4" x14ac:dyDescent="0.3">
      <c r="A415" s="1">
        <v>43924</v>
      </c>
      <c r="B415" s="2">
        <v>180</v>
      </c>
      <c r="C415" s="2">
        <f>IF(Сделки[[#This Row],[Тип сделки]]="Покупка",Сделки[[#This Row],[Количество]],-Сделки[[#This Row],[Количество]])</f>
        <v>-180</v>
      </c>
      <c r="D415" s="2" t="s">
        <v>4</v>
      </c>
    </row>
    <row r="416" spans="1:4" x14ac:dyDescent="0.3">
      <c r="A416" s="1">
        <v>43927</v>
      </c>
      <c r="B416" s="2">
        <v>520</v>
      </c>
      <c r="C416" s="2">
        <f>IF(Сделки[[#This Row],[Тип сделки]]="Покупка",Сделки[[#This Row],[Количество]],-Сделки[[#This Row],[Количество]])</f>
        <v>520</v>
      </c>
      <c r="D416" s="2" t="s">
        <v>3</v>
      </c>
    </row>
    <row r="417" spans="1:4" x14ac:dyDescent="0.3">
      <c r="A417" s="1">
        <v>43928</v>
      </c>
      <c r="B417" s="2">
        <v>300</v>
      </c>
      <c r="C417" s="2">
        <f>IF(Сделки[[#This Row],[Тип сделки]]="Покупка",Сделки[[#This Row],[Количество]],-Сделки[[#This Row],[Количество]])</f>
        <v>300</v>
      </c>
      <c r="D417" s="2" t="s">
        <v>3</v>
      </c>
    </row>
    <row r="418" spans="1:4" x14ac:dyDescent="0.3">
      <c r="A418" s="1">
        <v>43929</v>
      </c>
      <c r="B418" s="2">
        <v>170</v>
      </c>
      <c r="C418" s="2">
        <f>IF(Сделки[[#This Row],[Тип сделки]]="Покупка",Сделки[[#This Row],[Количество]],-Сделки[[#This Row],[Количество]])</f>
        <v>170</v>
      </c>
      <c r="D418" s="2" t="s">
        <v>3</v>
      </c>
    </row>
    <row r="419" spans="1:4" x14ac:dyDescent="0.3">
      <c r="A419" s="8">
        <v>43931</v>
      </c>
      <c r="B419" s="13">
        <v>0</v>
      </c>
      <c r="C419" s="13">
        <f>IF(Сделки[[#This Row],[Тип сделки]]="Покупка",Сделки[[#This Row],[Количество]],-Сделки[[#This Row],[Количество]])</f>
        <v>0</v>
      </c>
      <c r="D419" s="13" t="s">
        <v>27</v>
      </c>
    </row>
    <row r="420" spans="1:4" x14ac:dyDescent="0.3">
      <c r="A420" s="1">
        <v>43934</v>
      </c>
      <c r="B420" s="2">
        <v>150</v>
      </c>
      <c r="C420" s="2">
        <f>IF(Сделки[[#This Row],[Тип сделки]]="Покупка",Сделки[[#This Row],[Количество]],-Сделки[[#This Row],[Количество]])</f>
        <v>150</v>
      </c>
      <c r="D420" s="2" t="s">
        <v>3</v>
      </c>
    </row>
    <row r="421" spans="1:4" x14ac:dyDescent="0.3">
      <c r="A421" s="1">
        <v>43936</v>
      </c>
      <c r="B421" s="2">
        <v>970</v>
      </c>
      <c r="C421" s="2">
        <f>IF(Сделки[[#This Row],[Тип сделки]]="Покупка",Сделки[[#This Row],[Количество]],-Сделки[[#This Row],[Количество]])</f>
        <v>-970</v>
      </c>
      <c r="D421" s="2" t="s">
        <v>4</v>
      </c>
    </row>
    <row r="422" spans="1:4" x14ac:dyDescent="0.3">
      <c r="A422" s="1">
        <v>43938</v>
      </c>
      <c r="B422" s="2">
        <v>130</v>
      </c>
      <c r="C422" s="2">
        <f>IF(Сделки[[#This Row],[Тип сделки]]="Покупка",Сделки[[#This Row],[Количество]],-Сделки[[#This Row],[Количество]])</f>
        <v>-130</v>
      </c>
      <c r="D422" s="2" t="s">
        <v>4</v>
      </c>
    </row>
    <row r="423" spans="1:4" x14ac:dyDescent="0.3">
      <c r="A423" s="1">
        <v>43942</v>
      </c>
      <c r="B423" s="2">
        <v>340</v>
      </c>
      <c r="C423" s="2">
        <f>IF(Сделки[[#This Row],[Тип сделки]]="Покупка",Сделки[[#This Row],[Количество]],-Сделки[[#This Row],[Количество]])</f>
        <v>340</v>
      </c>
      <c r="D423" s="2" t="s">
        <v>3</v>
      </c>
    </row>
    <row r="424" spans="1:4" x14ac:dyDescent="0.3">
      <c r="A424" s="1">
        <v>43942</v>
      </c>
      <c r="B424" s="2">
        <v>50</v>
      </c>
      <c r="C424" s="2">
        <f>IF(Сделки[[#This Row],[Тип сделки]]="Покупка",Сделки[[#This Row],[Количество]],-Сделки[[#This Row],[Количество]])</f>
        <v>50</v>
      </c>
      <c r="D424" s="2" t="s">
        <v>3</v>
      </c>
    </row>
    <row r="425" spans="1:4" x14ac:dyDescent="0.3">
      <c r="A425" s="1">
        <v>43943</v>
      </c>
      <c r="B425" s="2">
        <v>640</v>
      </c>
      <c r="C425" s="2">
        <f>IF(Сделки[[#This Row],[Тип сделки]]="Покупка",Сделки[[#This Row],[Количество]],-Сделки[[#This Row],[Количество]])</f>
        <v>-640</v>
      </c>
      <c r="D425" s="2" t="s">
        <v>4</v>
      </c>
    </row>
    <row r="426" spans="1:4" x14ac:dyDescent="0.3">
      <c r="A426" s="1">
        <v>43943</v>
      </c>
      <c r="B426" s="2">
        <v>680</v>
      </c>
      <c r="C426" s="2">
        <f>IF(Сделки[[#This Row],[Тип сделки]]="Покупка",Сделки[[#This Row],[Количество]],-Сделки[[#This Row],[Количество]])</f>
        <v>680</v>
      </c>
      <c r="D426" s="2" t="s">
        <v>3</v>
      </c>
    </row>
    <row r="427" spans="1:4" x14ac:dyDescent="0.3">
      <c r="A427" s="1">
        <v>43944</v>
      </c>
      <c r="B427" s="2">
        <v>390</v>
      </c>
      <c r="C427" s="2">
        <f>IF(Сделки[[#This Row],[Тип сделки]]="Покупка",Сделки[[#This Row],[Количество]],-Сделки[[#This Row],[Количество]])</f>
        <v>390</v>
      </c>
      <c r="D427" s="2" t="s">
        <v>3</v>
      </c>
    </row>
    <row r="428" spans="1:4" x14ac:dyDescent="0.3">
      <c r="A428" s="1">
        <v>43945</v>
      </c>
      <c r="B428" s="2">
        <v>110</v>
      </c>
      <c r="C428" s="2">
        <f>IF(Сделки[[#This Row],[Тип сделки]]="Покупка",Сделки[[#This Row],[Количество]],-Сделки[[#This Row],[Количество]])</f>
        <v>110</v>
      </c>
      <c r="D428" s="2" t="s">
        <v>3</v>
      </c>
    </row>
    <row r="429" spans="1:4" x14ac:dyDescent="0.3">
      <c r="A429" s="1">
        <v>43948</v>
      </c>
      <c r="B429" s="2">
        <v>220</v>
      </c>
      <c r="C429" s="2">
        <f>IF(Сделки[[#This Row],[Тип сделки]]="Покупка",Сделки[[#This Row],[Количество]],-Сделки[[#This Row],[Количество]])</f>
        <v>-220</v>
      </c>
      <c r="D429" s="2" t="s">
        <v>4</v>
      </c>
    </row>
    <row r="430" spans="1:4" x14ac:dyDescent="0.3">
      <c r="A430" s="1">
        <v>43949</v>
      </c>
      <c r="B430" s="2">
        <v>400</v>
      </c>
      <c r="C430" s="2">
        <f>IF(Сделки[[#This Row],[Тип сделки]]="Покупка",Сделки[[#This Row],[Количество]],-Сделки[[#This Row],[Количество]])</f>
        <v>-400</v>
      </c>
      <c r="D430" s="2" t="s">
        <v>4</v>
      </c>
    </row>
    <row r="431" spans="1:4" x14ac:dyDescent="0.3">
      <c r="A431" s="1">
        <v>43950</v>
      </c>
      <c r="B431" s="2">
        <v>510</v>
      </c>
      <c r="C431" s="2">
        <f>IF(Сделки[[#This Row],[Тип сделки]]="Покупка",Сделки[[#This Row],[Количество]],-Сделки[[#This Row],[Количество]])</f>
        <v>510</v>
      </c>
      <c r="D431" s="2" t="s">
        <v>3</v>
      </c>
    </row>
    <row r="432" spans="1:4" x14ac:dyDescent="0.3">
      <c r="A432" s="1">
        <v>43950</v>
      </c>
      <c r="B432" s="2">
        <v>210</v>
      </c>
      <c r="C432" s="2">
        <f>IF(Сделки[[#This Row],[Тип сделки]]="Покупка",Сделки[[#This Row],[Количество]],-Сделки[[#This Row],[Количество]])</f>
        <v>-210</v>
      </c>
      <c r="D432" s="2" t="s">
        <v>4</v>
      </c>
    </row>
    <row r="433" spans="1:4" x14ac:dyDescent="0.3">
      <c r="A433" s="1">
        <v>43951</v>
      </c>
      <c r="B433" s="2">
        <v>170</v>
      </c>
      <c r="C433" s="2">
        <f>IF(Сделки[[#This Row],[Тип сделки]]="Покупка",Сделки[[#This Row],[Количество]],-Сделки[[#This Row],[Количество]])</f>
        <v>-170</v>
      </c>
      <c r="D433" s="2" t="s">
        <v>4</v>
      </c>
    </row>
    <row r="434" spans="1:4" x14ac:dyDescent="0.3">
      <c r="A434" s="1">
        <v>43951</v>
      </c>
      <c r="B434" s="2">
        <v>480</v>
      </c>
      <c r="C434" s="2">
        <f>IF(Сделки[[#This Row],[Тип сделки]]="Покупка",Сделки[[#This Row],[Количество]],-Сделки[[#This Row],[Количество]])</f>
        <v>-480</v>
      </c>
      <c r="D434" s="2" t="s">
        <v>4</v>
      </c>
    </row>
    <row r="435" spans="1:4" x14ac:dyDescent="0.3">
      <c r="A435" s="1">
        <v>43955</v>
      </c>
      <c r="B435" s="2">
        <v>510</v>
      </c>
      <c r="C435" s="2">
        <f>IF(Сделки[[#This Row],[Тип сделки]]="Покупка",Сделки[[#This Row],[Количество]],-Сделки[[#This Row],[Количество]])</f>
        <v>510</v>
      </c>
      <c r="D435" s="2" t="s">
        <v>3</v>
      </c>
    </row>
    <row r="436" spans="1:4" x14ac:dyDescent="0.3">
      <c r="A436" s="1">
        <v>43959</v>
      </c>
      <c r="B436" s="2">
        <v>480</v>
      </c>
      <c r="C436" s="2">
        <f>IF(Сделки[[#This Row],[Тип сделки]]="Покупка",Сделки[[#This Row],[Количество]],-Сделки[[#This Row],[Количество]])</f>
        <v>-480</v>
      </c>
      <c r="D436" s="2" t="s">
        <v>4</v>
      </c>
    </row>
    <row r="437" spans="1:4" x14ac:dyDescent="0.3">
      <c r="A437" s="1">
        <v>43959</v>
      </c>
      <c r="B437" s="2">
        <v>90</v>
      </c>
      <c r="C437" s="2">
        <f>IF(Сделки[[#This Row],[Тип сделки]]="Покупка",Сделки[[#This Row],[Количество]],-Сделки[[#This Row],[Количество]])</f>
        <v>90</v>
      </c>
      <c r="D437" s="2" t="s">
        <v>3</v>
      </c>
    </row>
    <row r="438" spans="1:4" x14ac:dyDescent="0.3">
      <c r="A438" s="1">
        <v>43959</v>
      </c>
      <c r="B438" s="2">
        <v>180</v>
      </c>
      <c r="C438" s="2">
        <f>IF(Сделки[[#This Row],[Тип сделки]]="Покупка",Сделки[[#This Row],[Количество]],-Сделки[[#This Row],[Количество]])</f>
        <v>180</v>
      </c>
      <c r="D438" s="2" t="s">
        <v>3</v>
      </c>
    </row>
    <row r="439" spans="1:4" x14ac:dyDescent="0.3">
      <c r="A439" s="1">
        <v>43959</v>
      </c>
      <c r="B439" s="2">
        <v>450</v>
      </c>
      <c r="C439" s="2">
        <f>IF(Сделки[[#This Row],[Тип сделки]]="Покупка",Сделки[[#This Row],[Количество]],-Сделки[[#This Row],[Количество]])</f>
        <v>-450</v>
      </c>
      <c r="D439" s="2" t="s">
        <v>4</v>
      </c>
    </row>
    <row r="440" spans="1:4" x14ac:dyDescent="0.3">
      <c r="A440" s="1">
        <v>43966</v>
      </c>
      <c r="B440" s="2">
        <v>510</v>
      </c>
      <c r="C440" s="2">
        <f>IF(Сделки[[#This Row],[Тип сделки]]="Покупка",Сделки[[#This Row],[Количество]],-Сделки[[#This Row],[Количество]])</f>
        <v>510</v>
      </c>
      <c r="D440" s="2" t="s">
        <v>3</v>
      </c>
    </row>
    <row r="441" spans="1:4" x14ac:dyDescent="0.3">
      <c r="A441" s="1">
        <v>43969</v>
      </c>
      <c r="B441" s="2">
        <v>390</v>
      </c>
      <c r="C441" s="2">
        <f>IF(Сделки[[#This Row],[Тип сделки]]="Покупка",Сделки[[#This Row],[Количество]],-Сделки[[#This Row],[Количество]])</f>
        <v>-390</v>
      </c>
      <c r="D441" s="2" t="s">
        <v>4</v>
      </c>
    </row>
    <row r="442" spans="1:4" x14ac:dyDescent="0.3">
      <c r="A442" s="1">
        <v>43972</v>
      </c>
      <c r="B442" s="2">
        <v>390</v>
      </c>
      <c r="C442" s="2">
        <f>IF(Сделки[[#This Row],[Тип сделки]]="Покупка",Сделки[[#This Row],[Количество]],-Сделки[[#This Row],[Количество]])</f>
        <v>390</v>
      </c>
      <c r="D442" s="2" t="s">
        <v>3</v>
      </c>
    </row>
    <row r="443" spans="1:4" x14ac:dyDescent="0.3">
      <c r="A443" s="1">
        <v>43972</v>
      </c>
      <c r="B443" s="2">
        <v>730</v>
      </c>
      <c r="C443" s="2">
        <f>IF(Сделки[[#This Row],[Тип сделки]]="Покупка",Сделки[[#This Row],[Количество]],-Сделки[[#This Row],[Количество]])</f>
        <v>730</v>
      </c>
      <c r="D443" s="2" t="s">
        <v>3</v>
      </c>
    </row>
    <row r="444" spans="1:4" x14ac:dyDescent="0.3">
      <c r="A444" s="1">
        <v>43973</v>
      </c>
      <c r="B444" s="2">
        <v>790</v>
      </c>
      <c r="C444" s="2">
        <f>IF(Сделки[[#This Row],[Тип сделки]]="Покупка",Сделки[[#This Row],[Количество]],-Сделки[[#This Row],[Количество]])</f>
        <v>-790</v>
      </c>
      <c r="D444" s="2" t="s">
        <v>4</v>
      </c>
    </row>
    <row r="445" spans="1:4" x14ac:dyDescent="0.3">
      <c r="A445" s="1">
        <v>43977</v>
      </c>
      <c r="B445" s="2">
        <v>110</v>
      </c>
      <c r="C445" s="2">
        <f>IF(Сделки[[#This Row],[Тип сделки]]="Покупка",Сделки[[#This Row],[Количество]],-Сделки[[#This Row],[Количество]])</f>
        <v>110</v>
      </c>
      <c r="D445" s="2" t="s">
        <v>3</v>
      </c>
    </row>
    <row r="446" spans="1:4" x14ac:dyDescent="0.3">
      <c r="A446" s="1">
        <v>43983</v>
      </c>
      <c r="B446" s="2">
        <v>280</v>
      </c>
      <c r="C446" s="2">
        <f>IF(Сделки[[#This Row],[Тип сделки]]="Покупка",Сделки[[#This Row],[Количество]],-Сделки[[#This Row],[Количество]])</f>
        <v>-280</v>
      </c>
      <c r="D446" s="2" t="s">
        <v>4</v>
      </c>
    </row>
    <row r="447" spans="1:4" x14ac:dyDescent="0.3">
      <c r="A447" s="1">
        <v>43985</v>
      </c>
      <c r="B447" s="2">
        <v>70</v>
      </c>
      <c r="C447" s="2">
        <f>IF(Сделки[[#This Row],[Тип сделки]]="Покупка",Сделки[[#This Row],[Количество]],-Сделки[[#This Row],[Количество]])</f>
        <v>-70</v>
      </c>
      <c r="D447" s="2" t="s">
        <v>4</v>
      </c>
    </row>
    <row r="448" spans="1:4" x14ac:dyDescent="0.3">
      <c r="A448" s="1">
        <v>43987</v>
      </c>
      <c r="B448" s="2">
        <v>170</v>
      </c>
      <c r="C448" s="2">
        <f>IF(Сделки[[#This Row],[Тип сделки]]="Покупка",Сделки[[#This Row],[Количество]],-Сделки[[#This Row],[Количество]])</f>
        <v>-170</v>
      </c>
      <c r="D448" s="2" t="s">
        <v>4</v>
      </c>
    </row>
    <row r="449" spans="1:4" x14ac:dyDescent="0.3">
      <c r="A449" s="1">
        <v>43993</v>
      </c>
      <c r="B449" s="2">
        <v>530</v>
      </c>
      <c r="C449" s="2">
        <f>IF(Сделки[[#This Row],[Тип сделки]]="Покупка",Сделки[[#This Row],[Количество]],-Сделки[[#This Row],[Количество]])</f>
        <v>530</v>
      </c>
      <c r="D449" s="2" t="s">
        <v>3</v>
      </c>
    </row>
    <row r="450" spans="1:4" x14ac:dyDescent="0.3">
      <c r="A450" s="1">
        <v>43993</v>
      </c>
      <c r="B450" s="2">
        <v>340</v>
      </c>
      <c r="C450" s="2">
        <f>IF(Сделки[[#This Row],[Тип сделки]]="Покупка",Сделки[[#This Row],[Количество]],-Сделки[[#This Row],[Количество]])</f>
        <v>-340</v>
      </c>
      <c r="D450" s="2" t="s">
        <v>4</v>
      </c>
    </row>
    <row r="451" spans="1:4" x14ac:dyDescent="0.3">
      <c r="A451" s="1">
        <v>43997</v>
      </c>
      <c r="B451" s="2">
        <v>70</v>
      </c>
      <c r="C451" s="2">
        <f>IF(Сделки[[#This Row],[Тип сделки]]="Покупка",Сделки[[#This Row],[Количество]],-Сделки[[#This Row],[Количество]])</f>
        <v>-70</v>
      </c>
      <c r="D451" s="2" t="s">
        <v>4</v>
      </c>
    </row>
    <row r="452" spans="1:4" x14ac:dyDescent="0.3">
      <c r="A452" s="1">
        <v>43997</v>
      </c>
      <c r="B452" s="2">
        <v>170</v>
      </c>
      <c r="C452" s="2">
        <f>IF(Сделки[[#This Row],[Тип сделки]]="Покупка",Сделки[[#This Row],[Количество]],-Сделки[[#This Row],[Количество]])</f>
        <v>-170</v>
      </c>
      <c r="D452" s="2" t="s">
        <v>4</v>
      </c>
    </row>
    <row r="453" spans="1:4" x14ac:dyDescent="0.3">
      <c r="A453" s="1">
        <v>44000</v>
      </c>
      <c r="B453" s="2">
        <v>520</v>
      </c>
      <c r="C453" s="2">
        <f>IF(Сделки[[#This Row],[Тип сделки]]="Покупка",Сделки[[#This Row],[Количество]],-Сделки[[#This Row],[Количество]])</f>
        <v>520</v>
      </c>
      <c r="D453" s="2" t="s">
        <v>3</v>
      </c>
    </row>
    <row r="454" spans="1:4" x14ac:dyDescent="0.3">
      <c r="A454" s="1">
        <v>44000</v>
      </c>
      <c r="B454" s="2">
        <v>110</v>
      </c>
      <c r="C454" s="2">
        <f>IF(Сделки[[#This Row],[Тип сделки]]="Покупка",Сделки[[#This Row],[Количество]],-Сделки[[#This Row],[Количество]])</f>
        <v>-110</v>
      </c>
      <c r="D454" s="2" t="s">
        <v>4</v>
      </c>
    </row>
    <row r="455" spans="1:4" x14ac:dyDescent="0.3">
      <c r="A455" s="1">
        <v>44001</v>
      </c>
      <c r="B455" s="2">
        <v>630</v>
      </c>
      <c r="C455" s="2">
        <f>IF(Сделки[[#This Row],[Тип сделки]]="Покупка",Сделки[[#This Row],[Количество]],-Сделки[[#This Row],[Количество]])</f>
        <v>630</v>
      </c>
      <c r="D455" s="2" t="s">
        <v>3</v>
      </c>
    </row>
    <row r="456" spans="1:4" x14ac:dyDescent="0.3">
      <c r="A456" s="1">
        <v>44004</v>
      </c>
      <c r="B456" s="2">
        <v>420</v>
      </c>
      <c r="C456" s="2">
        <f>IF(Сделки[[#This Row],[Тип сделки]]="Покупка",Сделки[[#This Row],[Количество]],-Сделки[[#This Row],[Количество]])</f>
        <v>-420</v>
      </c>
      <c r="D456" s="2" t="s">
        <v>4</v>
      </c>
    </row>
    <row r="457" spans="1:4" x14ac:dyDescent="0.3">
      <c r="A457" s="1">
        <v>44004</v>
      </c>
      <c r="B457" s="2">
        <v>130</v>
      </c>
      <c r="C457" s="2">
        <f>IF(Сделки[[#This Row],[Тип сделки]]="Покупка",Сделки[[#This Row],[Количество]],-Сделки[[#This Row],[Количество]])</f>
        <v>-130</v>
      </c>
      <c r="D457" s="2" t="s">
        <v>4</v>
      </c>
    </row>
    <row r="458" spans="1:4" x14ac:dyDescent="0.3">
      <c r="A458" s="1">
        <v>44005</v>
      </c>
      <c r="B458" s="2">
        <v>300</v>
      </c>
      <c r="C458" s="2">
        <f>IF(Сделки[[#This Row],[Тип сделки]]="Покупка",Сделки[[#This Row],[Количество]],-Сделки[[#This Row],[Количество]])</f>
        <v>-300</v>
      </c>
      <c r="D458" s="2" t="s">
        <v>4</v>
      </c>
    </row>
    <row r="459" spans="1:4" x14ac:dyDescent="0.3">
      <c r="A459" s="1">
        <v>44007</v>
      </c>
      <c r="B459" s="2">
        <v>290</v>
      </c>
      <c r="C459" s="2">
        <f>IF(Сделки[[#This Row],[Тип сделки]]="Покупка",Сделки[[#This Row],[Количество]],-Сделки[[#This Row],[Количество]])</f>
        <v>290</v>
      </c>
      <c r="D459" s="2" t="s">
        <v>3</v>
      </c>
    </row>
    <row r="460" spans="1:4" x14ac:dyDescent="0.3">
      <c r="A460" s="1">
        <v>44008</v>
      </c>
      <c r="B460" s="2">
        <v>450</v>
      </c>
      <c r="C460" s="2">
        <f>IF(Сделки[[#This Row],[Тип сделки]]="Покупка",Сделки[[#This Row],[Количество]],-Сделки[[#This Row],[Количество]])</f>
        <v>450</v>
      </c>
      <c r="D460" s="2" t="s">
        <v>3</v>
      </c>
    </row>
    <row r="461" spans="1:4" x14ac:dyDescent="0.3">
      <c r="A461" s="1">
        <v>44011</v>
      </c>
      <c r="B461" s="2">
        <v>410</v>
      </c>
      <c r="C461" s="2">
        <f>IF(Сделки[[#This Row],[Тип сделки]]="Покупка",Сделки[[#This Row],[Количество]],-Сделки[[#This Row],[Количество]])</f>
        <v>-410</v>
      </c>
      <c r="D461" s="2" t="s">
        <v>4</v>
      </c>
    </row>
    <row r="462" spans="1:4" x14ac:dyDescent="0.3">
      <c r="A462" s="1">
        <v>44012</v>
      </c>
      <c r="B462" s="2">
        <v>250</v>
      </c>
      <c r="C462" s="2">
        <f>IF(Сделки[[#This Row],[Тип сделки]]="Покупка",Сделки[[#This Row],[Количество]],-Сделки[[#This Row],[Количество]])</f>
        <v>-250</v>
      </c>
      <c r="D462" s="2" t="s">
        <v>4</v>
      </c>
    </row>
    <row r="463" spans="1:4" x14ac:dyDescent="0.3">
      <c r="A463" s="1">
        <v>44012</v>
      </c>
      <c r="B463" s="2">
        <v>600</v>
      </c>
      <c r="C463" s="2">
        <f>IF(Сделки[[#This Row],[Тип сделки]]="Покупка",Сделки[[#This Row],[Количество]],-Сделки[[#This Row],[Количество]])</f>
        <v>600</v>
      </c>
      <c r="D463" s="2" t="s">
        <v>3</v>
      </c>
    </row>
    <row r="464" spans="1:4" x14ac:dyDescent="0.3">
      <c r="A464" s="1">
        <v>44015</v>
      </c>
      <c r="B464" s="2">
        <v>570</v>
      </c>
      <c r="C464" s="2">
        <f>IF(Сделки[[#This Row],[Тип сделки]]="Покупка",Сделки[[#This Row],[Количество]],-Сделки[[#This Row],[Количество]])</f>
        <v>570</v>
      </c>
      <c r="D464" s="2" t="s">
        <v>3</v>
      </c>
    </row>
    <row r="465" spans="1:4" x14ac:dyDescent="0.3">
      <c r="A465" s="1">
        <v>44018</v>
      </c>
      <c r="B465" s="2">
        <v>720</v>
      </c>
      <c r="C465" s="2">
        <f>IF(Сделки[[#This Row],[Тип сделки]]="Покупка",Сделки[[#This Row],[Количество]],-Сделки[[#This Row],[Количество]])</f>
        <v>720</v>
      </c>
      <c r="D465" s="2" t="s">
        <v>3</v>
      </c>
    </row>
    <row r="466" spans="1:4" x14ac:dyDescent="0.3">
      <c r="A466" s="1">
        <v>44018</v>
      </c>
      <c r="B466" s="2">
        <v>380</v>
      </c>
      <c r="C466" s="2">
        <f>IF(Сделки[[#This Row],[Тип сделки]]="Покупка",Сделки[[#This Row],[Количество]],-Сделки[[#This Row],[Количество]])</f>
        <v>-380</v>
      </c>
      <c r="D466" s="2" t="s">
        <v>4</v>
      </c>
    </row>
    <row r="467" spans="1:4" x14ac:dyDescent="0.3">
      <c r="A467" s="1">
        <v>44019</v>
      </c>
      <c r="B467" s="2">
        <v>1260</v>
      </c>
      <c r="C467" s="2">
        <f>IF(Сделки[[#This Row],[Тип сделки]]="Покупка",Сделки[[#This Row],[Количество]],-Сделки[[#This Row],[Количество]])</f>
        <v>-1260</v>
      </c>
      <c r="D467" s="2" t="s">
        <v>4</v>
      </c>
    </row>
    <row r="468" spans="1:4" x14ac:dyDescent="0.3">
      <c r="A468" s="1">
        <v>44019</v>
      </c>
      <c r="B468" s="2">
        <v>690</v>
      </c>
      <c r="C468" s="2">
        <f>IF(Сделки[[#This Row],[Тип сделки]]="Покупка",Сделки[[#This Row],[Количество]],-Сделки[[#This Row],[Количество]])</f>
        <v>690</v>
      </c>
      <c r="D468" s="2" t="s">
        <v>3</v>
      </c>
    </row>
    <row r="469" spans="1:4" x14ac:dyDescent="0.3">
      <c r="A469" s="1">
        <v>44022</v>
      </c>
      <c r="B469" s="2">
        <v>500</v>
      </c>
      <c r="C469" s="2">
        <f>IF(Сделки[[#This Row],[Тип сделки]]="Покупка",Сделки[[#This Row],[Количество]],-Сделки[[#This Row],[Количество]])</f>
        <v>-500</v>
      </c>
      <c r="D469" s="2" t="s">
        <v>4</v>
      </c>
    </row>
    <row r="470" spans="1:4" x14ac:dyDescent="0.3">
      <c r="A470" s="1">
        <v>44025</v>
      </c>
      <c r="B470" s="2">
        <v>540</v>
      </c>
      <c r="C470" s="2">
        <f>IF(Сделки[[#This Row],[Тип сделки]]="Покупка",Сделки[[#This Row],[Количество]],-Сделки[[#This Row],[Количество]])</f>
        <v>-540</v>
      </c>
      <c r="D470" s="2" t="s">
        <v>4</v>
      </c>
    </row>
    <row r="471" spans="1:4" x14ac:dyDescent="0.3">
      <c r="A471" s="1">
        <v>44027</v>
      </c>
      <c r="B471" s="2">
        <v>410</v>
      </c>
      <c r="C471" s="2">
        <f>IF(Сделки[[#This Row],[Тип сделки]]="Покупка",Сделки[[#This Row],[Количество]],-Сделки[[#This Row],[Количество]])</f>
        <v>410</v>
      </c>
      <c r="D471" s="2" t="s">
        <v>3</v>
      </c>
    </row>
    <row r="472" spans="1:4" x14ac:dyDescent="0.3">
      <c r="A472" s="1">
        <v>44032</v>
      </c>
      <c r="B472" s="2">
        <v>200</v>
      </c>
      <c r="C472" s="2">
        <f>IF(Сделки[[#This Row],[Тип сделки]]="Покупка",Сделки[[#This Row],[Количество]],-Сделки[[#This Row],[Количество]])</f>
        <v>200</v>
      </c>
      <c r="D472" s="2" t="s">
        <v>3</v>
      </c>
    </row>
    <row r="473" spans="1:4" x14ac:dyDescent="0.3">
      <c r="A473" s="1">
        <v>44043</v>
      </c>
      <c r="B473" s="2">
        <v>530</v>
      </c>
      <c r="C473" s="2">
        <f>IF(Сделки[[#This Row],[Тип сделки]]="Покупка",Сделки[[#This Row],[Количество]],-Сделки[[#This Row],[Количество]])</f>
        <v>-530</v>
      </c>
      <c r="D473" s="2" t="s">
        <v>4</v>
      </c>
    </row>
    <row r="474" spans="1:4" x14ac:dyDescent="0.3">
      <c r="A474" s="1">
        <v>44043</v>
      </c>
      <c r="B474" s="2">
        <v>350</v>
      </c>
      <c r="C474" s="2">
        <f>IF(Сделки[[#This Row],[Тип сделки]]="Покупка",Сделки[[#This Row],[Количество]],-Сделки[[#This Row],[Количество]])</f>
        <v>350</v>
      </c>
      <c r="D474" s="2" t="s">
        <v>3</v>
      </c>
    </row>
    <row r="475" spans="1:4" x14ac:dyDescent="0.3">
      <c r="A475" s="1">
        <v>44053</v>
      </c>
      <c r="B475" s="2">
        <v>100</v>
      </c>
      <c r="C475" s="2">
        <f>IF(Сделки[[#This Row],[Тип сделки]]="Покупка",Сделки[[#This Row],[Количество]],-Сделки[[#This Row],[Количество]])</f>
        <v>100</v>
      </c>
      <c r="D475" s="2" t="s">
        <v>3</v>
      </c>
    </row>
    <row r="476" spans="1:4" x14ac:dyDescent="0.3">
      <c r="A476" s="1">
        <v>44054</v>
      </c>
      <c r="B476" s="2">
        <v>390</v>
      </c>
      <c r="C476" s="2">
        <f>IF(Сделки[[#This Row],[Тип сделки]]="Покупка",Сделки[[#This Row],[Количество]],-Сделки[[#This Row],[Количество]])</f>
        <v>-390</v>
      </c>
      <c r="D476" s="2" t="s">
        <v>4</v>
      </c>
    </row>
    <row r="477" spans="1:4" x14ac:dyDescent="0.3">
      <c r="A477" s="1">
        <v>44056</v>
      </c>
      <c r="B477" s="2">
        <v>250</v>
      </c>
      <c r="C477" s="2">
        <f>IF(Сделки[[#This Row],[Тип сделки]]="Покупка",Сделки[[#This Row],[Количество]],-Сделки[[#This Row],[Количество]])</f>
        <v>-250</v>
      </c>
      <c r="D477" s="2" t="s">
        <v>4</v>
      </c>
    </row>
    <row r="478" spans="1:4" x14ac:dyDescent="0.3">
      <c r="A478" s="1">
        <v>44056</v>
      </c>
      <c r="B478" s="2">
        <v>100</v>
      </c>
      <c r="C478" s="2">
        <f>IF(Сделки[[#This Row],[Тип сделки]]="Покупка",Сделки[[#This Row],[Количество]],-Сделки[[#This Row],[Количество]])</f>
        <v>-100</v>
      </c>
      <c r="D478" s="2" t="s">
        <v>4</v>
      </c>
    </row>
    <row r="479" spans="1:4" x14ac:dyDescent="0.3">
      <c r="A479" s="1">
        <v>44057</v>
      </c>
      <c r="B479" s="2">
        <v>170</v>
      </c>
      <c r="C479" s="2">
        <f>IF(Сделки[[#This Row],[Тип сделки]]="Покупка",Сделки[[#This Row],[Количество]],-Сделки[[#This Row],[Количество]])</f>
        <v>170</v>
      </c>
      <c r="D479" s="2" t="s">
        <v>3</v>
      </c>
    </row>
    <row r="480" spans="1:4" x14ac:dyDescent="0.3">
      <c r="A480" s="1">
        <v>44060</v>
      </c>
      <c r="B480" s="2">
        <v>260</v>
      </c>
      <c r="C480" s="2">
        <f>IF(Сделки[[#This Row],[Тип сделки]]="Покупка",Сделки[[#This Row],[Количество]],-Сделки[[#This Row],[Количество]])</f>
        <v>260</v>
      </c>
      <c r="D480" s="2" t="s">
        <v>3</v>
      </c>
    </row>
    <row r="481" spans="1:4" x14ac:dyDescent="0.3">
      <c r="A481" s="1">
        <v>44064</v>
      </c>
      <c r="B481" s="2">
        <v>590</v>
      </c>
      <c r="C481" s="2">
        <f>IF(Сделки[[#This Row],[Тип сделки]]="Покупка",Сделки[[#This Row],[Количество]],-Сделки[[#This Row],[Количество]])</f>
        <v>590</v>
      </c>
      <c r="D481" s="2" t="s">
        <v>3</v>
      </c>
    </row>
    <row r="482" spans="1:4" x14ac:dyDescent="0.3">
      <c r="A482" s="1">
        <v>44064</v>
      </c>
      <c r="B482" s="2">
        <v>420</v>
      </c>
      <c r="C482" s="2">
        <f>IF(Сделки[[#This Row],[Тип сделки]]="Покупка",Сделки[[#This Row],[Количество]],-Сделки[[#This Row],[Количество]])</f>
        <v>-420</v>
      </c>
      <c r="D482" s="2" t="s">
        <v>4</v>
      </c>
    </row>
    <row r="483" spans="1:4" x14ac:dyDescent="0.3">
      <c r="A483" s="1">
        <v>44069</v>
      </c>
      <c r="B483" s="2">
        <v>500</v>
      </c>
      <c r="C483" s="2">
        <f>IF(Сделки[[#This Row],[Тип сделки]]="Покупка",Сделки[[#This Row],[Количество]],-Сделки[[#This Row],[Количество]])</f>
        <v>-500</v>
      </c>
      <c r="D483" s="2" t="s">
        <v>4</v>
      </c>
    </row>
    <row r="484" spans="1:4" x14ac:dyDescent="0.3">
      <c r="A484" s="1">
        <v>44071</v>
      </c>
      <c r="B484" s="2">
        <v>740</v>
      </c>
      <c r="C484" s="2">
        <f>IF(Сделки[[#This Row],[Тип сделки]]="Покупка",Сделки[[#This Row],[Количество]],-Сделки[[#This Row],[Количество]])</f>
        <v>740</v>
      </c>
      <c r="D484" s="2" t="s">
        <v>3</v>
      </c>
    </row>
    <row r="485" spans="1:4" x14ac:dyDescent="0.3">
      <c r="A485" s="1">
        <v>44071</v>
      </c>
      <c r="B485" s="2">
        <v>510</v>
      </c>
      <c r="C485" s="2">
        <f>IF(Сделки[[#This Row],[Тип сделки]]="Покупка",Сделки[[#This Row],[Количество]],-Сделки[[#This Row],[Количество]])</f>
        <v>-510</v>
      </c>
      <c r="D485" s="2" t="s">
        <v>4</v>
      </c>
    </row>
    <row r="486" spans="1:4" x14ac:dyDescent="0.3">
      <c r="A486" s="1">
        <v>44074</v>
      </c>
      <c r="B486" s="2">
        <v>380</v>
      </c>
      <c r="C486" s="2">
        <f>IF(Сделки[[#This Row],[Тип сделки]]="Покупка",Сделки[[#This Row],[Количество]],-Сделки[[#This Row],[Количество]])</f>
        <v>380</v>
      </c>
      <c r="D486" s="2" t="s">
        <v>3</v>
      </c>
    </row>
    <row r="487" spans="1:4" x14ac:dyDescent="0.3">
      <c r="A487" s="1">
        <v>44075</v>
      </c>
      <c r="B487" s="2">
        <v>60</v>
      </c>
      <c r="C487" s="2">
        <f>IF(Сделки[[#This Row],[Тип сделки]]="Покупка",Сделки[[#This Row],[Количество]],-Сделки[[#This Row],[Количество]])</f>
        <v>-60</v>
      </c>
      <c r="D487" s="2" t="s">
        <v>4</v>
      </c>
    </row>
    <row r="488" spans="1:4" x14ac:dyDescent="0.3">
      <c r="A488" s="1">
        <v>44076</v>
      </c>
      <c r="B488" s="2">
        <v>750</v>
      </c>
      <c r="C488" s="2">
        <f>IF(Сделки[[#This Row],[Тип сделки]]="Покупка",Сделки[[#This Row],[Количество]],-Сделки[[#This Row],[Количество]])</f>
        <v>750</v>
      </c>
      <c r="D488" s="2" t="s">
        <v>3</v>
      </c>
    </row>
    <row r="489" spans="1:4" x14ac:dyDescent="0.3">
      <c r="A489" s="1">
        <v>44076</v>
      </c>
      <c r="B489" s="2">
        <v>100</v>
      </c>
      <c r="C489" s="2">
        <f>IF(Сделки[[#This Row],[Тип сделки]]="Покупка",Сделки[[#This Row],[Количество]],-Сделки[[#This Row],[Количество]])</f>
        <v>100</v>
      </c>
      <c r="D489" s="2" t="s">
        <v>3</v>
      </c>
    </row>
    <row r="490" spans="1:4" x14ac:dyDescent="0.3">
      <c r="A490" s="1">
        <v>44077</v>
      </c>
      <c r="B490" s="2">
        <v>400</v>
      </c>
      <c r="C490" s="2">
        <f>IF(Сделки[[#This Row],[Тип сделки]]="Покупка",Сделки[[#This Row],[Количество]],-Сделки[[#This Row],[Количество]])</f>
        <v>-400</v>
      </c>
      <c r="D490" s="2" t="s">
        <v>4</v>
      </c>
    </row>
    <row r="491" spans="1:4" x14ac:dyDescent="0.3">
      <c r="A491" s="1">
        <v>44077</v>
      </c>
      <c r="B491" s="2">
        <v>1000</v>
      </c>
      <c r="C491" s="2">
        <f>IF(Сделки[[#This Row],[Тип сделки]]="Покупка",Сделки[[#This Row],[Количество]],-Сделки[[#This Row],[Количество]])</f>
        <v>-1000</v>
      </c>
      <c r="D491" s="2" t="s">
        <v>4</v>
      </c>
    </row>
    <row r="492" spans="1:4" x14ac:dyDescent="0.3">
      <c r="A492" s="1">
        <v>44078</v>
      </c>
      <c r="B492" s="2">
        <v>520</v>
      </c>
      <c r="C492" s="2">
        <f>IF(Сделки[[#This Row],[Тип сделки]]="Покупка",Сделки[[#This Row],[Количество]],-Сделки[[#This Row],[Количество]])</f>
        <v>520</v>
      </c>
      <c r="D492" s="2" t="s">
        <v>3</v>
      </c>
    </row>
    <row r="493" spans="1:4" x14ac:dyDescent="0.3">
      <c r="A493" s="1">
        <v>44078</v>
      </c>
      <c r="B493" s="2">
        <v>110</v>
      </c>
      <c r="C493" s="2">
        <f>IF(Сделки[[#This Row],[Тип сделки]]="Покупка",Сделки[[#This Row],[Количество]],-Сделки[[#This Row],[Количество]])</f>
        <v>110</v>
      </c>
      <c r="D493" s="2" t="s">
        <v>3</v>
      </c>
    </row>
    <row r="494" spans="1:4" x14ac:dyDescent="0.3">
      <c r="A494" s="1">
        <v>44078</v>
      </c>
      <c r="B494" s="2">
        <v>120</v>
      </c>
      <c r="C494" s="2">
        <f>IF(Сделки[[#This Row],[Тип сделки]]="Покупка",Сделки[[#This Row],[Количество]],-Сделки[[#This Row],[Количество]])</f>
        <v>-120</v>
      </c>
      <c r="D494" s="2" t="s">
        <v>4</v>
      </c>
    </row>
    <row r="495" spans="1:4" x14ac:dyDescent="0.3">
      <c r="A495" s="1">
        <v>44078</v>
      </c>
      <c r="B495" s="2">
        <v>130</v>
      </c>
      <c r="C495" s="2">
        <f>IF(Сделки[[#This Row],[Тип сделки]]="Покупка",Сделки[[#This Row],[Количество]],-Сделки[[#This Row],[Количество]])</f>
        <v>130</v>
      </c>
      <c r="D495" s="2" t="s">
        <v>3</v>
      </c>
    </row>
    <row r="496" spans="1:4" x14ac:dyDescent="0.3">
      <c r="A496" s="1">
        <v>44088</v>
      </c>
      <c r="B496" s="2">
        <v>380</v>
      </c>
      <c r="C496" s="2">
        <f>IF(Сделки[[#This Row],[Тип сделки]]="Покупка",Сделки[[#This Row],[Количество]],-Сделки[[#This Row],[Количество]])</f>
        <v>380</v>
      </c>
      <c r="D496" s="2" t="s">
        <v>3</v>
      </c>
    </row>
    <row r="497" spans="1:4" x14ac:dyDescent="0.3">
      <c r="A497" s="1">
        <v>44092</v>
      </c>
      <c r="B497" s="2">
        <v>650</v>
      </c>
      <c r="C497" s="2">
        <f>IF(Сделки[[#This Row],[Тип сделки]]="Покупка",Сделки[[#This Row],[Количество]],-Сделки[[#This Row],[Количество]])</f>
        <v>-650</v>
      </c>
      <c r="D497" s="2" t="s">
        <v>4</v>
      </c>
    </row>
    <row r="498" spans="1:4" x14ac:dyDescent="0.3">
      <c r="A498" s="1">
        <v>44092</v>
      </c>
      <c r="B498" s="2">
        <v>360</v>
      </c>
      <c r="C498" s="2">
        <f>IF(Сделки[[#This Row],[Тип сделки]]="Покупка",Сделки[[#This Row],[Количество]],-Сделки[[#This Row],[Количество]])</f>
        <v>360</v>
      </c>
      <c r="D498" s="2" t="s">
        <v>3</v>
      </c>
    </row>
    <row r="499" spans="1:4" x14ac:dyDescent="0.3">
      <c r="A499" s="1">
        <v>44097</v>
      </c>
      <c r="B499" s="2">
        <v>440</v>
      </c>
      <c r="C499" s="2">
        <f>IF(Сделки[[#This Row],[Тип сделки]]="Покупка",Сделки[[#This Row],[Количество]],-Сделки[[#This Row],[Количество]])</f>
        <v>440</v>
      </c>
      <c r="D499" s="2" t="s">
        <v>3</v>
      </c>
    </row>
    <row r="500" spans="1:4" x14ac:dyDescent="0.3">
      <c r="A500" s="1">
        <v>44099</v>
      </c>
      <c r="B500" s="2">
        <v>1100</v>
      </c>
      <c r="C500" s="2">
        <f>IF(Сделки[[#This Row],[Тип сделки]]="Покупка",Сделки[[#This Row],[Количество]],-Сделки[[#This Row],[Количество]])</f>
        <v>-1100</v>
      </c>
      <c r="D500" s="2" t="s">
        <v>4</v>
      </c>
    </row>
    <row r="501" spans="1:4" x14ac:dyDescent="0.3">
      <c r="A501" s="1">
        <v>44106</v>
      </c>
      <c r="B501" s="2">
        <v>280</v>
      </c>
      <c r="C501" s="2">
        <f>IF(Сделки[[#This Row],[Тип сделки]]="Покупка",Сделки[[#This Row],[Количество]],-Сделки[[#This Row],[Количество]])</f>
        <v>280</v>
      </c>
      <c r="D501" s="2" t="s">
        <v>3</v>
      </c>
    </row>
    <row r="502" spans="1:4" x14ac:dyDescent="0.3">
      <c r="A502" s="1">
        <v>44106</v>
      </c>
      <c r="B502" s="2">
        <v>260</v>
      </c>
      <c r="C502" s="2">
        <f>IF(Сделки[[#This Row],[Тип сделки]]="Покупка",Сделки[[#This Row],[Количество]],-Сделки[[#This Row],[Количество]])</f>
        <v>260</v>
      </c>
      <c r="D502" s="2" t="s">
        <v>3</v>
      </c>
    </row>
    <row r="503" spans="1:4" x14ac:dyDescent="0.3">
      <c r="A503" s="1">
        <v>44106</v>
      </c>
      <c r="B503" s="2">
        <v>160</v>
      </c>
      <c r="C503" s="2">
        <f>IF(Сделки[[#This Row],[Тип сделки]]="Покупка",Сделки[[#This Row],[Количество]],-Сделки[[#This Row],[Количество]])</f>
        <v>-160</v>
      </c>
      <c r="D503" s="2" t="s">
        <v>4</v>
      </c>
    </row>
    <row r="504" spans="1:4" x14ac:dyDescent="0.3">
      <c r="A504" s="1">
        <v>44106</v>
      </c>
      <c r="B504" s="2">
        <v>410</v>
      </c>
      <c r="C504" s="2">
        <f>IF(Сделки[[#This Row],[Тип сделки]]="Покупка",Сделки[[#This Row],[Количество]],-Сделки[[#This Row],[Количество]])</f>
        <v>-410</v>
      </c>
      <c r="D504" s="2" t="s">
        <v>4</v>
      </c>
    </row>
    <row r="505" spans="1:4" x14ac:dyDescent="0.3">
      <c r="A505" s="8">
        <v>44113</v>
      </c>
      <c r="B505" s="2">
        <v>0</v>
      </c>
      <c r="C505" s="2">
        <f>IF(Сделки[[#This Row],[Тип сделки]]="Покупка",Сделки[[#This Row],[Количество]],-Сделки[[#This Row],[Количество]])</f>
        <v>0</v>
      </c>
      <c r="D505" s="2" t="s">
        <v>27</v>
      </c>
    </row>
    <row r="506" spans="1:4" x14ac:dyDescent="0.3">
      <c r="A506" s="1">
        <v>44118</v>
      </c>
      <c r="B506" s="2">
        <v>340</v>
      </c>
      <c r="C506" s="2">
        <f>IF(Сделки[[#This Row],[Тип сделки]]="Покупка",Сделки[[#This Row],[Количество]],-Сделки[[#This Row],[Количество]])</f>
        <v>340</v>
      </c>
      <c r="D506" s="2" t="s">
        <v>3</v>
      </c>
    </row>
    <row r="507" spans="1:4" x14ac:dyDescent="0.3">
      <c r="A507" s="1">
        <v>44120</v>
      </c>
      <c r="B507" s="2">
        <v>370</v>
      </c>
      <c r="C507" s="2">
        <f>IF(Сделки[[#This Row],[Тип сделки]]="Покупка",Сделки[[#This Row],[Количество]],-Сделки[[#This Row],[Количество]])</f>
        <v>-370</v>
      </c>
      <c r="D507" s="2" t="s">
        <v>4</v>
      </c>
    </row>
    <row r="508" spans="1:4" x14ac:dyDescent="0.3">
      <c r="A508" s="1">
        <v>44124</v>
      </c>
      <c r="B508" s="2">
        <v>120</v>
      </c>
      <c r="C508" s="2">
        <f>IF(Сделки[[#This Row],[Тип сделки]]="Покупка",Сделки[[#This Row],[Количество]],-Сделки[[#This Row],[Количество]])</f>
        <v>-120</v>
      </c>
      <c r="D508" s="2" t="s">
        <v>4</v>
      </c>
    </row>
    <row r="509" spans="1:4" x14ac:dyDescent="0.3">
      <c r="A509" s="10">
        <v>44173</v>
      </c>
      <c r="B509" s="9">
        <v>0</v>
      </c>
      <c r="C509" s="9">
        <f>IF(Сделки[[#This Row],[Тип сделки]]="Покупка",Сделки[[#This Row],[Количество]],-Сделки[[#This Row],[Количество]])</f>
        <v>0</v>
      </c>
      <c r="D509" s="9" t="s">
        <v>27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BD03-6353-4E96-A706-FA453DD13AF3}">
  <dimension ref="A1:J793"/>
  <sheetViews>
    <sheetView topLeftCell="A778" workbookViewId="0">
      <selection activeCell="C793" sqref="C793"/>
    </sheetView>
  </sheetViews>
  <sheetFormatPr defaultRowHeight="15.6" x14ac:dyDescent="0.3"/>
  <cols>
    <col min="1" max="1" width="17.296875" bestFit="1" customWidth="1"/>
    <col min="2" max="2" width="8.09765625" bestFit="1" customWidth="1"/>
    <col min="3" max="3" width="9.8984375" bestFit="1" customWidth="1"/>
    <col min="4" max="4" width="9.09765625" bestFit="1" customWidth="1"/>
    <col min="5" max="5" width="9.69921875" bestFit="1" customWidth="1"/>
    <col min="6" max="6" width="9.296875" bestFit="1" customWidth="1"/>
    <col min="7" max="7" width="8.8984375" bestFit="1" customWidth="1"/>
    <col min="8" max="8" width="10.09765625" bestFit="1" customWidth="1"/>
    <col min="9" max="9" width="8.296875" bestFit="1" customWidth="1"/>
    <col min="10" max="10" width="12.5" bestFit="1" customWidth="1"/>
  </cols>
  <sheetData>
    <row r="1" spans="1:10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5" t="s">
        <v>16</v>
      </c>
      <c r="B2" s="5" t="s">
        <v>15</v>
      </c>
      <c r="C2" s="6">
        <v>43021</v>
      </c>
      <c r="D2">
        <v>0</v>
      </c>
      <c r="E2">
        <v>101</v>
      </c>
      <c r="F2">
        <v>101</v>
      </c>
      <c r="G2">
        <v>100.45</v>
      </c>
      <c r="H2">
        <v>100.45</v>
      </c>
      <c r="I2">
        <v>134833</v>
      </c>
      <c r="J2">
        <v>0</v>
      </c>
    </row>
    <row r="3" spans="1:10" x14ac:dyDescent="0.3">
      <c r="A3" s="5" t="s">
        <v>16</v>
      </c>
      <c r="B3" s="5" t="s">
        <v>15</v>
      </c>
      <c r="C3" s="6">
        <v>43024</v>
      </c>
      <c r="D3">
        <v>0</v>
      </c>
      <c r="E3">
        <v>100.73</v>
      </c>
      <c r="F3">
        <v>100.73</v>
      </c>
      <c r="G3">
        <v>100.5</v>
      </c>
      <c r="H3">
        <v>100.59</v>
      </c>
      <c r="I3">
        <v>214991</v>
      </c>
      <c r="J3">
        <v>0</v>
      </c>
    </row>
    <row r="4" spans="1:10" x14ac:dyDescent="0.3">
      <c r="A4" s="5" t="s">
        <v>16</v>
      </c>
      <c r="B4" s="5" t="s">
        <v>15</v>
      </c>
      <c r="C4" s="6">
        <v>43025</v>
      </c>
      <c r="D4">
        <v>0</v>
      </c>
      <c r="E4">
        <v>99.74</v>
      </c>
      <c r="F4">
        <v>100.69</v>
      </c>
      <c r="G4">
        <v>99.74</v>
      </c>
      <c r="H4">
        <v>100.59</v>
      </c>
      <c r="I4">
        <v>222290</v>
      </c>
      <c r="J4">
        <v>0</v>
      </c>
    </row>
    <row r="5" spans="1:10" x14ac:dyDescent="0.3">
      <c r="A5" s="5" t="s">
        <v>16</v>
      </c>
      <c r="B5" s="5" t="s">
        <v>15</v>
      </c>
      <c r="C5" s="6">
        <v>43026</v>
      </c>
      <c r="D5">
        <v>0</v>
      </c>
      <c r="E5">
        <v>99.74</v>
      </c>
      <c r="F5">
        <v>101</v>
      </c>
      <c r="G5">
        <v>99.74</v>
      </c>
      <c r="H5">
        <v>100.85</v>
      </c>
      <c r="I5">
        <v>614259</v>
      </c>
      <c r="J5">
        <v>0</v>
      </c>
    </row>
    <row r="6" spans="1:10" x14ac:dyDescent="0.3">
      <c r="A6" s="5" t="s">
        <v>16</v>
      </c>
      <c r="B6" s="5" t="s">
        <v>15</v>
      </c>
      <c r="C6" s="6">
        <v>43027</v>
      </c>
      <c r="D6">
        <v>0</v>
      </c>
      <c r="E6">
        <v>100.71</v>
      </c>
      <c r="F6">
        <v>101.05</v>
      </c>
      <c r="G6">
        <v>100.71</v>
      </c>
      <c r="H6">
        <v>101.05</v>
      </c>
      <c r="I6">
        <v>61337</v>
      </c>
      <c r="J6">
        <v>0</v>
      </c>
    </row>
    <row r="7" spans="1:10" x14ac:dyDescent="0.3">
      <c r="A7" s="5" t="s">
        <v>16</v>
      </c>
      <c r="B7" s="5" t="s">
        <v>15</v>
      </c>
      <c r="C7" s="6">
        <v>43028</v>
      </c>
      <c r="D7">
        <v>0</v>
      </c>
      <c r="E7">
        <v>101.1</v>
      </c>
      <c r="F7">
        <v>101.3</v>
      </c>
      <c r="G7">
        <v>101</v>
      </c>
      <c r="H7">
        <v>101.15</v>
      </c>
      <c r="I7">
        <v>396479</v>
      </c>
      <c r="J7">
        <v>0</v>
      </c>
    </row>
    <row r="8" spans="1:10" x14ac:dyDescent="0.3">
      <c r="A8" s="5" t="s">
        <v>16</v>
      </c>
      <c r="B8" s="5" t="s">
        <v>15</v>
      </c>
      <c r="C8" s="6">
        <v>43031</v>
      </c>
      <c r="D8">
        <v>0</v>
      </c>
      <c r="E8">
        <v>100.91</v>
      </c>
      <c r="F8">
        <v>101.5</v>
      </c>
      <c r="G8">
        <v>100.9</v>
      </c>
      <c r="H8">
        <v>101.03</v>
      </c>
      <c r="I8">
        <v>161871</v>
      </c>
      <c r="J8">
        <v>0</v>
      </c>
    </row>
    <row r="9" spans="1:10" x14ac:dyDescent="0.3">
      <c r="A9" s="5" t="s">
        <v>16</v>
      </c>
      <c r="B9" s="5" t="s">
        <v>15</v>
      </c>
      <c r="C9" s="6">
        <v>43032</v>
      </c>
      <c r="D9">
        <v>0</v>
      </c>
      <c r="E9">
        <v>101.21</v>
      </c>
      <c r="F9">
        <v>101.3</v>
      </c>
      <c r="G9">
        <v>101</v>
      </c>
      <c r="H9">
        <v>101.09</v>
      </c>
      <c r="I9">
        <v>67385</v>
      </c>
      <c r="J9">
        <v>0</v>
      </c>
    </row>
    <row r="10" spans="1:10" x14ac:dyDescent="0.3">
      <c r="A10" s="5" t="s">
        <v>16</v>
      </c>
      <c r="B10" s="5" t="s">
        <v>15</v>
      </c>
      <c r="C10" s="6">
        <v>43033</v>
      </c>
      <c r="D10">
        <v>0</v>
      </c>
      <c r="E10">
        <v>101.29</v>
      </c>
      <c r="F10">
        <v>101.3</v>
      </c>
      <c r="G10">
        <v>101</v>
      </c>
      <c r="H10">
        <v>101</v>
      </c>
      <c r="I10">
        <v>107761</v>
      </c>
      <c r="J10">
        <v>0</v>
      </c>
    </row>
    <row r="11" spans="1:10" x14ac:dyDescent="0.3">
      <c r="A11" s="5" t="s">
        <v>16</v>
      </c>
      <c r="B11" s="5" t="s">
        <v>15</v>
      </c>
      <c r="C11" s="6">
        <v>43034</v>
      </c>
      <c r="D11">
        <v>0</v>
      </c>
      <c r="E11">
        <v>101.28</v>
      </c>
      <c r="F11">
        <v>101.29</v>
      </c>
      <c r="G11">
        <v>101</v>
      </c>
      <c r="H11">
        <v>101.14</v>
      </c>
      <c r="I11">
        <v>32939</v>
      </c>
      <c r="J11">
        <v>0</v>
      </c>
    </row>
    <row r="12" spans="1:10" x14ac:dyDescent="0.3">
      <c r="A12" s="5" t="s">
        <v>16</v>
      </c>
      <c r="B12" s="5" t="s">
        <v>15</v>
      </c>
      <c r="C12" s="6">
        <v>43035</v>
      </c>
      <c r="D12">
        <v>0</v>
      </c>
      <c r="E12">
        <v>101.28</v>
      </c>
      <c r="F12">
        <v>101.29</v>
      </c>
      <c r="G12">
        <v>100.8</v>
      </c>
      <c r="H12">
        <v>101.08</v>
      </c>
      <c r="I12">
        <v>465370</v>
      </c>
      <c r="J12">
        <v>0</v>
      </c>
    </row>
    <row r="13" spans="1:10" x14ac:dyDescent="0.3">
      <c r="A13" s="5" t="s">
        <v>16</v>
      </c>
      <c r="B13" s="5" t="s">
        <v>15</v>
      </c>
      <c r="C13" s="6">
        <v>43038</v>
      </c>
      <c r="D13">
        <v>0</v>
      </c>
      <c r="E13">
        <v>101</v>
      </c>
      <c r="F13">
        <v>101.09</v>
      </c>
      <c r="G13">
        <v>100.8</v>
      </c>
      <c r="H13">
        <v>101</v>
      </c>
      <c r="I13">
        <v>193425</v>
      </c>
      <c r="J13">
        <v>0</v>
      </c>
    </row>
    <row r="14" spans="1:10" x14ac:dyDescent="0.3">
      <c r="A14" s="5" t="s">
        <v>16</v>
      </c>
      <c r="B14" s="5" t="s">
        <v>15</v>
      </c>
      <c r="C14" s="6">
        <v>43039</v>
      </c>
      <c r="D14">
        <v>0</v>
      </c>
      <c r="E14">
        <v>101</v>
      </c>
      <c r="F14">
        <v>101</v>
      </c>
      <c r="G14">
        <v>100.92</v>
      </c>
      <c r="H14">
        <v>100.98</v>
      </c>
      <c r="I14">
        <v>300544</v>
      </c>
      <c r="J14">
        <v>0</v>
      </c>
    </row>
    <row r="15" spans="1:10" x14ac:dyDescent="0.3">
      <c r="A15" s="5" t="s">
        <v>16</v>
      </c>
      <c r="B15" s="5" t="s">
        <v>15</v>
      </c>
      <c r="C15" s="6">
        <v>43040</v>
      </c>
      <c r="D15">
        <v>0</v>
      </c>
      <c r="E15">
        <v>101.1</v>
      </c>
      <c r="F15">
        <v>101.1</v>
      </c>
      <c r="G15">
        <v>100.9</v>
      </c>
      <c r="H15">
        <v>101.07</v>
      </c>
      <c r="I15">
        <v>55443</v>
      </c>
      <c r="J15">
        <v>0</v>
      </c>
    </row>
    <row r="16" spans="1:10" x14ac:dyDescent="0.3">
      <c r="A16" s="5" t="s">
        <v>16</v>
      </c>
      <c r="B16" s="5" t="s">
        <v>15</v>
      </c>
      <c r="C16" s="6">
        <v>43041</v>
      </c>
      <c r="D16">
        <v>0</v>
      </c>
      <c r="E16">
        <v>101.2</v>
      </c>
      <c r="F16">
        <v>101.2</v>
      </c>
      <c r="G16">
        <v>100.86</v>
      </c>
      <c r="H16">
        <v>101.1</v>
      </c>
      <c r="I16">
        <v>36908</v>
      </c>
      <c r="J16">
        <v>0</v>
      </c>
    </row>
    <row r="17" spans="1:10" x14ac:dyDescent="0.3">
      <c r="A17" s="5" t="s">
        <v>16</v>
      </c>
      <c r="B17" s="5" t="s">
        <v>15</v>
      </c>
      <c r="C17" s="6">
        <v>43042</v>
      </c>
      <c r="D17">
        <v>0</v>
      </c>
      <c r="E17">
        <v>101.25</v>
      </c>
      <c r="F17">
        <v>101.3</v>
      </c>
      <c r="G17">
        <v>100.94</v>
      </c>
      <c r="H17">
        <v>101.24</v>
      </c>
      <c r="I17">
        <v>5783</v>
      </c>
      <c r="J17">
        <v>0</v>
      </c>
    </row>
    <row r="18" spans="1:10" x14ac:dyDescent="0.3">
      <c r="A18" s="5" t="s">
        <v>16</v>
      </c>
      <c r="B18" s="5" t="s">
        <v>15</v>
      </c>
      <c r="C18" s="6">
        <v>43046</v>
      </c>
      <c r="D18">
        <v>0</v>
      </c>
      <c r="E18">
        <v>101.25</v>
      </c>
      <c r="F18">
        <v>101.25</v>
      </c>
      <c r="G18">
        <v>101</v>
      </c>
      <c r="H18">
        <v>101.15</v>
      </c>
      <c r="I18">
        <v>216386</v>
      </c>
      <c r="J18">
        <v>0</v>
      </c>
    </row>
    <row r="19" spans="1:10" x14ac:dyDescent="0.3">
      <c r="A19" s="5" t="s">
        <v>16</v>
      </c>
      <c r="B19" s="5" t="s">
        <v>15</v>
      </c>
      <c r="C19" s="6">
        <v>43047</v>
      </c>
      <c r="D19">
        <v>0</v>
      </c>
      <c r="E19">
        <v>101.09</v>
      </c>
      <c r="F19">
        <v>101.2</v>
      </c>
      <c r="G19">
        <v>101.09</v>
      </c>
      <c r="H19">
        <v>101.2</v>
      </c>
      <c r="I19">
        <v>18212</v>
      </c>
      <c r="J19">
        <v>0</v>
      </c>
    </row>
    <row r="20" spans="1:10" x14ac:dyDescent="0.3">
      <c r="A20" s="5" t="s">
        <v>16</v>
      </c>
      <c r="B20" s="5" t="s">
        <v>15</v>
      </c>
      <c r="C20" s="6">
        <v>43048</v>
      </c>
      <c r="D20">
        <v>0</v>
      </c>
      <c r="E20">
        <v>101</v>
      </c>
      <c r="F20">
        <v>101.25</v>
      </c>
      <c r="G20">
        <v>101</v>
      </c>
      <c r="H20">
        <v>101.17</v>
      </c>
      <c r="I20">
        <v>72291</v>
      </c>
      <c r="J20">
        <v>0</v>
      </c>
    </row>
    <row r="21" spans="1:10" x14ac:dyDescent="0.3">
      <c r="A21" s="5" t="s">
        <v>16</v>
      </c>
      <c r="B21" s="5" t="s">
        <v>15</v>
      </c>
      <c r="C21" s="6">
        <v>43049</v>
      </c>
      <c r="D21">
        <v>0</v>
      </c>
      <c r="E21">
        <v>97.93</v>
      </c>
      <c r="F21">
        <v>101.23</v>
      </c>
      <c r="G21">
        <v>97.93</v>
      </c>
      <c r="H21">
        <v>101.16</v>
      </c>
      <c r="I21">
        <v>46533</v>
      </c>
      <c r="J21">
        <v>0</v>
      </c>
    </row>
    <row r="22" spans="1:10" x14ac:dyDescent="0.3">
      <c r="A22" s="5" t="s">
        <v>16</v>
      </c>
      <c r="B22" s="5" t="s">
        <v>15</v>
      </c>
      <c r="C22" s="6">
        <v>43052</v>
      </c>
      <c r="D22">
        <v>0</v>
      </c>
      <c r="E22">
        <v>101.2</v>
      </c>
      <c r="F22">
        <v>101.2</v>
      </c>
      <c r="G22">
        <v>101.1</v>
      </c>
      <c r="H22">
        <v>101.15</v>
      </c>
      <c r="I22">
        <v>37338</v>
      </c>
      <c r="J22">
        <v>0</v>
      </c>
    </row>
    <row r="23" spans="1:10" x14ac:dyDescent="0.3">
      <c r="A23" s="5" t="s">
        <v>16</v>
      </c>
      <c r="B23" s="5" t="s">
        <v>15</v>
      </c>
      <c r="C23" s="6">
        <v>43053</v>
      </c>
      <c r="D23">
        <v>0</v>
      </c>
      <c r="E23">
        <v>99.53</v>
      </c>
      <c r="F23">
        <v>101.2</v>
      </c>
      <c r="G23">
        <v>99.53</v>
      </c>
      <c r="H23">
        <v>101.09</v>
      </c>
      <c r="I23">
        <v>12164</v>
      </c>
      <c r="J23">
        <v>0</v>
      </c>
    </row>
    <row r="24" spans="1:10" x14ac:dyDescent="0.3">
      <c r="A24" s="5" t="s">
        <v>16</v>
      </c>
      <c r="B24" s="5" t="s">
        <v>15</v>
      </c>
      <c r="C24" s="6">
        <v>43054</v>
      </c>
      <c r="D24">
        <v>0</v>
      </c>
      <c r="E24">
        <v>99.43</v>
      </c>
      <c r="F24">
        <v>101.1</v>
      </c>
      <c r="G24">
        <v>99.43</v>
      </c>
      <c r="H24">
        <v>100.9</v>
      </c>
      <c r="I24">
        <v>57039</v>
      </c>
      <c r="J24">
        <v>0</v>
      </c>
    </row>
    <row r="25" spans="1:10" x14ac:dyDescent="0.3">
      <c r="A25" s="5" t="s">
        <v>16</v>
      </c>
      <c r="B25" s="5" t="s">
        <v>15</v>
      </c>
      <c r="C25" s="6">
        <v>43055</v>
      </c>
      <c r="D25">
        <v>0</v>
      </c>
      <c r="E25">
        <v>101.09</v>
      </c>
      <c r="F25">
        <v>101.1</v>
      </c>
      <c r="G25">
        <v>100.9</v>
      </c>
      <c r="H25">
        <v>101.09</v>
      </c>
      <c r="I25">
        <v>57354</v>
      </c>
      <c r="J25">
        <v>0</v>
      </c>
    </row>
    <row r="26" spans="1:10" x14ac:dyDescent="0.3">
      <c r="A26" s="5" t="s">
        <v>16</v>
      </c>
      <c r="B26" s="5" t="s">
        <v>15</v>
      </c>
      <c r="C26" s="6">
        <v>43056</v>
      </c>
      <c r="D26">
        <v>0</v>
      </c>
      <c r="E26">
        <v>101.08</v>
      </c>
      <c r="F26">
        <v>101.1</v>
      </c>
      <c r="G26">
        <v>101.07</v>
      </c>
      <c r="H26">
        <v>101.07</v>
      </c>
      <c r="I26">
        <v>83299</v>
      </c>
      <c r="J26">
        <v>0</v>
      </c>
    </row>
    <row r="27" spans="1:10" x14ac:dyDescent="0.3">
      <c r="A27" s="5" t="s">
        <v>16</v>
      </c>
      <c r="B27" s="5" t="s">
        <v>15</v>
      </c>
      <c r="C27" s="6">
        <v>43059</v>
      </c>
      <c r="D27">
        <v>0</v>
      </c>
      <c r="E27">
        <v>100.98</v>
      </c>
      <c r="F27">
        <v>101.09</v>
      </c>
      <c r="G27">
        <v>100.95</v>
      </c>
      <c r="H27">
        <v>101</v>
      </c>
      <c r="I27">
        <v>40561</v>
      </c>
      <c r="J27">
        <v>0</v>
      </c>
    </row>
    <row r="28" spans="1:10" x14ac:dyDescent="0.3">
      <c r="A28" s="5" t="s">
        <v>16</v>
      </c>
      <c r="B28" s="5" t="s">
        <v>15</v>
      </c>
      <c r="C28" s="6">
        <v>43060</v>
      </c>
      <c r="D28">
        <v>0</v>
      </c>
      <c r="E28">
        <v>100.99</v>
      </c>
      <c r="F28">
        <v>101.09</v>
      </c>
      <c r="G28">
        <v>100.99</v>
      </c>
      <c r="H28">
        <v>101</v>
      </c>
      <c r="I28">
        <v>20228</v>
      </c>
      <c r="J28">
        <v>0</v>
      </c>
    </row>
    <row r="29" spans="1:10" x14ac:dyDescent="0.3">
      <c r="A29" s="5" t="s">
        <v>16</v>
      </c>
      <c r="B29" s="5" t="s">
        <v>15</v>
      </c>
      <c r="C29" s="6">
        <v>43061</v>
      </c>
      <c r="D29">
        <v>0</v>
      </c>
      <c r="E29">
        <v>101.09</v>
      </c>
      <c r="F29">
        <v>101.09</v>
      </c>
      <c r="G29">
        <v>100.97</v>
      </c>
      <c r="H29">
        <v>101.04</v>
      </c>
      <c r="I29">
        <v>31174</v>
      </c>
      <c r="J29">
        <v>0</v>
      </c>
    </row>
    <row r="30" spans="1:10" x14ac:dyDescent="0.3">
      <c r="A30" s="5" t="s">
        <v>16</v>
      </c>
      <c r="B30" s="5" t="s">
        <v>15</v>
      </c>
      <c r="C30" s="6">
        <v>43062</v>
      </c>
      <c r="D30">
        <v>0</v>
      </c>
      <c r="E30">
        <v>101.04</v>
      </c>
      <c r="F30">
        <v>101.04</v>
      </c>
      <c r="G30">
        <v>100.9</v>
      </c>
      <c r="H30">
        <v>101.02</v>
      </c>
      <c r="I30">
        <v>31109</v>
      </c>
      <c r="J30">
        <v>0</v>
      </c>
    </row>
    <row r="31" spans="1:10" x14ac:dyDescent="0.3">
      <c r="A31" s="5" t="s">
        <v>16</v>
      </c>
      <c r="B31" s="5" t="s">
        <v>15</v>
      </c>
      <c r="C31" s="6">
        <v>43063</v>
      </c>
      <c r="D31">
        <v>0</v>
      </c>
      <c r="E31">
        <v>101.03</v>
      </c>
      <c r="F31">
        <v>101.03</v>
      </c>
      <c r="G31">
        <v>100.91</v>
      </c>
      <c r="H31">
        <v>101</v>
      </c>
      <c r="I31">
        <v>13930</v>
      </c>
      <c r="J31">
        <v>0</v>
      </c>
    </row>
    <row r="32" spans="1:10" x14ac:dyDescent="0.3">
      <c r="A32" s="5" t="s">
        <v>16</v>
      </c>
      <c r="B32" s="5" t="s">
        <v>15</v>
      </c>
      <c r="C32" s="6">
        <v>43066</v>
      </c>
      <c r="D32">
        <v>0</v>
      </c>
      <c r="E32">
        <v>100.91</v>
      </c>
      <c r="F32">
        <v>101.02</v>
      </c>
      <c r="G32">
        <v>100.85</v>
      </c>
      <c r="H32">
        <v>101</v>
      </c>
      <c r="I32">
        <v>61511</v>
      </c>
      <c r="J32">
        <v>0</v>
      </c>
    </row>
    <row r="33" spans="1:10" x14ac:dyDescent="0.3">
      <c r="A33" s="5" t="s">
        <v>16</v>
      </c>
      <c r="B33" s="5" t="s">
        <v>15</v>
      </c>
      <c r="C33" s="6">
        <v>43067</v>
      </c>
      <c r="D33">
        <v>0</v>
      </c>
      <c r="E33">
        <v>101.02</v>
      </c>
      <c r="F33">
        <v>101.03</v>
      </c>
      <c r="G33">
        <v>100.95</v>
      </c>
      <c r="H33">
        <v>101.03</v>
      </c>
      <c r="I33">
        <v>25039</v>
      </c>
      <c r="J33">
        <v>0</v>
      </c>
    </row>
    <row r="34" spans="1:10" x14ac:dyDescent="0.3">
      <c r="A34" s="5" t="s">
        <v>16</v>
      </c>
      <c r="B34" s="5" t="s">
        <v>15</v>
      </c>
      <c r="C34" s="6">
        <v>43068</v>
      </c>
      <c r="D34">
        <v>0</v>
      </c>
      <c r="E34">
        <v>101.05</v>
      </c>
      <c r="F34">
        <v>101.05</v>
      </c>
      <c r="G34">
        <v>101</v>
      </c>
      <c r="H34">
        <v>101</v>
      </c>
      <c r="I34">
        <v>57264</v>
      </c>
      <c r="J34">
        <v>0</v>
      </c>
    </row>
    <row r="35" spans="1:10" x14ac:dyDescent="0.3">
      <c r="A35" s="5" t="s">
        <v>16</v>
      </c>
      <c r="B35" s="5" t="s">
        <v>15</v>
      </c>
      <c r="C35" s="6">
        <v>43069</v>
      </c>
      <c r="D35">
        <v>0</v>
      </c>
      <c r="E35">
        <v>101.04</v>
      </c>
      <c r="F35">
        <v>101.04</v>
      </c>
      <c r="G35">
        <v>100.98</v>
      </c>
      <c r="H35">
        <v>100.99</v>
      </c>
      <c r="I35">
        <v>38143</v>
      </c>
      <c r="J35">
        <v>0</v>
      </c>
    </row>
    <row r="36" spans="1:10" x14ac:dyDescent="0.3">
      <c r="A36" s="5" t="s">
        <v>16</v>
      </c>
      <c r="B36" s="5" t="s">
        <v>15</v>
      </c>
      <c r="C36" s="6">
        <v>43070</v>
      </c>
      <c r="D36">
        <v>0</v>
      </c>
      <c r="E36">
        <v>101</v>
      </c>
      <c r="F36">
        <v>101</v>
      </c>
      <c r="G36">
        <v>100.9</v>
      </c>
      <c r="H36">
        <v>101</v>
      </c>
      <c r="I36">
        <v>33727</v>
      </c>
      <c r="J36">
        <v>0</v>
      </c>
    </row>
    <row r="37" spans="1:10" x14ac:dyDescent="0.3">
      <c r="A37" s="5" t="s">
        <v>16</v>
      </c>
      <c r="B37" s="5" t="s">
        <v>15</v>
      </c>
      <c r="C37" s="6">
        <v>43073</v>
      </c>
      <c r="D37">
        <v>0</v>
      </c>
      <c r="E37">
        <v>101.04</v>
      </c>
      <c r="F37">
        <v>101.04</v>
      </c>
      <c r="G37">
        <v>100.85</v>
      </c>
      <c r="H37">
        <v>101.02</v>
      </c>
      <c r="I37">
        <v>40311</v>
      </c>
      <c r="J37">
        <v>0</v>
      </c>
    </row>
    <row r="38" spans="1:10" x14ac:dyDescent="0.3">
      <c r="A38" s="5" t="s">
        <v>16</v>
      </c>
      <c r="B38" s="5" t="s">
        <v>15</v>
      </c>
      <c r="C38" s="6">
        <v>43074</v>
      </c>
      <c r="D38">
        <v>0</v>
      </c>
      <c r="E38">
        <v>101.04</v>
      </c>
      <c r="F38">
        <v>101.04</v>
      </c>
      <c r="G38">
        <v>100.7</v>
      </c>
      <c r="H38">
        <v>100.86</v>
      </c>
      <c r="I38">
        <v>36868</v>
      </c>
      <c r="J38">
        <v>0</v>
      </c>
    </row>
    <row r="39" spans="1:10" x14ac:dyDescent="0.3">
      <c r="A39" s="5" t="s">
        <v>16</v>
      </c>
      <c r="B39" s="5" t="s">
        <v>15</v>
      </c>
      <c r="C39" s="6">
        <v>43075</v>
      </c>
      <c r="D39">
        <v>0</v>
      </c>
      <c r="E39">
        <v>101</v>
      </c>
      <c r="F39">
        <v>101</v>
      </c>
      <c r="G39">
        <v>101</v>
      </c>
      <c r="H39">
        <v>101</v>
      </c>
      <c r="I39">
        <v>21153</v>
      </c>
      <c r="J39">
        <v>0</v>
      </c>
    </row>
    <row r="40" spans="1:10" x14ac:dyDescent="0.3">
      <c r="A40" s="5" t="s">
        <v>16</v>
      </c>
      <c r="B40" s="5" t="s">
        <v>15</v>
      </c>
      <c r="C40" s="6">
        <v>43076</v>
      </c>
      <c r="D40">
        <v>0</v>
      </c>
      <c r="E40">
        <v>101</v>
      </c>
      <c r="F40">
        <v>101.2</v>
      </c>
      <c r="G40">
        <v>101</v>
      </c>
      <c r="H40">
        <v>101.2</v>
      </c>
      <c r="I40">
        <v>74011</v>
      </c>
      <c r="J40">
        <v>0</v>
      </c>
    </row>
    <row r="41" spans="1:10" x14ac:dyDescent="0.3">
      <c r="A41" s="5" t="s">
        <v>16</v>
      </c>
      <c r="B41" s="5" t="s">
        <v>15</v>
      </c>
      <c r="C41" s="6">
        <v>43077</v>
      </c>
      <c r="D41">
        <v>0</v>
      </c>
      <c r="E41">
        <v>101.2</v>
      </c>
      <c r="F41">
        <v>101.3</v>
      </c>
      <c r="G41">
        <v>101.04</v>
      </c>
      <c r="H41">
        <v>101.3</v>
      </c>
      <c r="I41">
        <v>37256</v>
      </c>
      <c r="J41">
        <v>0</v>
      </c>
    </row>
    <row r="42" spans="1:10" x14ac:dyDescent="0.3">
      <c r="A42" s="5" t="s">
        <v>16</v>
      </c>
      <c r="B42" s="5" t="s">
        <v>15</v>
      </c>
      <c r="C42" s="6">
        <v>43080</v>
      </c>
      <c r="D42">
        <v>0</v>
      </c>
      <c r="E42">
        <v>101.1</v>
      </c>
      <c r="F42">
        <v>101.3</v>
      </c>
      <c r="G42">
        <v>101</v>
      </c>
      <c r="H42">
        <v>101.2</v>
      </c>
      <c r="I42">
        <v>20465</v>
      </c>
      <c r="J42">
        <v>0</v>
      </c>
    </row>
    <row r="43" spans="1:10" x14ac:dyDescent="0.3">
      <c r="A43" s="5" t="s">
        <v>16</v>
      </c>
      <c r="B43" s="5" t="s">
        <v>15</v>
      </c>
      <c r="C43" s="6">
        <v>43081</v>
      </c>
      <c r="D43">
        <v>0</v>
      </c>
      <c r="E43">
        <v>101.2</v>
      </c>
      <c r="F43">
        <v>101.25</v>
      </c>
      <c r="G43">
        <v>101.06</v>
      </c>
      <c r="H43">
        <v>101.2</v>
      </c>
      <c r="I43">
        <v>29618</v>
      </c>
      <c r="J43">
        <v>0</v>
      </c>
    </row>
    <row r="44" spans="1:10" x14ac:dyDescent="0.3">
      <c r="A44" s="5" t="s">
        <v>16</v>
      </c>
      <c r="B44" s="5" t="s">
        <v>15</v>
      </c>
      <c r="C44" s="6">
        <v>43082</v>
      </c>
      <c r="D44">
        <v>0</v>
      </c>
      <c r="E44">
        <v>101.25</v>
      </c>
      <c r="F44">
        <v>101.25</v>
      </c>
      <c r="G44">
        <v>101</v>
      </c>
      <c r="H44">
        <v>101.25</v>
      </c>
      <c r="I44">
        <v>31156</v>
      </c>
      <c r="J44">
        <v>0</v>
      </c>
    </row>
    <row r="45" spans="1:10" x14ac:dyDescent="0.3">
      <c r="A45" s="5" t="s">
        <v>16</v>
      </c>
      <c r="B45" s="5" t="s">
        <v>15</v>
      </c>
      <c r="C45" s="6">
        <v>43083</v>
      </c>
      <c r="D45">
        <v>0</v>
      </c>
      <c r="E45">
        <v>99.26</v>
      </c>
      <c r="F45">
        <v>101.4</v>
      </c>
      <c r="G45">
        <v>99.26</v>
      </c>
      <c r="H45">
        <v>101.35</v>
      </c>
      <c r="I45">
        <v>74938</v>
      </c>
      <c r="J45">
        <v>0</v>
      </c>
    </row>
    <row r="46" spans="1:10" x14ac:dyDescent="0.3">
      <c r="A46" s="5" t="s">
        <v>16</v>
      </c>
      <c r="B46" s="5" t="s">
        <v>15</v>
      </c>
      <c r="C46" s="6">
        <v>43084</v>
      </c>
      <c r="D46">
        <v>0</v>
      </c>
      <c r="E46">
        <v>98</v>
      </c>
      <c r="F46">
        <v>101.4</v>
      </c>
      <c r="G46">
        <v>98</v>
      </c>
      <c r="H46">
        <v>101.4</v>
      </c>
      <c r="I46">
        <v>25468</v>
      </c>
      <c r="J46">
        <v>0</v>
      </c>
    </row>
    <row r="47" spans="1:10" x14ac:dyDescent="0.3">
      <c r="A47" s="5" t="s">
        <v>16</v>
      </c>
      <c r="B47" s="5" t="s">
        <v>15</v>
      </c>
      <c r="C47" s="6">
        <v>43087</v>
      </c>
      <c r="D47">
        <v>0</v>
      </c>
      <c r="E47">
        <v>100.72</v>
      </c>
      <c r="F47">
        <v>103.43</v>
      </c>
      <c r="G47">
        <v>100.72</v>
      </c>
      <c r="H47">
        <v>101.7</v>
      </c>
      <c r="I47">
        <v>37901</v>
      </c>
      <c r="J47">
        <v>0</v>
      </c>
    </row>
    <row r="48" spans="1:10" x14ac:dyDescent="0.3">
      <c r="A48" s="5" t="s">
        <v>16</v>
      </c>
      <c r="B48" s="5" t="s">
        <v>15</v>
      </c>
      <c r="C48" s="6">
        <v>43088</v>
      </c>
      <c r="D48">
        <v>0</v>
      </c>
      <c r="E48">
        <v>97.76</v>
      </c>
      <c r="F48">
        <v>101.9</v>
      </c>
      <c r="G48">
        <v>97.76</v>
      </c>
      <c r="H48">
        <v>101.87</v>
      </c>
      <c r="I48">
        <v>119085</v>
      </c>
      <c r="J48">
        <v>0</v>
      </c>
    </row>
    <row r="49" spans="1:10" x14ac:dyDescent="0.3">
      <c r="A49" s="5" t="s">
        <v>16</v>
      </c>
      <c r="B49" s="5" t="s">
        <v>15</v>
      </c>
      <c r="C49" s="6">
        <v>43089</v>
      </c>
      <c r="D49">
        <v>0</v>
      </c>
      <c r="E49">
        <v>98.06</v>
      </c>
      <c r="F49">
        <v>101.9</v>
      </c>
      <c r="G49">
        <v>98.06</v>
      </c>
      <c r="H49">
        <v>101.5</v>
      </c>
      <c r="I49">
        <v>58900</v>
      </c>
      <c r="J49">
        <v>0</v>
      </c>
    </row>
    <row r="50" spans="1:10" x14ac:dyDescent="0.3">
      <c r="A50" s="5" t="s">
        <v>16</v>
      </c>
      <c r="B50" s="5" t="s">
        <v>15</v>
      </c>
      <c r="C50" s="6">
        <v>43090</v>
      </c>
      <c r="D50">
        <v>0</v>
      </c>
      <c r="E50">
        <v>98.25</v>
      </c>
      <c r="F50">
        <v>101.9</v>
      </c>
      <c r="G50">
        <v>98.25</v>
      </c>
      <c r="H50">
        <v>101.9</v>
      </c>
      <c r="I50">
        <v>24077</v>
      </c>
      <c r="J50">
        <v>0</v>
      </c>
    </row>
    <row r="51" spans="1:10" x14ac:dyDescent="0.3">
      <c r="A51" s="5" t="s">
        <v>16</v>
      </c>
      <c r="B51" s="5" t="s">
        <v>15</v>
      </c>
      <c r="C51" s="6">
        <v>43091</v>
      </c>
      <c r="D51">
        <v>0</v>
      </c>
      <c r="E51">
        <v>98.28</v>
      </c>
      <c r="F51">
        <v>101.9</v>
      </c>
      <c r="G51">
        <v>98.28</v>
      </c>
      <c r="H51">
        <v>101.85</v>
      </c>
      <c r="I51">
        <v>42231</v>
      </c>
      <c r="J51">
        <v>0</v>
      </c>
    </row>
    <row r="52" spans="1:10" x14ac:dyDescent="0.3">
      <c r="A52" s="5" t="s">
        <v>16</v>
      </c>
      <c r="B52" s="5" t="s">
        <v>15</v>
      </c>
      <c r="C52" s="6">
        <v>43094</v>
      </c>
      <c r="D52">
        <v>0</v>
      </c>
      <c r="E52">
        <v>98.3</v>
      </c>
      <c r="F52">
        <v>102.5</v>
      </c>
      <c r="G52">
        <v>98.3</v>
      </c>
      <c r="H52">
        <v>101.9</v>
      </c>
      <c r="I52">
        <v>46222</v>
      </c>
      <c r="J52">
        <v>0</v>
      </c>
    </row>
    <row r="53" spans="1:10" x14ac:dyDescent="0.3">
      <c r="A53" s="5" t="s">
        <v>16</v>
      </c>
      <c r="B53" s="5" t="s">
        <v>15</v>
      </c>
      <c r="C53" s="6">
        <v>43095</v>
      </c>
      <c r="D53">
        <v>0</v>
      </c>
      <c r="E53">
        <v>99.47</v>
      </c>
      <c r="F53">
        <v>101.9</v>
      </c>
      <c r="G53">
        <v>99.47</v>
      </c>
      <c r="H53">
        <v>101.87</v>
      </c>
      <c r="I53">
        <v>117904</v>
      </c>
      <c r="J53">
        <v>0</v>
      </c>
    </row>
    <row r="54" spans="1:10" x14ac:dyDescent="0.3">
      <c r="A54" s="5" t="s">
        <v>16</v>
      </c>
      <c r="B54" s="5" t="s">
        <v>15</v>
      </c>
      <c r="C54" s="6">
        <v>43096</v>
      </c>
      <c r="D54">
        <v>0</v>
      </c>
      <c r="E54">
        <v>102.91</v>
      </c>
      <c r="F54">
        <v>102.91</v>
      </c>
      <c r="G54">
        <v>101.76</v>
      </c>
      <c r="H54">
        <v>101.85</v>
      </c>
      <c r="I54">
        <v>29405</v>
      </c>
      <c r="J54">
        <v>0</v>
      </c>
    </row>
    <row r="55" spans="1:10" x14ac:dyDescent="0.3">
      <c r="A55" s="5" t="s">
        <v>16</v>
      </c>
      <c r="B55" s="5" t="s">
        <v>15</v>
      </c>
      <c r="C55" s="6">
        <v>43097</v>
      </c>
      <c r="D55">
        <v>0</v>
      </c>
      <c r="E55">
        <v>103.2</v>
      </c>
      <c r="F55">
        <v>103.2</v>
      </c>
      <c r="G55">
        <v>101.85</v>
      </c>
      <c r="H55">
        <v>101.9</v>
      </c>
      <c r="I55">
        <v>241003</v>
      </c>
      <c r="J55">
        <v>0</v>
      </c>
    </row>
    <row r="56" spans="1:10" x14ac:dyDescent="0.3">
      <c r="A56" s="5" t="s">
        <v>16</v>
      </c>
      <c r="B56" s="5" t="s">
        <v>15</v>
      </c>
      <c r="C56" s="6">
        <v>43098</v>
      </c>
      <c r="D56">
        <v>0</v>
      </c>
      <c r="E56">
        <v>102</v>
      </c>
      <c r="F56">
        <v>102</v>
      </c>
      <c r="G56">
        <v>101.9</v>
      </c>
      <c r="H56">
        <v>101.99</v>
      </c>
      <c r="I56">
        <v>137458</v>
      </c>
      <c r="J56">
        <v>0</v>
      </c>
    </row>
    <row r="57" spans="1:10" x14ac:dyDescent="0.3">
      <c r="A57" s="5" t="s">
        <v>16</v>
      </c>
      <c r="B57" s="5" t="s">
        <v>15</v>
      </c>
      <c r="C57" s="6">
        <v>43103</v>
      </c>
      <c r="D57">
        <v>0</v>
      </c>
      <c r="E57">
        <v>102.21</v>
      </c>
      <c r="F57">
        <v>102.32</v>
      </c>
      <c r="G57">
        <v>101.93</v>
      </c>
      <c r="H57">
        <v>101.93</v>
      </c>
      <c r="I57">
        <v>203</v>
      </c>
      <c r="J57">
        <v>0</v>
      </c>
    </row>
    <row r="58" spans="1:10" x14ac:dyDescent="0.3">
      <c r="A58" s="5" t="s">
        <v>16</v>
      </c>
      <c r="B58" s="5" t="s">
        <v>15</v>
      </c>
      <c r="C58" s="6">
        <v>43104</v>
      </c>
      <c r="D58">
        <v>0</v>
      </c>
      <c r="E58">
        <v>102.19</v>
      </c>
      <c r="F58">
        <v>102.26</v>
      </c>
      <c r="G58">
        <v>102.19</v>
      </c>
      <c r="H58">
        <v>102.26</v>
      </c>
      <c r="I58">
        <v>167</v>
      </c>
      <c r="J58">
        <v>0</v>
      </c>
    </row>
    <row r="59" spans="1:10" x14ac:dyDescent="0.3">
      <c r="A59" s="5" t="s">
        <v>16</v>
      </c>
      <c r="B59" s="5" t="s">
        <v>15</v>
      </c>
      <c r="C59" s="6">
        <v>43105</v>
      </c>
      <c r="D59">
        <v>0</v>
      </c>
      <c r="E59">
        <v>102.07</v>
      </c>
      <c r="F59">
        <v>102.2</v>
      </c>
      <c r="G59">
        <v>101.9</v>
      </c>
      <c r="H59">
        <v>102.18</v>
      </c>
      <c r="I59">
        <v>1064</v>
      </c>
      <c r="J59">
        <v>0</v>
      </c>
    </row>
    <row r="60" spans="1:10" x14ac:dyDescent="0.3">
      <c r="A60" s="5" t="s">
        <v>16</v>
      </c>
      <c r="B60" s="5" t="s">
        <v>15</v>
      </c>
      <c r="C60" s="6">
        <v>43109</v>
      </c>
      <c r="D60">
        <v>0</v>
      </c>
      <c r="E60">
        <v>101.96</v>
      </c>
      <c r="F60">
        <v>102.2</v>
      </c>
      <c r="G60">
        <v>101.96</v>
      </c>
      <c r="H60">
        <v>102.2</v>
      </c>
      <c r="I60">
        <v>2336</v>
      </c>
      <c r="J60">
        <v>0</v>
      </c>
    </row>
    <row r="61" spans="1:10" x14ac:dyDescent="0.3">
      <c r="A61" s="5" t="s">
        <v>16</v>
      </c>
      <c r="B61" s="5" t="s">
        <v>15</v>
      </c>
      <c r="C61" s="6">
        <v>43110</v>
      </c>
      <c r="D61">
        <v>0</v>
      </c>
      <c r="E61">
        <v>102.25</v>
      </c>
      <c r="F61">
        <v>102.25</v>
      </c>
      <c r="G61">
        <v>102.06</v>
      </c>
      <c r="H61">
        <v>102.25</v>
      </c>
      <c r="I61">
        <v>66748</v>
      </c>
      <c r="J61">
        <v>0</v>
      </c>
    </row>
    <row r="62" spans="1:10" x14ac:dyDescent="0.3">
      <c r="A62" s="5" t="s">
        <v>16</v>
      </c>
      <c r="B62" s="5" t="s">
        <v>15</v>
      </c>
      <c r="C62" s="6">
        <v>43111</v>
      </c>
      <c r="D62">
        <v>0</v>
      </c>
      <c r="E62">
        <v>102.25</v>
      </c>
      <c r="F62">
        <v>102.25</v>
      </c>
      <c r="G62">
        <v>100.99</v>
      </c>
      <c r="H62">
        <v>101.99</v>
      </c>
      <c r="I62">
        <v>218924</v>
      </c>
      <c r="J62">
        <v>0</v>
      </c>
    </row>
    <row r="63" spans="1:10" x14ac:dyDescent="0.3">
      <c r="A63" s="5" t="s">
        <v>16</v>
      </c>
      <c r="B63" s="5" t="s">
        <v>15</v>
      </c>
      <c r="C63" s="6">
        <v>43112</v>
      </c>
      <c r="D63">
        <v>0</v>
      </c>
      <c r="E63">
        <v>101.01</v>
      </c>
      <c r="F63">
        <v>101.99</v>
      </c>
      <c r="G63">
        <v>101.01</v>
      </c>
      <c r="H63">
        <v>101.99</v>
      </c>
      <c r="I63">
        <v>29000</v>
      </c>
      <c r="J63">
        <v>0</v>
      </c>
    </row>
    <row r="64" spans="1:10" x14ac:dyDescent="0.3">
      <c r="A64" s="5" t="s">
        <v>16</v>
      </c>
      <c r="B64" s="5" t="s">
        <v>15</v>
      </c>
      <c r="C64" s="6">
        <v>43115</v>
      </c>
      <c r="D64">
        <v>0</v>
      </c>
      <c r="E64">
        <v>101.99</v>
      </c>
      <c r="F64">
        <v>101.99</v>
      </c>
      <c r="G64">
        <v>101.51</v>
      </c>
      <c r="H64">
        <v>101.98</v>
      </c>
      <c r="I64">
        <v>18118</v>
      </c>
      <c r="J64">
        <v>0</v>
      </c>
    </row>
    <row r="65" spans="1:10" x14ac:dyDescent="0.3">
      <c r="A65" s="5" t="s">
        <v>16</v>
      </c>
      <c r="B65" s="5" t="s">
        <v>15</v>
      </c>
      <c r="C65" s="6">
        <v>43116</v>
      </c>
      <c r="D65">
        <v>0</v>
      </c>
      <c r="E65">
        <v>101.99</v>
      </c>
      <c r="F65">
        <v>102</v>
      </c>
      <c r="G65">
        <v>101.97</v>
      </c>
      <c r="H65">
        <v>101.99</v>
      </c>
      <c r="I65">
        <v>11077</v>
      </c>
      <c r="J65">
        <v>0</v>
      </c>
    </row>
    <row r="66" spans="1:10" x14ac:dyDescent="0.3">
      <c r="A66" s="5" t="s">
        <v>16</v>
      </c>
      <c r="B66" s="5" t="s">
        <v>15</v>
      </c>
      <c r="C66" s="6">
        <v>43117</v>
      </c>
      <c r="D66">
        <v>0</v>
      </c>
      <c r="E66">
        <v>102</v>
      </c>
      <c r="F66">
        <v>102.1</v>
      </c>
      <c r="G66">
        <v>101.01</v>
      </c>
      <c r="H66">
        <v>102</v>
      </c>
      <c r="I66">
        <v>75959</v>
      </c>
      <c r="J66">
        <v>0</v>
      </c>
    </row>
    <row r="67" spans="1:10" x14ac:dyDescent="0.3">
      <c r="A67" s="5" t="s">
        <v>16</v>
      </c>
      <c r="B67" s="5" t="s">
        <v>15</v>
      </c>
      <c r="C67" s="6">
        <v>43118</v>
      </c>
      <c r="D67">
        <v>0</v>
      </c>
      <c r="E67">
        <v>101.8</v>
      </c>
      <c r="F67">
        <v>102</v>
      </c>
      <c r="G67">
        <v>101.5</v>
      </c>
      <c r="H67">
        <v>101.99</v>
      </c>
      <c r="I67">
        <v>23184</v>
      </c>
      <c r="J67">
        <v>0</v>
      </c>
    </row>
    <row r="68" spans="1:10" x14ac:dyDescent="0.3">
      <c r="A68" s="5" t="s">
        <v>16</v>
      </c>
      <c r="B68" s="5" t="s">
        <v>15</v>
      </c>
      <c r="C68" s="6">
        <v>43119</v>
      </c>
      <c r="D68">
        <v>0</v>
      </c>
      <c r="E68">
        <v>101.91</v>
      </c>
      <c r="F68">
        <v>102</v>
      </c>
      <c r="G68">
        <v>101.76</v>
      </c>
      <c r="H68">
        <v>102</v>
      </c>
      <c r="I68">
        <v>10475</v>
      </c>
      <c r="J68">
        <v>0</v>
      </c>
    </row>
    <row r="69" spans="1:10" x14ac:dyDescent="0.3">
      <c r="A69" s="5" t="s">
        <v>16</v>
      </c>
      <c r="B69" s="5" t="s">
        <v>15</v>
      </c>
      <c r="C69" s="6">
        <v>43122</v>
      </c>
      <c r="D69">
        <v>0</v>
      </c>
      <c r="E69">
        <v>101.99</v>
      </c>
      <c r="F69">
        <v>102</v>
      </c>
      <c r="G69">
        <v>101.2</v>
      </c>
      <c r="H69">
        <v>101.99</v>
      </c>
      <c r="I69">
        <v>31779</v>
      </c>
      <c r="J69">
        <v>0</v>
      </c>
    </row>
    <row r="70" spans="1:10" x14ac:dyDescent="0.3">
      <c r="A70" s="5" t="s">
        <v>16</v>
      </c>
      <c r="B70" s="5" t="s">
        <v>15</v>
      </c>
      <c r="C70" s="6">
        <v>43123</v>
      </c>
      <c r="D70">
        <v>0</v>
      </c>
      <c r="E70">
        <v>101.99</v>
      </c>
      <c r="F70">
        <v>102.15</v>
      </c>
      <c r="G70">
        <v>101.96</v>
      </c>
      <c r="H70">
        <v>101.97</v>
      </c>
      <c r="I70">
        <v>45559</v>
      </c>
      <c r="J70">
        <v>0</v>
      </c>
    </row>
    <row r="71" spans="1:10" x14ac:dyDescent="0.3">
      <c r="A71" s="5" t="s">
        <v>16</v>
      </c>
      <c r="B71" s="5" t="s">
        <v>15</v>
      </c>
      <c r="C71" s="6">
        <v>43124</v>
      </c>
      <c r="D71">
        <v>0</v>
      </c>
      <c r="E71">
        <v>102</v>
      </c>
      <c r="F71">
        <v>102</v>
      </c>
      <c r="G71">
        <v>101.57</v>
      </c>
      <c r="H71">
        <v>102</v>
      </c>
      <c r="I71">
        <v>54811</v>
      </c>
      <c r="J71">
        <v>0</v>
      </c>
    </row>
    <row r="72" spans="1:10" x14ac:dyDescent="0.3">
      <c r="A72" s="5" t="s">
        <v>16</v>
      </c>
      <c r="B72" s="5" t="s">
        <v>15</v>
      </c>
      <c r="C72" s="6">
        <v>43125</v>
      </c>
      <c r="D72">
        <v>0</v>
      </c>
      <c r="E72">
        <v>102</v>
      </c>
      <c r="F72">
        <v>102</v>
      </c>
      <c r="G72">
        <v>101.25</v>
      </c>
      <c r="H72">
        <v>102</v>
      </c>
      <c r="I72">
        <v>31976</v>
      </c>
      <c r="J72">
        <v>0</v>
      </c>
    </row>
    <row r="73" spans="1:10" x14ac:dyDescent="0.3">
      <c r="A73" s="5" t="s">
        <v>16</v>
      </c>
      <c r="B73" s="5" t="s">
        <v>15</v>
      </c>
      <c r="C73" s="6">
        <v>43126</v>
      </c>
      <c r="D73">
        <v>0</v>
      </c>
      <c r="E73">
        <v>102</v>
      </c>
      <c r="F73">
        <v>102</v>
      </c>
      <c r="G73">
        <v>101.35</v>
      </c>
      <c r="H73">
        <v>101.99</v>
      </c>
      <c r="I73">
        <v>50815</v>
      </c>
      <c r="J73">
        <v>0</v>
      </c>
    </row>
    <row r="74" spans="1:10" x14ac:dyDescent="0.3">
      <c r="A74" s="5" t="s">
        <v>16</v>
      </c>
      <c r="B74" s="5" t="s">
        <v>15</v>
      </c>
      <c r="C74" s="6">
        <v>43129</v>
      </c>
      <c r="D74">
        <v>0</v>
      </c>
      <c r="E74">
        <v>102</v>
      </c>
      <c r="F74">
        <v>102</v>
      </c>
      <c r="G74">
        <v>101.76</v>
      </c>
      <c r="H74">
        <v>102</v>
      </c>
      <c r="I74">
        <v>45148</v>
      </c>
      <c r="J74">
        <v>0</v>
      </c>
    </row>
    <row r="75" spans="1:10" x14ac:dyDescent="0.3">
      <c r="A75" s="5" t="s">
        <v>16</v>
      </c>
      <c r="B75" s="5" t="s">
        <v>15</v>
      </c>
      <c r="C75" s="6">
        <v>43130</v>
      </c>
      <c r="D75">
        <v>0</v>
      </c>
      <c r="E75">
        <v>102.01</v>
      </c>
      <c r="F75">
        <v>102.22</v>
      </c>
      <c r="G75">
        <v>101.93</v>
      </c>
      <c r="H75">
        <v>102.22</v>
      </c>
      <c r="I75">
        <v>21195</v>
      </c>
      <c r="J75">
        <v>0</v>
      </c>
    </row>
    <row r="76" spans="1:10" x14ac:dyDescent="0.3">
      <c r="A76" s="5" t="s">
        <v>16</v>
      </c>
      <c r="B76" s="5" t="s">
        <v>15</v>
      </c>
      <c r="C76" s="6">
        <v>43131</v>
      </c>
      <c r="D76">
        <v>0</v>
      </c>
      <c r="E76">
        <v>102.2</v>
      </c>
      <c r="F76">
        <v>102.22</v>
      </c>
      <c r="G76">
        <v>102</v>
      </c>
      <c r="H76">
        <v>102.2</v>
      </c>
      <c r="I76">
        <v>422862</v>
      </c>
      <c r="J76">
        <v>0</v>
      </c>
    </row>
    <row r="77" spans="1:10" x14ac:dyDescent="0.3">
      <c r="A77" s="5" t="s">
        <v>16</v>
      </c>
      <c r="B77" s="5" t="s">
        <v>15</v>
      </c>
      <c r="C77" s="6">
        <v>43132</v>
      </c>
      <c r="D77">
        <v>0</v>
      </c>
      <c r="E77">
        <v>102.2</v>
      </c>
      <c r="F77">
        <v>102.5</v>
      </c>
      <c r="G77">
        <v>102.01</v>
      </c>
      <c r="H77">
        <v>102.5</v>
      </c>
      <c r="I77">
        <v>121345</v>
      </c>
      <c r="J77">
        <v>0</v>
      </c>
    </row>
    <row r="78" spans="1:10" x14ac:dyDescent="0.3">
      <c r="A78" s="5" t="s">
        <v>16</v>
      </c>
      <c r="B78" s="5" t="s">
        <v>15</v>
      </c>
      <c r="C78" s="6">
        <v>43133</v>
      </c>
      <c r="D78">
        <v>0</v>
      </c>
      <c r="E78">
        <v>101.95</v>
      </c>
      <c r="F78">
        <v>103.33</v>
      </c>
      <c r="G78">
        <v>101.95</v>
      </c>
      <c r="H78">
        <v>102.7</v>
      </c>
      <c r="I78">
        <v>51042</v>
      </c>
      <c r="J78">
        <v>0</v>
      </c>
    </row>
    <row r="79" spans="1:10" x14ac:dyDescent="0.3">
      <c r="A79" s="5" t="s">
        <v>16</v>
      </c>
      <c r="B79" s="5" t="s">
        <v>15</v>
      </c>
      <c r="C79" s="6">
        <v>43136</v>
      </c>
      <c r="D79">
        <v>0</v>
      </c>
      <c r="E79">
        <v>101.99</v>
      </c>
      <c r="F79">
        <v>102.8</v>
      </c>
      <c r="G79">
        <v>101.99</v>
      </c>
      <c r="H79">
        <v>102.77</v>
      </c>
      <c r="I79">
        <v>35248</v>
      </c>
      <c r="J79">
        <v>0</v>
      </c>
    </row>
    <row r="80" spans="1:10" x14ac:dyDescent="0.3">
      <c r="A80" s="5" t="s">
        <v>16</v>
      </c>
      <c r="B80" s="5" t="s">
        <v>15</v>
      </c>
      <c r="C80" s="6">
        <v>43137</v>
      </c>
      <c r="D80">
        <v>0</v>
      </c>
      <c r="E80">
        <v>102.7</v>
      </c>
      <c r="F80">
        <v>102.74</v>
      </c>
      <c r="G80">
        <v>102.67</v>
      </c>
      <c r="H80">
        <v>102.7</v>
      </c>
      <c r="I80">
        <v>23370</v>
      </c>
      <c r="J80">
        <v>0</v>
      </c>
    </row>
    <row r="81" spans="1:10" x14ac:dyDescent="0.3">
      <c r="A81" s="5" t="s">
        <v>16</v>
      </c>
      <c r="B81" s="5" t="s">
        <v>15</v>
      </c>
      <c r="C81" s="6">
        <v>43138</v>
      </c>
      <c r="D81">
        <v>0</v>
      </c>
      <c r="E81">
        <v>102.74</v>
      </c>
      <c r="F81">
        <v>102.75</v>
      </c>
      <c r="G81">
        <v>102.32</v>
      </c>
      <c r="H81">
        <v>102.7</v>
      </c>
      <c r="I81">
        <v>35489</v>
      </c>
      <c r="J81">
        <v>0</v>
      </c>
    </row>
    <row r="82" spans="1:10" x14ac:dyDescent="0.3">
      <c r="A82" s="5" t="s">
        <v>16</v>
      </c>
      <c r="B82" s="5" t="s">
        <v>15</v>
      </c>
      <c r="C82" s="6">
        <v>43139</v>
      </c>
      <c r="D82">
        <v>0</v>
      </c>
      <c r="E82">
        <v>103</v>
      </c>
      <c r="F82">
        <v>103</v>
      </c>
      <c r="G82">
        <v>102.5</v>
      </c>
      <c r="H82">
        <v>102.54</v>
      </c>
      <c r="I82">
        <v>8705</v>
      </c>
      <c r="J82">
        <v>0</v>
      </c>
    </row>
    <row r="83" spans="1:10" x14ac:dyDescent="0.3">
      <c r="A83" s="5" t="s">
        <v>16</v>
      </c>
      <c r="B83" s="5" t="s">
        <v>15</v>
      </c>
      <c r="C83" s="6">
        <v>43140</v>
      </c>
      <c r="D83">
        <v>0</v>
      </c>
      <c r="E83">
        <v>102.98</v>
      </c>
      <c r="F83">
        <v>102.99</v>
      </c>
      <c r="G83">
        <v>102.5</v>
      </c>
      <c r="H83">
        <v>102.7</v>
      </c>
      <c r="I83">
        <v>52457</v>
      </c>
      <c r="J83">
        <v>0</v>
      </c>
    </row>
    <row r="84" spans="1:10" x14ac:dyDescent="0.3">
      <c r="A84" s="5" t="s">
        <v>16</v>
      </c>
      <c r="B84" s="5" t="s">
        <v>15</v>
      </c>
      <c r="C84" s="6">
        <v>43143</v>
      </c>
      <c r="D84">
        <v>0</v>
      </c>
      <c r="E84">
        <v>102.79</v>
      </c>
      <c r="F84">
        <v>104.2</v>
      </c>
      <c r="G84">
        <v>102.3</v>
      </c>
      <c r="H84">
        <v>104.2</v>
      </c>
      <c r="I84">
        <v>18432</v>
      </c>
      <c r="J84">
        <v>0</v>
      </c>
    </row>
    <row r="85" spans="1:10" x14ac:dyDescent="0.3">
      <c r="A85" s="5" t="s">
        <v>16</v>
      </c>
      <c r="B85" s="5" t="s">
        <v>15</v>
      </c>
      <c r="C85" s="6">
        <v>43144</v>
      </c>
      <c r="D85">
        <v>0</v>
      </c>
      <c r="E85">
        <v>102.51</v>
      </c>
      <c r="F85">
        <v>103</v>
      </c>
      <c r="G85">
        <v>102.51</v>
      </c>
      <c r="H85">
        <v>103</v>
      </c>
      <c r="I85">
        <v>17934</v>
      </c>
      <c r="J85">
        <v>0</v>
      </c>
    </row>
    <row r="86" spans="1:10" x14ac:dyDescent="0.3">
      <c r="A86" s="5" t="s">
        <v>16</v>
      </c>
      <c r="B86" s="5" t="s">
        <v>15</v>
      </c>
      <c r="C86" s="6">
        <v>43145</v>
      </c>
      <c r="D86">
        <v>0</v>
      </c>
      <c r="E86">
        <v>103</v>
      </c>
      <c r="F86">
        <v>103</v>
      </c>
      <c r="G86">
        <v>102.78</v>
      </c>
      <c r="H86">
        <v>102.8</v>
      </c>
      <c r="I86">
        <v>8253</v>
      </c>
      <c r="J86">
        <v>0</v>
      </c>
    </row>
    <row r="87" spans="1:10" x14ac:dyDescent="0.3">
      <c r="A87" s="5" t="s">
        <v>16</v>
      </c>
      <c r="B87" s="5" t="s">
        <v>15</v>
      </c>
      <c r="C87" s="6">
        <v>43146</v>
      </c>
      <c r="D87">
        <v>0</v>
      </c>
      <c r="E87">
        <v>103.05</v>
      </c>
      <c r="F87">
        <v>103.05</v>
      </c>
      <c r="G87">
        <v>102.56</v>
      </c>
      <c r="H87">
        <v>102.78</v>
      </c>
      <c r="I87">
        <v>4282</v>
      </c>
      <c r="J87">
        <v>0</v>
      </c>
    </row>
    <row r="88" spans="1:10" x14ac:dyDescent="0.3">
      <c r="A88" s="5" t="s">
        <v>16</v>
      </c>
      <c r="B88" s="5" t="s">
        <v>15</v>
      </c>
      <c r="C88" s="6">
        <v>43147</v>
      </c>
      <c r="D88">
        <v>0</v>
      </c>
      <c r="E88">
        <v>102.51</v>
      </c>
      <c r="F88">
        <v>103</v>
      </c>
      <c r="G88">
        <v>102.51</v>
      </c>
      <c r="H88">
        <v>103</v>
      </c>
      <c r="I88">
        <v>9068</v>
      </c>
      <c r="J88">
        <v>0</v>
      </c>
    </row>
    <row r="89" spans="1:10" x14ac:dyDescent="0.3">
      <c r="A89" s="5" t="s">
        <v>16</v>
      </c>
      <c r="B89" s="5" t="s">
        <v>15</v>
      </c>
      <c r="C89" s="6">
        <v>43150</v>
      </c>
      <c r="D89">
        <v>0</v>
      </c>
      <c r="E89">
        <v>102.85</v>
      </c>
      <c r="F89">
        <v>103</v>
      </c>
      <c r="G89">
        <v>101.85</v>
      </c>
      <c r="H89">
        <v>102.88</v>
      </c>
      <c r="I89">
        <v>16205</v>
      </c>
      <c r="J89">
        <v>0</v>
      </c>
    </row>
    <row r="90" spans="1:10" x14ac:dyDescent="0.3">
      <c r="A90" s="5" t="s">
        <v>16</v>
      </c>
      <c r="B90" s="5" t="s">
        <v>15</v>
      </c>
      <c r="C90" s="6">
        <v>43151</v>
      </c>
      <c r="D90">
        <v>0</v>
      </c>
      <c r="E90">
        <v>102.13</v>
      </c>
      <c r="F90">
        <v>102.8</v>
      </c>
      <c r="G90">
        <v>102.1</v>
      </c>
      <c r="H90">
        <v>102.8</v>
      </c>
      <c r="I90">
        <v>3919</v>
      </c>
      <c r="J90">
        <v>0</v>
      </c>
    </row>
    <row r="91" spans="1:10" x14ac:dyDescent="0.3">
      <c r="A91" s="5" t="s">
        <v>16</v>
      </c>
      <c r="B91" s="5" t="s">
        <v>15</v>
      </c>
      <c r="C91" s="6">
        <v>43152</v>
      </c>
      <c r="D91">
        <v>0</v>
      </c>
      <c r="E91">
        <v>103.83</v>
      </c>
      <c r="F91">
        <v>103.83</v>
      </c>
      <c r="G91">
        <v>102.16</v>
      </c>
      <c r="H91">
        <v>102.85</v>
      </c>
      <c r="I91">
        <v>1008</v>
      </c>
      <c r="J91">
        <v>0</v>
      </c>
    </row>
    <row r="92" spans="1:10" x14ac:dyDescent="0.3">
      <c r="A92" s="5" t="s">
        <v>16</v>
      </c>
      <c r="B92" s="5" t="s">
        <v>15</v>
      </c>
      <c r="C92" s="6">
        <v>43153</v>
      </c>
      <c r="D92">
        <v>0</v>
      </c>
      <c r="E92">
        <v>102.23</v>
      </c>
      <c r="F92">
        <v>102.89</v>
      </c>
      <c r="G92">
        <v>102.22</v>
      </c>
      <c r="H92">
        <v>102.89</v>
      </c>
      <c r="I92">
        <v>2941</v>
      </c>
      <c r="J92">
        <v>0</v>
      </c>
    </row>
    <row r="93" spans="1:10" x14ac:dyDescent="0.3">
      <c r="A93" s="5" t="s">
        <v>16</v>
      </c>
      <c r="B93" s="5" t="s">
        <v>15</v>
      </c>
      <c r="C93" s="6">
        <v>43157</v>
      </c>
      <c r="D93">
        <v>0</v>
      </c>
      <c r="E93">
        <v>102.57</v>
      </c>
      <c r="F93">
        <v>103</v>
      </c>
      <c r="G93">
        <v>102.57</v>
      </c>
      <c r="H93">
        <v>103</v>
      </c>
      <c r="I93">
        <v>33034</v>
      </c>
      <c r="J93">
        <v>0</v>
      </c>
    </row>
    <row r="94" spans="1:10" x14ac:dyDescent="0.3">
      <c r="A94" s="5" t="s">
        <v>16</v>
      </c>
      <c r="B94" s="5" t="s">
        <v>15</v>
      </c>
      <c r="C94" s="6">
        <v>43158</v>
      </c>
      <c r="D94">
        <v>0</v>
      </c>
      <c r="E94">
        <v>102.9</v>
      </c>
      <c r="F94">
        <v>102.9</v>
      </c>
      <c r="G94">
        <v>102.49</v>
      </c>
      <c r="H94">
        <v>102.5</v>
      </c>
      <c r="I94">
        <v>50610</v>
      </c>
      <c r="J94">
        <v>0</v>
      </c>
    </row>
    <row r="95" spans="1:10" x14ac:dyDescent="0.3">
      <c r="A95" s="5" t="s">
        <v>16</v>
      </c>
      <c r="B95" s="5" t="s">
        <v>15</v>
      </c>
      <c r="C95" s="6">
        <v>43159</v>
      </c>
      <c r="D95">
        <v>0</v>
      </c>
      <c r="E95">
        <v>102.7</v>
      </c>
      <c r="F95">
        <v>102.7</v>
      </c>
      <c r="G95">
        <v>102.25</v>
      </c>
      <c r="H95">
        <v>102.28</v>
      </c>
      <c r="I95">
        <v>11807</v>
      </c>
      <c r="J95">
        <v>0</v>
      </c>
    </row>
    <row r="96" spans="1:10" x14ac:dyDescent="0.3">
      <c r="A96" s="5" t="s">
        <v>16</v>
      </c>
      <c r="B96" s="5" t="s">
        <v>15</v>
      </c>
      <c r="C96" s="6">
        <v>43160</v>
      </c>
      <c r="D96">
        <v>0</v>
      </c>
      <c r="E96">
        <v>102.52</v>
      </c>
      <c r="F96">
        <v>102.75</v>
      </c>
      <c r="G96">
        <v>102.3</v>
      </c>
      <c r="H96">
        <v>102.65</v>
      </c>
      <c r="I96">
        <v>5503</v>
      </c>
      <c r="J96">
        <v>0</v>
      </c>
    </row>
    <row r="97" spans="1:10" x14ac:dyDescent="0.3">
      <c r="A97" s="5" t="s">
        <v>16</v>
      </c>
      <c r="B97" s="5" t="s">
        <v>15</v>
      </c>
      <c r="C97" s="6">
        <v>43161</v>
      </c>
      <c r="D97">
        <v>0</v>
      </c>
      <c r="E97">
        <v>102.77</v>
      </c>
      <c r="F97">
        <v>103</v>
      </c>
      <c r="G97">
        <v>102.72</v>
      </c>
      <c r="H97">
        <v>103</v>
      </c>
      <c r="I97">
        <v>11025</v>
      </c>
      <c r="J97">
        <v>0</v>
      </c>
    </row>
    <row r="98" spans="1:10" x14ac:dyDescent="0.3">
      <c r="A98" s="5" t="s">
        <v>16</v>
      </c>
      <c r="B98" s="5" t="s">
        <v>15</v>
      </c>
      <c r="C98" s="6">
        <v>43164</v>
      </c>
      <c r="D98">
        <v>0</v>
      </c>
      <c r="E98">
        <v>103</v>
      </c>
      <c r="F98">
        <v>103</v>
      </c>
      <c r="G98">
        <v>102.75</v>
      </c>
      <c r="H98">
        <v>102.75</v>
      </c>
      <c r="I98">
        <v>25634</v>
      </c>
      <c r="J98">
        <v>0</v>
      </c>
    </row>
    <row r="99" spans="1:10" x14ac:dyDescent="0.3">
      <c r="A99" s="5" t="s">
        <v>16</v>
      </c>
      <c r="B99" s="5" t="s">
        <v>15</v>
      </c>
      <c r="C99" s="6">
        <v>43165</v>
      </c>
      <c r="D99">
        <v>0</v>
      </c>
      <c r="E99">
        <v>102.83</v>
      </c>
      <c r="F99">
        <v>102.85</v>
      </c>
      <c r="G99">
        <v>102.5</v>
      </c>
      <c r="H99">
        <v>102.75</v>
      </c>
      <c r="I99">
        <v>44403</v>
      </c>
      <c r="J99">
        <v>0</v>
      </c>
    </row>
    <row r="100" spans="1:10" x14ac:dyDescent="0.3">
      <c r="A100" s="5" t="s">
        <v>16</v>
      </c>
      <c r="B100" s="5" t="s">
        <v>15</v>
      </c>
      <c r="C100" s="6">
        <v>43166</v>
      </c>
      <c r="D100">
        <v>0</v>
      </c>
      <c r="E100">
        <v>102.8</v>
      </c>
      <c r="F100">
        <v>102.83</v>
      </c>
      <c r="G100">
        <v>102.79</v>
      </c>
      <c r="H100">
        <v>102.8</v>
      </c>
      <c r="I100">
        <v>41898</v>
      </c>
      <c r="J100">
        <v>0</v>
      </c>
    </row>
    <row r="101" spans="1:10" x14ac:dyDescent="0.3">
      <c r="A101" s="5" t="s">
        <v>16</v>
      </c>
      <c r="B101" s="5" t="s">
        <v>15</v>
      </c>
      <c r="C101" s="6">
        <v>43168</v>
      </c>
      <c r="D101">
        <v>0</v>
      </c>
      <c r="E101">
        <v>102.99</v>
      </c>
      <c r="F101">
        <v>102.99</v>
      </c>
      <c r="G101">
        <v>102.99</v>
      </c>
      <c r="H101">
        <v>102.99</v>
      </c>
      <c r="I101">
        <v>47</v>
      </c>
      <c r="J101">
        <v>0</v>
      </c>
    </row>
    <row r="102" spans="1:10" x14ac:dyDescent="0.3">
      <c r="A102" s="5" t="s">
        <v>16</v>
      </c>
      <c r="B102" s="5" t="s">
        <v>15</v>
      </c>
      <c r="C102" s="6">
        <v>43171</v>
      </c>
      <c r="D102">
        <v>0</v>
      </c>
      <c r="E102">
        <v>102.75</v>
      </c>
      <c r="F102">
        <v>102.8</v>
      </c>
      <c r="G102">
        <v>102.5</v>
      </c>
      <c r="H102">
        <v>102.8</v>
      </c>
      <c r="I102">
        <v>81307</v>
      </c>
      <c r="J102">
        <v>0</v>
      </c>
    </row>
    <row r="103" spans="1:10" x14ac:dyDescent="0.3">
      <c r="A103" s="5" t="s">
        <v>16</v>
      </c>
      <c r="B103" s="5" t="s">
        <v>15</v>
      </c>
      <c r="C103" s="6">
        <v>43172</v>
      </c>
      <c r="D103">
        <v>0</v>
      </c>
      <c r="E103">
        <v>102.75</v>
      </c>
      <c r="F103">
        <v>102.75</v>
      </c>
      <c r="G103">
        <v>102.6</v>
      </c>
      <c r="H103">
        <v>102.75</v>
      </c>
      <c r="I103">
        <v>17765</v>
      </c>
      <c r="J103">
        <v>0</v>
      </c>
    </row>
    <row r="104" spans="1:10" x14ac:dyDescent="0.3">
      <c r="A104" s="5" t="s">
        <v>16</v>
      </c>
      <c r="B104" s="5" t="s">
        <v>15</v>
      </c>
      <c r="C104" s="6">
        <v>43173</v>
      </c>
      <c r="D104">
        <v>0</v>
      </c>
      <c r="E104">
        <v>102.6</v>
      </c>
      <c r="F104">
        <v>102.75</v>
      </c>
      <c r="G104">
        <v>102.55</v>
      </c>
      <c r="H104">
        <v>102.75</v>
      </c>
      <c r="I104">
        <v>27261</v>
      </c>
      <c r="J104">
        <v>0</v>
      </c>
    </row>
    <row r="105" spans="1:10" x14ac:dyDescent="0.3">
      <c r="A105" s="5" t="s">
        <v>16</v>
      </c>
      <c r="B105" s="5" t="s">
        <v>15</v>
      </c>
      <c r="C105" s="6">
        <v>43174</v>
      </c>
      <c r="D105">
        <v>0</v>
      </c>
      <c r="E105">
        <v>102.75</v>
      </c>
      <c r="F105">
        <v>102.75</v>
      </c>
      <c r="G105">
        <v>102.5</v>
      </c>
      <c r="H105">
        <v>102.73</v>
      </c>
      <c r="I105">
        <v>11233</v>
      </c>
      <c r="J105">
        <v>0</v>
      </c>
    </row>
    <row r="106" spans="1:10" x14ac:dyDescent="0.3">
      <c r="A106" s="5" t="s">
        <v>16</v>
      </c>
      <c r="B106" s="5" t="s">
        <v>15</v>
      </c>
      <c r="C106" s="6">
        <v>43175</v>
      </c>
      <c r="D106">
        <v>0</v>
      </c>
      <c r="E106">
        <v>102.75</v>
      </c>
      <c r="F106">
        <v>102.8</v>
      </c>
      <c r="G106">
        <v>102.5</v>
      </c>
      <c r="H106">
        <v>102.8</v>
      </c>
      <c r="I106">
        <v>41601</v>
      </c>
      <c r="J106">
        <v>0</v>
      </c>
    </row>
    <row r="107" spans="1:10" x14ac:dyDescent="0.3">
      <c r="A107" s="5" t="s">
        <v>16</v>
      </c>
      <c r="B107" s="5" t="s">
        <v>15</v>
      </c>
      <c r="C107" s="6">
        <v>43178</v>
      </c>
      <c r="D107">
        <v>0</v>
      </c>
      <c r="E107">
        <v>102.15</v>
      </c>
      <c r="F107">
        <v>102.9</v>
      </c>
      <c r="G107">
        <v>102.1</v>
      </c>
      <c r="H107">
        <v>102.9</v>
      </c>
      <c r="I107">
        <v>97964</v>
      </c>
      <c r="J107">
        <v>0</v>
      </c>
    </row>
    <row r="108" spans="1:10" x14ac:dyDescent="0.3">
      <c r="A108" s="5" t="s">
        <v>16</v>
      </c>
      <c r="B108" s="5" t="s">
        <v>15</v>
      </c>
      <c r="C108" s="6">
        <v>43179</v>
      </c>
      <c r="D108">
        <v>0</v>
      </c>
      <c r="E108">
        <v>102.7</v>
      </c>
      <c r="F108">
        <v>103</v>
      </c>
      <c r="G108">
        <v>102.65</v>
      </c>
      <c r="H108">
        <v>103</v>
      </c>
      <c r="I108">
        <v>8599</v>
      </c>
      <c r="J108">
        <v>0</v>
      </c>
    </row>
    <row r="109" spans="1:10" x14ac:dyDescent="0.3">
      <c r="A109" s="5" t="s">
        <v>16</v>
      </c>
      <c r="B109" s="5" t="s">
        <v>15</v>
      </c>
      <c r="C109" s="6">
        <v>43180</v>
      </c>
      <c r="D109">
        <v>0</v>
      </c>
      <c r="E109">
        <v>102.65</v>
      </c>
      <c r="F109">
        <v>102.7</v>
      </c>
      <c r="G109">
        <v>102.5</v>
      </c>
      <c r="H109">
        <v>102.65</v>
      </c>
      <c r="I109">
        <v>5303</v>
      </c>
      <c r="J109">
        <v>0</v>
      </c>
    </row>
    <row r="110" spans="1:10" x14ac:dyDescent="0.3">
      <c r="A110" s="5" t="s">
        <v>16</v>
      </c>
      <c r="B110" s="5" t="s">
        <v>15</v>
      </c>
      <c r="C110" s="6">
        <v>43181</v>
      </c>
      <c r="D110">
        <v>0</v>
      </c>
      <c r="E110">
        <v>102.65</v>
      </c>
      <c r="F110">
        <v>102.66</v>
      </c>
      <c r="G110">
        <v>102.53</v>
      </c>
      <c r="H110">
        <v>102.65</v>
      </c>
      <c r="I110">
        <v>247051</v>
      </c>
      <c r="J110">
        <v>0</v>
      </c>
    </row>
    <row r="111" spans="1:10" x14ac:dyDescent="0.3">
      <c r="A111" s="5" t="s">
        <v>16</v>
      </c>
      <c r="B111" s="5" t="s">
        <v>15</v>
      </c>
      <c r="C111" s="6">
        <v>43182</v>
      </c>
      <c r="D111">
        <v>0</v>
      </c>
      <c r="E111">
        <v>102.75</v>
      </c>
      <c r="F111">
        <v>103.85</v>
      </c>
      <c r="G111">
        <v>102.31</v>
      </c>
      <c r="H111">
        <v>103.85</v>
      </c>
      <c r="I111">
        <v>1184</v>
      </c>
      <c r="J111">
        <v>0</v>
      </c>
    </row>
    <row r="112" spans="1:10" x14ac:dyDescent="0.3">
      <c r="A112" s="5" t="s">
        <v>16</v>
      </c>
      <c r="B112" s="5" t="s">
        <v>15</v>
      </c>
      <c r="C112" s="6">
        <v>43185</v>
      </c>
      <c r="D112">
        <v>0</v>
      </c>
      <c r="E112">
        <v>102.75</v>
      </c>
      <c r="F112">
        <v>102.75</v>
      </c>
      <c r="G112">
        <v>102.7</v>
      </c>
      <c r="H112">
        <v>102.7</v>
      </c>
      <c r="I112">
        <v>64800</v>
      </c>
      <c r="J112">
        <v>0</v>
      </c>
    </row>
    <row r="113" spans="1:10" x14ac:dyDescent="0.3">
      <c r="A113" s="5" t="s">
        <v>16</v>
      </c>
      <c r="B113" s="5" t="s">
        <v>15</v>
      </c>
      <c r="C113" s="6">
        <v>43186</v>
      </c>
      <c r="D113">
        <v>0</v>
      </c>
      <c r="E113">
        <v>102.31</v>
      </c>
      <c r="F113">
        <v>102.75</v>
      </c>
      <c r="G113">
        <v>102.25</v>
      </c>
      <c r="H113">
        <v>102.7</v>
      </c>
      <c r="I113">
        <v>180391</v>
      </c>
      <c r="J113">
        <v>0</v>
      </c>
    </row>
    <row r="114" spans="1:10" x14ac:dyDescent="0.3">
      <c r="A114" s="5" t="s">
        <v>16</v>
      </c>
      <c r="B114" s="5" t="s">
        <v>15</v>
      </c>
      <c r="C114" s="6">
        <v>43187</v>
      </c>
      <c r="D114">
        <v>0</v>
      </c>
      <c r="E114">
        <v>102.74</v>
      </c>
      <c r="F114">
        <v>102.75</v>
      </c>
      <c r="G114">
        <v>102.5</v>
      </c>
      <c r="H114">
        <v>102.6</v>
      </c>
      <c r="I114">
        <v>47306</v>
      </c>
      <c r="J114">
        <v>0</v>
      </c>
    </row>
    <row r="115" spans="1:10" x14ac:dyDescent="0.3">
      <c r="A115" s="5" t="s">
        <v>16</v>
      </c>
      <c r="B115" s="5" t="s">
        <v>15</v>
      </c>
      <c r="C115" s="6">
        <v>43188</v>
      </c>
      <c r="D115">
        <v>0</v>
      </c>
      <c r="E115">
        <v>102.65</v>
      </c>
      <c r="F115">
        <v>102.75</v>
      </c>
      <c r="G115">
        <v>102.5</v>
      </c>
      <c r="H115">
        <v>102.75</v>
      </c>
      <c r="I115">
        <v>10460</v>
      </c>
      <c r="J115">
        <v>0</v>
      </c>
    </row>
    <row r="116" spans="1:10" x14ac:dyDescent="0.3">
      <c r="A116" s="5" t="s">
        <v>16</v>
      </c>
      <c r="B116" s="5" t="s">
        <v>15</v>
      </c>
      <c r="C116" s="6">
        <v>43189</v>
      </c>
      <c r="D116">
        <v>0</v>
      </c>
      <c r="E116">
        <v>102.51</v>
      </c>
      <c r="F116">
        <v>103.9</v>
      </c>
      <c r="G116">
        <v>102.25</v>
      </c>
      <c r="H116">
        <v>102.6</v>
      </c>
      <c r="I116">
        <v>602</v>
      </c>
      <c r="J116">
        <v>0</v>
      </c>
    </row>
    <row r="117" spans="1:10" x14ac:dyDescent="0.3">
      <c r="A117" s="5" t="s">
        <v>16</v>
      </c>
      <c r="B117" s="5" t="s">
        <v>15</v>
      </c>
      <c r="C117" s="6">
        <v>43192</v>
      </c>
      <c r="D117">
        <v>0</v>
      </c>
      <c r="E117">
        <v>102.6</v>
      </c>
      <c r="F117">
        <v>102.7</v>
      </c>
      <c r="G117">
        <v>102.6</v>
      </c>
      <c r="H117">
        <v>102.7</v>
      </c>
      <c r="I117">
        <v>55735</v>
      </c>
      <c r="J117">
        <v>0</v>
      </c>
    </row>
    <row r="118" spans="1:10" x14ac:dyDescent="0.3">
      <c r="A118" s="5" t="s">
        <v>16</v>
      </c>
      <c r="B118" s="5" t="s">
        <v>15</v>
      </c>
      <c r="C118" s="6">
        <v>43193</v>
      </c>
      <c r="D118">
        <v>0</v>
      </c>
      <c r="E118">
        <v>102.7</v>
      </c>
      <c r="F118">
        <v>102.7</v>
      </c>
      <c r="G118">
        <v>102.64</v>
      </c>
      <c r="H118">
        <v>102.65</v>
      </c>
      <c r="I118">
        <v>102925</v>
      </c>
      <c r="J118">
        <v>0</v>
      </c>
    </row>
    <row r="119" spans="1:10" x14ac:dyDescent="0.3">
      <c r="A119" s="5" t="s">
        <v>16</v>
      </c>
      <c r="B119" s="5" t="s">
        <v>15</v>
      </c>
      <c r="C119" s="6">
        <v>43194</v>
      </c>
      <c r="D119">
        <v>0</v>
      </c>
      <c r="E119">
        <v>102.51</v>
      </c>
      <c r="F119">
        <v>103.69</v>
      </c>
      <c r="G119">
        <v>102.27</v>
      </c>
      <c r="H119">
        <v>102.74</v>
      </c>
      <c r="I119">
        <v>1484</v>
      </c>
      <c r="J119">
        <v>0</v>
      </c>
    </row>
    <row r="120" spans="1:10" x14ac:dyDescent="0.3">
      <c r="A120" s="5" t="s">
        <v>16</v>
      </c>
      <c r="B120" s="5" t="s">
        <v>15</v>
      </c>
      <c r="C120" s="6">
        <v>43195</v>
      </c>
      <c r="D120">
        <v>0</v>
      </c>
      <c r="E120">
        <v>102.7</v>
      </c>
      <c r="F120">
        <v>102.85</v>
      </c>
      <c r="G120">
        <v>102.7</v>
      </c>
      <c r="H120">
        <v>102.85</v>
      </c>
      <c r="I120">
        <v>25176</v>
      </c>
      <c r="J120">
        <v>0</v>
      </c>
    </row>
    <row r="121" spans="1:10" x14ac:dyDescent="0.3">
      <c r="A121" s="5" t="s">
        <v>16</v>
      </c>
      <c r="B121" s="5" t="s">
        <v>15</v>
      </c>
      <c r="C121" s="6">
        <v>43196</v>
      </c>
      <c r="D121">
        <v>0</v>
      </c>
      <c r="E121">
        <v>103.09</v>
      </c>
      <c r="F121">
        <v>103.09</v>
      </c>
      <c r="G121">
        <v>102.85</v>
      </c>
      <c r="H121">
        <v>102.85</v>
      </c>
      <c r="I121">
        <v>23</v>
      </c>
      <c r="J121">
        <v>0</v>
      </c>
    </row>
    <row r="122" spans="1:10" x14ac:dyDescent="0.3">
      <c r="A122" s="5" t="s">
        <v>16</v>
      </c>
      <c r="B122" s="5" t="s">
        <v>15</v>
      </c>
      <c r="C122" s="6">
        <v>43199</v>
      </c>
      <c r="D122">
        <v>0</v>
      </c>
      <c r="E122">
        <v>103.44</v>
      </c>
      <c r="F122">
        <v>103.45</v>
      </c>
      <c r="G122">
        <v>102</v>
      </c>
      <c r="H122">
        <v>102.1</v>
      </c>
      <c r="I122">
        <v>150509</v>
      </c>
      <c r="J122">
        <v>0</v>
      </c>
    </row>
    <row r="123" spans="1:10" x14ac:dyDescent="0.3">
      <c r="A123" s="5" t="s">
        <v>16</v>
      </c>
      <c r="B123" s="5" t="s">
        <v>15</v>
      </c>
      <c r="C123" s="6">
        <v>43200</v>
      </c>
      <c r="D123">
        <v>0</v>
      </c>
      <c r="E123">
        <v>102.44</v>
      </c>
      <c r="F123">
        <v>102.6</v>
      </c>
      <c r="G123">
        <v>102.27</v>
      </c>
      <c r="H123">
        <v>102.4</v>
      </c>
      <c r="I123">
        <v>194831</v>
      </c>
      <c r="J123">
        <v>0</v>
      </c>
    </row>
    <row r="124" spans="1:10" x14ac:dyDescent="0.3">
      <c r="A124" s="5" t="s">
        <v>16</v>
      </c>
      <c r="B124" s="5" t="s">
        <v>15</v>
      </c>
      <c r="C124" s="6">
        <v>43201</v>
      </c>
      <c r="D124">
        <v>0</v>
      </c>
      <c r="E124">
        <v>102.41</v>
      </c>
      <c r="F124">
        <v>102.49</v>
      </c>
      <c r="G124">
        <v>102.04</v>
      </c>
      <c r="H124">
        <v>102.11</v>
      </c>
      <c r="I124">
        <v>122643</v>
      </c>
      <c r="J124">
        <v>0</v>
      </c>
    </row>
    <row r="125" spans="1:10" x14ac:dyDescent="0.3">
      <c r="A125" s="5" t="s">
        <v>16</v>
      </c>
      <c r="B125" s="5" t="s">
        <v>15</v>
      </c>
      <c r="C125" s="6">
        <v>43202</v>
      </c>
      <c r="D125">
        <v>0</v>
      </c>
      <c r="E125">
        <v>102</v>
      </c>
      <c r="F125">
        <v>102.67</v>
      </c>
      <c r="G125">
        <v>102</v>
      </c>
      <c r="H125">
        <v>102.58</v>
      </c>
      <c r="I125">
        <v>113206</v>
      </c>
      <c r="J125">
        <v>0</v>
      </c>
    </row>
    <row r="126" spans="1:10" x14ac:dyDescent="0.3">
      <c r="A126" s="5" t="s">
        <v>16</v>
      </c>
      <c r="B126" s="5" t="s">
        <v>15</v>
      </c>
      <c r="C126" s="6">
        <v>43203</v>
      </c>
      <c r="D126">
        <v>0</v>
      </c>
      <c r="E126">
        <v>102.54</v>
      </c>
      <c r="F126">
        <v>102.68</v>
      </c>
      <c r="G126">
        <v>101.99</v>
      </c>
      <c r="H126">
        <v>102</v>
      </c>
      <c r="I126">
        <v>106209</v>
      </c>
      <c r="J126">
        <v>0</v>
      </c>
    </row>
    <row r="127" spans="1:10" x14ac:dyDescent="0.3">
      <c r="A127" s="5" t="s">
        <v>16</v>
      </c>
      <c r="B127" s="5" t="s">
        <v>15</v>
      </c>
      <c r="C127" s="6">
        <v>43206</v>
      </c>
      <c r="D127">
        <v>0</v>
      </c>
      <c r="E127">
        <v>102</v>
      </c>
      <c r="F127">
        <v>102</v>
      </c>
      <c r="G127">
        <v>101.01</v>
      </c>
      <c r="H127">
        <v>101.9</v>
      </c>
      <c r="I127">
        <v>84951</v>
      </c>
      <c r="J127">
        <v>0</v>
      </c>
    </row>
    <row r="128" spans="1:10" x14ac:dyDescent="0.3">
      <c r="A128" s="5" t="s">
        <v>16</v>
      </c>
      <c r="B128" s="5" t="s">
        <v>15</v>
      </c>
      <c r="C128" s="6">
        <v>43207</v>
      </c>
      <c r="D128">
        <v>0</v>
      </c>
      <c r="E128">
        <v>101.9</v>
      </c>
      <c r="F128">
        <v>102.5</v>
      </c>
      <c r="G128">
        <v>101.64</v>
      </c>
      <c r="H128">
        <v>102.2</v>
      </c>
      <c r="I128">
        <v>75529</v>
      </c>
      <c r="J128">
        <v>0</v>
      </c>
    </row>
    <row r="129" spans="1:10" x14ac:dyDescent="0.3">
      <c r="A129" s="5" t="s">
        <v>16</v>
      </c>
      <c r="B129" s="5" t="s">
        <v>15</v>
      </c>
      <c r="C129" s="6">
        <v>43208</v>
      </c>
      <c r="D129">
        <v>0</v>
      </c>
      <c r="E129">
        <v>102.19</v>
      </c>
      <c r="F129">
        <v>102.65</v>
      </c>
      <c r="G129">
        <v>102</v>
      </c>
      <c r="H129">
        <v>102.64</v>
      </c>
      <c r="I129">
        <v>92584</v>
      </c>
      <c r="J129">
        <v>0</v>
      </c>
    </row>
    <row r="130" spans="1:10" x14ac:dyDescent="0.3">
      <c r="A130" s="5" t="s">
        <v>16</v>
      </c>
      <c r="B130" s="5" t="s">
        <v>15</v>
      </c>
      <c r="C130" s="6">
        <v>43209</v>
      </c>
      <c r="D130">
        <v>0</v>
      </c>
      <c r="E130">
        <v>101.77</v>
      </c>
      <c r="F130">
        <v>102.75</v>
      </c>
      <c r="G130">
        <v>101.77</v>
      </c>
      <c r="H130">
        <v>102.65</v>
      </c>
      <c r="I130">
        <v>36714</v>
      </c>
      <c r="J130">
        <v>0</v>
      </c>
    </row>
    <row r="131" spans="1:10" x14ac:dyDescent="0.3">
      <c r="A131" s="5" t="s">
        <v>16</v>
      </c>
      <c r="B131" s="5" t="s">
        <v>15</v>
      </c>
      <c r="C131" s="6">
        <v>43210</v>
      </c>
      <c r="D131">
        <v>0</v>
      </c>
      <c r="E131">
        <v>102.99</v>
      </c>
      <c r="F131">
        <v>103</v>
      </c>
      <c r="G131">
        <v>102</v>
      </c>
      <c r="H131">
        <v>102.7</v>
      </c>
      <c r="I131">
        <v>40415</v>
      </c>
      <c r="J131">
        <v>0</v>
      </c>
    </row>
    <row r="132" spans="1:10" x14ac:dyDescent="0.3">
      <c r="A132" s="5" t="s">
        <v>16</v>
      </c>
      <c r="B132" s="5" t="s">
        <v>15</v>
      </c>
      <c r="C132" s="6">
        <v>43213</v>
      </c>
      <c r="D132">
        <v>0</v>
      </c>
      <c r="E132">
        <v>102.7</v>
      </c>
      <c r="F132">
        <v>102.7</v>
      </c>
      <c r="G132">
        <v>101.75</v>
      </c>
      <c r="H132">
        <v>102.5</v>
      </c>
      <c r="I132">
        <v>33686</v>
      </c>
      <c r="J132">
        <v>0</v>
      </c>
    </row>
    <row r="133" spans="1:10" x14ac:dyDescent="0.3">
      <c r="A133" s="5" t="s">
        <v>16</v>
      </c>
      <c r="B133" s="5" t="s">
        <v>15</v>
      </c>
      <c r="C133" s="6">
        <v>43214</v>
      </c>
      <c r="D133">
        <v>0</v>
      </c>
      <c r="E133">
        <v>102.5</v>
      </c>
      <c r="F133">
        <v>102.7</v>
      </c>
      <c r="G133">
        <v>102.4</v>
      </c>
      <c r="H133">
        <v>102.6</v>
      </c>
      <c r="I133">
        <v>42322</v>
      </c>
      <c r="J133">
        <v>0</v>
      </c>
    </row>
    <row r="134" spans="1:10" x14ac:dyDescent="0.3">
      <c r="A134" s="5" t="s">
        <v>16</v>
      </c>
      <c r="B134" s="5" t="s">
        <v>15</v>
      </c>
      <c r="C134" s="6">
        <v>43215</v>
      </c>
      <c r="D134">
        <v>0</v>
      </c>
      <c r="E134">
        <v>102.6</v>
      </c>
      <c r="F134">
        <v>102.7</v>
      </c>
      <c r="G134">
        <v>102.55</v>
      </c>
      <c r="H134">
        <v>102.6</v>
      </c>
      <c r="I134">
        <v>25596</v>
      </c>
      <c r="J134">
        <v>0</v>
      </c>
    </row>
    <row r="135" spans="1:10" x14ac:dyDescent="0.3">
      <c r="A135" s="5" t="s">
        <v>16</v>
      </c>
      <c r="B135" s="5" t="s">
        <v>15</v>
      </c>
      <c r="C135" s="6">
        <v>43216</v>
      </c>
      <c r="D135">
        <v>0</v>
      </c>
      <c r="E135">
        <v>102.35</v>
      </c>
      <c r="F135">
        <v>103.1</v>
      </c>
      <c r="G135">
        <v>101.9</v>
      </c>
      <c r="H135">
        <v>103.05</v>
      </c>
      <c r="I135">
        <v>16743</v>
      </c>
      <c r="J135">
        <v>0</v>
      </c>
    </row>
    <row r="136" spans="1:10" x14ac:dyDescent="0.3">
      <c r="A136" s="5" t="s">
        <v>16</v>
      </c>
      <c r="B136" s="5" t="s">
        <v>15</v>
      </c>
      <c r="C136" s="6">
        <v>43217</v>
      </c>
      <c r="D136">
        <v>0</v>
      </c>
      <c r="E136">
        <v>102.6</v>
      </c>
      <c r="F136">
        <v>103.2</v>
      </c>
      <c r="G136">
        <v>102.55</v>
      </c>
      <c r="H136">
        <v>103</v>
      </c>
      <c r="I136">
        <v>95333</v>
      </c>
      <c r="J136">
        <v>0</v>
      </c>
    </row>
    <row r="137" spans="1:10" x14ac:dyDescent="0.3">
      <c r="A137" s="5" t="s">
        <v>16</v>
      </c>
      <c r="B137" s="5" t="s">
        <v>15</v>
      </c>
      <c r="C137" s="6">
        <v>43218</v>
      </c>
      <c r="D137">
        <v>0</v>
      </c>
      <c r="E137">
        <v>102.41</v>
      </c>
      <c r="F137">
        <v>103</v>
      </c>
      <c r="G137">
        <v>102.41</v>
      </c>
      <c r="H137">
        <v>103</v>
      </c>
      <c r="I137">
        <v>8254</v>
      </c>
      <c r="J137">
        <v>0</v>
      </c>
    </row>
    <row r="138" spans="1:10" x14ac:dyDescent="0.3">
      <c r="A138" s="5" t="s">
        <v>16</v>
      </c>
      <c r="B138" s="5" t="s">
        <v>15</v>
      </c>
      <c r="C138" s="6">
        <v>43220</v>
      </c>
      <c r="D138">
        <v>0</v>
      </c>
      <c r="E138">
        <v>103.02</v>
      </c>
      <c r="F138">
        <v>103.02</v>
      </c>
      <c r="G138">
        <v>103</v>
      </c>
      <c r="H138">
        <v>103</v>
      </c>
      <c r="I138">
        <v>1530</v>
      </c>
      <c r="J138">
        <v>0</v>
      </c>
    </row>
    <row r="139" spans="1:10" x14ac:dyDescent="0.3">
      <c r="A139" s="5" t="s">
        <v>16</v>
      </c>
      <c r="B139" s="5" t="s">
        <v>15</v>
      </c>
      <c r="C139" s="6">
        <v>43223</v>
      </c>
      <c r="D139">
        <v>0</v>
      </c>
      <c r="E139">
        <v>103</v>
      </c>
      <c r="F139">
        <v>103.2</v>
      </c>
      <c r="G139">
        <v>102.66</v>
      </c>
      <c r="H139">
        <v>102.66</v>
      </c>
      <c r="I139">
        <v>36219</v>
      </c>
      <c r="J139">
        <v>0</v>
      </c>
    </row>
    <row r="140" spans="1:10" x14ac:dyDescent="0.3">
      <c r="A140" s="5" t="s">
        <v>16</v>
      </c>
      <c r="B140" s="5" t="s">
        <v>15</v>
      </c>
      <c r="C140" s="6">
        <v>43224</v>
      </c>
      <c r="D140">
        <v>0</v>
      </c>
      <c r="E140">
        <v>102.7</v>
      </c>
      <c r="F140">
        <v>103.4</v>
      </c>
      <c r="G140">
        <v>102.7</v>
      </c>
      <c r="H140">
        <v>103.4</v>
      </c>
      <c r="I140">
        <v>6139</v>
      </c>
      <c r="J140">
        <v>0</v>
      </c>
    </row>
    <row r="141" spans="1:10" x14ac:dyDescent="0.3">
      <c r="A141" s="5" t="s">
        <v>16</v>
      </c>
      <c r="B141" s="5" t="s">
        <v>15</v>
      </c>
      <c r="C141" s="6">
        <v>43227</v>
      </c>
      <c r="D141">
        <v>0</v>
      </c>
      <c r="E141">
        <v>103.2</v>
      </c>
      <c r="F141">
        <v>103.65</v>
      </c>
      <c r="G141">
        <v>103</v>
      </c>
      <c r="H141">
        <v>103</v>
      </c>
      <c r="I141">
        <v>1000</v>
      </c>
      <c r="J141">
        <v>0</v>
      </c>
    </row>
    <row r="142" spans="1:10" x14ac:dyDescent="0.3">
      <c r="A142" s="5" t="s">
        <v>16</v>
      </c>
      <c r="B142" s="5" t="s">
        <v>15</v>
      </c>
      <c r="C142" s="6">
        <v>43228</v>
      </c>
      <c r="D142">
        <v>0</v>
      </c>
      <c r="E142">
        <v>102.8</v>
      </c>
      <c r="F142">
        <v>103.64</v>
      </c>
      <c r="G142">
        <v>102.8</v>
      </c>
      <c r="H142">
        <v>103.64</v>
      </c>
      <c r="I142">
        <v>5825</v>
      </c>
      <c r="J142">
        <v>0</v>
      </c>
    </row>
    <row r="143" spans="1:10" x14ac:dyDescent="0.3">
      <c r="A143" s="5" t="s">
        <v>16</v>
      </c>
      <c r="B143" s="5" t="s">
        <v>15</v>
      </c>
      <c r="C143" s="6">
        <v>43230</v>
      </c>
      <c r="D143">
        <v>0</v>
      </c>
      <c r="E143">
        <v>102.62</v>
      </c>
      <c r="F143">
        <v>103.8</v>
      </c>
      <c r="G143">
        <v>102.62</v>
      </c>
      <c r="H143">
        <v>103.8</v>
      </c>
      <c r="I143">
        <v>200</v>
      </c>
      <c r="J143">
        <v>0</v>
      </c>
    </row>
    <row r="144" spans="1:10" x14ac:dyDescent="0.3">
      <c r="A144" s="5" t="s">
        <v>16</v>
      </c>
      <c r="B144" s="5" t="s">
        <v>15</v>
      </c>
      <c r="C144" s="6">
        <v>43231</v>
      </c>
      <c r="D144">
        <v>0</v>
      </c>
      <c r="E144">
        <v>103.04</v>
      </c>
      <c r="F144">
        <v>103.75</v>
      </c>
      <c r="G144">
        <v>103.04</v>
      </c>
      <c r="H144">
        <v>103.29</v>
      </c>
      <c r="I144">
        <v>481</v>
      </c>
      <c r="J144">
        <v>0</v>
      </c>
    </row>
    <row r="145" spans="1:10" x14ac:dyDescent="0.3">
      <c r="A145" s="5" t="s">
        <v>16</v>
      </c>
      <c r="B145" s="5" t="s">
        <v>15</v>
      </c>
      <c r="C145" s="6">
        <v>43234</v>
      </c>
      <c r="D145">
        <v>0</v>
      </c>
      <c r="E145">
        <v>103.07</v>
      </c>
      <c r="F145">
        <v>103.2</v>
      </c>
      <c r="G145">
        <v>103.03</v>
      </c>
      <c r="H145">
        <v>103.04</v>
      </c>
      <c r="I145">
        <v>4519</v>
      </c>
      <c r="J145">
        <v>0</v>
      </c>
    </row>
    <row r="146" spans="1:10" x14ac:dyDescent="0.3">
      <c r="A146" s="5" t="s">
        <v>16</v>
      </c>
      <c r="B146" s="5" t="s">
        <v>15</v>
      </c>
      <c r="C146" s="6">
        <v>43235</v>
      </c>
      <c r="D146">
        <v>0</v>
      </c>
      <c r="E146">
        <v>102.62</v>
      </c>
      <c r="F146">
        <v>103.03</v>
      </c>
      <c r="G146">
        <v>102.62</v>
      </c>
      <c r="H146">
        <v>103</v>
      </c>
      <c r="I146">
        <v>3319</v>
      </c>
      <c r="J146">
        <v>0</v>
      </c>
    </row>
    <row r="147" spans="1:10" x14ac:dyDescent="0.3">
      <c r="A147" s="5" t="s">
        <v>16</v>
      </c>
      <c r="B147" s="5" t="s">
        <v>15</v>
      </c>
      <c r="C147" s="6">
        <v>43236</v>
      </c>
      <c r="D147">
        <v>0</v>
      </c>
      <c r="E147">
        <v>102.62</v>
      </c>
      <c r="F147">
        <v>103.67</v>
      </c>
      <c r="G147">
        <v>102.62</v>
      </c>
      <c r="H147">
        <v>102.9</v>
      </c>
      <c r="I147">
        <v>2525</v>
      </c>
      <c r="J147">
        <v>0</v>
      </c>
    </row>
    <row r="148" spans="1:10" x14ac:dyDescent="0.3">
      <c r="A148" s="5" t="s">
        <v>16</v>
      </c>
      <c r="B148" s="5" t="s">
        <v>15</v>
      </c>
      <c r="C148" s="6">
        <v>43237</v>
      </c>
      <c r="D148">
        <v>0</v>
      </c>
      <c r="E148">
        <v>103</v>
      </c>
      <c r="F148">
        <v>103.46</v>
      </c>
      <c r="G148">
        <v>103</v>
      </c>
      <c r="H148">
        <v>103.46</v>
      </c>
      <c r="I148">
        <v>14959</v>
      </c>
      <c r="J148">
        <v>0</v>
      </c>
    </row>
    <row r="149" spans="1:10" x14ac:dyDescent="0.3">
      <c r="A149" s="5" t="s">
        <v>16</v>
      </c>
      <c r="B149" s="5" t="s">
        <v>15</v>
      </c>
      <c r="C149" s="6">
        <v>43238</v>
      </c>
      <c r="D149">
        <v>0</v>
      </c>
      <c r="E149">
        <v>103.05</v>
      </c>
      <c r="F149">
        <v>103.34</v>
      </c>
      <c r="G149">
        <v>103</v>
      </c>
      <c r="H149">
        <v>103</v>
      </c>
      <c r="I149">
        <v>29756</v>
      </c>
      <c r="J149">
        <v>0</v>
      </c>
    </row>
    <row r="150" spans="1:10" x14ac:dyDescent="0.3">
      <c r="A150" s="5" t="s">
        <v>16</v>
      </c>
      <c r="B150" s="5" t="s">
        <v>15</v>
      </c>
      <c r="C150" s="6">
        <v>43241</v>
      </c>
      <c r="D150">
        <v>0</v>
      </c>
      <c r="E150">
        <v>103.2</v>
      </c>
      <c r="F150">
        <v>103.5</v>
      </c>
      <c r="G150">
        <v>102.07</v>
      </c>
      <c r="H150">
        <v>102.67</v>
      </c>
      <c r="I150">
        <v>2350</v>
      </c>
      <c r="J150">
        <v>0</v>
      </c>
    </row>
    <row r="151" spans="1:10" x14ac:dyDescent="0.3">
      <c r="A151" s="5" t="s">
        <v>16</v>
      </c>
      <c r="B151" s="5" t="s">
        <v>15</v>
      </c>
      <c r="C151" s="6">
        <v>43242</v>
      </c>
      <c r="D151">
        <v>0</v>
      </c>
      <c r="E151">
        <v>102.99</v>
      </c>
      <c r="F151">
        <v>103</v>
      </c>
      <c r="G151">
        <v>102.25</v>
      </c>
      <c r="H151">
        <v>102.75</v>
      </c>
      <c r="I151">
        <v>1797</v>
      </c>
      <c r="J151">
        <v>0</v>
      </c>
    </row>
    <row r="152" spans="1:10" x14ac:dyDescent="0.3">
      <c r="A152" s="5" t="s">
        <v>16</v>
      </c>
      <c r="B152" s="5" t="s">
        <v>15</v>
      </c>
      <c r="C152" s="6">
        <v>43243</v>
      </c>
      <c r="D152">
        <v>0</v>
      </c>
      <c r="E152">
        <v>102.25</v>
      </c>
      <c r="F152">
        <v>102.89</v>
      </c>
      <c r="G152">
        <v>102.07</v>
      </c>
      <c r="H152">
        <v>102.45</v>
      </c>
      <c r="I152">
        <v>621</v>
      </c>
      <c r="J152">
        <v>0</v>
      </c>
    </row>
    <row r="153" spans="1:10" x14ac:dyDescent="0.3">
      <c r="A153" s="5" t="s">
        <v>16</v>
      </c>
      <c r="B153" s="5" t="s">
        <v>15</v>
      </c>
      <c r="C153" s="6">
        <v>43244</v>
      </c>
      <c r="D153">
        <v>0</v>
      </c>
      <c r="E153">
        <v>102.24</v>
      </c>
      <c r="F153">
        <v>103</v>
      </c>
      <c r="G153">
        <v>101.85</v>
      </c>
      <c r="H153">
        <v>102.53</v>
      </c>
      <c r="I153">
        <v>88995</v>
      </c>
      <c r="J153">
        <v>0</v>
      </c>
    </row>
    <row r="154" spans="1:10" x14ac:dyDescent="0.3">
      <c r="A154" s="5" t="s">
        <v>16</v>
      </c>
      <c r="B154" s="5" t="s">
        <v>15</v>
      </c>
      <c r="C154" s="6">
        <v>43245</v>
      </c>
      <c r="D154">
        <v>0</v>
      </c>
      <c r="E154">
        <v>103.21</v>
      </c>
      <c r="F154">
        <v>103.45</v>
      </c>
      <c r="G154">
        <v>102.31</v>
      </c>
      <c r="H154">
        <v>102.78</v>
      </c>
      <c r="I154">
        <v>5851</v>
      </c>
      <c r="J154">
        <v>0</v>
      </c>
    </row>
    <row r="155" spans="1:10" x14ac:dyDescent="0.3">
      <c r="A155" s="5" t="s">
        <v>16</v>
      </c>
      <c r="B155" s="5" t="s">
        <v>15</v>
      </c>
      <c r="C155" s="6">
        <v>43248</v>
      </c>
      <c r="D155">
        <v>0</v>
      </c>
      <c r="E155">
        <v>102.36</v>
      </c>
      <c r="F155">
        <v>103.29</v>
      </c>
      <c r="G155">
        <v>102.25</v>
      </c>
      <c r="H155">
        <v>102.7</v>
      </c>
      <c r="I155">
        <v>6440</v>
      </c>
      <c r="J155">
        <v>0</v>
      </c>
    </row>
    <row r="156" spans="1:10" x14ac:dyDescent="0.3">
      <c r="A156" s="5" t="s">
        <v>16</v>
      </c>
      <c r="B156" s="5" t="s">
        <v>15</v>
      </c>
      <c r="C156" s="6">
        <v>43249</v>
      </c>
      <c r="D156">
        <v>0</v>
      </c>
      <c r="E156">
        <v>102.62</v>
      </c>
      <c r="F156">
        <v>103</v>
      </c>
      <c r="G156">
        <v>102.36</v>
      </c>
      <c r="H156">
        <v>102.8</v>
      </c>
      <c r="I156">
        <v>3501</v>
      </c>
      <c r="J156">
        <v>0</v>
      </c>
    </row>
    <row r="157" spans="1:10" x14ac:dyDescent="0.3">
      <c r="A157" s="5" t="s">
        <v>16</v>
      </c>
      <c r="B157" s="5" t="s">
        <v>15</v>
      </c>
      <c r="C157" s="6">
        <v>43250</v>
      </c>
      <c r="D157">
        <v>0</v>
      </c>
      <c r="E157">
        <v>102.38</v>
      </c>
      <c r="F157">
        <v>102.77</v>
      </c>
      <c r="G157">
        <v>102.33</v>
      </c>
      <c r="H157">
        <v>102.77</v>
      </c>
      <c r="I157">
        <v>643</v>
      </c>
      <c r="J157">
        <v>0</v>
      </c>
    </row>
    <row r="158" spans="1:10" x14ac:dyDescent="0.3">
      <c r="A158" s="5" t="s">
        <v>16</v>
      </c>
      <c r="B158" s="5" t="s">
        <v>15</v>
      </c>
      <c r="C158" s="6">
        <v>43251</v>
      </c>
      <c r="D158">
        <v>0</v>
      </c>
      <c r="E158">
        <v>102.77</v>
      </c>
      <c r="F158">
        <v>102.95</v>
      </c>
      <c r="G158">
        <v>102.6</v>
      </c>
      <c r="H158">
        <v>102.93</v>
      </c>
      <c r="I158">
        <v>2284</v>
      </c>
      <c r="J158">
        <v>0</v>
      </c>
    </row>
    <row r="159" spans="1:10" x14ac:dyDescent="0.3">
      <c r="A159" s="5" t="s">
        <v>16</v>
      </c>
      <c r="B159" s="5" t="s">
        <v>15</v>
      </c>
      <c r="C159" s="6">
        <v>43252</v>
      </c>
      <c r="D159">
        <v>0</v>
      </c>
      <c r="E159">
        <v>102.94</v>
      </c>
      <c r="F159">
        <v>103</v>
      </c>
      <c r="G159">
        <v>102.31</v>
      </c>
      <c r="H159">
        <v>102.94</v>
      </c>
      <c r="I159">
        <v>22941</v>
      </c>
      <c r="J159">
        <v>0</v>
      </c>
    </row>
    <row r="160" spans="1:10" x14ac:dyDescent="0.3">
      <c r="A160" s="5" t="s">
        <v>16</v>
      </c>
      <c r="B160" s="5" t="s">
        <v>15</v>
      </c>
      <c r="C160" s="6">
        <v>43255</v>
      </c>
      <c r="D160">
        <v>0</v>
      </c>
      <c r="E160">
        <v>102.06</v>
      </c>
      <c r="F160">
        <v>102.93</v>
      </c>
      <c r="G160">
        <v>102.06</v>
      </c>
      <c r="H160">
        <v>102.93</v>
      </c>
      <c r="I160">
        <v>1594</v>
      </c>
      <c r="J160">
        <v>0</v>
      </c>
    </row>
    <row r="161" spans="1:10" x14ac:dyDescent="0.3">
      <c r="A161" s="5" t="s">
        <v>16</v>
      </c>
      <c r="B161" s="5" t="s">
        <v>15</v>
      </c>
      <c r="C161" s="6">
        <v>43256</v>
      </c>
      <c r="D161">
        <v>0</v>
      </c>
      <c r="E161">
        <v>103</v>
      </c>
      <c r="F161">
        <v>103</v>
      </c>
      <c r="G161">
        <v>102.46</v>
      </c>
      <c r="H161">
        <v>102.75</v>
      </c>
      <c r="I161">
        <v>9890</v>
      </c>
      <c r="J161">
        <v>0</v>
      </c>
    </row>
    <row r="162" spans="1:10" x14ac:dyDescent="0.3">
      <c r="A162" s="5" t="s">
        <v>16</v>
      </c>
      <c r="B162" s="5" t="s">
        <v>15</v>
      </c>
      <c r="C162" s="6">
        <v>43257</v>
      </c>
      <c r="D162">
        <v>0</v>
      </c>
      <c r="E162">
        <v>101.51</v>
      </c>
      <c r="F162">
        <v>102.79</v>
      </c>
      <c r="G162">
        <v>101.51</v>
      </c>
      <c r="H162">
        <v>102.59</v>
      </c>
      <c r="I162">
        <v>44744</v>
      </c>
      <c r="J162">
        <v>0</v>
      </c>
    </row>
    <row r="163" spans="1:10" x14ac:dyDescent="0.3">
      <c r="A163" s="5" t="s">
        <v>16</v>
      </c>
      <c r="B163" s="5" t="s">
        <v>15</v>
      </c>
      <c r="C163" s="6">
        <v>43258</v>
      </c>
      <c r="D163">
        <v>0</v>
      </c>
      <c r="E163">
        <v>102.64</v>
      </c>
      <c r="F163">
        <v>102.65</v>
      </c>
      <c r="G163">
        <v>102.51</v>
      </c>
      <c r="H163">
        <v>102.64</v>
      </c>
      <c r="I163">
        <v>20556</v>
      </c>
      <c r="J163">
        <v>0</v>
      </c>
    </row>
    <row r="164" spans="1:10" x14ac:dyDescent="0.3">
      <c r="A164" s="5" t="s">
        <v>16</v>
      </c>
      <c r="B164" s="5" t="s">
        <v>15</v>
      </c>
      <c r="C164" s="6">
        <v>43259</v>
      </c>
      <c r="D164">
        <v>0</v>
      </c>
      <c r="E164">
        <v>102.51</v>
      </c>
      <c r="F164">
        <v>102.8</v>
      </c>
      <c r="G164">
        <v>102.51</v>
      </c>
      <c r="H164">
        <v>102.8</v>
      </c>
      <c r="I164">
        <v>2604</v>
      </c>
      <c r="J164">
        <v>0</v>
      </c>
    </row>
    <row r="165" spans="1:10" x14ac:dyDescent="0.3">
      <c r="A165" s="5" t="s">
        <v>16</v>
      </c>
      <c r="B165" s="5" t="s">
        <v>15</v>
      </c>
      <c r="C165" s="6">
        <v>43260</v>
      </c>
      <c r="D165">
        <v>0</v>
      </c>
      <c r="E165">
        <v>102.75</v>
      </c>
      <c r="F165">
        <v>102.8</v>
      </c>
      <c r="G165">
        <v>102.75</v>
      </c>
      <c r="H165">
        <v>102.8</v>
      </c>
      <c r="I165">
        <v>943</v>
      </c>
      <c r="J165">
        <v>0</v>
      </c>
    </row>
    <row r="166" spans="1:10" x14ac:dyDescent="0.3">
      <c r="A166" s="5" t="s">
        <v>16</v>
      </c>
      <c r="B166" s="5" t="s">
        <v>15</v>
      </c>
      <c r="C166" s="6">
        <v>43262</v>
      </c>
      <c r="D166">
        <v>0</v>
      </c>
      <c r="E166">
        <v>102.97</v>
      </c>
      <c r="F166">
        <v>107.12</v>
      </c>
      <c r="G166">
        <v>102.56</v>
      </c>
      <c r="H166">
        <v>102.6</v>
      </c>
      <c r="I166">
        <v>4505</v>
      </c>
      <c r="J166">
        <v>0</v>
      </c>
    </row>
    <row r="167" spans="1:10" x14ac:dyDescent="0.3">
      <c r="A167" s="5" t="s">
        <v>16</v>
      </c>
      <c r="B167" s="5" t="s">
        <v>15</v>
      </c>
      <c r="C167" s="6">
        <v>43264</v>
      </c>
      <c r="D167">
        <v>0</v>
      </c>
      <c r="E167">
        <v>102.5</v>
      </c>
      <c r="F167">
        <v>103.3</v>
      </c>
      <c r="G167">
        <v>102.5</v>
      </c>
      <c r="H167">
        <v>102.5</v>
      </c>
      <c r="I167">
        <v>25146</v>
      </c>
      <c r="J167">
        <v>0</v>
      </c>
    </row>
    <row r="168" spans="1:10" x14ac:dyDescent="0.3">
      <c r="A168" s="5" t="s">
        <v>16</v>
      </c>
      <c r="B168" s="5" t="s">
        <v>15</v>
      </c>
      <c r="C168" s="6">
        <v>43265</v>
      </c>
      <c r="D168">
        <v>0</v>
      </c>
      <c r="E168">
        <v>103.29</v>
      </c>
      <c r="F168">
        <v>103.31</v>
      </c>
      <c r="G168">
        <v>102.5</v>
      </c>
      <c r="H168">
        <v>102.77</v>
      </c>
      <c r="I168">
        <v>13668</v>
      </c>
      <c r="J168">
        <v>0</v>
      </c>
    </row>
    <row r="169" spans="1:10" x14ac:dyDescent="0.3">
      <c r="A169" s="5" t="s">
        <v>16</v>
      </c>
      <c r="B169" s="5" t="s">
        <v>15</v>
      </c>
      <c r="C169" s="6">
        <v>43266</v>
      </c>
      <c r="D169">
        <v>0</v>
      </c>
      <c r="E169">
        <v>102.77</v>
      </c>
      <c r="F169">
        <v>102.79</v>
      </c>
      <c r="G169">
        <v>102.77</v>
      </c>
      <c r="H169">
        <v>102.79</v>
      </c>
      <c r="I169">
        <v>256</v>
      </c>
      <c r="J169">
        <v>0</v>
      </c>
    </row>
    <row r="170" spans="1:10" x14ac:dyDescent="0.3">
      <c r="A170" s="5" t="s">
        <v>16</v>
      </c>
      <c r="B170" s="5" t="s">
        <v>15</v>
      </c>
      <c r="C170" s="6">
        <v>43269</v>
      </c>
      <c r="D170">
        <v>0</v>
      </c>
      <c r="E170">
        <v>102.8</v>
      </c>
      <c r="F170">
        <v>102.8</v>
      </c>
      <c r="G170">
        <v>102</v>
      </c>
      <c r="H170">
        <v>102.61</v>
      </c>
      <c r="I170">
        <v>8919</v>
      </c>
      <c r="J170">
        <v>0</v>
      </c>
    </row>
    <row r="171" spans="1:10" x14ac:dyDescent="0.3">
      <c r="A171" s="5" t="s">
        <v>16</v>
      </c>
      <c r="B171" s="5" t="s">
        <v>15</v>
      </c>
      <c r="C171" s="6">
        <v>43270</v>
      </c>
      <c r="D171">
        <v>0</v>
      </c>
      <c r="E171">
        <v>102.07</v>
      </c>
      <c r="F171">
        <v>102.74</v>
      </c>
      <c r="G171">
        <v>102.01</v>
      </c>
      <c r="H171">
        <v>102.7</v>
      </c>
      <c r="I171">
        <v>29987</v>
      </c>
      <c r="J171">
        <v>0</v>
      </c>
    </row>
    <row r="172" spans="1:10" x14ac:dyDescent="0.3">
      <c r="A172" s="5" t="s">
        <v>16</v>
      </c>
      <c r="B172" s="5" t="s">
        <v>15</v>
      </c>
      <c r="C172" s="6">
        <v>43271</v>
      </c>
      <c r="D172">
        <v>0</v>
      </c>
      <c r="E172">
        <v>102.05</v>
      </c>
      <c r="F172">
        <v>102.49</v>
      </c>
      <c r="G172">
        <v>101.85</v>
      </c>
      <c r="H172">
        <v>101.99</v>
      </c>
      <c r="I172">
        <v>977</v>
      </c>
      <c r="J172">
        <v>0</v>
      </c>
    </row>
    <row r="173" spans="1:10" x14ac:dyDescent="0.3">
      <c r="A173" s="5" t="s">
        <v>16</v>
      </c>
      <c r="B173" s="5" t="s">
        <v>15</v>
      </c>
      <c r="C173" s="6">
        <v>43272</v>
      </c>
      <c r="D173">
        <v>0</v>
      </c>
      <c r="E173">
        <v>102</v>
      </c>
      <c r="F173">
        <v>102</v>
      </c>
      <c r="G173">
        <v>101.82</v>
      </c>
      <c r="H173">
        <v>102</v>
      </c>
      <c r="I173">
        <v>902</v>
      </c>
      <c r="J173">
        <v>0</v>
      </c>
    </row>
    <row r="174" spans="1:10" x14ac:dyDescent="0.3">
      <c r="A174" s="5" t="s">
        <v>16</v>
      </c>
      <c r="B174" s="5" t="s">
        <v>15</v>
      </c>
      <c r="C174" s="6">
        <v>43273</v>
      </c>
      <c r="D174">
        <v>0</v>
      </c>
      <c r="E174">
        <v>102.01</v>
      </c>
      <c r="F174">
        <v>102.47</v>
      </c>
      <c r="G174">
        <v>101.02</v>
      </c>
      <c r="H174">
        <v>102.43</v>
      </c>
      <c r="I174">
        <v>3066</v>
      </c>
      <c r="J174">
        <v>0</v>
      </c>
    </row>
    <row r="175" spans="1:10" x14ac:dyDescent="0.3">
      <c r="A175" s="5" t="s">
        <v>16</v>
      </c>
      <c r="B175" s="5" t="s">
        <v>15</v>
      </c>
      <c r="C175" s="6">
        <v>43276</v>
      </c>
      <c r="D175">
        <v>0</v>
      </c>
      <c r="E175">
        <v>102.44</v>
      </c>
      <c r="F175">
        <v>102.44</v>
      </c>
      <c r="G175">
        <v>101.03</v>
      </c>
      <c r="H175">
        <v>101.26</v>
      </c>
      <c r="I175">
        <v>569</v>
      </c>
      <c r="J175">
        <v>0</v>
      </c>
    </row>
    <row r="176" spans="1:10" x14ac:dyDescent="0.3">
      <c r="A176" s="5" t="s">
        <v>16</v>
      </c>
      <c r="B176" s="5" t="s">
        <v>15</v>
      </c>
      <c r="C176" s="6">
        <v>43277</v>
      </c>
      <c r="D176">
        <v>0</v>
      </c>
      <c r="E176">
        <v>102.26</v>
      </c>
      <c r="F176">
        <v>102.26</v>
      </c>
      <c r="G176">
        <v>101.99</v>
      </c>
      <c r="H176">
        <v>102</v>
      </c>
      <c r="I176">
        <v>12455</v>
      </c>
      <c r="J176">
        <v>0</v>
      </c>
    </row>
    <row r="177" spans="1:10" x14ac:dyDescent="0.3">
      <c r="A177" s="5" t="s">
        <v>16</v>
      </c>
      <c r="B177" s="5" t="s">
        <v>15</v>
      </c>
      <c r="C177" s="6">
        <v>43278</v>
      </c>
      <c r="D177">
        <v>0</v>
      </c>
      <c r="E177">
        <v>101.66</v>
      </c>
      <c r="F177">
        <v>102</v>
      </c>
      <c r="G177">
        <v>101.66</v>
      </c>
      <c r="H177">
        <v>102</v>
      </c>
      <c r="I177">
        <v>5018</v>
      </c>
      <c r="J177">
        <v>0</v>
      </c>
    </row>
    <row r="178" spans="1:10" x14ac:dyDescent="0.3">
      <c r="A178" s="5" t="s">
        <v>16</v>
      </c>
      <c r="B178" s="5" t="s">
        <v>15</v>
      </c>
      <c r="C178" s="6">
        <v>43279</v>
      </c>
      <c r="D178">
        <v>0</v>
      </c>
      <c r="E178">
        <v>101.23</v>
      </c>
      <c r="F178">
        <v>102.4</v>
      </c>
      <c r="G178">
        <v>101.23</v>
      </c>
      <c r="H178">
        <v>101.88</v>
      </c>
      <c r="I178">
        <v>12959</v>
      </c>
      <c r="J178">
        <v>0</v>
      </c>
    </row>
    <row r="179" spans="1:10" x14ac:dyDescent="0.3">
      <c r="A179" s="5" t="s">
        <v>16</v>
      </c>
      <c r="B179" s="5" t="s">
        <v>15</v>
      </c>
      <c r="C179" s="6">
        <v>43280</v>
      </c>
      <c r="D179">
        <v>0</v>
      </c>
      <c r="E179">
        <v>101.61</v>
      </c>
      <c r="F179">
        <v>101.9</v>
      </c>
      <c r="G179">
        <v>101.61</v>
      </c>
      <c r="H179">
        <v>101.9</v>
      </c>
      <c r="I179">
        <v>2675</v>
      </c>
      <c r="J179">
        <v>0</v>
      </c>
    </row>
    <row r="180" spans="1:10" x14ac:dyDescent="0.3">
      <c r="A180" s="5" t="s">
        <v>16</v>
      </c>
      <c r="B180" s="5" t="s">
        <v>15</v>
      </c>
      <c r="C180" s="6">
        <v>43283</v>
      </c>
      <c r="D180">
        <v>0</v>
      </c>
      <c r="E180">
        <v>102.43</v>
      </c>
      <c r="F180">
        <v>102.43</v>
      </c>
      <c r="G180">
        <v>101</v>
      </c>
      <c r="H180">
        <v>101.99</v>
      </c>
      <c r="I180">
        <v>12377</v>
      </c>
      <c r="J180">
        <v>0</v>
      </c>
    </row>
    <row r="181" spans="1:10" x14ac:dyDescent="0.3">
      <c r="A181" s="5" t="s">
        <v>16</v>
      </c>
      <c r="B181" s="5" t="s">
        <v>15</v>
      </c>
      <c r="C181" s="6">
        <v>43284</v>
      </c>
      <c r="D181">
        <v>0</v>
      </c>
      <c r="E181">
        <v>101.43</v>
      </c>
      <c r="F181">
        <v>101.72</v>
      </c>
      <c r="G181">
        <v>101.43</v>
      </c>
      <c r="H181">
        <v>101.71</v>
      </c>
      <c r="I181">
        <v>337</v>
      </c>
      <c r="J181">
        <v>0</v>
      </c>
    </row>
    <row r="182" spans="1:10" x14ac:dyDescent="0.3">
      <c r="A182" s="5" t="s">
        <v>16</v>
      </c>
      <c r="B182" s="5" t="s">
        <v>15</v>
      </c>
      <c r="C182" s="6">
        <v>43285</v>
      </c>
      <c r="D182">
        <v>0</v>
      </c>
      <c r="E182">
        <v>101.02</v>
      </c>
      <c r="F182">
        <v>102</v>
      </c>
      <c r="G182">
        <v>101.02</v>
      </c>
      <c r="H182">
        <v>101.57</v>
      </c>
      <c r="I182">
        <v>644</v>
      </c>
      <c r="J182">
        <v>0</v>
      </c>
    </row>
    <row r="183" spans="1:10" x14ac:dyDescent="0.3">
      <c r="A183" s="5" t="s">
        <v>16</v>
      </c>
      <c r="B183" s="5" t="s">
        <v>15</v>
      </c>
      <c r="C183" s="6">
        <v>43286</v>
      </c>
      <c r="D183">
        <v>0</v>
      </c>
      <c r="E183">
        <v>101.51</v>
      </c>
      <c r="F183">
        <v>101.98</v>
      </c>
      <c r="G183">
        <v>101.5</v>
      </c>
      <c r="H183">
        <v>101.59</v>
      </c>
      <c r="I183">
        <v>3129</v>
      </c>
      <c r="J183">
        <v>0</v>
      </c>
    </row>
    <row r="184" spans="1:10" x14ac:dyDescent="0.3">
      <c r="A184" s="5" t="s">
        <v>16</v>
      </c>
      <c r="B184" s="5" t="s">
        <v>15</v>
      </c>
      <c r="C184" s="6">
        <v>43287</v>
      </c>
      <c r="D184">
        <v>0</v>
      </c>
      <c r="E184">
        <v>101.51</v>
      </c>
      <c r="F184">
        <v>102.2</v>
      </c>
      <c r="G184">
        <v>101.23</v>
      </c>
      <c r="H184">
        <v>102.2</v>
      </c>
      <c r="I184">
        <v>7454</v>
      </c>
      <c r="J184">
        <v>0</v>
      </c>
    </row>
    <row r="185" spans="1:10" x14ac:dyDescent="0.3">
      <c r="A185" s="5" t="s">
        <v>16</v>
      </c>
      <c r="B185" s="5" t="s">
        <v>15</v>
      </c>
      <c r="C185" s="6">
        <v>43290</v>
      </c>
      <c r="D185">
        <v>0</v>
      </c>
      <c r="E185">
        <v>102</v>
      </c>
      <c r="F185">
        <v>102</v>
      </c>
      <c r="G185">
        <v>101.37</v>
      </c>
      <c r="H185">
        <v>101.71</v>
      </c>
      <c r="I185">
        <v>516</v>
      </c>
      <c r="J185">
        <v>0</v>
      </c>
    </row>
    <row r="186" spans="1:10" x14ac:dyDescent="0.3">
      <c r="A186" s="5" t="s">
        <v>16</v>
      </c>
      <c r="B186" s="5" t="s">
        <v>15</v>
      </c>
      <c r="C186" s="6">
        <v>43291</v>
      </c>
      <c r="D186">
        <v>0</v>
      </c>
      <c r="E186">
        <v>101.7</v>
      </c>
      <c r="F186">
        <v>102.15</v>
      </c>
      <c r="G186">
        <v>101.56</v>
      </c>
      <c r="H186">
        <v>102</v>
      </c>
      <c r="I186">
        <v>33924</v>
      </c>
      <c r="J186">
        <v>0</v>
      </c>
    </row>
    <row r="187" spans="1:10" x14ac:dyDescent="0.3">
      <c r="A187" s="5" t="s">
        <v>16</v>
      </c>
      <c r="B187" s="5" t="s">
        <v>15</v>
      </c>
      <c r="C187" s="6">
        <v>43292</v>
      </c>
      <c r="D187">
        <v>0</v>
      </c>
      <c r="E187">
        <v>101.74</v>
      </c>
      <c r="F187">
        <v>102.24</v>
      </c>
      <c r="G187">
        <v>101.74</v>
      </c>
      <c r="H187">
        <v>102.2</v>
      </c>
      <c r="I187">
        <v>425</v>
      </c>
      <c r="J187">
        <v>0</v>
      </c>
    </row>
    <row r="188" spans="1:10" x14ac:dyDescent="0.3">
      <c r="A188" s="5" t="s">
        <v>16</v>
      </c>
      <c r="B188" s="5" t="s">
        <v>15</v>
      </c>
      <c r="C188" s="6">
        <v>43293</v>
      </c>
      <c r="D188">
        <v>0</v>
      </c>
      <c r="E188">
        <v>102.19</v>
      </c>
      <c r="F188">
        <v>102.2</v>
      </c>
      <c r="G188">
        <v>101.57</v>
      </c>
      <c r="H188">
        <v>101.57</v>
      </c>
      <c r="I188">
        <v>41401</v>
      </c>
      <c r="J188">
        <v>0</v>
      </c>
    </row>
    <row r="189" spans="1:10" x14ac:dyDescent="0.3">
      <c r="A189" s="5" t="s">
        <v>16</v>
      </c>
      <c r="B189" s="5" t="s">
        <v>15</v>
      </c>
      <c r="C189" s="6">
        <v>43294</v>
      </c>
      <c r="D189">
        <v>0</v>
      </c>
      <c r="E189">
        <v>101.99</v>
      </c>
      <c r="F189">
        <v>102.04</v>
      </c>
      <c r="G189">
        <v>101.73</v>
      </c>
      <c r="H189">
        <v>101.97</v>
      </c>
      <c r="I189">
        <v>712</v>
      </c>
      <c r="J189">
        <v>0</v>
      </c>
    </row>
    <row r="190" spans="1:10" x14ac:dyDescent="0.3">
      <c r="A190" s="5" t="s">
        <v>16</v>
      </c>
      <c r="B190" s="5" t="s">
        <v>15</v>
      </c>
      <c r="C190" s="6">
        <v>43297</v>
      </c>
      <c r="D190">
        <v>0</v>
      </c>
      <c r="E190">
        <v>101.73</v>
      </c>
      <c r="F190">
        <v>101.96</v>
      </c>
      <c r="G190">
        <v>101.32</v>
      </c>
      <c r="H190">
        <v>101.45</v>
      </c>
      <c r="I190">
        <v>10340</v>
      </c>
      <c r="J190">
        <v>0</v>
      </c>
    </row>
    <row r="191" spans="1:10" x14ac:dyDescent="0.3">
      <c r="A191" s="5" t="s">
        <v>16</v>
      </c>
      <c r="B191" s="5" t="s">
        <v>15</v>
      </c>
      <c r="C191" s="6">
        <v>43298</v>
      </c>
      <c r="D191">
        <v>0</v>
      </c>
      <c r="E191">
        <v>101.84</v>
      </c>
      <c r="F191">
        <v>101.85</v>
      </c>
      <c r="G191">
        <v>101.5</v>
      </c>
      <c r="H191">
        <v>101.7</v>
      </c>
      <c r="I191">
        <v>169878</v>
      </c>
      <c r="J191">
        <v>0</v>
      </c>
    </row>
    <row r="192" spans="1:10" x14ac:dyDescent="0.3">
      <c r="A192" s="5" t="s">
        <v>16</v>
      </c>
      <c r="B192" s="5" t="s">
        <v>15</v>
      </c>
      <c r="C192" s="6">
        <v>43299</v>
      </c>
      <c r="D192">
        <v>0</v>
      </c>
      <c r="E192">
        <v>101.7</v>
      </c>
      <c r="F192">
        <v>101.75</v>
      </c>
      <c r="G192">
        <v>101.46</v>
      </c>
      <c r="H192">
        <v>101.73</v>
      </c>
      <c r="I192">
        <v>15285</v>
      </c>
      <c r="J192">
        <v>0</v>
      </c>
    </row>
    <row r="193" spans="1:10" x14ac:dyDescent="0.3">
      <c r="A193" s="5" t="s">
        <v>16</v>
      </c>
      <c r="B193" s="5" t="s">
        <v>15</v>
      </c>
      <c r="C193" s="6">
        <v>43300</v>
      </c>
      <c r="D193">
        <v>0</v>
      </c>
      <c r="E193">
        <v>101.54</v>
      </c>
      <c r="F193">
        <v>101.99</v>
      </c>
      <c r="G193">
        <v>101.45</v>
      </c>
      <c r="H193">
        <v>101.97</v>
      </c>
      <c r="I193">
        <v>3596</v>
      </c>
      <c r="J193">
        <v>0</v>
      </c>
    </row>
    <row r="194" spans="1:10" x14ac:dyDescent="0.3">
      <c r="A194" s="5" t="s">
        <v>16</v>
      </c>
      <c r="B194" s="5" t="s">
        <v>15</v>
      </c>
      <c r="C194" s="6">
        <v>43301</v>
      </c>
      <c r="D194">
        <v>0</v>
      </c>
      <c r="E194">
        <v>101.47</v>
      </c>
      <c r="F194">
        <v>101.9</v>
      </c>
      <c r="G194">
        <v>101.45</v>
      </c>
      <c r="H194">
        <v>101.9</v>
      </c>
      <c r="I194">
        <v>7456</v>
      </c>
      <c r="J194">
        <v>0</v>
      </c>
    </row>
    <row r="195" spans="1:10" x14ac:dyDescent="0.3">
      <c r="A195" s="5" t="s">
        <v>16</v>
      </c>
      <c r="B195" s="5" t="s">
        <v>15</v>
      </c>
      <c r="C195" s="6">
        <v>43304</v>
      </c>
      <c r="D195">
        <v>0</v>
      </c>
      <c r="E195">
        <v>101.6</v>
      </c>
      <c r="F195">
        <v>101.86</v>
      </c>
      <c r="G195">
        <v>101.5</v>
      </c>
      <c r="H195">
        <v>101.51</v>
      </c>
      <c r="I195">
        <v>8595</v>
      </c>
      <c r="J195">
        <v>0</v>
      </c>
    </row>
    <row r="196" spans="1:10" x14ac:dyDescent="0.3">
      <c r="A196" s="5" t="s">
        <v>16</v>
      </c>
      <c r="B196" s="5" t="s">
        <v>15</v>
      </c>
      <c r="C196" s="6">
        <v>43305</v>
      </c>
      <c r="D196">
        <v>0</v>
      </c>
      <c r="E196">
        <v>101.51</v>
      </c>
      <c r="F196">
        <v>101.79</v>
      </c>
      <c r="G196">
        <v>101.5</v>
      </c>
      <c r="H196">
        <v>101.6</v>
      </c>
      <c r="I196">
        <v>5435</v>
      </c>
      <c r="J196">
        <v>0</v>
      </c>
    </row>
    <row r="197" spans="1:10" x14ac:dyDescent="0.3">
      <c r="A197" s="5" t="s">
        <v>16</v>
      </c>
      <c r="B197" s="5" t="s">
        <v>15</v>
      </c>
      <c r="C197" s="6">
        <v>43306</v>
      </c>
      <c r="D197">
        <v>0</v>
      </c>
      <c r="E197">
        <v>101.83</v>
      </c>
      <c r="F197">
        <v>101.85</v>
      </c>
      <c r="G197">
        <v>101.51</v>
      </c>
      <c r="H197">
        <v>101.51</v>
      </c>
      <c r="I197">
        <v>1186</v>
      </c>
      <c r="J197">
        <v>0</v>
      </c>
    </row>
    <row r="198" spans="1:10" x14ac:dyDescent="0.3">
      <c r="A198" s="5" t="s">
        <v>16</v>
      </c>
      <c r="B198" s="5" t="s">
        <v>15</v>
      </c>
      <c r="C198" s="6">
        <v>43307</v>
      </c>
      <c r="D198">
        <v>0</v>
      </c>
      <c r="E198">
        <v>101.96</v>
      </c>
      <c r="F198">
        <v>101.96</v>
      </c>
      <c r="G198">
        <v>101.63</v>
      </c>
      <c r="H198">
        <v>101.64</v>
      </c>
      <c r="I198">
        <v>6395</v>
      </c>
      <c r="J198">
        <v>0</v>
      </c>
    </row>
    <row r="199" spans="1:10" x14ac:dyDescent="0.3">
      <c r="A199" s="5" t="s">
        <v>16</v>
      </c>
      <c r="B199" s="5" t="s">
        <v>15</v>
      </c>
      <c r="C199" s="6">
        <v>43308</v>
      </c>
      <c r="D199">
        <v>0</v>
      </c>
      <c r="E199">
        <v>101.6</v>
      </c>
      <c r="F199">
        <v>101.93</v>
      </c>
      <c r="G199">
        <v>101.07</v>
      </c>
      <c r="H199">
        <v>101.5</v>
      </c>
      <c r="I199">
        <v>2274</v>
      </c>
      <c r="J199">
        <v>0</v>
      </c>
    </row>
    <row r="200" spans="1:10" x14ac:dyDescent="0.3">
      <c r="A200" s="5" t="s">
        <v>16</v>
      </c>
      <c r="B200" s="5" t="s">
        <v>15</v>
      </c>
      <c r="C200" s="6">
        <v>43311</v>
      </c>
      <c r="D200">
        <v>0</v>
      </c>
      <c r="E200">
        <v>101.8</v>
      </c>
      <c r="F200">
        <v>102.01</v>
      </c>
      <c r="G200">
        <v>101.62</v>
      </c>
      <c r="H200">
        <v>101.65</v>
      </c>
      <c r="I200">
        <v>3352</v>
      </c>
      <c r="J200">
        <v>0</v>
      </c>
    </row>
    <row r="201" spans="1:10" x14ac:dyDescent="0.3">
      <c r="A201" s="5" t="s">
        <v>16</v>
      </c>
      <c r="B201" s="5" t="s">
        <v>15</v>
      </c>
      <c r="C201" s="6">
        <v>43312</v>
      </c>
      <c r="D201">
        <v>0</v>
      </c>
      <c r="E201">
        <v>101.67</v>
      </c>
      <c r="F201">
        <v>101.87</v>
      </c>
      <c r="G201">
        <v>101.43</v>
      </c>
      <c r="H201">
        <v>101.87</v>
      </c>
      <c r="I201">
        <v>272</v>
      </c>
      <c r="J201">
        <v>0</v>
      </c>
    </row>
    <row r="202" spans="1:10" x14ac:dyDescent="0.3">
      <c r="A202" s="5" t="s">
        <v>16</v>
      </c>
      <c r="B202" s="5" t="s">
        <v>15</v>
      </c>
      <c r="C202" s="6">
        <v>43313</v>
      </c>
      <c r="D202">
        <v>0</v>
      </c>
      <c r="E202">
        <v>101.01</v>
      </c>
      <c r="F202">
        <v>101.87</v>
      </c>
      <c r="G202">
        <v>101.01</v>
      </c>
      <c r="H202">
        <v>101.7</v>
      </c>
      <c r="I202">
        <v>3640</v>
      </c>
      <c r="J202">
        <v>0</v>
      </c>
    </row>
    <row r="203" spans="1:10" x14ac:dyDescent="0.3">
      <c r="A203" s="5" t="s">
        <v>16</v>
      </c>
      <c r="B203" s="5" t="s">
        <v>15</v>
      </c>
      <c r="C203" s="6">
        <v>43314</v>
      </c>
      <c r="D203">
        <v>0</v>
      </c>
      <c r="E203">
        <v>101.26</v>
      </c>
      <c r="F203">
        <v>101.83</v>
      </c>
      <c r="G203">
        <v>101.13</v>
      </c>
      <c r="H203">
        <v>101.8</v>
      </c>
      <c r="I203">
        <v>9011</v>
      </c>
      <c r="J203">
        <v>0</v>
      </c>
    </row>
    <row r="204" spans="1:10" x14ac:dyDescent="0.3">
      <c r="A204" s="5" t="s">
        <v>16</v>
      </c>
      <c r="B204" s="5" t="s">
        <v>15</v>
      </c>
      <c r="C204" s="6">
        <v>43315</v>
      </c>
      <c r="D204">
        <v>0</v>
      </c>
      <c r="E204">
        <v>101.31</v>
      </c>
      <c r="F204">
        <v>102.15</v>
      </c>
      <c r="G204">
        <v>101.31</v>
      </c>
      <c r="H204">
        <v>102.15</v>
      </c>
      <c r="I204">
        <v>2957</v>
      </c>
      <c r="J204">
        <v>0</v>
      </c>
    </row>
    <row r="205" spans="1:10" x14ac:dyDescent="0.3">
      <c r="A205" s="5" t="s">
        <v>16</v>
      </c>
      <c r="B205" s="5" t="s">
        <v>15</v>
      </c>
      <c r="C205" s="6">
        <v>43318</v>
      </c>
      <c r="D205">
        <v>0</v>
      </c>
      <c r="E205">
        <v>101.65</v>
      </c>
      <c r="F205">
        <v>102</v>
      </c>
      <c r="G205">
        <v>101.13</v>
      </c>
      <c r="H205">
        <v>101.35</v>
      </c>
      <c r="I205">
        <v>3194</v>
      </c>
      <c r="J205">
        <v>0</v>
      </c>
    </row>
    <row r="206" spans="1:10" x14ac:dyDescent="0.3">
      <c r="A206" s="5" t="s">
        <v>16</v>
      </c>
      <c r="B206" s="5" t="s">
        <v>15</v>
      </c>
      <c r="C206" s="6">
        <v>43319</v>
      </c>
      <c r="D206">
        <v>0</v>
      </c>
      <c r="E206">
        <v>101.11</v>
      </c>
      <c r="F206">
        <v>101.78</v>
      </c>
      <c r="G206">
        <v>99.33</v>
      </c>
      <c r="H206">
        <v>101.15</v>
      </c>
      <c r="I206">
        <v>7042</v>
      </c>
      <c r="J206">
        <v>0</v>
      </c>
    </row>
    <row r="207" spans="1:10" x14ac:dyDescent="0.3">
      <c r="A207" s="5" t="s">
        <v>16</v>
      </c>
      <c r="B207" s="5" t="s">
        <v>15</v>
      </c>
      <c r="C207" s="6">
        <v>43320</v>
      </c>
      <c r="D207">
        <v>0</v>
      </c>
      <c r="E207">
        <v>101.01</v>
      </c>
      <c r="F207">
        <v>101.14</v>
      </c>
      <c r="G207">
        <v>100.51</v>
      </c>
      <c r="H207">
        <v>101</v>
      </c>
      <c r="I207">
        <v>6187</v>
      </c>
      <c r="J207">
        <v>0</v>
      </c>
    </row>
    <row r="208" spans="1:10" x14ac:dyDescent="0.3">
      <c r="A208" s="5" t="s">
        <v>16</v>
      </c>
      <c r="B208" s="5" t="s">
        <v>15</v>
      </c>
      <c r="C208" s="6">
        <v>43321</v>
      </c>
      <c r="D208">
        <v>0</v>
      </c>
      <c r="E208">
        <v>99.34</v>
      </c>
      <c r="F208">
        <v>101.56</v>
      </c>
      <c r="G208">
        <v>98.98</v>
      </c>
      <c r="H208">
        <v>100.8</v>
      </c>
      <c r="I208">
        <v>16188</v>
      </c>
      <c r="J208">
        <v>0</v>
      </c>
    </row>
    <row r="209" spans="1:10" x14ac:dyDescent="0.3">
      <c r="A209" s="5" t="s">
        <v>16</v>
      </c>
      <c r="B209" s="5" t="s">
        <v>15</v>
      </c>
      <c r="C209" s="6">
        <v>43322</v>
      </c>
      <c r="D209">
        <v>0</v>
      </c>
      <c r="E209">
        <v>101.2</v>
      </c>
      <c r="F209">
        <v>101.2</v>
      </c>
      <c r="G209">
        <v>100</v>
      </c>
      <c r="H209">
        <v>100.49</v>
      </c>
      <c r="I209">
        <v>54692</v>
      </c>
      <c r="J209">
        <v>0</v>
      </c>
    </row>
    <row r="210" spans="1:10" x14ac:dyDescent="0.3">
      <c r="A210" s="5" t="s">
        <v>16</v>
      </c>
      <c r="B210" s="5" t="s">
        <v>15</v>
      </c>
      <c r="C210" s="6">
        <v>43325</v>
      </c>
      <c r="D210">
        <v>0</v>
      </c>
      <c r="E210">
        <v>100.49</v>
      </c>
      <c r="F210">
        <v>101.49</v>
      </c>
      <c r="G210">
        <v>100.02</v>
      </c>
      <c r="H210">
        <v>101.49</v>
      </c>
      <c r="I210">
        <v>38305</v>
      </c>
      <c r="J210">
        <v>0</v>
      </c>
    </row>
    <row r="211" spans="1:10" x14ac:dyDescent="0.3">
      <c r="A211" s="5" t="s">
        <v>16</v>
      </c>
      <c r="B211" s="5" t="s">
        <v>15</v>
      </c>
      <c r="C211" s="6">
        <v>43326</v>
      </c>
      <c r="D211">
        <v>0</v>
      </c>
      <c r="E211">
        <v>100.09</v>
      </c>
      <c r="F211">
        <v>101.19</v>
      </c>
      <c r="G211">
        <v>100.05</v>
      </c>
      <c r="H211">
        <v>100.21</v>
      </c>
      <c r="I211">
        <v>12582</v>
      </c>
      <c r="J211">
        <v>0</v>
      </c>
    </row>
    <row r="212" spans="1:10" x14ac:dyDescent="0.3">
      <c r="A212" s="5" t="s">
        <v>16</v>
      </c>
      <c r="B212" s="5" t="s">
        <v>15</v>
      </c>
      <c r="C212" s="6">
        <v>43327</v>
      </c>
      <c r="D212">
        <v>0</v>
      </c>
      <c r="E212">
        <v>100.21</v>
      </c>
      <c r="F212">
        <v>100.8</v>
      </c>
      <c r="G212">
        <v>100</v>
      </c>
      <c r="H212">
        <v>100.5</v>
      </c>
      <c r="I212">
        <v>48184</v>
      </c>
      <c r="J212">
        <v>0</v>
      </c>
    </row>
    <row r="213" spans="1:10" x14ac:dyDescent="0.3">
      <c r="A213" s="5" t="s">
        <v>16</v>
      </c>
      <c r="B213" s="5" t="s">
        <v>15</v>
      </c>
      <c r="C213" s="6">
        <v>43328</v>
      </c>
      <c r="D213">
        <v>0</v>
      </c>
      <c r="E213">
        <v>100.99</v>
      </c>
      <c r="F213">
        <v>100.99</v>
      </c>
      <c r="G213">
        <v>100.21</v>
      </c>
      <c r="H213">
        <v>100.41</v>
      </c>
      <c r="I213">
        <v>20758</v>
      </c>
      <c r="J213">
        <v>0</v>
      </c>
    </row>
    <row r="214" spans="1:10" x14ac:dyDescent="0.3">
      <c r="A214" s="5" t="s">
        <v>16</v>
      </c>
      <c r="B214" s="5" t="s">
        <v>15</v>
      </c>
      <c r="C214" s="6">
        <v>43329</v>
      </c>
      <c r="D214">
        <v>0</v>
      </c>
      <c r="E214">
        <v>100.34</v>
      </c>
      <c r="F214">
        <v>100.45</v>
      </c>
      <c r="G214">
        <v>100.3</v>
      </c>
      <c r="H214">
        <v>100.44</v>
      </c>
      <c r="I214">
        <v>26299</v>
      </c>
      <c r="J214">
        <v>0</v>
      </c>
    </row>
    <row r="215" spans="1:10" x14ac:dyDescent="0.3">
      <c r="A215" s="5" t="s">
        <v>16</v>
      </c>
      <c r="B215" s="5" t="s">
        <v>15</v>
      </c>
      <c r="C215" s="6">
        <v>43332</v>
      </c>
      <c r="D215">
        <v>0</v>
      </c>
      <c r="E215">
        <v>101.72</v>
      </c>
      <c r="F215">
        <v>101.72</v>
      </c>
      <c r="G215">
        <v>100.23</v>
      </c>
      <c r="H215">
        <v>100.45</v>
      </c>
      <c r="I215">
        <v>8804</v>
      </c>
      <c r="J215">
        <v>0</v>
      </c>
    </row>
    <row r="216" spans="1:10" x14ac:dyDescent="0.3">
      <c r="A216" s="5" t="s">
        <v>16</v>
      </c>
      <c r="B216" s="5" t="s">
        <v>15</v>
      </c>
      <c r="C216" s="6">
        <v>43333</v>
      </c>
      <c r="D216">
        <v>0</v>
      </c>
      <c r="E216">
        <v>100.98</v>
      </c>
      <c r="F216">
        <v>100.98</v>
      </c>
      <c r="G216">
        <v>100.1</v>
      </c>
      <c r="H216">
        <v>100.39</v>
      </c>
      <c r="I216">
        <v>11537</v>
      </c>
      <c r="J216">
        <v>0</v>
      </c>
    </row>
    <row r="217" spans="1:10" x14ac:dyDescent="0.3">
      <c r="A217" s="5" t="s">
        <v>16</v>
      </c>
      <c r="B217" s="5" t="s">
        <v>15</v>
      </c>
      <c r="C217" s="6">
        <v>43334</v>
      </c>
      <c r="D217">
        <v>0</v>
      </c>
      <c r="E217">
        <v>100.39</v>
      </c>
      <c r="F217">
        <v>100.39</v>
      </c>
      <c r="G217">
        <v>100.19</v>
      </c>
      <c r="H217">
        <v>100.2</v>
      </c>
      <c r="I217">
        <v>15011</v>
      </c>
      <c r="J217">
        <v>0</v>
      </c>
    </row>
    <row r="218" spans="1:10" x14ac:dyDescent="0.3">
      <c r="A218" s="5" t="s">
        <v>16</v>
      </c>
      <c r="B218" s="5" t="s">
        <v>15</v>
      </c>
      <c r="C218" s="6">
        <v>43335</v>
      </c>
      <c r="D218">
        <v>0</v>
      </c>
      <c r="E218">
        <v>100.38</v>
      </c>
      <c r="F218">
        <v>100.99</v>
      </c>
      <c r="G218">
        <v>99.5</v>
      </c>
      <c r="H218">
        <v>100.1</v>
      </c>
      <c r="I218">
        <v>91782</v>
      </c>
      <c r="J218">
        <v>0</v>
      </c>
    </row>
    <row r="219" spans="1:10" x14ac:dyDescent="0.3">
      <c r="A219" s="5" t="s">
        <v>16</v>
      </c>
      <c r="B219" s="5" t="s">
        <v>15</v>
      </c>
      <c r="C219" s="6">
        <v>43336</v>
      </c>
      <c r="D219">
        <v>0</v>
      </c>
      <c r="E219">
        <v>100.48</v>
      </c>
      <c r="F219">
        <v>100.48</v>
      </c>
      <c r="G219">
        <v>99.46</v>
      </c>
      <c r="H219">
        <v>100</v>
      </c>
      <c r="I219">
        <v>3939</v>
      </c>
      <c r="J219">
        <v>0</v>
      </c>
    </row>
    <row r="220" spans="1:10" x14ac:dyDescent="0.3">
      <c r="A220" s="5" t="s">
        <v>16</v>
      </c>
      <c r="B220" s="5" t="s">
        <v>15</v>
      </c>
      <c r="C220" s="6">
        <v>43339</v>
      </c>
      <c r="D220">
        <v>0</v>
      </c>
      <c r="E220">
        <v>100</v>
      </c>
      <c r="F220">
        <v>101</v>
      </c>
      <c r="G220">
        <v>99.9</v>
      </c>
      <c r="H220">
        <v>100.65</v>
      </c>
      <c r="I220">
        <v>118856</v>
      </c>
      <c r="J220">
        <v>0</v>
      </c>
    </row>
    <row r="221" spans="1:10" x14ac:dyDescent="0.3">
      <c r="A221" s="5" t="s">
        <v>16</v>
      </c>
      <c r="B221" s="5" t="s">
        <v>15</v>
      </c>
      <c r="C221" s="6">
        <v>43340</v>
      </c>
      <c r="D221">
        <v>0</v>
      </c>
      <c r="E221">
        <v>99.91</v>
      </c>
      <c r="F221">
        <v>100.85</v>
      </c>
      <c r="G221">
        <v>99.91</v>
      </c>
      <c r="H221">
        <v>100.34</v>
      </c>
      <c r="I221">
        <v>9985</v>
      </c>
      <c r="J221">
        <v>0</v>
      </c>
    </row>
    <row r="222" spans="1:10" x14ac:dyDescent="0.3">
      <c r="A222" s="5" t="s">
        <v>16</v>
      </c>
      <c r="B222" s="5" t="s">
        <v>15</v>
      </c>
      <c r="C222" s="6">
        <v>43341</v>
      </c>
      <c r="D222">
        <v>0</v>
      </c>
      <c r="E222">
        <v>101.73</v>
      </c>
      <c r="F222">
        <v>101.73</v>
      </c>
      <c r="G222">
        <v>99.5</v>
      </c>
      <c r="H222">
        <v>100.05</v>
      </c>
      <c r="I222">
        <v>46941</v>
      </c>
      <c r="J222">
        <v>0</v>
      </c>
    </row>
    <row r="223" spans="1:10" x14ac:dyDescent="0.3">
      <c r="A223" s="5" t="s">
        <v>16</v>
      </c>
      <c r="B223" s="5" t="s">
        <v>15</v>
      </c>
      <c r="C223" s="6">
        <v>43342</v>
      </c>
      <c r="D223">
        <v>0</v>
      </c>
      <c r="E223">
        <v>99.68</v>
      </c>
      <c r="F223">
        <v>100.65</v>
      </c>
      <c r="G223">
        <v>99.54</v>
      </c>
      <c r="H223">
        <v>100.37</v>
      </c>
      <c r="I223">
        <v>7611</v>
      </c>
      <c r="J223">
        <v>0</v>
      </c>
    </row>
    <row r="224" spans="1:10" x14ac:dyDescent="0.3">
      <c r="A224" s="5" t="s">
        <v>16</v>
      </c>
      <c r="B224" s="5" t="s">
        <v>15</v>
      </c>
      <c r="C224" s="6">
        <v>43343</v>
      </c>
      <c r="D224">
        <v>0</v>
      </c>
      <c r="E224">
        <v>100.09</v>
      </c>
      <c r="F224">
        <v>100.34</v>
      </c>
      <c r="G224">
        <v>99.55</v>
      </c>
      <c r="H224">
        <v>100.1</v>
      </c>
      <c r="I224">
        <v>7804</v>
      </c>
      <c r="J224">
        <v>0</v>
      </c>
    </row>
    <row r="225" spans="1:10" x14ac:dyDescent="0.3">
      <c r="A225" s="5" t="s">
        <v>16</v>
      </c>
      <c r="B225" s="5" t="s">
        <v>15</v>
      </c>
      <c r="C225" s="6">
        <v>43346</v>
      </c>
      <c r="D225">
        <v>0</v>
      </c>
      <c r="E225">
        <v>99.85</v>
      </c>
      <c r="F225">
        <v>100.47</v>
      </c>
      <c r="G225">
        <v>99.85</v>
      </c>
      <c r="H225">
        <v>100.38</v>
      </c>
      <c r="I225">
        <v>27462</v>
      </c>
      <c r="J225">
        <v>0</v>
      </c>
    </row>
    <row r="226" spans="1:10" x14ac:dyDescent="0.3">
      <c r="A226" s="5" t="s">
        <v>16</v>
      </c>
      <c r="B226" s="5" t="s">
        <v>15</v>
      </c>
      <c r="C226" s="6">
        <v>43347</v>
      </c>
      <c r="D226">
        <v>0</v>
      </c>
      <c r="E226">
        <v>99.95</v>
      </c>
      <c r="F226">
        <v>100.49</v>
      </c>
      <c r="G226">
        <v>99.55</v>
      </c>
      <c r="H226">
        <v>100.4</v>
      </c>
      <c r="I226">
        <v>10802</v>
      </c>
      <c r="J226">
        <v>0</v>
      </c>
    </row>
    <row r="227" spans="1:10" x14ac:dyDescent="0.3">
      <c r="A227" s="5" t="s">
        <v>16</v>
      </c>
      <c r="B227" s="5" t="s">
        <v>15</v>
      </c>
      <c r="C227" s="6">
        <v>43348</v>
      </c>
      <c r="D227">
        <v>0</v>
      </c>
      <c r="E227">
        <v>100.4</v>
      </c>
      <c r="F227">
        <v>100.89</v>
      </c>
      <c r="G227">
        <v>100.07</v>
      </c>
      <c r="H227">
        <v>100.07</v>
      </c>
      <c r="I227">
        <v>6289</v>
      </c>
      <c r="J227">
        <v>0</v>
      </c>
    </row>
    <row r="228" spans="1:10" x14ac:dyDescent="0.3">
      <c r="A228" s="5" t="s">
        <v>16</v>
      </c>
      <c r="B228" s="5" t="s">
        <v>15</v>
      </c>
      <c r="C228" s="6">
        <v>43349</v>
      </c>
      <c r="D228">
        <v>0</v>
      </c>
      <c r="E228">
        <v>100.81</v>
      </c>
      <c r="F228">
        <v>100.81</v>
      </c>
      <c r="G228">
        <v>100.16</v>
      </c>
      <c r="H228">
        <v>100.22</v>
      </c>
      <c r="I228">
        <v>19893</v>
      </c>
      <c r="J228">
        <v>0</v>
      </c>
    </row>
    <row r="229" spans="1:10" x14ac:dyDescent="0.3">
      <c r="A229" s="5" t="s">
        <v>16</v>
      </c>
      <c r="B229" s="5" t="s">
        <v>15</v>
      </c>
      <c r="C229" s="6">
        <v>43350</v>
      </c>
      <c r="D229">
        <v>0</v>
      </c>
      <c r="E229">
        <v>100.03</v>
      </c>
      <c r="F229">
        <v>100.37</v>
      </c>
      <c r="G229">
        <v>99.55</v>
      </c>
      <c r="H229">
        <v>99.77</v>
      </c>
      <c r="I229">
        <v>28482</v>
      </c>
      <c r="J229">
        <v>0</v>
      </c>
    </row>
    <row r="230" spans="1:10" x14ac:dyDescent="0.3">
      <c r="A230" s="5" t="s">
        <v>16</v>
      </c>
      <c r="B230" s="5" t="s">
        <v>15</v>
      </c>
      <c r="C230" s="6">
        <v>43353</v>
      </c>
      <c r="D230">
        <v>0</v>
      </c>
      <c r="E230">
        <v>100.33</v>
      </c>
      <c r="F230">
        <v>100.33</v>
      </c>
      <c r="G230">
        <v>98.85</v>
      </c>
      <c r="H230">
        <v>99.75</v>
      </c>
      <c r="I230">
        <v>36342</v>
      </c>
      <c r="J230">
        <v>0</v>
      </c>
    </row>
    <row r="231" spans="1:10" x14ac:dyDescent="0.3">
      <c r="A231" s="5" t="s">
        <v>16</v>
      </c>
      <c r="B231" s="5" t="s">
        <v>15</v>
      </c>
      <c r="C231" s="6">
        <v>43354</v>
      </c>
      <c r="D231">
        <v>0</v>
      </c>
      <c r="E231">
        <v>100.75</v>
      </c>
      <c r="F231">
        <v>100.75</v>
      </c>
      <c r="G231">
        <v>99.03</v>
      </c>
      <c r="H231">
        <v>99.59</v>
      </c>
      <c r="I231">
        <v>57711</v>
      </c>
      <c r="J231">
        <v>0</v>
      </c>
    </row>
    <row r="232" spans="1:10" x14ac:dyDescent="0.3">
      <c r="A232" s="5" t="s">
        <v>16</v>
      </c>
      <c r="B232" s="5" t="s">
        <v>15</v>
      </c>
      <c r="C232" s="6">
        <v>43355</v>
      </c>
      <c r="D232">
        <v>0</v>
      </c>
      <c r="E232">
        <v>99.96</v>
      </c>
      <c r="F232">
        <v>101.98</v>
      </c>
      <c r="G232">
        <v>99.26</v>
      </c>
      <c r="H232">
        <v>99.7</v>
      </c>
      <c r="I232">
        <v>172138</v>
      </c>
      <c r="J232">
        <v>0</v>
      </c>
    </row>
    <row r="233" spans="1:10" x14ac:dyDescent="0.3">
      <c r="A233" s="5" t="s">
        <v>16</v>
      </c>
      <c r="B233" s="5" t="s">
        <v>15</v>
      </c>
      <c r="C233" s="6">
        <v>43356</v>
      </c>
      <c r="D233">
        <v>0</v>
      </c>
      <c r="E233">
        <v>99.7</v>
      </c>
      <c r="F233">
        <v>100.29</v>
      </c>
      <c r="G233">
        <v>99.05</v>
      </c>
      <c r="H233">
        <v>99.5</v>
      </c>
      <c r="I233">
        <v>38509</v>
      </c>
      <c r="J233">
        <v>0</v>
      </c>
    </row>
    <row r="234" spans="1:10" x14ac:dyDescent="0.3">
      <c r="A234" s="5" t="s">
        <v>16</v>
      </c>
      <c r="B234" s="5" t="s">
        <v>15</v>
      </c>
      <c r="C234" s="6">
        <v>43357</v>
      </c>
      <c r="D234">
        <v>0</v>
      </c>
      <c r="E234">
        <v>99.55</v>
      </c>
      <c r="F234">
        <v>99.9</v>
      </c>
      <c r="G234">
        <v>99.55</v>
      </c>
      <c r="H234">
        <v>99.76</v>
      </c>
      <c r="I234">
        <v>10509</v>
      </c>
      <c r="J234">
        <v>0</v>
      </c>
    </row>
    <row r="235" spans="1:10" x14ac:dyDescent="0.3">
      <c r="A235" s="5" t="s">
        <v>16</v>
      </c>
      <c r="B235" s="5" t="s">
        <v>15</v>
      </c>
      <c r="C235" s="6">
        <v>43360</v>
      </c>
      <c r="D235">
        <v>0</v>
      </c>
      <c r="E235">
        <v>99.9</v>
      </c>
      <c r="F235">
        <v>100.2</v>
      </c>
      <c r="G235">
        <v>99.78</v>
      </c>
      <c r="H235">
        <v>99.8</v>
      </c>
      <c r="I235">
        <v>22909</v>
      </c>
      <c r="J235">
        <v>0</v>
      </c>
    </row>
    <row r="236" spans="1:10" x14ac:dyDescent="0.3">
      <c r="A236" s="5" t="s">
        <v>16</v>
      </c>
      <c r="B236" s="5" t="s">
        <v>15</v>
      </c>
      <c r="C236" s="6">
        <v>43361</v>
      </c>
      <c r="D236">
        <v>0</v>
      </c>
      <c r="E236">
        <v>99.8</v>
      </c>
      <c r="F236">
        <v>99.9</v>
      </c>
      <c r="G236">
        <v>99.76</v>
      </c>
      <c r="H236">
        <v>99.8</v>
      </c>
      <c r="I236">
        <v>3141</v>
      </c>
      <c r="J236">
        <v>0</v>
      </c>
    </row>
    <row r="237" spans="1:10" x14ac:dyDescent="0.3">
      <c r="A237" s="5" t="s">
        <v>16</v>
      </c>
      <c r="B237" s="5" t="s">
        <v>15</v>
      </c>
      <c r="C237" s="6">
        <v>43362</v>
      </c>
      <c r="D237">
        <v>0</v>
      </c>
      <c r="E237">
        <v>99.9</v>
      </c>
      <c r="F237">
        <v>100.2</v>
      </c>
      <c r="G237">
        <v>99.9</v>
      </c>
      <c r="H237">
        <v>100.2</v>
      </c>
      <c r="I237">
        <v>47450</v>
      </c>
      <c r="J237">
        <v>0</v>
      </c>
    </row>
    <row r="238" spans="1:10" x14ac:dyDescent="0.3">
      <c r="A238" s="5" t="s">
        <v>16</v>
      </c>
      <c r="B238" s="5" t="s">
        <v>15</v>
      </c>
      <c r="C238" s="6">
        <v>43363</v>
      </c>
      <c r="D238">
        <v>0</v>
      </c>
      <c r="E238">
        <v>101.2</v>
      </c>
      <c r="F238">
        <v>101.2</v>
      </c>
      <c r="G238">
        <v>99.5</v>
      </c>
      <c r="H238">
        <v>100</v>
      </c>
      <c r="I238">
        <v>7084</v>
      </c>
      <c r="J238">
        <v>0</v>
      </c>
    </row>
    <row r="239" spans="1:10" x14ac:dyDescent="0.3">
      <c r="A239" s="5" t="s">
        <v>16</v>
      </c>
      <c r="B239" s="5" t="s">
        <v>15</v>
      </c>
      <c r="C239" s="6">
        <v>43364</v>
      </c>
      <c r="D239">
        <v>0</v>
      </c>
      <c r="E239">
        <v>99.8</v>
      </c>
      <c r="F239">
        <v>100.2</v>
      </c>
      <c r="G239">
        <v>99.8</v>
      </c>
      <c r="H239">
        <v>100.15</v>
      </c>
      <c r="I239">
        <v>12688</v>
      </c>
      <c r="J239">
        <v>0</v>
      </c>
    </row>
    <row r="240" spans="1:10" x14ac:dyDescent="0.3">
      <c r="A240" s="5" t="s">
        <v>16</v>
      </c>
      <c r="B240" s="5" t="s">
        <v>15</v>
      </c>
      <c r="C240" s="6">
        <v>43367</v>
      </c>
      <c r="D240">
        <v>0</v>
      </c>
      <c r="E240">
        <v>100.01</v>
      </c>
      <c r="F240">
        <v>100.2</v>
      </c>
      <c r="G240">
        <v>100</v>
      </c>
      <c r="H240">
        <v>100.2</v>
      </c>
      <c r="I240">
        <v>18977</v>
      </c>
      <c r="J240">
        <v>0</v>
      </c>
    </row>
    <row r="241" spans="1:10" x14ac:dyDescent="0.3">
      <c r="A241" s="5" t="s">
        <v>16</v>
      </c>
      <c r="B241" s="5" t="s">
        <v>15</v>
      </c>
      <c r="C241" s="6">
        <v>43368</v>
      </c>
      <c r="D241">
        <v>0</v>
      </c>
      <c r="E241">
        <v>100.24</v>
      </c>
      <c r="F241">
        <v>100.3</v>
      </c>
      <c r="G241">
        <v>100.17</v>
      </c>
      <c r="H241">
        <v>100.2</v>
      </c>
      <c r="I241">
        <v>85215</v>
      </c>
      <c r="J241">
        <v>0</v>
      </c>
    </row>
    <row r="242" spans="1:10" x14ac:dyDescent="0.3">
      <c r="A242" s="5" t="s">
        <v>16</v>
      </c>
      <c r="B242" s="5" t="s">
        <v>15</v>
      </c>
      <c r="C242" s="6">
        <v>43369</v>
      </c>
      <c r="D242">
        <v>0</v>
      </c>
      <c r="E242">
        <v>100.2</v>
      </c>
      <c r="F242">
        <v>100.67</v>
      </c>
      <c r="G242">
        <v>99.71</v>
      </c>
      <c r="H242">
        <v>100.22</v>
      </c>
      <c r="I242">
        <v>29267</v>
      </c>
      <c r="J242">
        <v>0</v>
      </c>
    </row>
    <row r="243" spans="1:10" x14ac:dyDescent="0.3">
      <c r="A243" s="5" t="s">
        <v>16</v>
      </c>
      <c r="B243" s="5" t="s">
        <v>15</v>
      </c>
      <c r="C243" s="6">
        <v>43370</v>
      </c>
      <c r="D243">
        <v>0</v>
      </c>
      <c r="E243">
        <v>100.28</v>
      </c>
      <c r="F243">
        <v>100.28</v>
      </c>
      <c r="G243">
        <v>100.15</v>
      </c>
      <c r="H243">
        <v>100.25</v>
      </c>
      <c r="I243">
        <v>22392</v>
      </c>
      <c r="J243">
        <v>0</v>
      </c>
    </row>
    <row r="244" spans="1:10" x14ac:dyDescent="0.3">
      <c r="A244" s="5" t="s">
        <v>16</v>
      </c>
      <c r="B244" s="5" t="s">
        <v>15</v>
      </c>
      <c r="C244" s="6">
        <v>43371</v>
      </c>
      <c r="D244">
        <v>0</v>
      </c>
      <c r="E244">
        <v>100.05</v>
      </c>
      <c r="F244">
        <v>100.69</v>
      </c>
      <c r="G244">
        <v>100</v>
      </c>
      <c r="H244">
        <v>100.26</v>
      </c>
      <c r="I244">
        <v>18039</v>
      </c>
      <c r="J244">
        <v>0</v>
      </c>
    </row>
    <row r="245" spans="1:10" x14ac:dyDescent="0.3">
      <c r="A245" s="5" t="s">
        <v>16</v>
      </c>
      <c r="B245" s="5" t="s">
        <v>15</v>
      </c>
      <c r="C245" s="6">
        <v>43374</v>
      </c>
      <c r="D245">
        <v>0</v>
      </c>
      <c r="E245">
        <v>100.69</v>
      </c>
      <c r="F245">
        <v>100.69</v>
      </c>
      <c r="G245">
        <v>100.25</v>
      </c>
      <c r="H245">
        <v>100.3</v>
      </c>
      <c r="I245">
        <v>4494</v>
      </c>
      <c r="J245">
        <v>0</v>
      </c>
    </row>
    <row r="246" spans="1:10" x14ac:dyDescent="0.3">
      <c r="A246" s="5" t="s">
        <v>16</v>
      </c>
      <c r="B246" s="5" t="s">
        <v>15</v>
      </c>
      <c r="C246" s="6">
        <v>43375</v>
      </c>
      <c r="D246">
        <v>0</v>
      </c>
      <c r="E246">
        <v>100.24</v>
      </c>
      <c r="F246">
        <v>100.55</v>
      </c>
      <c r="G246">
        <v>100.15</v>
      </c>
      <c r="H246">
        <v>100.4</v>
      </c>
      <c r="I246">
        <v>12506</v>
      </c>
      <c r="J246">
        <v>0</v>
      </c>
    </row>
    <row r="247" spans="1:10" x14ac:dyDescent="0.3">
      <c r="A247" s="5" t="s">
        <v>16</v>
      </c>
      <c r="B247" s="5" t="s">
        <v>15</v>
      </c>
      <c r="C247" s="6">
        <v>43376</v>
      </c>
      <c r="D247">
        <v>0</v>
      </c>
      <c r="E247">
        <v>100.68</v>
      </c>
      <c r="F247">
        <v>100.69</v>
      </c>
      <c r="G247">
        <v>100.39</v>
      </c>
      <c r="H247">
        <v>100.51</v>
      </c>
      <c r="I247">
        <v>11227</v>
      </c>
      <c r="J247">
        <v>0</v>
      </c>
    </row>
    <row r="248" spans="1:10" x14ac:dyDescent="0.3">
      <c r="A248" s="5" t="s">
        <v>16</v>
      </c>
      <c r="B248" s="5" t="s">
        <v>15</v>
      </c>
      <c r="C248" s="6">
        <v>43377</v>
      </c>
      <c r="D248">
        <v>0</v>
      </c>
      <c r="E248">
        <v>100.4</v>
      </c>
      <c r="F248">
        <v>100.59</v>
      </c>
      <c r="G248">
        <v>100.3</v>
      </c>
      <c r="H248">
        <v>100.3</v>
      </c>
      <c r="I248">
        <v>13826</v>
      </c>
      <c r="J248">
        <v>0</v>
      </c>
    </row>
    <row r="249" spans="1:10" x14ac:dyDescent="0.3">
      <c r="A249" s="5" t="s">
        <v>16</v>
      </c>
      <c r="B249" s="5" t="s">
        <v>15</v>
      </c>
      <c r="C249" s="6">
        <v>43378</v>
      </c>
      <c r="D249">
        <v>0</v>
      </c>
      <c r="E249">
        <v>100.49</v>
      </c>
      <c r="F249">
        <v>100.5</v>
      </c>
      <c r="G249">
        <v>100.1</v>
      </c>
      <c r="H249">
        <v>100.5</v>
      </c>
      <c r="I249">
        <v>12784</v>
      </c>
      <c r="J249">
        <v>0</v>
      </c>
    </row>
    <row r="250" spans="1:10" x14ac:dyDescent="0.3">
      <c r="A250" s="5" t="s">
        <v>16</v>
      </c>
      <c r="B250" s="5" t="s">
        <v>15</v>
      </c>
      <c r="C250" s="6">
        <v>43381</v>
      </c>
      <c r="D250">
        <v>0</v>
      </c>
      <c r="E250">
        <v>100.59</v>
      </c>
      <c r="F250">
        <v>100.6</v>
      </c>
      <c r="G250">
        <v>100.1</v>
      </c>
      <c r="H250">
        <v>100.19</v>
      </c>
      <c r="I250">
        <v>2948</v>
      </c>
      <c r="J250">
        <v>0</v>
      </c>
    </row>
    <row r="251" spans="1:10" x14ac:dyDescent="0.3">
      <c r="A251" s="5" t="s">
        <v>16</v>
      </c>
      <c r="B251" s="5" t="s">
        <v>15</v>
      </c>
      <c r="C251" s="6">
        <v>43382</v>
      </c>
      <c r="D251">
        <v>0</v>
      </c>
      <c r="E251">
        <v>99.1</v>
      </c>
      <c r="F251">
        <v>100.7</v>
      </c>
      <c r="G251">
        <v>99.1</v>
      </c>
      <c r="H251">
        <v>100.49</v>
      </c>
      <c r="I251">
        <v>10245</v>
      </c>
      <c r="J251">
        <v>0</v>
      </c>
    </row>
    <row r="252" spans="1:10" x14ac:dyDescent="0.3">
      <c r="A252" s="5" t="s">
        <v>16</v>
      </c>
      <c r="B252" s="5" t="s">
        <v>15</v>
      </c>
      <c r="C252" s="6">
        <v>43383</v>
      </c>
      <c r="D252">
        <v>0</v>
      </c>
      <c r="E252">
        <v>100.65</v>
      </c>
      <c r="F252">
        <v>100.65</v>
      </c>
      <c r="G252">
        <v>100</v>
      </c>
      <c r="H252">
        <v>100.11</v>
      </c>
      <c r="I252">
        <v>900</v>
      </c>
      <c r="J252">
        <v>0</v>
      </c>
    </row>
    <row r="253" spans="1:10" x14ac:dyDescent="0.3">
      <c r="A253" s="5" t="s">
        <v>16</v>
      </c>
      <c r="B253" s="5" t="s">
        <v>15</v>
      </c>
      <c r="C253" s="6">
        <v>43384</v>
      </c>
      <c r="D253">
        <v>0</v>
      </c>
      <c r="E253">
        <v>100.5</v>
      </c>
      <c r="F253">
        <v>100.65</v>
      </c>
      <c r="G253">
        <v>100.11</v>
      </c>
      <c r="H253">
        <v>100.2</v>
      </c>
      <c r="I253">
        <v>4070</v>
      </c>
      <c r="J253">
        <v>0</v>
      </c>
    </row>
    <row r="254" spans="1:10" x14ac:dyDescent="0.3">
      <c r="A254" s="5" t="s">
        <v>16</v>
      </c>
      <c r="B254" s="5" t="s">
        <v>15</v>
      </c>
      <c r="C254" s="6">
        <v>43385</v>
      </c>
      <c r="D254">
        <v>0</v>
      </c>
      <c r="E254">
        <v>100.29</v>
      </c>
      <c r="F254">
        <v>100.45</v>
      </c>
      <c r="G254">
        <v>99.8</v>
      </c>
      <c r="H254">
        <v>99.98</v>
      </c>
      <c r="I254">
        <v>16140</v>
      </c>
      <c r="J254">
        <v>0</v>
      </c>
    </row>
    <row r="255" spans="1:10" x14ac:dyDescent="0.3">
      <c r="A255" s="5" t="s">
        <v>16</v>
      </c>
      <c r="B255" s="5" t="s">
        <v>15</v>
      </c>
      <c r="C255" s="6">
        <v>43388</v>
      </c>
      <c r="D255">
        <v>0</v>
      </c>
      <c r="E255">
        <v>100</v>
      </c>
      <c r="F255">
        <v>100.43</v>
      </c>
      <c r="G255">
        <v>99.96</v>
      </c>
      <c r="H255">
        <v>100.1</v>
      </c>
      <c r="I255">
        <v>91628</v>
      </c>
      <c r="J255">
        <v>0</v>
      </c>
    </row>
    <row r="256" spans="1:10" x14ac:dyDescent="0.3">
      <c r="A256" s="5" t="s">
        <v>16</v>
      </c>
      <c r="B256" s="5" t="s">
        <v>15</v>
      </c>
      <c r="C256" s="6">
        <v>43389</v>
      </c>
      <c r="D256">
        <v>0</v>
      </c>
      <c r="E256">
        <v>100.38</v>
      </c>
      <c r="F256">
        <v>100.5</v>
      </c>
      <c r="G256">
        <v>100.04</v>
      </c>
      <c r="H256">
        <v>100.38</v>
      </c>
      <c r="I256">
        <v>55645</v>
      </c>
      <c r="J256">
        <v>0</v>
      </c>
    </row>
    <row r="257" spans="1:10" x14ac:dyDescent="0.3">
      <c r="A257" s="5" t="s">
        <v>16</v>
      </c>
      <c r="B257" s="5" t="s">
        <v>15</v>
      </c>
      <c r="C257" s="6">
        <v>43390</v>
      </c>
      <c r="D257">
        <v>0</v>
      </c>
      <c r="E257">
        <v>100.3</v>
      </c>
      <c r="F257">
        <v>100.38</v>
      </c>
      <c r="G257">
        <v>100.1</v>
      </c>
      <c r="H257">
        <v>100.29</v>
      </c>
      <c r="I257">
        <v>48450</v>
      </c>
      <c r="J257">
        <v>0</v>
      </c>
    </row>
    <row r="258" spans="1:10" x14ac:dyDescent="0.3">
      <c r="A258" s="5" t="s">
        <v>16</v>
      </c>
      <c r="B258" s="5" t="s">
        <v>15</v>
      </c>
      <c r="C258" s="6">
        <v>43391</v>
      </c>
      <c r="D258">
        <v>0</v>
      </c>
      <c r="E258">
        <v>100.2</v>
      </c>
      <c r="F258">
        <v>100.3</v>
      </c>
      <c r="G258">
        <v>100</v>
      </c>
      <c r="H258">
        <v>100.2</v>
      </c>
      <c r="I258">
        <v>33065</v>
      </c>
      <c r="J258">
        <v>0</v>
      </c>
    </row>
    <row r="259" spans="1:10" x14ac:dyDescent="0.3">
      <c r="A259" s="5" t="s">
        <v>16</v>
      </c>
      <c r="B259" s="5" t="s">
        <v>15</v>
      </c>
      <c r="C259" s="6">
        <v>43392</v>
      </c>
      <c r="D259">
        <v>0</v>
      </c>
      <c r="E259">
        <v>99.91</v>
      </c>
      <c r="F259">
        <v>100.5</v>
      </c>
      <c r="G259">
        <v>99.91</v>
      </c>
      <c r="H259">
        <v>100.47</v>
      </c>
      <c r="I259">
        <v>111634</v>
      </c>
      <c r="J259">
        <v>0</v>
      </c>
    </row>
    <row r="260" spans="1:10" x14ac:dyDescent="0.3">
      <c r="A260" s="5" t="s">
        <v>16</v>
      </c>
      <c r="B260" s="5" t="s">
        <v>15</v>
      </c>
      <c r="C260" s="6">
        <v>43395</v>
      </c>
      <c r="D260">
        <v>0</v>
      </c>
      <c r="E260">
        <v>100.5</v>
      </c>
      <c r="F260">
        <v>100.5</v>
      </c>
      <c r="G260">
        <v>100.06</v>
      </c>
      <c r="H260">
        <v>100.11</v>
      </c>
      <c r="I260">
        <v>31605</v>
      </c>
      <c r="J260">
        <v>0</v>
      </c>
    </row>
    <row r="261" spans="1:10" x14ac:dyDescent="0.3">
      <c r="A261" s="5" t="s">
        <v>16</v>
      </c>
      <c r="B261" s="5" t="s">
        <v>15</v>
      </c>
      <c r="C261" s="6">
        <v>43396</v>
      </c>
      <c r="D261">
        <v>0</v>
      </c>
      <c r="E261">
        <v>100.44</v>
      </c>
      <c r="F261">
        <v>100.7</v>
      </c>
      <c r="G261">
        <v>100.3</v>
      </c>
      <c r="H261">
        <v>100.64</v>
      </c>
      <c r="I261">
        <v>74244</v>
      </c>
      <c r="J261">
        <v>0</v>
      </c>
    </row>
    <row r="262" spans="1:10" x14ac:dyDescent="0.3">
      <c r="A262" s="5" t="s">
        <v>16</v>
      </c>
      <c r="B262" s="5" t="s">
        <v>15</v>
      </c>
      <c r="C262" s="6">
        <v>43397</v>
      </c>
      <c r="D262">
        <v>0</v>
      </c>
      <c r="E262">
        <v>100.31</v>
      </c>
      <c r="F262">
        <v>100.65</v>
      </c>
      <c r="G262">
        <v>100.29</v>
      </c>
      <c r="H262">
        <v>100.3</v>
      </c>
      <c r="I262">
        <v>10598</v>
      </c>
      <c r="J262">
        <v>0</v>
      </c>
    </row>
    <row r="263" spans="1:10" x14ac:dyDescent="0.3">
      <c r="A263" s="5" t="s">
        <v>16</v>
      </c>
      <c r="B263" s="5" t="s">
        <v>15</v>
      </c>
      <c r="C263" s="6">
        <v>43398</v>
      </c>
      <c r="D263">
        <v>0</v>
      </c>
      <c r="E263">
        <v>100.25</v>
      </c>
      <c r="F263">
        <v>100.6</v>
      </c>
      <c r="G263">
        <v>100.04</v>
      </c>
      <c r="H263">
        <v>100.36</v>
      </c>
      <c r="I263">
        <v>33817</v>
      </c>
      <c r="J263">
        <v>0</v>
      </c>
    </row>
    <row r="264" spans="1:10" x14ac:dyDescent="0.3">
      <c r="A264" s="5" t="s">
        <v>16</v>
      </c>
      <c r="B264" s="5" t="s">
        <v>15</v>
      </c>
      <c r="C264" s="6">
        <v>43399</v>
      </c>
      <c r="D264">
        <v>0</v>
      </c>
      <c r="E264">
        <v>100.07</v>
      </c>
      <c r="F264">
        <v>100.79</v>
      </c>
      <c r="G264">
        <v>100.04</v>
      </c>
      <c r="H264">
        <v>100.35</v>
      </c>
      <c r="I264">
        <v>9420</v>
      </c>
      <c r="J264">
        <v>0</v>
      </c>
    </row>
    <row r="265" spans="1:10" x14ac:dyDescent="0.3">
      <c r="A265" s="5" t="s">
        <v>16</v>
      </c>
      <c r="B265" s="5" t="s">
        <v>15</v>
      </c>
      <c r="C265" s="6">
        <v>43402</v>
      </c>
      <c r="D265">
        <v>0</v>
      </c>
      <c r="E265">
        <v>100.57</v>
      </c>
      <c r="F265">
        <v>100.65</v>
      </c>
      <c r="G265">
        <v>100.12</v>
      </c>
      <c r="H265">
        <v>100.24</v>
      </c>
      <c r="I265">
        <v>5218</v>
      </c>
      <c r="J265">
        <v>0</v>
      </c>
    </row>
    <row r="266" spans="1:10" x14ac:dyDescent="0.3">
      <c r="A266" s="5" t="s">
        <v>16</v>
      </c>
      <c r="B266" s="5" t="s">
        <v>15</v>
      </c>
      <c r="C266" s="6">
        <v>43403</v>
      </c>
      <c r="D266">
        <v>0</v>
      </c>
      <c r="E266">
        <v>100.55</v>
      </c>
      <c r="F266">
        <v>100.68</v>
      </c>
      <c r="G266">
        <v>100.12</v>
      </c>
      <c r="H266">
        <v>100.42</v>
      </c>
      <c r="I266">
        <v>16827</v>
      </c>
      <c r="J266">
        <v>0</v>
      </c>
    </row>
    <row r="267" spans="1:10" x14ac:dyDescent="0.3">
      <c r="A267" s="5" t="s">
        <v>16</v>
      </c>
      <c r="B267" s="5" t="s">
        <v>15</v>
      </c>
      <c r="C267" s="6">
        <v>43404</v>
      </c>
      <c r="D267">
        <v>0</v>
      </c>
      <c r="E267">
        <v>100.51</v>
      </c>
      <c r="F267">
        <v>100.51</v>
      </c>
      <c r="G267">
        <v>100.15</v>
      </c>
      <c r="H267">
        <v>100.46</v>
      </c>
      <c r="I267">
        <v>20326</v>
      </c>
      <c r="J267">
        <v>0</v>
      </c>
    </row>
    <row r="268" spans="1:10" x14ac:dyDescent="0.3">
      <c r="A268" s="5" t="s">
        <v>16</v>
      </c>
      <c r="B268" s="5" t="s">
        <v>15</v>
      </c>
      <c r="C268" s="6">
        <v>43405</v>
      </c>
      <c r="D268">
        <v>0</v>
      </c>
      <c r="E268">
        <v>100.23</v>
      </c>
      <c r="F268">
        <v>100.5</v>
      </c>
      <c r="G268">
        <v>100.2</v>
      </c>
      <c r="H268">
        <v>100.3</v>
      </c>
      <c r="I268">
        <v>17291</v>
      </c>
      <c r="J268">
        <v>0</v>
      </c>
    </row>
    <row r="269" spans="1:10" x14ac:dyDescent="0.3">
      <c r="A269" s="5" t="s">
        <v>16</v>
      </c>
      <c r="B269" s="5" t="s">
        <v>15</v>
      </c>
      <c r="C269" s="6">
        <v>43406</v>
      </c>
      <c r="D269">
        <v>0</v>
      </c>
      <c r="E269">
        <v>100.55</v>
      </c>
      <c r="F269">
        <v>100.63</v>
      </c>
      <c r="G269">
        <v>100.32</v>
      </c>
      <c r="H269">
        <v>100.5</v>
      </c>
      <c r="I269">
        <v>18972</v>
      </c>
      <c r="J269">
        <v>0</v>
      </c>
    </row>
    <row r="270" spans="1:10" x14ac:dyDescent="0.3">
      <c r="A270" s="5" t="s">
        <v>16</v>
      </c>
      <c r="B270" s="5" t="s">
        <v>15</v>
      </c>
      <c r="C270" s="6">
        <v>43410</v>
      </c>
      <c r="D270">
        <v>0</v>
      </c>
      <c r="E270">
        <v>100.32</v>
      </c>
      <c r="F270">
        <v>100.45</v>
      </c>
      <c r="G270">
        <v>100.32</v>
      </c>
      <c r="H270">
        <v>100.44</v>
      </c>
      <c r="I270">
        <v>2385</v>
      </c>
      <c r="J270">
        <v>0</v>
      </c>
    </row>
    <row r="271" spans="1:10" x14ac:dyDescent="0.3">
      <c r="A271" s="5" t="s">
        <v>16</v>
      </c>
      <c r="B271" s="5" t="s">
        <v>15</v>
      </c>
      <c r="C271" s="6">
        <v>43411</v>
      </c>
      <c r="D271">
        <v>0</v>
      </c>
      <c r="E271">
        <v>100.54</v>
      </c>
      <c r="F271">
        <v>100.56</v>
      </c>
      <c r="G271">
        <v>100.4</v>
      </c>
      <c r="H271">
        <v>100.55</v>
      </c>
      <c r="I271">
        <v>31661</v>
      </c>
      <c r="J271">
        <v>0</v>
      </c>
    </row>
    <row r="272" spans="1:10" x14ac:dyDescent="0.3">
      <c r="A272" s="5" t="s">
        <v>16</v>
      </c>
      <c r="B272" s="5" t="s">
        <v>15</v>
      </c>
      <c r="C272" s="6">
        <v>43412</v>
      </c>
      <c r="D272">
        <v>0</v>
      </c>
      <c r="E272">
        <v>101.6</v>
      </c>
      <c r="F272">
        <v>101.6</v>
      </c>
      <c r="G272">
        <v>100.3</v>
      </c>
      <c r="H272">
        <v>100.3</v>
      </c>
      <c r="I272">
        <v>22408</v>
      </c>
      <c r="J272">
        <v>0</v>
      </c>
    </row>
    <row r="273" spans="1:10" x14ac:dyDescent="0.3">
      <c r="A273" s="5" t="s">
        <v>16</v>
      </c>
      <c r="B273" s="5" t="s">
        <v>15</v>
      </c>
      <c r="C273" s="6">
        <v>43413</v>
      </c>
      <c r="D273">
        <v>0</v>
      </c>
      <c r="E273">
        <v>100.49</v>
      </c>
      <c r="F273">
        <v>100.7</v>
      </c>
      <c r="G273">
        <v>100.28</v>
      </c>
      <c r="H273">
        <v>100.45</v>
      </c>
      <c r="I273">
        <v>24545</v>
      </c>
      <c r="J273">
        <v>0</v>
      </c>
    </row>
    <row r="274" spans="1:10" x14ac:dyDescent="0.3">
      <c r="A274" s="5" t="s">
        <v>16</v>
      </c>
      <c r="B274" s="5" t="s">
        <v>15</v>
      </c>
      <c r="C274" s="6">
        <v>43416</v>
      </c>
      <c r="D274">
        <v>0</v>
      </c>
      <c r="E274">
        <v>101.57</v>
      </c>
      <c r="F274">
        <v>101.57</v>
      </c>
      <c r="G274">
        <v>100.01</v>
      </c>
      <c r="H274">
        <v>100.2</v>
      </c>
      <c r="I274">
        <v>6413</v>
      </c>
      <c r="J274">
        <v>0</v>
      </c>
    </row>
    <row r="275" spans="1:10" x14ac:dyDescent="0.3">
      <c r="A275" s="5" t="s">
        <v>16</v>
      </c>
      <c r="B275" s="5" t="s">
        <v>15</v>
      </c>
      <c r="C275" s="6">
        <v>43417</v>
      </c>
      <c r="D275">
        <v>0</v>
      </c>
      <c r="E275">
        <v>100.45</v>
      </c>
      <c r="F275">
        <v>100.7</v>
      </c>
      <c r="G275">
        <v>100.01</v>
      </c>
      <c r="H275">
        <v>100.22</v>
      </c>
      <c r="I275">
        <v>26806</v>
      </c>
      <c r="J275">
        <v>0</v>
      </c>
    </row>
    <row r="276" spans="1:10" x14ac:dyDescent="0.3">
      <c r="A276" s="5" t="s">
        <v>16</v>
      </c>
      <c r="B276" s="5" t="s">
        <v>15</v>
      </c>
      <c r="C276" s="6">
        <v>43418</v>
      </c>
      <c r="D276">
        <v>0</v>
      </c>
      <c r="E276">
        <v>100.3</v>
      </c>
      <c r="F276">
        <v>100.51</v>
      </c>
      <c r="G276">
        <v>100.25</v>
      </c>
      <c r="H276">
        <v>100.45</v>
      </c>
      <c r="I276">
        <v>12623</v>
      </c>
      <c r="J276">
        <v>0</v>
      </c>
    </row>
    <row r="277" spans="1:10" x14ac:dyDescent="0.3">
      <c r="A277" s="5" t="s">
        <v>16</v>
      </c>
      <c r="B277" s="5" t="s">
        <v>15</v>
      </c>
      <c r="C277" s="6">
        <v>43419</v>
      </c>
      <c r="D277">
        <v>0</v>
      </c>
      <c r="E277">
        <v>100.45</v>
      </c>
      <c r="F277">
        <v>100.46</v>
      </c>
      <c r="G277">
        <v>100.19</v>
      </c>
      <c r="H277">
        <v>100.29</v>
      </c>
      <c r="I277">
        <v>5547</v>
      </c>
      <c r="J277">
        <v>0</v>
      </c>
    </row>
    <row r="278" spans="1:10" x14ac:dyDescent="0.3">
      <c r="A278" s="5" t="s">
        <v>16</v>
      </c>
      <c r="B278" s="5" t="s">
        <v>15</v>
      </c>
      <c r="C278" s="6">
        <v>43420</v>
      </c>
      <c r="D278">
        <v>0</v>
      </c>
      <c r="E278">
        <v>100.3</v>
      </c>
      <c r="F278">
        <v>100.3</v>
      </c>
      <c r="G278">
        <v>100</v>
      </c>
      <c r="H278">
        <v>100.29</v>
      </c>
      <c r="I278">
        <v>5952</v>
      </c>
      <c r="J278">
        <v>0</v>
      </c>
    </row>
    <row r="279" spans="1:10" x14ac:dyDescent="0.3">
      <c r="A279" s="5" t="s">
        <v>16</v>
      </c>
      <c r="B279" s="5" t="s">
        <v>15</v>
      </c>
      <c r="C279" s="6">
        <v>43423</v>
      </c>
      <c r="D279">
        <v>0</v>
      </c>
      <c r="E279">
        <v>100.29</v>
      </c>
      <c r="F279">
        <v>100.49</v>
      </c>
      <c r="G279">
        <v>100.23</v>
      </c>
      <c r="H279">
        <v>100.23</v>
      </c>
      <c r="I279">
        <v>3988</v>
      </c>
      <c r="J279">
        <v>0</v>
      </c>
    </row>
    <row r="280" spans="1:10" x14ac:dyDescent="0.3">
      <c r="A280" s="5" t="s">
        <v>16</v>
      </c>
      <c r="B280" s="5" t="s">
        <v>15</v>
      </c>
      <c r="C280" s="6">
        <v>43424</v>
      </c>
      <c r="D280">
        <v>0</v>
      </c>
      <c r="E280">
        <v>100.49</v>
      </c>
      <c r="F280">
        <v>100.5</v>
      </c>
      <c r="G280">
        <v>100.07</v>
      </c>
      <c r="H280">
        <v>100.07</v>
      </c>
      <c r="I280">
        <v>5989</v>
      </c>
      <c r="J280">
        <v>0</v>
      </c>
    </row>
    <row r="281" spans="1:10" x14ac:dyDescent="0.3">
      <c r="A281" s="5" t="s">
        <v>16</v>
      </c>
      <c r="B281" s="5" t="s">
        <v>15</v>
      </c>
      <c r="C281" s="6">
        <v>43425</v>
      </c>
      <c r="D281">
        <v>0</v>
      </c>
      <c r="E281">
        <v>100.49</v>
      </c>
      <c r="F281">
        <v>100.49</v>
      </c>
      <c r="G281">
        <v>100</v>
      </c>
      <c r="H281">
        <v>100.2</v>
      </c>
      <c r="I281">
        <v>4405</v>
      </c>
      <c r="J281">
        <v>0</v>
      </c>
    </row>
    <row r="282" spans="1:10" x14ac:dyDescent="0.3">
      <c r="A282" s="5" t="s">
        <v>16</v>
      </c>
      <c r="B282" s="5" t="s">
        <v>15</v>
      </c>
      <c r="C282" s="6">
        <v>43426</v>
      </c>
      <c r="D282">
        <v>0</v>
      </c>
      <c r="E282">
        <v>100.08</v>
      </c>
      <c r="F282">
        <v>100.41</v>
      </c>
      <c r="G282">
        <v>100</v>
      </c>
      <c r="H282">
        <v>100.2</v>
      </c>
      <c r="I282">
        <v>9363</v>
      </c>
      <c r="J282">
        <v>0</v>
      </c>
    </row>
    <row r="283" spans="1:10" x14ac:dyDescent="0.3">
      <c r="A283" s="5" t="s">
        <v>16</v>
      </c>
      <c r="B283" s="5" t="s">
        <v>15</v>
      </c>
      <c r="C283" s="6">
        <v>43427</v>
      </c>
      <c r="D283">
        <v>0</v>
      </c>
      <c r="E283">
        <v>100.37</v>
      </c>
      <c r="F283">
        <v>100.41</v>
      </c>
      <c r="G283">
        <v>99.75</v>
      </c>
      <c r="H283">
        <v>100.3</v>
      </c>
      <c r="I283">
        <v>17637</v>
      </c>
      <c r="J283">
        <v>0</v>
      </c>
    </row>
    <row r="284" spans="1:10" x14ac:dyDescent="0.3">
      <c r="A284" s="5" t="s">
        <v>16</v>
      </c>
      <c r="B284" s="5" t="s">
        <v>15</v>
      </c>
      <c r="C284" s="6">
        <v>43430</v>
      </c>
      <c r="D284">
        <v>0</v>
      </c>
      <c r="E284">
        <v>100</v>
      </c>
      <c r="F284">
        <v>100.34</v>
      </c>
      <c r="G284">
        <v>99.75</v>
      </c>
      <c r="H284">
        <v>100.19</v>
      </c>
      <c r="I284">
        <v>5749</v>
      </c>
      <c r="J284">
        <v>0</v>
      </c>
    </row>
    <row r="285" spans="1:10" x14ac:dyDescent="0.3">
      <c r="A285" s="5" t="s">
        <v>16</v>
      </c>
      <c r="B285" s="5" t="s">
        <v>15</v>
      </c>
      <c r="C285" s="6">
        <v>43431</v>
      </c>
      <c r="D285">
        <v>0</v>
      </c>
      <c r="E285">
        <v>100.29</v>
      </c>
      <c r="F285">
        <v>100.29</v>
      </c>
      <c r="G285">
        <v>100</v>
      </c>
      <c r="H285">
        <v>100.1</v>
      </c>
      <c r="I285">
        <v>12079</v>
      </c>
      <c r="J285">
        <v>0</v>
      </c>
    </row>
    <row r="286" spans="1:10" x14ac:dyDescent="0.3">
      <c r="A286" s="5" t="s">
        <v>16</v>
      </c>
      <c r="B286" s="5" t="s">
        <v>15</v>
      </c>
      <c r="C286" s="6">
        <v>43432</v>
      </c>
      <c r="D286">
        <v>0</v>
      </c>
      <c r="E286">
        <v>100.3</v>
      </c>
      <c r="F286">
        <v>100.3</v>
      </c>
      <c r="G286">
        <v>99.06</v>
      </c>
      <c r="H286">
        <v>100.06</v>
      </c>
      <c r="I286">
        <v>6895</v>
      </c>
      <c r="J286">
        <v>0</v>
      </c>
    </row>
    <row r="287" spans="1:10" x14ac:dyDescent="0.3">
      <c r="A287" s="5" t="s">
        <v>16</v>
      </c>
      <c r="B287" s="5" t="s">
        <v>15</v>
      </c>
      <c r="C287" s="6">
        <v>43433</v>
      </c>
      <c r="D287">
        <v>0</v>
      </c>
      <c r="E287">
        <v>100.01</v>
      </c>
      <c r="F287">
        <v>100.49</v>
      </c>
      <c r="G287">
        <v>100</v>
      </c>
      <c r="H287">
        <v>100.14</v>
      </c>
      <c r="I287">
        <v>26294</v>
      </c>
      <c r="J287">
        <v>0</v>
      </c>
    </row>
    <row r="288" spans="1:10" x14ac:dyDescent="0.3">
      <c r="A288" s="5" t="s">
        <v>16</v>
      </c>
      <c r="B288" s="5" t="s">
        <v>15</v>
      </c>
      <c r="C288" s="6">
        <v>43434</v>
      </c>
      <c r="D288">
        <v>0</v>
      </c>
      <c r="E288">
        <v>100.04</v>
      </c>
      <c r="F288">
        <v>100.45</v>
      </c>
      <c r="G288">
        <v>100.04</v>
      </c>
      <c r="H288">
        <v>100.41</v>
      </c>
      <c r="I288">
        <v>16226</v>
      </c>
      <c r="J288">
        <v>0</v>
      </c>
    </row>
    <row r="289" spans="1:10" x14ac:dyDescent="0.3">
      <c r="A289" s="5" t="s">
        <v>16</v>
      </c>
      <c r="B289" s="5" t="s">
        <v>15</v>
      </c>
      <c r="C289" s="6">
        <v>43437</v>
      </c>
      <c r="D289">
        <v>0</v>
      </c>
      <c r="E289">
        <v>100.31</v>
      </c>
      <c r="F289">
        <v>100.55</v>
      </c>
      <c r="G289">
        <v>100.1</v>
      </c>
      <c r="H289">
        <v>100.21</v>
      </c>
      <c r="I289">
        <v>15360</v>
      </c>
      <c r="J289">
        <v>0</v>
      </c>
    </row>
    <row r="290" spans="1:10" x14ac:dyDescent="0.3">
      <c r="A290" s="5" t="s">
        <v>16</v>
      </c>
      <c r="B290" s="5" t="s">
        <v>15</v>
      </c>
      <c r="C290" s="6">
        <v>43438</v>
      </c>
      <c r="D290">
        <v>0</v>
      </c>
      <c r="E290">
        <v>100.21</v>
      </c>
      <c r="F290">
        <v>100.49</v>
      </c>
      <c r="G290">
        <v>99.52</v>
      </c>
      <c r="H290">
        <v>100.28</v>
      </c>
      <c r="I290">
        <v>41022</v>
      </c>
      <c r="J290">
        <v>0</v>
      </c>
    </row>
    <row r="291" spans="1:10" x14ac:dyDescent="0.3">
      <c r="A291" s="5" t="s">
        <v>16</v>
      </c>
      <c r="B291" s="5" t="s">
        <v>15</v>
      </c>
      <c r="C291" s="6">
        <v>43439</v>
      </c>
      <c r="D291">
        <v>0</v>
      </c>
      <c r="E291">
        <v>100.29</v>
      </c>
      <c r="F291">
        <v>100.29</v>
      </c>
      <c r="G291">
        <v>99.59</v>
      </c>
      <c r="H291">
        <v>99.99</v>
      </c>
      <c r="I291">
        <v>27291</v>
      </c>
      <c r="J291">
        <v>0</v>
      </c>
    </row>
    <row r="292" spans="1:10" x14ac:dyDescent="0.3">
      <c r="A292" s="5" t="s">
        <v>16</v>
      </c>
      <c r="B292" s="5" t="s">
        <v>15</v>
      </c>
      <c r="C292" s="6">
        <v>43440</v>
      </c>
      <c r="D292">
        <v>0</v>
      </c>
      <c r="E292">
        <v>100.18</v>
      </c>
      <c r="F292">
        <v>100.18</v>
      </c>
      <c r="G292">
        <v>99.51</v>
      </c>
      <c r="H292">
        <v>99.91</v>
      </c>
      <c r="I292">
        <v>9069</v>
      </c>
      <c r="J292">
        <v>0</v>
      </c>
    </row>
    <row r="293" spans="1:10" x14ac:dyDescent="0.3">
      <c r="A293" s="5" t="s">
        <v>16</v>
      </c>
      <c r="B293" s="5" t="s">
        <v>15</v>
      </c>
      <c r="C293" s="6">
        <v>43441</v>
      </c>
      <c r="D293">
        <v>0</v>
      </c>
      <c r="E293">
        <v>99.9</v>
      </c>
      <c r="F293">
        <v>99.98</v>
      </c>
      <c r="G293">
        <v>97.99</v>
      </c>
      <c r="H293">
        <v>99.8</v>
      </c>
      <c r="I293">
        <v>12196</v>
      </c>
      <c r="J293">
        <v>0</v>
      </c>
    </row>
    <row r="294" spans="1:10" x14ac:dyDescent="0.3">
      <c r="A294" s="5" t="s">
        <v>16</v>
      </c>
      <c r="B294" s="5" t="s">
        <v>15</v>
      </c>
      <c r="C294" s="6">
        <v>43444</v>
      </c>
      <c r="D294">
        <v>0</v>
      </c>
      <c r="E294">
        <v>99.97</v>
      </c>
      <c r="F294">
        <v>100</v>
      </c>
      <c r="G294">
        <v>99.3</v>
      </c>
      <c r="H294">
        <v>99.9</v>
      </c>
      <c r="I294">
        <v>18852</v>
      </c>
      <c r="J294">
        <v>0</v>
      </c>
    </row>
    <row r="295" spans="1:10" x14ac:dyDescent="0.3">
      <c r="A295" s="5" t="s">
        <v>16</v>
      </c>
      <c r="B295" s="5" t="s">
        <v>15</v>
      </c>
      <c r="C295" s="6">
        <v>43445</v>
      </c>
      <c r="D295">
        <v>0</v>
      </c>
      <c r="E295">
        <v>99.63</v>
      </c>
      <c r="F295">
        <v>100.08</v>
      </c>
      <c r="G295">
        <v>99.55</v>
      </c>
      <c r="H295">
        <v>100.03</v>
      </c>
      <c r="I295">
        <v>39030</v>
      </c>
      <c r="J295">
        <v>0</v>
      </c>
    </row>
    <row r="296" spans="1:10" x14ac:dyDescent="0.3">
      <c r="A296" s="5" t="s">
        <v>16</v>
      </c>
      <c r="B296" s="5" t="s">
        <v>15</v>
      </c>
      <c r="C296" s="6">
        <v>43446</v>
      </c>
      <c r="D296">
        <v>0</v>
      </c>
      <c r="E296">
        <v>99.87</v>
      </c>
      <c r="F296">
        <v>100.04</v>
      </c>
      <c r="G296">
        <v>99.66</v>
      </c>
      <c r="H296">
        <v>99.8</v>
      </c>
      <c r="I296">
        <v>10055</v>
      </c>
      <c r="J296">
        <v>0</v>
      </c>
    </row>
    <row r="297" spans="1:10" x14ac:dyDescent="0.3">
      <c r="A297" s="5" t="s">
        <v>16</v>
      </c>
      <c r="B297" s="5" t="s">
        <v>15</v>
      </c>
      <c r="C297" s="6">
        <v>43447</v>
      </c>
      <c r="D297">
        <v>0</v>
      </c>
      <c r="E297">
        <v>100</v>
      </c>
      <c r="F297">
        <v>100</v>
      </c>
      <c r="G297">
        <v>99.53</v>
      </c>
      <c r="H297">
        <v>99.9</v>
      </c>
      <c r="I297">
        <v>33957</v>
      </c>
      <c r="J297">
        <v>0</v>
      </c>
    </row>
    <row r="298" spans="1:10" x14ac:dyDescent="0.3">
      <c r="A298" s="5" t="s">
        <v>16</v>
      </c>
      <c r="B298" s="5" t="s">
        <v>15</v>
      </c>
      <c r="C298" s="6">
        <v>43448</v>
      </c>
      <c r="D298">
        <v>0</v>
      </c>
      <c r="E298">
        <v>99.98</v>
      </c>
      <c r="F298">
        <v>99.99</v>
      </c>
      <c r="G298">
        <v>99.7</v>
      </c>
      <c r="H298">
        <v>99.9</v>
      </c>
      <c r="I298">
        <v>2892</v>
      </c>
      <c r="J298">
        <v>0</v>
      </c>
    </row>
    <row r="299" spans="1:10" x14ac:dyDescent="0.3">
      <c r="A299" s="5" t="s">
        <v>16</v>
      </c>
      <c r="B299" s="5" t="s">
        <v>15</v>
      </c>
      <c r="C299" s="6">
        <v>43451</v>
      </c>
      <c r="D299">
        <v>0</v>
      </c>
      <c r="E299">
        <v>99.99</v>
      </c>
      <c r="F299">
        <v>99.99</v>
      </c>
      <c r="G299">
        <v>99.56</v>
      </c>
      <c r="H299">
        <v>99.9</v>
      </c>
      <c r="I299">
        <v>2720</v>
      </c>
      <c r="J299">
        <v>0</v>
      </c>
    </row>
    <row r="300" spans="1:10" x14ac:dyDescent="0.3">
      <c r="A300" s="5" t="s">
        <v>16</v>
      </c>
      <c r="B300" s="5" t="s">
        <v>15</v>
      </c>
      <c r="C300" s="6">
        <v>43452</v>
      </c>
      <c r="D300">
        <v>0</v>
      </c>
      <c r="E300">
        <v>99.9</v>
      </c>
      <c r="F300">
        <v>99.9</v>
      </c>
      <c r="G300">
        <v>99.69</v>
      </c>
      <c r="H300">
        <v>99.89</v>
      </c>
      <c r="I300">
        <v>9541</v>
      </c>
      <c r="J300">
        <v>0</v>
      </c>
    </row>
    <row r="301" spans="1:10" x14ac:dyDescent="0.3">
      <c r="A301" s="5" t="s">
        <v>16</v>
      </c>
      <c r="B301" s="5" t="s">
        <v>15</v>
      </c>
      <c r="C301" s="6">
        <v>43453</v>
      </c>
      <c r="D301">
        <v>0</v>
      </c>
      <c r="E301">
        <v>99.86</v>
      </c>
      <c r="F301">
        <v>100</v>
      </c>
      <c r="G301">
        <v>98.4</v>
      </c>
      <c r="H301">
        <v>99.98</v>
      </c>
      <c r="I301">
        <v>46474</v>
      </c>
      <c r="J301">
        <v>0</v>
      </c>
    </row>
    <row r="302" spans="1:10" x14ac:dyDescent="0.3">
      <c r="A302" s="5" t="s">
        <v>16</v>
      </c>
      <c r="B302" s="5" t="s">
        <v>15</v>
      </c>
      <c r="C302" s="6">
        <v>43454</v>
      </c>
      <c r="D302">
        <v>0</v>
      </c>
      <c r="E302">
        <v>99.71</v>
      </c>
      <c r="F302">
        <v>100</v>
      </c>
      <c r="G302">
        <v>99.01</v>
      </c>
      <c r="H302">
        <v>99.96</v>
      </c>
      <c r="I302">
        <v>20023</v>
      </c>
      <c r="J302">
        <v>0</v>
      </c>
    </row>
    <row r="303" spans="1:10" x14ac:dyDescent="0.3">
      <c r="A303" s="5" t="s">
        <v>16</v>
      </c>
      <c r="B303" s="5" t="s">
        <v>15</v>
      </c>
      <c r="C303" s="6">
        <v>43455</v>
      </c>
      <c r="D303">
        <v>0</v>
      </c>
      <c r="E303">
        <v>99.96</v>
      </c>
      <c r="F303">
        <v>100.01</v>
      </c>
      <c r="G303">
        <v>99.81</v>
      </c>
      <c r="H303">
        <v>100</v>
      </c>
      <c r="I303">
        <v>212358</v>
      </c>
      <c r="J303">
        <v>0</v>
      </c>
    </row>
    <row r="304" spans="1:10" x14ac:dyDescent="0.3">
      <c r="A304" s="5" t="s">
        <v>16</v>
      </c>
      <c r="B304" s="5" t="s">
        <v>15</v>
      </c>
      <c r="C304" s="6">
        <v>43458</v>
      </c>
      <c r="D304">
        <v>0</v>
      </c>
      <c r="E304">
        <v>100.09</v>
      </c>
      <c r="F304">
        <v>100.09</v>
      </c>
      <c r="G304">
        <v>99</v>
      </c>
      <c r="H304">
        <v>100</v>
      </c>
      <c r="I304">
        <v>29373</v>
      </c>
      <c r="J304">
        <v>0</v>
      </c>
    </row>
    <row r="305" spans="1:10" x14ac:dyDescent="0.3">
      <c r="A305" s="5" t="s">
        <v>16</v>
      </c>
      <c r="B305" s="5" t="s">
        <v>15</v>
      </c>
      <c r="C305" s="6">
        <v>43459</v>
      </c>
      <c r="D305">
        <v>0</v>
      </c>
      <c r="E305">
        <v>100</v>
      </c>
      <c r="F305">
        <v>100.49</v>
      </c>
      <c r="G305">
        <v>99.97</v>
      </c>
      <c r="H305">
        <v>100</v>
      </c>
      <c r="I305">
        <v>20241</v>
      </c>
      <c r="J305">
        <v>0</v>
      </c>
    </row>
    <row r="306" spans="1:10" x14ac:dyDescent="0.3">
      <c r="A306" s="5" t="s">
        <v>16</v>
      </c>
      <c r="B306" s="5" t="s">
        <v>15</v>
      </c>
      <c r="C306" s="6">
        <v>43460</v>
      </c>
      <c r="D306">
        <v>0</v>
      </c>
      <c r="E306">
        <v>100</v>
      </c>
      <c r="F306">
        <v>100.33</v>
      </c>
      <c r="G306">
        <v>99.99</v>
      </c>
      <c r="H306">
        <v>100.25</v>
      </c>
      <c r="I306">
        <v>37636</v>
      </c>
      <c r="J306">
        <v>0</v>
      </c>
    </row>
    <row r="307" spans="1:10" x14ac:dyDescent="0.3">
      <c r="A307" s="5" t="s">
        <v>16</v>
      </c>
      <c r="B307" s="5" t="s">
        <v>15</v>
      </c>
      <c r="C307" s="6">
        <v>43461</v>
      </c>
      <c r="D307">
        <v>0</v>
      </c>
      <c r="E307">
        <v>100.02</v>
      </c>
      <c r="F307">
        <v>100.49</v>
      </c>
      <c r="G307">
        <v>100.01</v>
      </c>
      <c r="H307">
        <v>100.2</v>
      </c>
      <c r="I307">
        <v>38021</v>
      </c>
      <c r="J307">
        <v>0</v>
      </c>
    </row>
    <row r="308" spans="1:10" x14ac:dyDescent="0.3">
      <c r="A308" s="5" t="s">
        <v>16</v>
      </c>
      <c r="B308" s="5" t="s">
        <v>15</v>
      </c>
      <c r="C308" s="6">
        <v>43462</v>
      </c>
      <c r="D308">
        <v>0</v>
      </c>
      <c r="E308">
        <v>100.15</v>
      </c>
      <c r="F308">
        <v>100.5</v>
      </c>
      <c r="G308">
        <v>100</v>
      </c>
      <c r="H308">
        <v>100.15</v>
      </c>
      <c r="I308">
        <v>38580</v>
      </c>
      <c r="J308">
        <v>0</v>
      </c>
    </row>
    <row r="309" spans="1:10" x14ac:dyDescent="0.3">
      <c r="A309" s="5" t="s">
        <v>16</v>
      </c>
      <c r="B309" s="5" t="s">
        <v>15</v>
      </c>
      <c r="C309" s="6">
        <v>43463</v>
      </c>
      <c r="D309">
        <v>0</v>
      </c>
      <c r="E309">
        <v>99.08</v>
      </c>
      <c r="F309">
        <v>100.5</v>
      </c>
      <c r="G309">
        <v>99.08</v>
      </c>
      <c r="H309">
        <v>100.43</v>
      </c>
      <c r="I309">
        <v>31089</v>
      </c>
      <c r="J309">
        <v>0</v>
      </c>
    </row>
    <row r="310" spans="1:10" x14ac:dyDescent="0.3">
      <c r="A310" s="5" t="s">
        <v>16</v>
      </c>
      <c r="B310" s="5" t="s">
        <v>15</v>
      </c>
      <c r="C310" s="6">
        <v>43468</v>
      </c>
      <c r="D310">
        <v>0</v>
      </c>
      <c r="E310">
        <v>100.15</v>
      </c>
      <c r="F310">
        <v>100.4</v>
      </c>
      <c r="G310">
        <v>100.15</v>
      </c>
      <c r="H310">
        <v>100.4</v>
      </c>
      <c r="I310">
        <v>65</v>
      </c>
      <c r="J310">
        <v>0</v>
      </c>
    </row>
    <row r="311" spans="1:10" x14ac:dyDescent="0.3">
      <c r="A311" s="5" t="s">
        <v>16</v>
      </c>
      <c r="B311" s="5" t="s">
        <v>15</v>
      </c>
      <c r="C311" s="6">
        <v>43469</v>
      </c>
      <c r="D311">
        <v>0</v>
      </c>
      <c r="E311">
        <v>100.38</v>
      </c>
      <c r="F311">
        <v>100.39</v>
      </c>
      <c r="G311">
        <v>100.38</v>
      </c>
      <c r="H311">
        <v>100.39</v>
      </c>
      <c r="I311">
        <v>436</v>
      </c>
      <c r="J311">
        <v>0</v>
      </c>
    </row>
    <row r="312" spans="1:10" x14ac:dyDescent="0.3">
      <c r="A312" s="5" t="s">
        <v>16</v>
      </c>
      <c r="B312" s="5" t="s">
        <v>15</v>
      </c>
      <c r="C312" s="6">
        <v>43473</v>
      </c>
      <c r="D312">
        <v>0</v>
      </c>
      <c r="E312">
        <v>100.33</v>
      </c>
      <c r="F312">
        <v>100.42</v>
      </c>
      <c r="G312">
        <v>100.2</v>
      </c>
      <c r="H312">
        <v>100.2</v>
      </c>
      <c r="I312">
        <v>1000</v>
      </c>
      <c r="J312">
        <v>0</v>
      </c>
    </row>
    <row r="313" spans="1:10" x14ac:dyDescent="0.3">
      <c r="A313" s="5" t="s">
        <v>16</v>
      </c>
      <c r="B313" s="5" t="s">
        <v>15</v>
      </c>
      <c r="C313" s="6">
        <v>43474</v>
      </c>
      <c r="D313">
        <v>0</v>
      </c>
      <c r="E313">
        <v>100.2</v>
      </c>
      <c r="F313">
        <v>100.43</v>
      </c>
      <c r="G313">
        <v>98.54</v>
      </c>
      <c r="H313">
        <v>100.15</v>
      </c>
      <c r="I313">
        <v>2303</v>
      </c>
      <c r="J313">
        <v>0</v>
      </c>
    </row>
    <row r="314" spans="1:10" x14ac:dyDescent="0.3">
      <c r="A314" s="5" t="s">
        <v>16</v>
      </c>
      <c r="B314" s="5" t="s">
        <v>15</v>
      </c>
      <c r="C314" s="6">
        <v>43475</v>
      </c>
      <c r="D314">
        <v>0</v>
      </c>
      <c r="E314">
        <v>100.05</v>
      </c>
      <c r="F314">
        <v>100.4</v>
      </c>
      <c r="G314">
        <v>100.05</v>
      </c>
      <c r="H314">
        <v>100.39</v>
      </c>
      <c r="I314">
        <v>6095</v>
      </c>
      <c r="J314">
        <v>0</v>
      </c>
    </row>
    <row r="315" spans="1:10" x14ac:dyDescent="0.3">
      <c r="A315" s="5" t="s">
        <v>16</v>
      </c>
      <c r="B315" s="5" t="s">
        <v>15</v>
      </c>
      <c r="C315" s="6">
        <v>43476</v>
      </c>
      <c r="D315">
        <v>0</v>
      </c>
      <c r="E315">
        <v>100.3</v>
      </c>
      <c r="F315">
        <v>100.3</v>
      </c>
      <c r="G315">
        <v>99.76</v>
      </c>
      <c r="H315">
        <v>100.3</v>
      </c>
      <c r="I315">
        <v>11605</v>
      </c>
      <c r="J315">
        <v>0</v>
      </c>
    </row>
    <row r="316" spans="1:10" x14ac:dyDescent="0.3">
      <c r="A316" s="5" t="s">
        <v>16</v>
      </c>
      <c r="B316" s="5" t="s">
        <v>15</v>
      </c>
      <c r="C316" s="6">
        <v>43479</v>
      </c>
      <c r="D316">
        <v>0</v>
      </c>
      <c r="E316">
        <v>100.31</v>
      </c>
      <c r="F316">
        <v>100.31</v>
      </c>
      <c r="G316">
        <v>100.1</v>
      </c>
      <c r="H316">
        <v>100.2</v>
      </c>
      <c r="I316">
        <v>3576</v>
      </c>
      <c r="J316">
        <v>0</v>
      </c>
    </row>
    <row r="317" spans="1:10" x14ac:dyDescent="0.3">
      <c r="A317" s="5" t="s">
        <v>16</v>
      </c>
      <c r="B317" s="5" t="s">
        <v>15</v>
      </c>
      <c r="C317" s="6">
        <v>43480</v>
      </c>
      <c r="D317">
        <v>0</v>
      </c>
      <c r="E317">
        <v>100.2</v>
      </c>
      <c r="F317">
        <v>100.2</v>
      </c>
      <c r="G317">
        <v>99.95</v>
      </c>
      <c r="H317">
        <v>100.2</v>
      </c>
      <c r="I317">
        <v>25389</v>
      </c>
      <c r="J317">
        <v>0</v>
      </c>
    </row>
    <row r="318" spans="1:10" x14ac:dyDescent="0.3">
      <c r="A318" s="5" t="s">
        <v>16</v>
      </c>
      <c r="B318" s="5" t="s">
        <v>15</v>
      </c>
      <c r="C318" s="6">
        <v>43481</v>
      </c>
      <c r="D318">
        <v>0</v>
      </c>
      <c r="E318">
        <v>100.1</v>
      </c>
      <c r="F318">
        <v>100.2</v>
      </c>
      <c r="G318">
        <v>100</v>
      </c>
      <c r="H318">
        <v>100.2</v>
      </c>
      <c r="I318">
        <v>10580</v>
      </c>
      <c r="J318">
        <v>0</v>
      </c>
    </row>
    <row r="319" spans="1:10" x14ac:dyDescent="0.3">
      <c r="A319" s="5" t="s">
        <v>16</v>
      </c>
      <c r="B319" s="5" t="s">
        <v>15</v>
      </c>
      <c r="C319" s="6">
        <v>43482</v>
      </c>
      <c r="D319">
        <v>0</v>
      </c>
      <c r="E319">
        <v>100.2</v>
      </c>
      <c r="F319">
        <v>100.3</v>
      </c>
      <c r="G319">
        <v>100.1</v>
      </c>
      <c r="H319">
        <v>100.3</v>
      </c>
      <c r="I319">
        <v>2410</v>
      </c>
      <c r="J319">
        <v>0</v>
      </c>
    </row>
    <row r="320" spans="1:10" x14ac:dyDescent="0.3">
      <c r="A320" s="5" t="s">
        <v>16</v>
      </c>
      <c r="B320" s="5" t="s">
        <v>15</v>
      </c>
      <c r="C320" s="6">
        <v>43483</v>
      </c>
      <c r="D320">
        <v>0</v>
      </c>
      <c r="E320">
        <v>100.25</v>
      </c>
      <c r="F320">
        <v>100.25</v>
      </c>
      <c r="G320">
        <v>100.1</v>
      </c>
      <c r="H320">
        <v>100.2</v>
      </c>
      <c r="I320">
        <v>26594</v>
      </c>
      <c r="J320">
        <v>0</v>
      </c>
    </row>
    <row r="321" spans="1:10" x14ac:dyDescent="0.3">
      <c r="A321" s="5" t="s">
        <v>16</v>
      </c>
      <c r="B321" s="5" t="s">
        <v>15</v>
      </c>
      <c r="C321" s="6">
        <v>43486</v>
      </c>
      <c r="D321">
        <v>0</v>
      </c>
      <c r="E321">
        <v>100.05</v>
      </c>
      <c r="F321">
        <v>100.2</v>
      </c>
      <c r="G321">
        <v>100</v>
      </c>
      <c r="H321">
        <v>100.2</v>
      </c>
      <c r="I321">
        <v>4823</v>
      </c>
      <c r="J321">
        <v>0</v>
      </c>
    </row>
    <row r="322" spans="1:10" x14ac:dyDescent="0.3">
      <c r="A322" s="5" t="s">
        <v>16</v>
      </c>
      <c r="B322" s="5" t="s">
        <v>15</v>
      </c>
      <c r="C322" s="6">
        <v>43487</v>
      </c>
      <c r="D322">
        <v>0</v>
      </c>
      <c r="E322">
        <v>100.25</v>
      </c>
      <c r="F322">
        <v>100.35</v>
      </c>
      <c r="G322">
        <v>99.99</v>
      </c>
      <c r="H322">
        <v>100</v>
      </c>
      <c r="I322">
        <v>8139</v>
      </c>
      <c r="J322">
        <v>0</v>
      </c>
    </row>
    <row r="323" spans="1:10" x14ac:dyDescent="0.3">
      <c r="A323" s="5" t="s">
        <v>16</v>
      </c>
      <c r="B323" s="5" t="s">
        <v>15</v>
      </c>
      <c r="C323" s="6">
        <v>43488</v>
      </c>
      <c r="D323">
        <v>0</v>
      </c>
      <c r="E323">
        <v>100.2</v>
      </c>
      <c r="F323">
        <v>100.2</v>
      </c>
      <c r="G323">
        <v>99.75</v>
      </c>
      <c r="H323">
        <v>99.95</v>
      </c>
      <c r="I323">
        <v>29186</v>
      </c>
      <c r="J323">
        <v>0</v>
      </c>
    </row>
    <row r="324" spans="1:10" x14ac:dyDescent="0.3">
      <c r="A324" s="5" t="s">
        <v>16</v>
      </c>
      <c r="B324" s="5" t="s">
        <v>15</v>
      </c>
      <c r="C324" s="6">
        <v>43489</v>
      </c>
      <c r="D324">
        <v>0</v>
      </c>
      <c r="E324">
        <v>100</v>
      </c>
      <c r="F324">
        <v>100</v>
      </c>
      <c r="G324">
        <v>99.94</v>
      </c>
      <c r="H324">
        <v>99.94</v>
      </c>
      <c r="I324">
        <v>17515</v>
      </c>
      <c r="J324">
        <v>0</v>
      </c>
    </row>
    <row r="325" spans="1:10" x14ac:dyDescent="0.3">
      <c r="A325" s="5" t="s">
        <v>16</v>
      </c>
      <c r="B325" s="5" t="s">
        <v>15</v>
      </c>
      <c r="C325" s="6">
        <v>43490</v>
      </c>
      <c r="D325">
        <v>0</v>
      </c>
      <c r="E325">
        <v>99.95</v>
      </c>
      <c r="F325">
        <v>100.2</v>
      </c>
      <c r="G325">
        <v>99.91</v>
      </c>
      <c r="H325">
        <v>99.91</v>
      </c>
      <c r="I325">
        <v>37324</v>
      </c>
      <c r="J325">
        <v>0</v>
      </c>
    </row>
    <row r="326" spans="1:10" x14ac:dyDescent="0.3">
      <c r="A326" s="5" t="s">
        <v>16</v>
      </c>
      <c r="B326" s="5" t="s">
        <v>15</v>
      </c>
      <c r="C326" s="6">
        <v>43493</v>
      </c>
      <c r="D326">
        <v>0</v>
      </c>
      <c r="E326">
        <v>99.9</v>
      </c>
      <c r="F326">
        <v>100.01</v>
      </c>
      <c r="G326">
        <v>99.9</v>
      </c>
      <c r="H326">
        <v>99.99</v>
      </c>
      <c r="I326">
        <v>27199</v>
      </c>
      <c r="J326">
        <v>0</v>
      </c>
    </row>
    <row r="327" spans="1:10" x14ac:dyDescent="0.3">
      <c r="A327" s="5" t="s">
        <v>16</v>
      </c>
      <c r="B327" s="5" t="s">
        <v>15</v>
      </c>
      <c r="C327" s="6">
        <v>43494</v>
      </c>
      <c r="D327">
        <v>0</v>
      </c>
      <c r="E327">
        <v>99.97</v>
      </c>
      <c r="F327">
        <v>100.27</v>
      </c>
      <c r="G327">
        <v>99.97</v>
      </c>
      <c r="H327">
        <v>99.99</v>
      </c>
      <c r="I327">
        <v>15218</v>
      </c>
      <c r="J327">
        <v>0</v>
      </c>
    </row>
    <row r="328" spans="1:10" x14ac:dyDescent="0.3">
      <c r="A328" s="5" t="s">
        <v>16</v>
      </c>
      <c r="B328" s="5" t="s">
        <v>15</v>
      </c>
      <c r="C328" s="6">
        <v>43495</v>
      </c>
      <c r="D328">
        <v>0</v>
      </c>
      <c r="E328">
        <v>100</v>
      </c>
      <c r="F328">
        <v>100.02</v>
      </c>
      <c r="G328">
        <v>99.67</v>
      </c>
      <c r="H328">
        <v>100</v>
      </c>
      <c r="I328">
        <v>17296</v>
      </c>
      <c r="J328">
        <v>0</v>
      </c>
    </row>
    <row r="329" spans="1:10" x14ac:dyDescent="0.3">
      <c r="A329" s="5" t="s">
        <v>16</v>
      </c>
      <c r="B329" s="5" t="s">
        <v>15</v>
      </c>
      <c r="C329" s="6">
        <v>43496</v>
      </c>
      <c r="D329">
        <v>0</v>
      </c>
      <c r="E329">
        <v>100.16</v>
      </c>
      <c r="F329">
        <v>100.16</v>
      </c>
      <c r="G329">
        <v>99.54</v>
      </c>
      <c r="H329">
        <v>100</v>
      </c>
      <c r="I329">
        <v>8554</v>
      </c>
      <c r="J329">
        <v>0</v>
      </c>
    </row>
    <row r="330" spans="1:10" x14ac:dyDescent="0.3">
      <c r="A330" s="5" t="s">
        <v>16</v>
      </c>
      <c r="B330" s="5" t="s">
        <v>15</v>
      </c>
      <c r="C330" s="6">
        <v>43497</v>
      </c>
      <c r="D330">
        <v>0</v>
      </c>
      <c r="E330">
        <v>99.97</v>
      </c>
      <c r="F330">
        <v>100.1</v>
      </c>
      <c r="G330">
        <v>99.97</v>
      </c>
      <c r="H330">
        <v>100</v>
      </c>
      <c r="I330">
        <v>25501</v>
      </c>
      <c r="J330">
        <v>0</v>
      </c>
    </row>
    <row r="331" spans="1:10" x14ac:dyDescent="0.3">
      <c r="A331" s="5" t="s">
        <v>16</v>
      </c>
      <c r="B331" s="5" t="s">
        <v>15</v>
      </c>
      <c r="C331" s="6">
        <v>43500</v>
      </c>
      <c r="D331">
        <v>0</v>
      </c>
      <c r="E331">
        <v>99.98</v>
      </c>
      <c r="F331">
        <v>100.14</v>
      </c>
      <c r="G331">
        <v>99.8</v>
      </c>
      <c r="H331">
        <v>100</v>
      </c>
      <c r="I331">
        <v>72586</v>
      </c>
      <c r="J331">
        <v>0</v>
      </c>
    </row>
    <row r="332" spans="1:10" x14ac:dyDescent="0.3">
      <c r="A332" s="5" t="s">
        <v>16</v>
      </c>
      <c r="B332" s="5" t="s">
        <v>15</v>
      </c>
      <c r="C332" s="6">
        <v>43501</v>
      </c>
      <c r="D332">
        <v>0</v>
      </c>
      <c r="E332">
        <v>99.9</v>
      </c>
      <c r="F332">
        <v>100.14</v>
      </c>
      <c r="G332">
        <v>99.8</v>
      </c>
      <c r="H332">
        <v>99.91</v>
      </c>
      <c r="I332">
        <v>9453</v>
      </c>
      <c r="J332">
        <v>0</v>
      </c>
    </row>
    <row r="333" spans="1:10" x14ac:dyDescent="0.3">
      <c r="A333" s="5" t="s">
        <v>16</v>
      </c>
      <c r="B333" s="5" t="s">
        <v>15</v>
      </c>
      <c r="C333" s="6">
        <v>43502</v>
      </c>
      <c r="D333">
        <v>0</v>
      </c>
      <c r="E333">
        <v>99.9</v>
      </c>
      <c r="F333">
        <v>100.15</v>
      </c>
      <c r="G333">
        <v>99.9</v>
      </c>
      <c r="H333">
        <v>99.99</v>
      </c>
      <c r="I333">
        <v>7698</v>
      </c>
      <c r="J333">
        <v>0</v>
      </c>
    </row>
    <row r="334" spans="1:10" x14ac:dyDescent="0.3">
      <c r="A334" s="5" t="s">
        <v>16</v>
      </c>
      <c r="B334" s="5" t="s">
        <v>15</v>
      </c>
      <c r="C334" s="6">
        <v>43503</v>
      </c>
      <c r="D334">
        <v>0</v>
      </c>
      <c r="E334">
        <v>100</v>
      </c>
      <c r="F334">
        <v>100</v>
      </c>
      <c r="G334">
        <v>99.92</v>
      </c>
      <c r="H334">
        <v>100</v>
      </c>
      <c r="I334">
        <v>29621</v>
      </c>
      <c r="J334">
        <v>0</v>
      </c>
    </row>
    <row r="335" spans="1:10" x14ac:dyDescent="0.3">
      <c r="A335" s="5" t="s">
        <v>16</v>
      </c>
      <c r="B335" s="5" t="s">
        <v>15</v>
      </c>
      <c r="C335" s="6">
        <v>43504</v>
      </c>
      <c r="D335">
        <v>0</v>
      </c>
      <c r="E335">
        <v>99.92</v>
      </c>
      <c r="F335">
        <v>100</v>
      </c>
      <c r="G335">
        <v>99.9</v>
      </c>
      <c r="H335">
        <v>100</v>
      </c>
      <c r="I335">
        <v>36553</v>
      </c>
      <c r="J335">
        <v>0</v>
      </c>
    </row>
    <row r="336" spans="1:10" x14ac:dyDescent="0.3">
      <c r="A336" s="5" t="s">
        <v>16</v>
      </c>
      <c r="B336" s="5" t="s">
        <v>15</v>
      </c>
      <c r="C336" s="6">
        <v>43507</v>
      </c>
      <c r="D336">
        <v>0</v>
      </c>
      <c r="E336">
        <v>100.44</v>
      </c>
      <c r="F336">
        <v>100.44</v>
      </c>
      <c r="G336">
        <v>99.96</v>
      </c>
      <c r="H336">
        <v>99.98</v>
      </c>
      <c r="I336">
        <v>97401</v>
      </c>
      <c r="J336">
        <v>0</v>
      </c>
    </row>
    <row r="337" spans="1:10" x14ac:dyDescent="0.3">
      <c r="A337" s="5" t="s">
        <v>16</v>
      </c>
      <c r="B337" s="5" t="s">
        <v>15</v>
      </c>
      <c r="C337" s="6">
        <v>43508</v>
      </c>
      <c r="D337">
        <v>0</v>
      </c>
      <c r="E337">
        <v>100.3</v>
      </c>
      <c r="F337">
        <v>100.3</v>
      </c>
      <c r="G337">
        <v>99.81</v>
      </c>
      <c r="H337">
        <v>99.99</v>
      </c>
      <c r="I337">
        <v>28118</v>
      </c>
      <c r="J337">
        <v>0</v>
      </c>
    </row>
    <row r="338" spans="1:10" x14ac:dyDescent="0.3">
      <c r="A338" s="5" t="s">
        <v>16</v>
      </c>
      <c r="B338" s="5" t="s">
        <v>15</v>
      </c>
      <c r="C338" s="6">
        <v>43509</v>
      </c>
      <c r="D338">
        <v>0</v>
      </c>
      <c r="E338">
        <v>99.99</v>
      </c>
      <c r="F338">
        <v>100</v>
      </c>
      <c r="G338">
        <v>99.98</v>
      </c>
      <c r="H338">
        <v>99.99</v>
      </c>
      <c r="I338">
        <v>24482</v>
      </c>
      <c r="J338">
        <v>0</v>
      </c>
    </row>
    <row r="339" spans="1:10" x14ac:dyDescent="0.3">
      <c r="A339" s="5" t="s">
        <v>16</v>
      </c>
      <c r="B339" s="5" t="s">
        <v>15</v>
      </c>
      <c r="C339" s="6">
        <v>43510</v>
      </c>
      <c r="D339">
        <v>0</v>
      </c>
      <c r="E339">
        <v>100.15</v>
      </c>
      <c r="F339">
        <v>100.19</v>
      </c>
      <c r="G339">
        <v>99.9</v>
      </c>
      <c r="H339">
        <v>99.9</v>
      </c>
      <c r="I339">
        <v>46467</v>
      </c>
      <c r="J339">
        <v>0</v>
      </c>
    </row>
    <row r="340" spans="1:10" x14ac:dyDescent="0.3">
      <c r="A340" s="5" t="s">
        <v>16</v>
      </c>
      <c r="B340" s="5" t="s">
        <v>15</v>
      </c>
      <c r="C340" s="6">
        <v>43511</v>
      </c>
      <c r="D340">
        <v>0</v>
      </c>
      <c r="E340">
        <v>99.81</v>
      </c>
      <c r="F340">
        <v>100.11</v>
      </c>
      <c r="G340">
        <v>99.81</v>
      </c>
      <c r="H340">
        <v>100</v>
      </c>
      <c r="I340">
        <v>70793</v>
      </c>
      <c r="J340">
        <v>0</v>
      </c>
    </row>
    <row r="341" spans="1:10" x14ac:dyDescent="0.3">
      <c r="A341" s="5" t="s">
        <v>16</v>
      </c>
      <c r="B341" s="5" t="s">
        <v>15</v>
      </c>
      <c r="C341" s="6">
        <v>43514</v>
      </c>
      <c r="D341">
        <v>0</v>
      </c>
      <c r="E341">
        <v>99.9</v>
      </c>
      <c r="F341">
        <v>100.09</v>
      </c>
      <c r="G341">
        <v>99.9</v>
      </c>
      <c r="H341">
        <v>100</v>
      </c>
      <c r="I341">
        <v>14342</v>
      </c>
      <c r="J341">
        <v>0</v>
      </c>
    </row>
    <row r="342" spans="1:10" x14ac:dyDescent="0.3">
      <c r="A342" s="5" t="s">
        <v>16</v>
      </c>
      <c r="B342" s="5" t="s">
        <v>15</v>
      </c>
      <c r="C342" s="6">
        <v>43515</v>
      </c>
      <c r="D342">
        <v>0</v>
      </c>
      <c r="E342">
        <v>100.36</v>
      </c>
      <c r="F342">
        <v>100.36</v>
      </c>
      <c r="G342">
        <v>99.9</v>
      </c>
      <c r="H342">
        <v>99.99</v>
      </c>
      <c r="I342">
        <v>4844</v>
      </c>
      <c r="J342">
        <v>0</v>
      </c>
    </row>
    <row r="343" spans="1:10" x14ac:dyDescent="0.3">
      <c r="A343" s="5" t="s">
        <v>16</v>
      </c>
      <c r="B343" s="5" t="s">
        <v>15</v>
      </c>
      <c r="C343" s="6">
        <v>43516</v>
      </c>
      <c r="D343">
        <v>0</v>
      </c>
      <c r="E343">
        <v>100</v>
      </c>
      <c r="F343">
        <v>100</v>
      </c>
      <c r="G343">
        <v>99.79</v>
      </c>
      <c r="H343">
        <v>100</v>
      </c>
      <c r="I343">
        <v>20981</v>
      </c>
      <c r="J343">
        <v>0</v>
      </c>
    </row>
    <row r="344" spans="1:10" x14ac:dyDescent="0.3">
      <c r="A344" s="5" t="s">
        <v>16</v>
      </c>
      <c r="B344" s="5" t="s">
        <v>15</v>
      </c>
      <c r="C344" s="6">
        <v>43517</v>
      </c>
      <c r="D344">
        <v>0</v>
      </c>
      <c r="E344">
        <v>100</v>
      </c>
      <c r="F344">
        <v>100</v>
      </c>
      <c r="G344">
        <v>99.8</v>
      </c>
      <c r="H344">
        <v>100</v>
      </c>
      <c r="I344">
        <v>20275</v>
      </c>
      <c r="J344">
        <v>0</v>
      </c>
    </row>
    <row r="345" spans="1:10" x14ac:dyDescent="0.3">
      <c r="A345" s="5" t="s">
        <v>16</v>
      </c>
      <c r="B345" s="5" t="s">
        <v>15</v>
      </c>
      <c r="C345" s="6">
        <v>43518</v>
      </c>
      <c r="D345">
        <v>0</v>
      </c>
      <c r="E345">
        <v>100</v>
      </c>
      <c r="F345">
        <v>100</v>
      </c>
      <c r="G345">
        <v>99.91</v>
      </c>
      <c r="H345">
        <v>100</v>
      </c>
      <c r="I345">
        <v>7630</v>
      </c>
      <c r="J345">
        <v>0</v>
      </c>
    </row>
    <row r="346" spans="1:10" x14ac:dyDescent="0.3">
      <c r="A346" s="5" t="s">
        <v>16</v>
      </c>
      <c r="B346" s="5" t="s">
        <v>15</v>
      </c>
      <c r="C346" s="6">
        <v>43521</v>
      </c>
      <c r="D346">
        <v>0</v>
      </c>
      <c r="E346">
        <v>99.99</v>
      </c>
      <c r="F346">
        <v>100</v>
      </c>
      <c r="G346">
        <v>99.75</v>
      </c>
      <c r="H346">
        <v>99.8</v>
      </c>
      <c r="I346">
        <v>37206</v>
      </c>
      <c r="J346">
        <v>0</v>
      </c>
    </row>
    <row r="347" spans="1:10" x14ac:dyDescent="0.3">
      <c r="A347" s="5" t="s">
        <v>16</v>
      </c>
      <c r="B347" s="5" t="s">
        <v>15</v>
      </c>
      <c r="C347" s="6">
        <v>43522</v>
      </c>
      <c r="D347">
        <v>0</v>
      </c>
      <c r="E347">
        <v>99.97</v>
      </c>
      <c r="F347">
        <v>100</v>
      </c>
      <c r="G347">
        <v>99.9</v>
      </c>
      <c r="H347">
        <v>99.95</v>
      </c>
      <c r="I347">
        <v>43217</v>
      </c>
      <c r="J347">
        <v>0</v>
      </c>
    </row>
    <row r="348" spans="1:10" x14ac:dyDescent="0.3">
      <c r="A348" s="5" t="s">
        <v>16</v>
      </c>
      <c r="B348" s="5" t="s">
        <v>15</v>
      </c>
      <c r="C348" s="6">
        <v>43523</v>
      </c>
      <c r="D348">
        <v>0</v>
      </c>
      <c r="E348">
        <v>99.92</v>
      </c>
      <c r="F348">
        <v>100</v>
      </c>
      <c r="G348">
        <v>99.8</v>
      </c>
      <c r="H348">
        <v>100</v>
      </c>
      <c r="I348">
        <v>30609</v>
      </c>
      <c r="J348">
        <v>0</v>
      </c>
    </row>
    <row r="349" spans="1:10" x14ac:dyDescent="0.3">
      <c r="A349" s="5" t="s">
        <v>16</v>
      </c>
      <c r="B349" s="5" t="s">
        <v>15</v>
      </c>
      <c r="C349" s="6">
        <v>43524</v>
      </c>
      <c r="D349">
        <v>0</v>
      </c>
      <c r="E349">
        <v>100</v>
      </c>
      <c r="F349">
        <v>100</v>
      </c>
      <c r="G349">
        <v>99.95</v>
      </c>
      <c r="H349">
        <v>99.99</v>
      </c>
      <c r="I349">
        <v>34244</v>
      </c>
      <c r="J349">
        <v>0</v>
      </c>
    </row>
    <row r="350" spans="1:10" x14ac:dyDescent="0.3">
      <c r="A350" s="5" t="s">
        <v>16</v>
      </c>
      <c r="B350" s="5" t="s">
        <v>15</v>
      </c>
      <c r="C350" s="6">
        <v>43525</v>
      </c>
      <c r="D350">
        <v>0</v>
      </c>
      <c r="E350">
        <v>100</v>
      </c>
      <c r="F350">
        <v>100</v>
      </c>
      <c r="G350">
        <v>99.98</v>
      </c>
      <c r="H350">
        <v>100</v>
      </c>
      <c r="I350">
        <v>164842</v>
      </c>
      <c r="J350">
        <v>0</v>
      </c>
    </row>
    <row r="351" spans="1:10" x14ac:dyDescent="0.3">
      <c r="A351" s="5" t="s">
        <v>16</v>
      </c>
      <c r="B351" s="5" t="s">
        <v>15</v>
      </c>
      <c r="C351" s="6">
        <v>43528</v>
      </c>
      <c r="D351">
        <v>0</v>
      </c>
      <c r="E351">
        <v>101</v>
      </c>
      <c r="F351">
        <v>101</v>
      </c>
      <c r="G351">
        <v>99.95</v>
      </c>
      <c r="H351">
        <v>99.95</v>
      </c>
      <c r="I351">
        <v>35813</v>
      </c>
      <c r="J351">
        <v>0</v>
      </c>
    </row>
    <row r="352" spans="1:10" x14ac:dyDescent="0.3">
      <c r="A352" s="5" t="s">
        <v>16</v>
      </c>
      <c r="B352" s="5" t="s">
        <v>15</v>
      </c>
      <c r="C352" s="6">
        <v>43529</v>
      </c>
      <c r="D352">
        <v>0</v>
      </c>
      <c r="E352">
        <v>101.11</v>
      </c>
      <c r="F352">
        <v>101.11</v>
      </c>
      <c r="G352">
        <v>99.85</v>
      </c>
      <c r="H352">
        <v>100</v>
      </c>
      <c r="I352">
        <v>118916</v>
      </c>
      <c r="J352">
        <v>0</v>
      </c>
    </row>
    <row r="353" spans="1:10" x14ac:dyDescent="0.3">
      <c r="A353" s="5" t="s">
        <v>16</v>
      </c>
      <c r="B353" s="5" t="s">
        <v>15</v>
      </c>
      <c r="C353" s="6">
        <v>43530</v>
      </c>
      <c r="D353">
        <v>0</v>
      </c>
      <c r="E353">
        <v>100</v>
      </c>
      <c r="F353">
        <v>100</v>
      </c>
      <c r="G353">
        <v>98.55</v>
      </c>
      <c r="H353">
        <v>99.98</v>
      </c>
      <c r="I353">
        <v>33293</v>
      </c>
      <c r="J353">
        <v>0</v>
      </c>
    </row>
    <row r="354" spans="1:10" x14ac:dyDescent="0.3">
      <c r="A354" s="5" t="s">
        <v>16</v>
      </c>
      <c r="B354" s="5" t="s">
        <v>15</v>
      </c>
      <c r="C354" s="6">
        <v>43531</v>
      </c>
      <c r="D354">
        <v>0</v>
      </c>
      <c r="E354">
        <v>99.98</v>
      </c>
      <c r="F354">
        <v>100</v>
      </c>
      <c r="G354">
        <v>99.82</v>
      </c>
      <c r="H354">
        <v>99.99</v>
      </c>
      <c r="I354">
        <v>47840</v>
      </c>
      <c r="J354">
        <v>0</v>
      </c>
    </row>
    <row r="355" spans="1:10" x14ac:dyDescent="0.3">
      <c r="A355" s="5" t="s">
        <v>16</v>
      </c>
      <c r="B355" s="5" t="s">
        <v>15</v>
      </c>
      <c r="C355" s="6">
        <v>43535</v>
      </c>
      <c r="D355">
        <v>0</v>
      </c>
      <c r="E355">
        <v>99.99</v>
      </c>
      <c r="F355">
        <v>100</v>
      </c>
      <c r="G355">
        <v>99.9</v>
      </c>
      <c r="H355">
        <v>99.99</v>
      </c>
      <c r="I355">
        <v>7969</v>
      </c>
      <c r="J355">
        <v>0</v>
      </c>
    </row>
    <row r="356" spans="1:10" x14ac:dyDescent="0.3">
      <c r="A356" s="5" t="s">
        <v>16</v>
      </c>
      <c r="B356" s="5" t="s">
        <v>15</v>
      </c>
      <c r="C356" s="6">
        <v>43536</v>
      </c>
      <c r="D356">
        <v>0</v>
      </c>
      <c r="E356">
        <v>99.99</v>
      </c>
      <c r="F356">
        <v>100</v>
      </c>
      <c r="G356">
        <v>99.96</v>
      </c>
      <c r="H356">
        <v>100</v>
      </c>
      <c r="I356">
        <v>16855</v>
      </c>
      <c r="J356">
        <v>0</v>
      </c>
    </row>
    <row r="357" spans="1:10" x14ac:dyDescent="0.3">
      <c r="A357" s="5" t="s">
        <v>16</v>
      </c>
      <c r="B357" s="5" t="s">
        <v>15</v>
      </c>
      <c r="C357" s="6">
        <v>43537</v>
      </c>
      <c r="D357">
        <v>0</v>
      </c>
      <c r="E357">
        <v>99.93</v>
      </c>
      <c r="F357">
        <v>100</v>
      </c>
      <c r="G357">
        <v>99.92</v>
      </c>
      <c r="H357">
        <v>100</v>
      </c>
      <c r="I357">
        <v>69683</v>
      </c>
      <c r="J357">
        <v>0</v>
      </c>
    </row>
    <row r="358" spans="1:10" x14ac:dyDescent="0.3">
      <c r="A358" s="5" t="s">
        <v>16</v>
      </c>
      <c r="B358" s="5" t="s">
        <v>15</v>
      </c>
      <c r="C358" s="6">
        <v>43538</v>
      </c>
      <c r="D358">
        <v>0</v>
      </c>
      <c r="E358">
        <v>99.99</v>
      </c>
      <c r="F358">
        <v>100</v>
      </c>
      <c r="G358">
        <v>99.98</v>
      </c>
      <c r="H358">
        <v>100</v>
      </c>
      <c r="I358">
        <v>26339</v>
      </c>
      <c r="J358">
        <v>0</v>
      </c>
    </row>
    <row r="359" spans="1:10" x14ac:dyDescent="0.3">
      <c r="A359" s="5" t="s">
        <v>16</v>
      </c>
      <c r="B359" s="5" t="s">
        <v>15</v>
      </c>
      <c r="C359" s="6">
        <v>43539</v>
      </c>
      <c r="D359">
        <v>0</v>
      </c>
      <c r="E359">
        <v>100.1</v>
      </c>
      <c r="F359">
        <v>100.1</v>
      </c>
      <c r="G359">
        <v>99.97</v>
      </c>
      <c r="H359">
        <v>100</v>
      </c>
      <c r="I359">
        <v>81532</v>
      </c>
      <c r="J359">
        <v>0</v>
      </c>
    </row>
    <row r="360" spans="1:10" x14ac:dyDescent="0.3">
      <c r="A360" s="5" t="s">
        <v>16</v>
      </c>
      <c r="B360" s="5" t="s">
        <v>15</v>
      </c>
      <c r="C360" s="6">
        <v>43542</v>
      </c>
      <c r="D360">
        <v>0</v>
      </c>
      <c r="E360">
        <v>99.95</v>
      </c>
      <c r="F360">
        <v>100</v>
      </c>
      <c r="G360">
        <v>99.92</v>
      </c>
      <c r="H360">
        <v>99.99</v>
      </c>
      <c r="I360">
        <v>44829</v>
      </c>
      <c r="J360">
        <v>0</v>
      </c>
    </row>
    <row r="361" spans="1:10" x14ac:dyDescent="0.3">
      <c r="A361" s="5" t="s">
        <v>16</v>
      </c>
      <c r="B361" s="5" t="s">
        <v>15</v>
      </c>
      <c r="C361" s="6">
        <v>43543</v>
      </c>
      <c r="D361">
        <v>0</v>
      </c>
      <c r="E361">
        <v>100</v>
      </c>
      <c r="F361">
        <v>100</v>
      </c>
      <c r="G361">
        <v>99.98</v>
      </c>
      <c r="H361">
        <v>100</v>
      </c>
      <c r="I361">
        <v>24208</v>
      </c>
      <c r="J361">
        <v>0</v>
      </c>
    </row>
    <row r="362" spans="1:10" x14ac:dyDescent="0.3">
      <c r="A362" s="5" t="s">
        <v>16</v>
      </c>
      <c r="B362" s="5" t="s">
        <v>15</v>
      </c>
      <c r="C362" s="6">
        <v>43544</v>
      </c>
      <c r="D362">
        <v>0</v>
      </c>
      <c r="E362">
        <v>100</v>
      </c>
      <c r="F362">
        <v>100</v>
      </c>
      <c r="G362">
        <v>99.75</v>
      </c>
      <c r="H362">
        <v>99.98</v>
      </c>
      <c r="I362">
        <v>28040</v>
      </c>
      <c r="J362">
        <v>0</v>
      </c>
    </row>
    <row r="363" spans="1:10" x14ac:dyDescent="0.3">
      <c r="A363" s="5" t="s">
        <v>16</v>
      </c>
      <c r="B363" s="5" t="s">
        <v>15</v>
      </c>
      <c r="C363" s="6">
        <v>43545</v>
      </c>
      <c r="D363">
        <v>0</v>
      </c>
      <c r="E363">
        <v>100</v>
      </c>
      <c r="F363">
        <v>100</v>
      </c>
      <c r="G363">
        <v>99.8</v>
      </c>
      <c r="H363">
        <v>99.98</v>
      </c>
      <c r="I363">
        <v>26939</v>
      </c>
      <c r="J363">
        <v>0</v>
      </c>
    </row>
    <row r="364" spans="1:10" x14ac:dyDescent="0.3">
      <c r="A364" s="5" t="s">
        <v>16</v>
      </c>
      <c r="B364" s="5" t="s">
        <v>15</v>
      </c>
      <c r="C364" s="6">
        <v>43546</v>
      </c>
      <c r="D364">
        <v>0</v>
      </c>
      <c r="E364">
        <v>99.97</v>
      </c>
      <c r="F364">
        <v>100</v>
      </c>
      <c r="G364">
        <v>99.76</v>
      </c>
      <c r="H364">
        <v>99.98</v>
      </c>
      <c r="I364">
        <v>35770</v>
      </c>
      <c r="J364">
        <v>0</v>
      </c>
    </row>
    <row r="365" spans="1:10" x14ac:dyDescent="0.3">
      <c r="A365" s="5" t="s">
        <v>16</v>
      </c>
      <c r="B365" s="5" t="s">
        <v>15</v>
      </c>
      <c r="C365" s="6">
        <v>43549</v>
      </c>
      <c r="D365">
        <v>0</v>
      </c>
      <c r="E365">
        <v>99.82</v>
      </c>
      <c r="F365">
        <v>100</v>
      </c>
      <c r="G365">
        <v>99.75</v>
      </c>
      <c r="H365">
        <v>99.96</v>
      </c>
      <c r="I365">
        <v>36524</v>
      </c>
      <c r="J365">
        <v>0</v>
      </c>
    </row>
    <row r="366" spans="1:10" x14ac:dyDescent="0.3">
      <c r="A366" s="5" t="s">
        <v>16</v>
      </c>
      <c r="B366" s="5" t="s">
        <v>15</v>
      </c>
      <c r="C366" s="6">
        <v>43550</v>
      </c>
      <c r="D366">
        <v>0</v>
      </c>
      <c r="E366">
        <v>99.98</v>
      </c>
      <c r="F366">
        <v>99.98</v>
      </c>
      <c r="G366">
        <v>99.77</v>
      </c>
      <c r="H366">
        <v>99.77</v>
      </c>
      <c r="I366">
        <v>70200</v>
      </c>
      <c r="J366">
        <v>0</v>
      </c>
    </row>
    <row r="367" spans="1:10" x14ac:dyDescent="0.3">
      <c r="A367" s="5" t="s">
        <v>16</v>
      </c>
      <c r="B367" s="5" t="s">
        <v>15</v>
      </c>
      <c r="C367" s="6">
        <v>43551</v>
      </c>
      <c r="D367">
        <v>0</v>
      </c>
      <c r="E367">
        <v>98.78</v>
      </c>
      <c r="F367">
        <v>100</v>
      </c>
      <c r="G367">
        <v>98.78</v>
      </c>
      <c r="H367">
        <v>99.95</v>
      </c>
      <c r="I367">
        <v>22661</v>
      </c>
      <c r="J367">
        <v>0</v>
      </c>
    </row>
    <row r="368" spans="1:10" x14ac:dyDescent="0.3">
      <c r="A368" s="5" t="s">
        <v>16</v>
      </c>
      <c r="B368" s="5" t="s">
        <v>15</v>
      </c>
      <c r="C368" s="6">
        <v>43552</v>
      </c>
      <c r="D368">
        <v>0</v>
      </c>
      <c r="E368">
        <v>99.86</v>
      </c>
      <c r="F368">
        <v>100</v>
      </c>
      <c r="G368">
        <v>99.85</v>
      </c>
      <c r="H368">
        <v>100</v>
      </c>
      <c r="I368">
        <v>178751</v>
      </c>
      <c r="J368">
        <v>0</v>
      </c>
    </row>
    <row r="369" spans="1:10" x14ac:dyDescent="0.3">
      <c r="A369" s="5" t="s">
        <v>16</v>
      </c>
      <c r="B369" s="5" t="s">
        <v>15</v>
      </c>
      <c r="C369" s="6">
        <v>43553</v>
      </c>
      <c r="D369">
        <v>0</v>
      </c>
      <c r="E369">
        <v>98.87</v>
      </c>
      <c r="F369">
        <v>100</v>
      </c>
      <c r="G369">
        <v>98.87</v>
      </c>
      <c r="H369">
        <v>99.99</v>
      </c>
      <c r="I369">
        <v>156549</v>
      </c>
      <c r="J369">
        <v>0</v>
      </c>
    </row>
    <row r="370" spans="1:10" x14ac:dyDescent="0.3">
      <c r="A370" s="5" t="s">
        <v>16</v>
      </c>
      <c r="B370" s="5" t="s">
        <v>15</v>
      </c>
      <c r="C370" s="6">
        <v>43556</v>
      </c>
      <c r="D370">
        <v>0</v>
      </c>
      <c r="E370">
        <v>99.97</v>
      </c>
      <c r="F370">
        <v>100</v>
      </c>
      <c r="G370">
        <v>99.8</v>
      </c>
      <c r="H370">
        <v>99.9</v>
      </c>
      <c r="I370">
        <v>53641</v>
      </c>
      <c r="J370">
        <v>0</v>
      </c>
    </row>
    <row r="371" spans="1:10" x14ac:dyDescent="0.3">
      <c r="A371" s="5" t="s">
        <v>16</v>
      </c>
      <c r="B371" s="5" t="s">
        <v>15</v>
      </c>
      <c r="C371" s="6">
        <v>43557</v>
      </c>
      <c r="D371">
        <v>0</v>
      </c>
      <c r="E371">
        <v>99.99</v>
      </c>
      <c r="F371">
        <v>100</v>
      </c>
      <c r="G371">
        <v>99.93</v>
      </c>
      <c r="H371">
        <v>100</v>
      </c>
      <c r="I371">
        <v>121443</v>
      </c>
      <c r="J371">
        <v>0</v>
      </c>
    </row>
    <row r="372" spans="1:10" x14ac:dyDescent="0.3">
      <c r="A372" s="5" t="s">
        <v>16</v>
      </c>
      <c r="B372" s="5" t="s">
        <v>15</v>
      </c>
      <c r="C372" s="6">
        <v>43558</v>
      </c>
      <c r="D372">
        <v>0</v>
      </c>
      <c r="E372">
        <v>99.99</v>
      </c>
      <c r="F372">
        <v>100</v>
      </c>
      <c r="G372">
        <v>99.8</v>
      </c>
      <c r="H372">
        <v>100</v>
      </c>
      <c r="I372">
        <v>84839</v>
      </c>
      <c r="J372">
        <v>0</v>
      </c>
    </row>
    <row r="373" spans="1:10" x14ac:dyDescent="0.3">
      <c r="A373" s="5" t="s">
        <v>16</v>
      </c>
      <c r="B373" s="5" t="s">
        <v>15</v>
      </c>
      <c r="C373" s="6">
        <v>43559</v>
      </c>
      <c r="D373">
        <v>0</v>
      </c>
      <c r="E373">
        <v>99.99</v>
      </c>
      <c r="F373">
        <v>100</v>
      </c>
      <c r="G373">
        <v>99.96</v>
      </c>
      <c r="H373">
        <v>99.96</v>
      </c>
      <c r="I373">
        <v>33705</v>
      </c>
      <c r="J373">
        <v>0</v>
      </c>
    </row>
    <row r="374" spans="1:10" x14ac:dyDescent="0.3">
      <c r="A374" s="5" t="s">
        <v>16</v>
      </c>
      <c r="B374" s="5" t="s">
        <v>15</v>
      </c>
      <c r="C374" s="6">
        <v>43560</v>
      </c>
      <c r="D374">
        <v>0</v>
      </c>
      <c r="E374">
        <v>98.97</v>
      </c>
      <c r="F374">
        <v>100</v>
      </c>
      <c r="G374">
        <v>98.97</v>
      </c>
      <c r="H374">
        <v>100</v>
      </c>
      <c r="I374">
        <v>29054</v>
      </c>
      <c r="J374">
        <v>0</v>
      </c>
    </row>
    <row r="375" spans="1:10" x14ac:dyDescent="0.3">
      <c r="A375" s="5" t="s">
        <v>16</v>
      </c>
      <c r="B375" s="5" t="s">
        <v>15</v>
      </c>
      <c r="C375" s="6">
        <v>43563</v>
      </c>
      <c r="D375">
        <v>0</v>
      </c>
      <c r="E375">
        <v>100</v>
      </c>
      <c r="F375">
        <v>100</v>
      </c>
      <c r="G375">
        <v>99.9</v>
      </c>
      <c r="H375">
        <v>100</v>
      </c>
      <c r="I375">
        <v>143715</v>
      </c>
      <c r="J375">
        <v>0</v>
      </c>
    </row>
    <row r="376" spans="1:10" x14ac:dyDescent="0.3">
      <c r="A376" s="5" t="s">
        <v>16</v>
      </c>
      <c r="B376" s="5" t="s">
        <v>15</v>
      </c>
      <c r="C376" s="6">
        <v>43564</v>
      </c>
      <c r="D376">
        <v>0</v>
      </c>
      <c r="E376">
        <v>100</v>
      </c>
      <c r="F376">
        <v>100</v>
      </c>
      <c r="G376">
        <v>99.88</v>
      </c>
      <c r="H376">
        <v>100</v>
      </c>
      <c r="I376">
        <v>123259</v>
      </c>
      <c r="J376">
        <v>0</v>
      </c>
    </row>
    <row r="377" spans="1:10" x14ac:dyDescent="0.3">
      <c r="A377" s="5" t="s">
        <v>16</v>
      </c>
      <c r="B377" s="5" t="s">
        <v>15</v>
      </c>
      <c r="C377" s="6">
        <v>43565</v>
      </c>
      <c r="D377">
        <v>0</v>
      </c>
      <c r="E377">
        <v>100.08</v>
      </c>
      <c r="F377">
        <v>100.09</v>
      </c>
      <c r="G377">
        <v>99.99</v>
      </c>
      <c r="H377">
        <v>100</v>
      </c>
      <c r="I377">
        <v>576212</v>
      </c>
      <c r="J377">
        <v>0</v>
      </c>
    </row>
    <row r="378" spans="1:10" x14ac:dyDescent="0.3">
      <c r="A378" s="5" t="s">
        <v>16</v>
      </c>
      <c r="B378" s="5" t="s">
        <v>15</v>
      </c>
      <c r="C378" s="6">
        <v>43566</v>
      </c>
      <c r="D378">
        <v>0</v>
      </c>
      <c r="E378">
        <v>100.01</v>
      </c>
      <c r="F378">
        <v>100.47</v>
      </c>
      <c r="G378">
        <v>100</v>
      </c>
      <c r="H378">
        <v>100.1</v>
      </c>
      <c r="I378">
        <v>75539</v>
      </c>
      <c r="J378">
        <v>0</v>
      </c>
    </row>
    <row r="379" spans="1:10" x14ac:dyDescent="0.3">
      <c r="A379" s="5" t="s">
        <v>16</v>
      </c>
      <c r="B379" s="5" t="s">
        <v>15</v>
      </c>
      <c r="C379" s="6">
        <v>43567</v>
      </c>
      <c r="D379">
        <v>0</v>
      </c>
      <c r="E379">
        <v>100</v>
      </c>
      <c r="F379">
        <v>100.25</v>
      </c>
      <c r="G379">
        <v>100</v>
      </c>
      <c r="H379">
        <v>100.16</v>
      </c>
      <c r="I379">
        <v>66106</v>
      </c>
      <c r="J379">
        <v>0</v>
      </c>
    </row>
    <row r="380" spans="1:10" x14ac:dyDescent="0.3">
      <c r="A380" s="5" t="s">
        <v>16</v>
      </c>
      <c r="B380" s="5" t="s">
        <v>15</v>
      </c>
      <c r="C380" s="6">
        <v>43570</v>
      </c>
      <c r="D380">
        <v>0</v>
      </c>
      <c r="E380">
        <v>100.06</v>
      </c>
      <c r="F380">
        <v>100.4</v>
      </c>
      <c r="G380">
        <v>99.98</v>
      </c>
      <c r="H380">
        <v>100.15</v>
      </c>
      <c r="I380">
        <v>80297</v>
      </c>
      <c r="J380">
        <v>0</v>
      </c>
    </row>
    <row r="381" spans="1:10" x14ac:dyDescent="0.3">
      <c r="A381" s="5" t="s">
        <v>16</v>
      </c>
      <c r="B381" s="5" t="s">
        <v>15</v>
      </c>
      <c r="C381" s="6">
        <v>43571</v>
      </c>
      <c r="D381">
        <v>0</v>
      </c>
      <c r="E381">
        <v>100.15</v>
      </c>
      <c r="F381">
        <v>100.3</v>
      </c>
      <c r="G381">
        <v>99.99</v>
      </c>
      <c r="H381">
        <v>100.1</v>
      </c>
      <c r="I381">
        <v>141598</v>
      </c>
      <c r="J381">
        <v>0</v>
      </c>
    </row>
    <row r="382" spans="1:10" x14ac:dyDescent="0.3">
      <c r="A382" s="5" t="s">
        <v>16</v>
      </c>
      <c r="B382" s="5" t="s">
        <v>15</v>
      </c>
      <c r="C382" s="6">
        <v>43572</v>
      </c>
      <c r="D382">
        <v>0</v>
      </c>
      <c r="E382">
        <v>100.14</v>
      </c>
      <c r="F382">
        <v>100.28</v>
      </c>
      <c r="G382">
        <v>100.1</v>
      </c>
      <c r="H382">
        <v>100.17</v>
      </c>
      <c r="I382">
        <v>74856</v>
      </c>
      <c r="J382">
        <v>0</v>
      </c>
    </row>
    <row r="383" spans="1:10" x14ac:dyDescent="0.3">
      <c r="A383" s="5" t="s">
        <v>16</v>
      </c>
      <c r="B383" s="5" t="s">
        <v>15</v>
      </c>
      <c r="C383" s="6">
        <v>43573</v>
      </c>
      <c r="D383">
        <v>0</v>
      </c>
      <c r="E383">
        <v>101.21</v>
      </c>
      <c r="F383">
        <v>101.21</v>
      </c>
      <c r="G383">
        <v>100.1</v>
      </c>
      <c r="H383">
        <v>100.2</v>
      </c>
      <c r="I383">
        <v>58112</v>
      </c>
      <c r="J383">
        <v>0</v>
      </c>
    </row>
    <row r="384" spans="1:10" x14ac:dyDescent="0.3">
      <c r="A384" s="5" t="s">
        <v>16</v>
      </c>
      <c r="B384" s="5" t="s">
        <v>15</v>
      </c>
      <c r="C384" s="6">
        <v>43574</v>
      </c>
      <c r="D384">
        <v>0</v>
      </c>
      <c r="E384">
        <v>101.2</v>
      </c>
      <c r="F384">
        <v>101.2</v>
      </c>
      <c r="G384">
        <v>100</v>
      </c>
      <c r="H384">
        <v>100.29</v>
      </c>
      <c r="I384">
        <v>66377</v>
      </c>
      <c r="J384">
        <v>0</v>
      </c>
    </row>
    <row r="385" spans="1:10" x14ac:dyDescent="0.3">
      <c r="A385" s="5" t="s">
        <v>16</v>
      </c>
      <c r="B385" s="5" t="s">
        <v>15</v>
      </c>
      <c r="C385" s="6">
        <v>43577</v>
      </c>
      <c r="D385">
        <v>0</v>
      </c>
      <c r="E385">
        <v>100.1</v>
      </c>
      <c r="F385">
        <v>100.23</v>
      </c>
      <c r="G385">
        <v>100.01</v>
      </c>
      <c r="H385">
        <v>100.15</v>
      </c>
      <c r="I385">
        <v>9389</v>
      </c>
      <c r="J385">
        <v>0</v>
      </c>
    </row>
    <row r="386" spans="1:10" x14ac:dyDescent="0.3">
      <c r="A386" s="5" t="s">
        <v>16</v>
      </c>
      <c r="B386" s="5" t="s">
        <v>15</v>
      </c>
      <c r="C386" s="6">
        <v>43578</v>
      </c>
      <c r="D386">
        <v>0</v>
      </c>
      <c r="E386">
        <v>101.22</v>
      </c>
      <c r="F386">
        <v>101.22</v>
      </c>
      <c r="G386">
        <v>100.1</v>
      </c>
      <c r="H386">
        <v>100.5</v>
      </c>
      <c r="I386">
        <v>91718</v>
      </c>
      <c r="J386">
        <v>0</v>
      </c>
    </row>
    <row r="387" spans="1:10" x14ac:dyDescent="0.3">
      <c r="A387" s="5" t="s">
        <v>16</v>
      </c>
      <c r="B387" s="5" t="s">
        <v>15</v>
      </c>
      <c r="C387" s="6">
        <v>43579</v>
      </c>
      <c r="D387">
        <v>0</v>
      </c>
      <c r="E387">
        <v>101.55</v>
      </c>
      <c r="F387">
        <v>101.55</v>
      </c>
      <c r="G387">
        <v>100.01</v>
      </c>
      <c r="H387">
        <v>100.3</v>
      </c>
      <c r="I387">
        <v>12159</v>
      </c>
      <c r="J387">
        <v>0</v>
      </c>
    </row>
    <row r="388" spans="1:10" x14ac:dyDescent="0.3">
      <c r="A388" s="5" t="s">
        <v>16</v>
      </c>
      <c r="B388" s="5" t="s">
        <v>15</v>
      </c>
      <c r="C388" s="6">
        <v>43580</v>
      </c>
      <c r="D388">
        <v>0</v>
      </c>
      <c r="E388">
        <v>100.09</v>
      </c>
      <c r="F388">
        <v>100.25</v>
      </c>
      <c r="G388">
        <v>100.06</v>
      </c>
      <c r="H388">
        <v>100.23</v>
      </c>
      <c r="I388">
        <v>31133</v>
      </c>
      <c r="J388">
        <v>0</v>
      </c>
    </row>
    <row r="389" spans="1:10" x14ac:dyDescent="0.3">
      <c r="A389" s="5" t="s">
        <v>16</v>
      </c>
      <c r="B389" s="5" t="s">
        <v>15</v>
      </c>
      <c r="C389" s="6">
        <v>43581</v>
      </c>
      <c r="D389">
        <v>0</v>
      </c>
      <c r="E389">
        <v>100.19</v>
      </c>
      <c r="F389">
        <v>100.25</v>
      </c>
      <c r="G389">
        <v>100.04</v>
      </c>
      <c r="H389">
        <v>100.2</v>
      </c>
      <c r="I389">
        <v>29516</v>
      </c>
      <c r="J389">
        <v>0</v>
      </c>
    </row>
    <row r="390" spans="1:10" x14ac:dyDescent="0.3">
      <c r="A390" s="5" t="s">
        <v>16</v>
      </c>
      <c r="B390" s="5" t="s">
        <v>15</v>
      </c>
      <c r="C390" s="6">
        <v>43584</v>
      </c>
      <c r="D390">
        <v>0</v>
      </c>
      <c r="E390">
        <v>100.25</v>
      </c>
      <c r="F390">
        <v>100.4</v>
      </c>
      <c r="G390">
        <v>98.7</v>
      </c>
      <c r="H390">
        <v>100.2</v>
      </c>
      <c r="I390">
        <v>121343</v>
      </c>
      <c r="J390">
        <v>0</v>
      </c>
    </row>
    <row r="391" spans="1:10" x14ac:dyDescent="0.3">
      <c r="A391" s="5" t="s">
        <v>16</v>
      </c>
      <c r="B391" s="5" t="s">
        <v>15</v>
      </c>
      <c r="C391" s="6">
        <v>43585</v>
      </c>
      <c r="D391">
        <v>0</v>
      </c>
      <c r="E391">
        <v>100.15</v>
      </c>
      <c r="F391">
        <v>100.49</v>
      </c>
      <c r="G391">
        <v>100.05</v>
      </c>
      <c r="H391">
        <v>100.36</v>
      </c>
      <c r="I391">
        <v>21055</v>
      </c>
      <c r="J391">
        <v>0</v>
      </c>
    </row>
    <row r="392" spans="1:10" x14ac:dyDescent="0.3">
      <c r="A392" s="5" t="s">
        <v>16</v>
      </c>
      <c r="B392" s="5" t="s">
        <v>15</v>
      </c>
      <c r="C392" s="6">
        <v>43587</v>
      </c>
      <c r="D392">
        <v>0</v>
      </c>
      <c r="E392">
        <v>100.35</v>
      </c>
      <c r="F392">
        <v>100.45</v>
      </c>
      <c r="G392">
        <v>100.15</v>
      </c>
      <c r="H392">
        <v>100.16</v>
      </c>
      <c r="I392">
        <v>188</v>
      </c>
      <c r="J392">
        <v>0</v>
      </c>
    </row>
    <row r="393" spans="1:10" x14ac:dyDescent="0.3">
      <c r="A393" s="5" t="s">
        <v>16</v>
      </c>
      <c r="B393" s="5" t="s">
        <v>15</v>
      </c>
      <c r="C393" s="6">
        <v>43588</v>
      </c>
      <c r="D393">
        <v>0</v>
      </c>
      <c r="E393">
        <v>101.33</v>
      </c>
      <c r="F393">
        <v>101.33</v>
      </c>
      <c r="G393">
        <v>100.15</v>
      </c>
      <c r="H393">
        <v>100.25</v>
      </c>
      <c r="I393">
        <v>177</v>
      </c>
      <c r="J393">
        <v>0</v>
      </c>
    </row>
    <row r="394" spans="1:10" x14ac:dyDescent="0.3">
      <c r="A394" s="5" t="s">
        <v>16</v>
      </c>
      <c r="B394" s="5" t="s">
        <v>15</v>
      </c>
      <c r="C394" s="6">
        <v>43591</v>
      </c>
      <c r="D394">
        <v>0</v>
      </c>
      <c r="E394">
        <v>100.25</v>
      </c>
      <c r="F394">
        <v>100.25</v>
      </c>
      <c r="G394">
        <v>100.16</v>
      </c>
      <c r="H394">
        <v>100.25</v>
      </c>
      <c r="I394">
        <v>42439</v>
      </c>
      <c r="J394">
        <v>0</v>
      </c>
    </row>
    <row r="395" spans="1:10" x14ac:dyDescent="0.3">
      <c r="A395" s="5" t="s">
        <v>16</v>
      </c>
      <c r="B395" s="5" t="s">
        <v>15</v>
      </c>
      <c r="C395" s="6">
        <v>43592</v>
      </c>
      <c r="D395">
        <v>0</v>
      </c>
      <c r="E395">
        <v>101.25</v>
      </c>
      <c r="F395">
        <v>101.25</v>
      </c>
      <c r="G395">
        <v>100.2</v>
      </c>
      <c r="H395">
        <v>100.5</v>
      </c>
      <c r="I395">
        <v>7105</v>
      </c>
      <c r="J395">
        <v>0</v>
      </c>
    </row>
    <row r="396" spans="1:10" x14ac:dyDescent="0.3">
      <c r="A396" s="5" t="s">
        <v>16</v>
      </c>
      <c r="B396" s="5" t="s">
        <v>15</v>
      </c>
      <c r="C396" s="6">
        <v>43593</v>
      </c>
      <c r="D396">
        <v>0</v>
      </c>
      <c r="E396">
        <v>100.68</v>
      </c>
      <c r="F396">
        <v>100.68</v>
      </c>
      <c r="G396">
        <v>100.1</v>
      </c>
      <c r="H396">
        <v>100.15</v>
      </c>
      <c r="I396">
        <v>82016</v>
      </c>
      <c r="J396">
        <v>0</v>
      </c>
    </row>
    <row r="397" spans="1:10" x14ac:dyDescent="0.3">
      <c r="A397" s="5" t="s">
        <v>16</v>
      </c>
      <c r="B397" s="5" t="s">
        <v>15</v>
      </c>
      <c r="C397" s="6">
        <v>43595</v>
      </c>
      <c r="D397">
        <v>0</v>
      </c>
      <c r="E397">
        <v>100.16</v>
      </c>
      <c r="F397">
        <v>100.16</v>
      </c>
      <c r="G397">
        <v>100.03</v>
      </c>
      <c r="H397">
        <v>100.05</v>
      </c>
      <c r="I397">
        <v>17395</v>
      </c>
      <c r="J397">
        <v>0</v>
      </c>
    </row>
    <row r="398" spans="1:10" x14ac:dyDescent="0.3">
      <c r="A398" s="5" t="s">
        <v>16</v>
      </c>
      <c r="B398" s="5" t="s">
        <v>15</v>
      </c>
      <c r="C398" s="6">
        <v>43598</v>
      </c>
      <c r="D398">
        <v>0</v>
      </c>
      <c r="E398">
        <v>101.23</v>
      </c>
      <c r="F398">
        <v>101.23</v>
      </c>
      <c r="G398">
        <v>99.85</v>
      </c>
      <c r="H398">
        <v>100.08</v>
      </c>
      <c r="I398">
        <v>54045</v>
      </c>
      <c r="J398">
        <v>0</v>
      </c>
    </row>
    <row r="399" spans="1:10" x14ac:dyDescent="0.3">
      <c r="A399" s="5" t="s">
        <v>16</v>
      </c>
      <c r="B399" s="5" t="s">
        <v>15</v>
      </c>
      <c r="C399" s="6">
        <v>43599</v>
      </c>
      <c r="D399">
        <v>0</v>
      </c>
      <c r="E399">
        <v>100.51</v>
      </c>
      <c r="F399">
        <v>100.51</v>
      </c>
      <c r="G399">
        <v>100.05</v>
      </c>
      <c r="H399">
        <v>100.31</v>
      </c>
      <c r="I399">
        <v>16726</v>
      </c>
      <c r="J399">
        <v>0</v>
      </c>
    </row>
    <row r="400" spans="1:10" x14ac:dyDescent="0.3">
      <c r="A400" s="5" t="s">
        <v>16</v>
      </c>
      <c r="B400" s="5" t="s">
        <v>15</v>
      </c>
      <c r="C400" s="6">
        <v>43600</v>
      </c>
      <c r="D400">
        <v>0</v>
      </c>
      <c r="E400">
        <v>101.36</v>
      </c>
      <c r="F400">
        <v>101.36</v>
      </c>
      <c r="G400">
        <v>100.1</v>
      </c>
      <c r="H400">
        <v>100.3</v>
      </c>
      <c r="I400">
        <v>52557</v>
      </c>
      <c r="J400">
        <v>0</v>
      </c>
    </row>
    <row r="401" spans="1:10" x14ac:dyDescent="0.3">
      <c r="A401" s="5" t="s">
        <v>16</v>
      </c>
      <c r="B401" s="5" t="s">
        <v>15</v>
      </c>
      <c r="C401" s="6">
        <v>43601</v>
      </c>
      <c r="D401">
        <v>0</v>
      </c>
      <c r="E401">
        <v>100.15</v>
      </c>
      <c r="F401">
        <v>100.8</v>
      </c>
      <c r="G401">
        <v>100.15</v>
      </c>
      <c r="H401">
        <v>100.31</v>
      </c>
      <c r="I401">
        <v>126303</v>
      </c>
      <c r="J401">
        <v>0</v>
      </c>
    </row>
    <row r="402" spans="1:10" x14ac:dyDescent="0.3">
      <c r="A402" s="5" t="s">
        <v>16</v>
      </c>
      <c r="B402" s="5" t="s">
        <v>15</v>
      </c>
      <c r="C402" s="6">
        <v>43602</v>
      </c>
      <c r="D402">
        <v>0</v>
      </c>
      <c r="E402">
        <v>101.55</v>
      </c>
      <c r="F402">
        <v>101.55</v>
      </c>
      <c r="G402">
        <v>100.21</v>
      </c>
      <c r="H402">
        <v>100.66</v>
      </c>
      <c r="I402">
        <v>123637</v>
      </c>
      <c r="J402">
        <v>0</v>
      </c>
    </row>
    <row r="403" spans="1:10" x14ac:dyDescent="0.3">
      <c r="A403" s="5" t="s">
        <v>16</v>
      </c>
      <c r="B403" s="5" t="s">
        <v>15</v>
      </c>
      <c r="C403" s="6">
        <v>43605</v>
      </c>
      <c r="D403">
        <v>0</v>
      </c>
      <c r="E403">
        <v>99.44</v>
      </c>
      <c r="F403">
        <v>100.8</v>
      </c>
      <c r="G403">
        <v>99.44</v>
      </c>
      <c r="H403">
        <v>100.6</v>
      </c>
      <c r="I403">
        <v>33779</v>
      </c>
      <c r="J403">
        <v>0</v>
      </c>
    </row>
    <row r="404" spans="1:10" x14ac:dyDescent="0.3">
      <c r="A404" s="5" t="s">
        <v>16</v>
      </c>
      <c r="B404" s="5" t="s">
        <v>15</v>
      </c>
      <c r="C404" s="6">
        <v>43606</v>
      </c>
      <c r="D404">
        <v>0</v>
      </c>
      <c r="E404">
        <v>100.55</v>
      </c>
      <c r="F404">
        <v>100.85</v>
      </c>
      <c r="G404">
        <v>100.55</v>
      </c>
      <c r="H404">
        <v>100.71</v>
      </c>
      <c r="I404">
        <v>40411</v>
      </c>
      <c r="J404">
        <v>0</v>
      </c>
    </row>
    <row r="405" spans="1:10" x14ac:dyDescent="0.3">
      <c r="A405" s="5" t="s">
        <v>16</v>
      </c>
      <c r="B405" s="5" t="s">
        <v>15</v>
      </c>
      <c r="C405" s="6">
        <v>43607</v>
      </c>
      <c r="D405">
        <v>0</v>
      </c>
      <c r="E405">
        <v>100.41</v>
      </c>
      <c r="F405">
        <v>101</v>
      </c>
      <c r="G405">
        <v>100.31</v>
      </c>
      <c r="H405">
        <v>100.81</v>
      </c>
      <c r="I405">
        <v>57184</v>
      </c>
      <c r="J405">
        <v>0</v>
      </c>
    </row>
    <row r="406" spans="1:10" x14ac:dyDescent="0.3">
      <c r="A406" s="5" t="s">
        <v>16</v>
      </c>
      <c r="B406" s="5" t="s">
        <v>15</v>
      </c>
      <c r="C406" s="6">
        <v>43608</v>
      </c>
      <c r="D406">
        <v>0</v>
      </c>
      <c r="E406">
        <v>102.06</v>
      </c>
      <c r="F406">
        <v>102.06</v>
      </c>
      <c r="G406">
        <v>100.42</v>
      </c>
      <c r="H406">
        <v>100.9</v>
      </c>
      <c r="I406">
        <v>8475</v>
      </c>
      <c r="J406">
        <v>0</v>
      </c>
    </row>
    <row r="407" spans="1:10" x14ac:dyDescent="0.3">
      <c r="A407" s="5" t="s">
        <v>16</v>
      </c>
      <c r="B407" s="5" t="s">
        <v>15</v>
      </c>
      <c r="C407" s="6">
        <v>43609</v>
      </c>
      <c r="D407">
        <v>0</v>
      </c>
      <c r="E407">
        <v>100.53</v>
      </c>
      <c r="F407">
        <v>100.89</v>
      </c>
      <c r="G407">
        <v>100.53</v>
      </c>
      <c r="H407">
        <v>100.68</v>
      </c>
      <c r="I407">
        <v>2529</v>
      </c>
      <c r="J407">
        <v>0</v>
      </c>
    </row>
    <row r="408" spans="1:10" x14ac:dyDescent="0.3">
      <c r="A408" s="5" t="s">
        <v>16</v>
      </c>
      <c r="B408" s="5" t="s">
        <v>15</v>
      </c>
      <c r="C408" s="6">
        <v>43612</v>
      </c>
      <c r="D408">
        <v>0</v>
      </c>
      <c r="E408">
        <v>100.78</v>
      </c>
      <c r="F408">
        <v>100.78</v>
      </c>
      <c r="G408">
        <v>100.5</v>
      </c>
      <c r="H408">
        <v>100.7</v>
      </c>
      <c r="I408">
        <v>10267</v>
      </c>
      <c r="J408">
        <v>0</v>
      </c>
    </row>
    <row r="409" spans="1:10" x14ac:dyDescent="0.3">
      <c r="A409" s="5" t="s">
        <v>16</v>
      </c>
      <c r="B409" s="5" t="s">
        <v>15</v>
      </c>
      <c r="C409" s="6">
        <v>43613</v>
      </c>
      <c r="D409">
        <v>0</v>
      </c>
      <c r="E409">
        <v>100.47</v>
      </c>
      <c r="F409">
        <v>101</v>
      </c>
      <c r="G409">
        <v>100.47</v>
      </c>
      <c r="H409">
        <v>100.89</v>
      </c>
      <c r="I409">
        <v>20247</v>
      </c>
      <c r="J409">
        <v>0</v>
      </c>
    </row>
    <row r="410" spans="1:10" x14ac:dyDescent="0.3">
      <c r="A410" s="5" t="s">
        <v>16</v>
      </c>
      <c r="B410" s="5" t="s">
        <v>15</v>
      </c>
      <c r="C410" s="6">
        <v>43614</v>
      </c>
      <c r="D410">
        <v>0</v>
      </c>
      <c r="E410">
        <v>100.52</v>
      </c>
      <c r="F410">
        <v>100.92</v>
      </c>
      <c r="G410">
        <v>100.52</v>
      </c>
      <c r="H410">
        <v>100.77</v>
      </c>
      <c r="I410">
        <v>6089</v>
      </c>
      <c r="J410">
        <v>0</v>
      </c>
    </row>
    <row r="411" spans="1:10" x14ac:dyDescent="0.3">
      <c r="A411" s="5" t="s">
        <v>16</v>
      </c>
      <c r="B411" s="5" t="s">
        <v>15</v>
      </c>
      <c r="C411" s="6">
        <v>43615</v>
      </c>
      <c r="D411">
        <v>0</v>
      </c>
      <c r="E411">
        <v>102</v>
      </c>
      <c r="F411">
        <v>102</v>
      </c>
      <c r="G411">
        <v>100.39</v>
      </c>
      <c r="H411">
        <v>100.39</v>
      </c>
      <c r="I411">
        <v>14645</v>
      </c>
      <c r="J411">
        <v>0</v>
      </c>
    </row>
    <row r="412" spans="1:10" x14ac:dyDescent="0.3">
      <c r="A412" s="5" t="s">
        <v>16</v>
      </c>
      <c r="B412" s="5" t="s">
        <v>15</v>
      </c>
      <c r="C412" s="6">
        <v>43616</v>
      </c>
      <c r="D412">
        <v>0</v>
      </c>
      <c r="E412">
        <v>100.43</v>
      </c>
      <c r="F412">
        <v>100.89</v>
      </c>
      <c r="G412">
        <v>100.32</v>
      </c>
      <c r="H412">
        <v>100.88</v>
      </c>
      <c r="I412">
        <v>13032</v>
      </c>
      <c r="J412">
        <v>0</v>
      </c>
    </row>
    <row r="413" spans="1:10" x14ac:dyDescent="0.3">
      <c r="A413" s="5" t="s">
        <v>16</v>
      </c>
      <c r="B413" s="5" t="s">
        <v>15</v>
      </c>
      <c r="C413" s="6">
        <v>43619</v>
      </c>
      <c r="D413">
        <v>0</v>
      </c>
      <c r="E413">
        <v>101.89</v>
      </c>
      <c r="F413">
        <v>101.89</v>
      </c>
      <c r="G413">
        <v>100.47</v>
      </c>
      <c r="H413">
        <v>100.49</v>
      </c>
      <c r="I413">
        <v>16162</v>
      </c>
      <c r="J413">
        <v>0</v>
      </c>
    </row>
    <row r="414" spans="1:10" x14ac:dyDescent="0.3">
      <c r="A414" s="5" t="s">
        <v>16</v>
      </c>
      <c r="B414" s="5" t="s">
        <v>15</v>
      </c>
      <c r="C414" s="6">
        <v>43620</v>
      </c>
      <c r="D414">
        <v>0</v>
      </c>
      <c r="E414">
        <v>101.9</v>
      </c>
      <c r="F414">
        <v>101.9</v>
      </c>
      <c r="G414">
        <v>100.4</v>
      </c>
      <c r="H414">
        <v>100.86</v>
      </c>
      <c r="I414">
        <v>88774</v>
      </c>
      <c r="J414">
        <v>0</v>
      </c>
    </row>
    <row r="415" spans="1:10" x14ac:dyDescent="0.3">
      <c r="A415" s="5" t="s">
        <v>16</v>
      </c>
      <c r="B415" s="5" t="s">
        <v>15</v>
      </c>
      <c r="C415" s="6">
        <v>43621</v>
      </c>
      <c r="D415">
        <v>0</v>
      </c>
      <c r="E415">
        <v>100.85</v>
      </c>
      <c r="F415">
        <v>101</v>
      </c>
      <c r="G415">
        <v>100.61</v>
      </c>
      <c r="H415">
        <v>100.84</v>
      </c>
      <c r="I415">
        <v>4370</v>
      </c>
      <c r="J415">
        <v>0</v>
      </c>
    </row>
    <row r="416" spans="1:10" x14ac:dyDescent="0.3">
      <c r="A416" s="5" t="s">
        <v>16</v>
      </c>
      <c r="B416" s="5" t="s">
        <v>15</v>
      </c>
      <c r="C416" s="6">
        <v>43622</v>
      </c>
      <c r="D416">
        <v>0</v>
      </c>
      <c r="E416">
        <v>100.51</v>
      </c>
      <c r="F416">
        <v>101</v>
      </c>
      <c r="G416">
        <v>100.51</v>
      </c>
      <c r="H416">
        <v>100.94</v>
      </c>
      <c r="I416">
        <v>6982</v>
      </c>
      <c r="J416">
        <v>0</v>
      </c>
    </row>
    <row r="417" spans="1:10" x14ac:dyDescent="0.3">
      <c r="A417" s="5" t="s">
        <v>16</v>
      </c>
      <c r="B417" s="5" t="s">
        <v>15</v>
      </c>
      <c r="C417" s="6">
        <v>43623</v>
      </c>
      <c r="D417">
        <v>0</v>
      </c>
      <c r="E417">
        <v>100.98</v>
      </c>
      <c r="F417">
        <v>100.98</v>
      </c>
      <c r="G417">
        <v>100.5</v>
      </c>
      <c r="H417">
        <v>100.71</v>
      </c>
      <c r="I417">
        <v>2754</v>
      </c>
      <c r="J417">
        <v>0</v>
      </c>
    </row>
    <row r="418" spans="1:10" x14ac:dyDescent="0.3">
      <c r="A418" s="5" t="s">
        <v>16</v>
      </c>
      <c r="B418" s="5" t="s">
        <v>15</v>
      </c>
      <c r="C418" s="6">
        <v>43626</v>
      </c>
      <c r="D418">
        <v>0</v>
      </c>
      <c r="E418">
        <v>99.65</v>
      </c>
      <c r="F418">
        <v>100.92</v>
      </c>
      <c r="G418">
        <v>99.65</v>
      </c>
      <c r="H418">
        <v>100.85</v>
      </c>
      <c r="I418">
        <v>6404</v>
      </c>
      <c r="J418">
        <v>0</v>
      </c>
    </row>
    <row r="419" spans="1:10" x14ac:dyDescent="0.3">
      <c r="A419" s="5" t="s">
        <v>16</v>
      </c>
      <c r="B419" s="5" t="s">
        <v>15</v>
      </c>
      <c r="C419" s="6">
        <v>43627</v>
      </c>
      <c r="D419">
        <v>0</v>
      </c>
      <c r="E419">
        <v>101.93</v>
      </c>
      <c r="F419">
        <v>101.93</v>
      </c>
      <c r="G419">
        <v>100.58</v>
      </c>
      <c r="H419">
        <v>100.89</v>
      </c>
      <c r="I419">
        <v>19931</v>
      </c>
      <c r="J419">
        <v>0</v>
      </c>
    </row>
    <row r="420" spans="1:10" x14ac:dyDescent="0.3">
      <c r="A420" s="5" t="s">
        <v>16</v>
      </c>
      <c r="B420" s="5" t="s">
        <v>15</v>
      </c>
      <c r="C420" s="6">
        <v>43629</v>
      </c>
      <c r="D420">
        <v>0</v>
      </c>
      <c r="E420">
        <v>101.1</v>
      </c>
      <c r="F420">
        <v>101.2</v>
      </c>
      <c r="G420">
        <v>100.54</v>
      </c>
      <c r="H420">
        <v>100.98</v>
      </c>
      <c r="I420">
        <v>11320</v>
      </c>
      <c r="J420">
        <v>0</v>
      </c>
    </row>
    <row r="421" spans="1:10" x14ac:dyDescent="0.3">
      <c r="A421" s="5" t="s">
        <v>16</v>
      </c>
      <c r="B421" s="5" t="s">
        <v>15</v>
      </c>
      <c r="C421" s="6">
        <v>43630</v>
      </c>
      <c r="D421">
        <v>0</v>
      </c>
      <c r="E421">
        <v>99.76</v>
      </c>
      <c r="F421">
        <v>101.29</v>
      </c>
      <c r="G421">
        <v>99.76</v>
      </c>
      <c r="H421">
        <v>100.99</v>
      </c>
      <c r="I421">
        <v>4687</v>
      </c>
      <c r="J421">
        <v>0</v>
      </c>
    </row>
    <row r="422" spans="1:10" x14ac:dyDescent="0.3">
      <c r="A422" s="5" t="s">
        <v>16</v>
      </c>
      <c r="B422" s="5" t="s">
        <v>15</v>
      </c>
      <c r="C422" s="6">
        <v>43633</v>
      </c>
      <c r="D422">
        <v>0</v>
      </c>
      <c r="E422">
        <v>99.77</v>
      </c>
      <c r="F422">
        <v>101.5</v>
      </c>
      <c r="G422">
        <v>99.77</v>
      </c>
      <c r="H422">
        <v>101.01</v>
      </c>
      <c r="I422">
        <v>13034</v>
      </c>
      <c r="J422">
        <v>0</v>
      </c>
    </row>
    <row r="423" spans="1:10" x14ac:dyDescent="0.3">
      <c r="A423" s="5" t="s">
        <v>16</v>
      </c>
      <c r="B423" s="5" t="s">
        <v>15</v>
      </c>
      <c r="C423" s="6">
        <v>43634</v>
      </c>
      <c r="D423">
        <v>0</v>
      </c>
      <c r="E423">
        <v>101.1</v>
      </c>
      <c r="F423">
        <v>101.1</v>
      </c>
      <c r="G423">
        <v>100.5</v>
      </c>
      <c r="H423">
        <v>100.83</v>
      </c>
      <c r="I423">
        <v>4264</v>
      </c>
      <c r="J423">
        <v>0</v>
      </c>
    </row>
    <row r="424" spans="1:10" x14ac:dyDescent="0.3">
      <c r="A424" s="5" t="s">
        <v>16</v>
      </c>
      <c r="B424" s="5" t="s">
        <v>15</v>
      </c>
      <c r="C424" s="6">
        <v>43635</v>
      </c>
      <c r="D424">
        <v>0</v>
      </c>
      <c r="E424">
        <v>101.96</v>
      </c>
      <c r="F424">
        <v>101.96</v>
      </c>
      <c r="G424">
        <v>100.72</v>
      </c>
      <c r="H424">
        <v>100.89</v>
      </c>
      <c r="I424">
        <v>7989</v>
      </c>
      <c r="J424">
        <v>0</v>
      </c>
    </row>
    <row r="425" spans="1:10" x14ac:dyDescent="0.3">
      <c r="A425" s="5" t="s">
        <v>16</v>
      </c>
      <c r="B425" s="5" t="s">
        <v>15</v>
      </c>
      <c r="C425" s="6">
        <v>43636</v>
      </c>
      <c r="D425">
        <v>0</v>
      </c>
      <c r="E425">
        <v>101.14</v>
      </c>
      <c r="F425">
        <v>101.3</v>
      </c>
      <c r="G425">
        <v>100.61</v>
      </c>
      <c r="H425">
        <v>101.3</v>
      </c>
      <c r="I425">
        <v>15905</v>
      </c>
      <c r="J425">
        <v>0</v>
      </c>
    </row>
    <row r="426" spans="1:10" x14ac:dyDescent="0.3">
      <c r="A426" s="5" t="s">
        <v>16</v>
      </c>
      <c r="B426" s="5" t="s">
        <v>15</v>
      </c>
      <c r="C426" s="6">
        <v>43637</v>
      </c>
      <c r="D426">
        <v>0</v>
      </c>
      <c r="E426">
        <v>101.37</v>
      </c>
      <c r="F426">
        <v>101.38</v>
      </c>
      <c r="G426">
        <v>100.82</v>
      </c>
      <c r="H426">
        <v>101.18</v>
      </c>
      <c r="I426">
        <v>1373</v>
      </c>
      <c r="J426">
        <v>0</v>
      </c>
    </row>
    <row r="427" spans="1:10" x14ac:dyDescent="0.3">
      <c r="A427" s="5" t="s">
        <v>16</v>
      </c>
      <c r="B427" s="5" t="s">
        <v>15</v>
      </c>
      <c r="C427" s="6">
        <v>43640</v>
      </c>
      <c r="D427">
        <v>0</v>
      </c>
      <c r="E427">
        <v>101.33</v>
      </c>
      <c r="F427">
        <v>101.4</v>
      </c>
      <c r="G427">
        <v>100.92</v>
      </c>
      <c r="H427">
        <v>101.07</v>
      </c>
      <c r="I427">
        <v>4268</v>
      </c>
      <c r="J427">
        <v>0</v>
      </c>
    </row>
    <row r="428" spans="1:10" x14ac:dyDescent="0.3">
      <c r="A428" s="5" t="s">
        <v>16</v>
      </c>
      <c r="B428" s="5" t="s">
        <v>15</v>
      </c>
      <c r="C428" s="6">
        <v>43641</v>
      </c>
      <c r="D428">
        <v>0</v>
      </c>
      <c r="E428">
        <v>100.82</v>
      </c>
      <c r="F428">
        <v>101.33</v>
      </c>
      <c r="G428">
        <v>100.65</v>
      </c>
      <c r="H428">
        <v>101</v>
      </c>
      <c r="I428">
        <v>9823</v>
      </c>
      <c r="J428">
        <v>0</v>
      </c>
    </row>
    <row r="429" spans="1:10" x14ac:dyDescent="0.3">
      <c r="A429" s="5" t="s">
        <v>16</v>
      </c>
      <c r="B429" s="5" t="s">
        <v>15</v>
      </c>
      <c r="C429" s="6">
        <v>43642</v>
      </c>
      <c r="D429">
        <v>0</v>
      </c>
      <c r="E429">
        <v>101.19</v>
      </c>
      <c r="F429">
        <v>101.19</v>
      </c>
      <c r="G429">
        <v>100.69</v>
      </c>
      <c r="H429">
        <v>100.89</v>
      </c>
      <c r="I429">
        <v>12181</v>
      </c>
      <c r="J429">
        <v>0</v>
      </c>
    </row>
    <row r="430" spans="1:10" x14ac:dyDescent="0.3">
      <c r="A430" s="5" t="s">
        <v>16</v>
      </c>
      <c r="B430" s="5" t="s">
        <v>15</v>
      </c>
      <c r="C430" s="6">
        <v>43643</v>
      </c>
      <c r="D430">
        <v>0</v>
      </c>
      <c r="E430">
        <v>100.82</v>
      </c>
      <c r="F430">
        <v>101</v>
      </c>
      <c r="G430">
        <v>100.1</v>
      </c>
      <c r="H430">
        <v>100.75</v>
      </c>
      <c r="I430">
        <v>41812</v>
      </c>
      <c r="J430">
        <v>0</v>
      </c>
    </row>
    <row r="431" spans="1:10" x14ac:dyDescent="0.3">
      <c r="A431" s="5" t="s">
        <v>16</v>
      </c>
      <c r="B431" s="5" t="s">
        <v>15</v>
      </c>
      <c r="C431" s="6">
        <v>43644</v>
      </c>
      <c r="D431">
        <v>0</v>
      </c>
      <c r="E431">
        <v>101.85</v>
      </c>
      <c r="F431">
        <v>101.85</v>
      </c>
      <c r="G431">
        <v>100.46</v>
      </c>
      <c r="H431">
        <v>101.1</v>
      </c>
      <c r="I431">
        <v>16358</v>
      </c>
      <c r="J431">
        <v>0</v>
      </c>
    </row>
    <row r="432" spans="1:10" x14ac:dyDescent="0.3">
      <c r="A432" s="5" t="s">
        <v>16</v>
      </c>
      <c r="B432" s="5" t="s">
        <v>15</v>
      </c>
      <c r="C432" s="6">
        <v>43647</v>
      </c>
      <c r="D432">
        <v>0</v>
      </c>
      <c r="E432">
        <v>102.11</v>
      </c>
      <c r="F432">
        <v>102.11</v>
      </c>
      <c r="G432">
        <v>100.59</v>
      </c>
      <c r="H432">
        <v>101.1</v>
      </c>
      <c r="I432">
        <v>8107</v>
      </c>
      <c r="J432">
        <v>0</v>
      </c>
    </row>
    <row r="433" spans="1:10" x14ac:dyDescent="0.3">
      <c r="A433" s="5" t="s">
        <v>16</v>
      </c>
      <c r="B433" s="5" t="s">
        <v>15</v>
      </c>
      <c r="C433" s="6">
        <v>43648</v>
      </c>
      <c r="D433">
        <v>0</v>
      </c>
      <c r="E433">
        <v>102.3</v>
      </c>
      <c r="F433">
        <v>102.3</v>
      </c>
      <c r="G433">
        <v>100.81</v>
      </c>
      <c r="H433">
        <v>101.1</v>
      </c>
      <c r="I433">
        <v>11948</v>
      </c>
      <c r="J433">
        <v>0</v>
      </c>
    </row>
    <row r="434" spans="1:10" x14ac:dyDescent="0.3">
      <c r="A434" s="5" t="s">
        <v>16</v>
      </c>
      <c r="B434" s="5" t="s">
        <v>15</v>
      </c>
      <c r="C434" s="6">
        <v>43649</v>
      </c>
      <c r="D434">
        <v>0</v>
      </c>
      <c r="E434">
        <v>99.91</v>
      </c>
      <c r="F434">
        <v>101.44</v>
      </c>
      <c r="G434">
        <v>99.91</v>
      </c>
      <c r="H434">
        <v>101.2</v>
      </c>
      <c r="I434">
        <v>2092</v>
      </c>
      <c r="J434">
        <v>0</v>
      </c>
    </row>
    <row r="435" spans="1:10" x14ac:dyDescent="0.3">
      <c r="A435" s="5" t="s">
        <v>16</v>
      </c>
      <c r="B435" s="5" t="s">
        <v>15</v>
      </c>
      <c r="C435" s="6">
        <v>43650</v>
      </c>
      <c r="D435">
        <v>0</v>
      </c>
      <c r="E435">
        <v>100.91</v>
      </c>
      <c r="F435">
        <v>101.38</v>
      </c>
      <c r="G435">
        <v>100.87</v>
      </c>
      <c r="H435">
        <v>100.87</v>
      </c>
      <c r="I435">
        <v>1414</v>
      </c>
      <c r="J435">
        <v>0</v>
      </c>
    </row>
    <row r="436" spans="1:10" x14ac:dyDescent="0.3">
      <c r="A436" s="5" t="s">
        <v>16</v>
      </c>
      <c r="B436" s="5" t="s">
        <v>15</v>
      </c>
      <c r="C436" s="6">
        <v>43651</v>
      </c>
      <c r="D436">
        <v>0</v>
      </c>
      <c r="E436">
        <v>100.76</v>
      </c>
      <c r="F436">
        <v>101</v>
      </c>
      <c r="G436">
        <v>100.76</v>
      </c>
      <c r="H436">
        <v>100.85</v>
      </c>
      <c r="I436">
        <v>2443</v>
      </c>
      <c r="J436">
        <v>0</v>
      </c>
    </row>
    <row r="437" spans="1:10" x14ac:dyDescent="0.3">
      <c r="A437" s="5" t="s">
        <v>16</v>
      </c>
      <c r="B437" s="5" t="s">
        <v>15</v>
      </c>
      <c r="C437" s="6">
        <v>43654</v>
      </c>
      <c r="D437">
        <v>0</v>
      </c>
      <c r="E437">
        <v>101.27</v>
      </c>
      <c r="F437">
        <v>101.27</v>
      </c>
      <c r="G437">
        <v>100.9</v>
      </c>
      <c r="H437">
        <v>100.9</v>
      </c>
      <c r="I437">
        <v>2340</v>
      </c>
      <c r="J437">
        <v>0</v>
      </c>
    </row>
    <row r="438" spans="1:10" x14ac:dyDescent="0.3">
      <c r="A438" s="5" t="s">
        <v>16</v>
      </c>
      <c r="B438" s="5" t="s">
        <v>15</v>
      </c>
      <c r="C438" s="6">
        <v>43655</v>
      </c>
      <c r="D438">
        <v>0</v>
      </c>
      <c r="E438">
        <v>100.76</v>
      </c>
      <c r="F438">
        <v>100.99</v>
      </c>
      <c r="G438">
        <v>100.7</v>
      </c>
      <c r="H438">
        <v>100.8</v>
      </c>
      <c r="I438">
        <v>23792</v>
      </c>
      <c r="J438">
        <v>0</v>
      </c>
    </row>
    <row r="439" spans="1:10" x14ac:dyDescent="0.3">
      <c r="A439" s="5" t="s">
        <v>16</v>
      </c>
      <c r="B439" s="5" t="s">
        <v>15</v>
      </c>
      <c r="C439" s="6">
        <v>43656</v>
      </c>
      <c r="D439">
        <v>0</v>
      </c>
      <c r="E439">
        <v>100.9</v>
      </c>
      <c r="F439">
        <v>101.05</v>
      </c>
      <c r="G439">
        <v>100.75</v>
      </c>
      <c r="H439">
        <v>100.79</v>
      </c>
      <c r="I439">
        <v>4589</v>
      </c>
      <c r="J439">
        <v>0</v>
      </c>
    </row>
    <row r="440" spans="1:10" x14ac:dyDescent="0.3">
      <c r="A440" s="5" t="s">
        <v>16</v>
      </c>
      <c r="B440" s="5" t="s">
        <v>15</v>
      </c>
      <c r="C440" s="6">
        <v>43657</v>
      </c>
      <c r="D440">
        <v>0</v>
      </c>
      <c r="E440">
        <v>100.8</v>
      </c>
      <c r="F440">
        <v>100.8</v>
      </c>
      <c r="G440">
        <v>100.53</v>
      </c>
      <c r="H440">
        <v>100.76</v>
      </c>
      <c r="I440">
        <v>28159</v>
      </c>
      <c r="J440">
        <v>0</v>
      </c>
    </row>
    <row r="441" spans="1:10" x14ac:dyDescent="0.3">
      <c r="A441" s="5" t="s">
        <v>16</v>
      </c>
      <c r="B441" s="5" t="s">
        <v>15</v>
      </c>
      <c r="C441" s="6">
        <v>43658</v>
      </c>
      <c r="D441">
        <v>0</v>
      </c>
      <c r="E441">
        <v>100.91</v>
      </c>
      <c r="F441">
        <v>100.91</v>
      </c>
      <c r="G441">
        <v>100.5</v>
      </c>
      <c r="H441">
        <v>100.86</v>
      </c>
      <c r="I441">
        <v>7496</v>
      </c>
      <c r="J441">
        <v>0</v>
      </c>
    </row>
    <row r="442" spans="1:10" x14ac:dyDescent="0.3">
      <c r="A442" s="5" t="s">
        <v>16</v>
      </c>
      <c r="B442" s="5" t="s">
        <v>15</v>
      </c>
      <c r="C442" s="6">
        <v>43661</v>
      </c>
      <c r="D442">
        <v>0</v>
      </c>
      <c r="E442">
        <v>101.13</v>
      </c>
      <c r="F442">
        <v>101.13</v>
      </c>
      <c r="G442">
        <v>100.5</v>
      </c>
      <c r="H442">
        <v>100.74</v>
      </c>
      <c r="I442">
        <v>11572</v>
      </c>
      <c r="J442">
        <v>0</v>
      </c>
    </row>
    <row r="443" spans="1:10" x14ac:dyDescent="0.3">
      <c r="A443" s="5" t="s">
        <v>16</v>
      </c>
      <c r="B443" s="5" t="s">
        <v>15</v>
      </c>
      <c r="C443" s="6">
        <v>43662</v>
      </c>
      <c r="D443">
        <v>0</v>
      </c>
      <c r="E443">
        <v>101</v>
      </c>
      <c r="F443">
        <v>101</v>
      </c>
      <c r="G443">
        <v>100.52</v>
      </c>
      <c r="H443">
        <v>100.77</v>
      </c>
      <c r="I443">
        <v>23642</v>
      </c>
      <c r="J443">
        <v>0</v>
      </c>
    </row>
    <row r="444" spans="1:10" x14ac:dyDescent="0.3">
      <c r="A444" s="5" t="s">
        <v>16</v>
      </c>
      <c r="B444" s="5" t="s">
        <v>15</v>
      </c>
      <c r="C444" s="6">
        <v>43663</v>
      </c>
      <c r="D444">
        <v>0</v>
      </c>
      <c r="E444">
        <v>100.79</v>
      </c>
      <c r="F444">
        <v>100.79</v>
      </c>
      <c r="G444">
        <v>100.46</v>
      </c>
      <c r="H444">
        <v>100.67</v>
      </c>
      <c r="I444">
        <v>13521</v>
      </c>
      <c r="J444">
        <v>0</v>
      </c>
    </row>
    <row r="445" spans="1:10" x14ac:dyDescent="0.3">
      <c r="A445" s="5" t="s">
        <v>16</v>
      </c>
      <c r="B445" s="5" t="s">
        <v>15</v>
      </c>
      <c r="C445" s="6">
        <v>43664</v>
      </c>
      <c r="D445">
        <v>0</v>
      </c>
      <c r="E445">
        <v>100.98</v>
      </c>
      <c r="F445">
        <v>101.06</v>
      </c>
      <c r="G445">
        <v>100.28</v>
      </c>
      <c r="H445">
        <v>100.7</v>
      </c>
      <c r="I445">
        <v>114367</v>
      </c>
      <c r="J445">
        <v>0</v>
      </c>
    </row>
    <row r="446" spans="1:10" x14ac:dyDescent="0.3">
      <c r="A446" s="5" t="s">
        <v>16</v>
      </c>
      <c r="B446" s="5" t="s">
        <v>15</v>
      </c>
      <c r="C446" s="6">
        <v>43665</v>
      </c>
      <c r="D446">
        <v>0</v>
      </c>
      <c r="E446">
        <v>101</v>
      </c>
      <c r="F446">
        <v>101</v>
      </c>
      <c r="G446">
        <v>100.56</v>
      </c>
      <c r="H446">
        <v>100.7</v>
      </c>
      <c r="I446">
        <v>22639</v>
      </c>
      <c r="J446">
        <v>0</v>
      </c>
    </row>
    <row r="447" spans="1:10" x14ac:dyDescent="0.3">
      <c r="A447" s="5" t="s">
        <v>16</v>
      </c>
      <c r="B447" s="5" t="s">
        <v>15</v>
      </c>
      <c r="C447" s="6">
        <v>43668</v>
      </c>
      <c r="D447">
        <v>0</v>
      </c>
      <c r="E447">
        <v>101</v>
      </c>
      <c r="F447">
        <v>101</v>
      </c>
      <c r="G447">
        <v>100.31</v>
      </c>
      <c r="H447">
        <v>100.7</v>
      </c>
      <c r="I447">
        <v>37040</v>
      </c>
      <c r="J447">
        <v>0</v>
      </c>
    </row>
    <row r="448" spans="1:10" x14ac:dyDescent="0.3">
      <c r="A448" s="5" t="s">
        <v>16</v>
      </c>
      <c r="B448" s="5" t="s">
        <v>15</v>
      </c>
      <c r="C448" s="6">
        <v>43669</v>
      </c>
      <c r="D448">
        <v>0</v>
      </c>
      <c r="E448">
        <v>101.03</v>
      </c>
      <c r="F448">
        <v>101.03</v>
      </c>
      <c r="G448">
        <v>100.56</v>
      </c>
      <c r="H448">
        <v>100.79</v>
      </c>
      <c r="I448">
        <v>11044</v>
      </c>
      <c r="J448">
        <v>0</v>
      </c>
    </row>
    <row r="449" spans="1:10" x14ac:dyDescent="0.3">
      <c r="A449" s="5" t="s">
        <v>16</v>
      </c>
      <c r="B449" s="5" t="s">
        <v>15</v>
      </c>
      <c r="C449" s="6">
        <v>43670</v>
      </c>
      <c r="D449">
        <v>0</v>
      </c>
      <c r="E449">
        <v>100.6</v>
      </c>
      <c r="F449">
        <v>101.13</v>
      </c>
      <c r="G449">
        <v>100.6</v>
      </c>
      <c r="H449">
        <v>100.92</v>
      </c>
      <c r="I449">
        <v>34380</v>
      </c>
      <c r="J449">
        <v>0</v>
      </c>
    </row>
    <row r="450" spans="1:10" x14ac:dyDescent="0.3">
      <c r="A450" s="5" t="s">
        <v>16</v>
      </c>
      <c r="B450" s="5" t="s">
        <v>15</v>
      </c>
      <c r="C450" s="6">
        <v>43671</v>
      </c>
      <c r="D450">
        <v>0</v>
      </c>
      <c r="E450">
        <v>101.25</v>
      </c>
      <c r="F450">
        <v>101.25</v>
      </c>
      <c r="G450">
        <v>100.73</v>
      </c>
      <c r="H450">
        <v>101.02</v>
      </c>
      <c r="I450">
        <v>9639</v>
      </c>
      <c r="J450">
        <v>0</v>
      </c>
    </row>
    <row r="451" spans="1:10" x14ac:dyDescent="0.3">
      <c r="A451" s="5" t="s">
        <v>16</v>
      </c>
      <c r="B451" s="5" t="s">
        <v>15</v>
      </c>
      <c r="C451" s="6">
        <v>43672</v>
      </c>
      <c r="D451">
        <v>0</v>
      </c>
      <c r="E451">
        <v>100.82</v>
      </c>
      <c r="F451">
        <v>101.08</v>
      </c>
      <c r="G451">
        <v>100.82</v>
      </c>
      <c r="H451">
        <v>100.9</v>
      </c>
      <c r="I451">
        <v>18730</v>
      </c>
      <c r="J451">
        <v>0</v>
      </c>
    </row>
    <row r="452" spans="1:10" x14ac:dyDescent="0.3">
      <c r="A452" s="5" t="s">
        <v>16</v>
      </c>
      <c r="B452" s="5" t="s">
        <v>15</v>
      </c>
      <c r="C452" s="6">
        <v>43675</v>
      </c>
      <c r="D452">
        <v>0</v>
      </c>
      <c r="E452">
        <v>100.82</v>
      </c>
      <c r="F452">
        <v>100.89</v>
      </c>
      <c r="G452">
        <v>100.25</v>
      </c>
      <c r="H452">
        <v>100.75</v>
      </c>
      <c r="I452">
        <v>145308</v>
      </c>
      <c r="J452">
        <v>0</v>
      </c>
    </row>
    <row r="453" spans="1:10" x14ac:dyDescent="0.3">
      <c r="A453" s="5" t="s">
        <v>16</v>
      </c>
      <c r="B453" s="5" t="s">
        <v>15</v>
      </c>
      <c r="C453" s="6">
        <v>43676</v>
      </c>
      <c r="D453">
        <v>0</v>
      </c>
      <c r="E453">
        <v>100.62</v>
      </c>
      <c r="F453">
        <v>100.74</v>
      </c>
      <c r="G453">
        <v>100.1</v>
      </c>
      <c r="H453">
        <v>100.65</v>
      </c>
      <c r="I453">
        <v>289087</v>
      </c>
      <c r="J453">
        <v>0</v>
      </c>
    </row>
    <row r="454" spans="1:10" x14ac:dyDescent="0.3">
      <c r="A454" s="5" t="s">
        <v>16</v>
      </c>
      <c r="B454" s="5" t="s">
        <v>15</v>
      </c>
      <c r="C454" s="6">
        <v>43677</v>
      </c>
      <c r="D454">
        <v>0</v>
      </c>
      <c r="E454">
        <v>100.59</v>
      </c>
      <c r="F454">
        <v>100.65</v>
      </c>
      <c r="G454">
        <v>100.12</v>
      </c>
      <c r="H454">
        <v>100.58</v>
      </c>
      <c r="I454">
        <v>261127</v>
      </c>
      <c r="J454">
        <v>0</v>
      </c>
    </row>
    <row r="455" spans="1:10" x14ac:dyDescent="0.3">
      <c r="A455" s="5" t="s">
        <v>16</v>
      </c>
      <c r="B455" s="5" t="s">
        <v>15</v>
      </c>
      <c r="C455" s="6">
        <v>43678</v>
      </c>
      <c r="D455">
        <v>0</v>
      </c>
      <c r="E455">
        <v>100.86</v>
      </c>
      <c r="F455">
        <v>100.86</v>
      </c>
      <c r="G455">
        <v>100.42</v>
      </c>
      <c r="H455">
        <v>100.7</v>
      </c>
      <c r="I455">
        <v>40494</v>
      </c>
      <c r="J455">
        <v>0</v>
      </c>
    </row>
    <row r="456" spans="1:10" x14ac:dyDescent="0.3">
      <c r="A456" s="5" t="s">
        <v>16</v>
      </c>
      <c r="B456" s="5" t="s">
        <v>15</v>
      </c>
      <c r="C456" s="6">
        <v>43679</v>
      </c>
      <c r="D456">
        <v>0</v>
      </c>
      <c r="E456">
        <v>101.04</v>
      </c>
      <c r="F456">
        <v>101.04</v>
      </c>
      <c r="G456">
        <v>100.6</v>
      </c>
      <c r="H456">
        <v>100.7</v>
      </c>
      <c r="I456">
        <v>15796</v>
      </c>
      <c r="J456">
        <v>0</v>
      </c>
    </row>
    <row r="457" spans="1:10" x14ac:dyDescent="0.3">
      <c r="A457" s="5" t="s">
        <v>16</v>
      </c>
      <c r="B457" s="5" t="s">
        <v>15</v>
      </c>
      <c r="C457" s="6">
        <v>43682</v>
      </c>
      <c r="D457">
        <v>0</v>
      </c>
      <c r="E457">
        <v>101</v>
      </c>
      <c r="F457">
        <v>101</v>
      </c>
      <c r="G457">
        <v>100.4</v>
      </c>
      <c r="H457">
        <v>100.74</v>
      </c>
      <c r="I457">
        <v>7764</v>
      </c>
      <c r="J457">
        <v>0</v>
      </c>
    </row>
    <row r="458" spans="1:10" x14ac:dyDescent="0.3">
      <c r="A458" s="5" t="s">
        <v>16</v>
      </c>
      <c r="B458" s="5" t="s">
        <v>15</v>
      </c>
      <c r="C458" s="6">
        <v>43683</v>
      </c>
      <c r="D458">
        <v>0</v>
      </c>
      <c r="E458">
        <v>100.8</v>
      </c>
      <c r="F458">
        <v>100.99</v>
      </c>
      <c r="G458">
        <v>100.56</v>
      </c>
      <c r="H458">
        <v>100.95</v>
      </c>
      <c r="I458">
        <v>51048</v>
      </c>
      <c r="J458">
        <v>0</v>
      </c>
    </row>
    <row r="459" spans="1:10" x14ac:dyDescent="0.3">
      <c r="A459" s="5" t="s">
        <v>16</v>
      </c>
      <c r="B459" s="5" t="s">
        <v>15</v>
      </c>
      <c r="C459" s="6">
        <v>43684</v>
      </c>
      <c r="D459">
        <v>0</v>
      </c>
      <c r="E459">
        <v>100.8</v>
      </c>
      <c r="F459">
        <v>101</v>
      </c>
      <c r="G459">
        <v>100.6</v>
      </c>
      <c r="H459">
        <v>100.87</v>
      </c>
      <c r="I459">
        <v>15169</v>
      </c>
      <c r="J459">
        <v>0</v>
      </c>
    </row>
    <row r="460" spans="1:10" x14ac:dyDescent="0.3">
      <c r="A460" s="5" t="s">
        <v>16</v>
      </c>
      <c r="B460" s="5" t="s">
        <v>15</v>
      </c>
      <c r="C460" s="6">
        <v>43685</v>
      </c>
      <c r="D460">
        <v>0</v>
      </c>
      <c r="E460">
        <v>101.27</v>
      </c>
      <c r="F460">
        <v>101.4</v>
      </c>
      <c r="G460">
        <v>100.87</v>
      </c>
      <c r="H460">
        <v>101.01</v>
      </c>
      <c r="I460">
        <v>47278</v>
      </c>
      <c r="J460">
        <v>0</v>
      </c>
    </row>
    <row r="461" spans="1:10" x14ac:dyDescent="0.3">
      <c r="A461" s="5" t="s">
        <v>16</v>
      </c>
      <c r="B461" s="5" t="s">
        <v>15</v>
      </c>
      <c r="C461" s="6">
        <v>43686</v>
      </c>
      <c r="D461">
        <v>0</v>
      </c>
      <c r="E461">
        <v>101.01</v>
      </c>
      <c r="F461">
        <v>101.52</v>
      </c>
      <c r="G461">
        <v>101</v>
      </c>
      <c r="H461">
        <v>101.2</v>
      </c>
      <c r="I461">
        <v>8178</v>
      </c>
      <c r="J461">
        <v>0</v>
      </c>
    </row>
    <row r="462" spans="1:10" x14ac:dyDescent="0.3">
      <c r="A462" s="5" t="s">
        <v>16</v>
      </c>
      <c r="B462" s="5" t="s">
        <v>15</v>
      </c>
      <c r="C462" s="6">
        <v>43689</v>
      </c>
      <c r="D462">
        <v>0</v>
      </c>
      <c r="E462">
        <v>100.88</v>
      </c>
      <c r="F462">
        <v>101.6</v>
      </c>
      <c r="G462">
        <v>100.88</v>
      </c>
      <c r="H462">
        <v>101.26</v>
      </c>
      <c r="I462">
        <v>18814</v>
      </c>
      <c r="J462">
        <v>0</v>
      </c>
    </row>
    <row r="463" spans="1:10" x14ac:dyDescent="0.3">
      <c r="A463" s="5" t="s">
        <v>16</v>
      </c>
      <c r="B463" s="5" t="s">
        <v>15</v>
      </c>
      <c r="C463" s="6">
        <v>43690</v>
      </c>
      <c r="D463">
        <v>0</v>
      </c>
      <c r="E463">
        <v>100.88</v>
      </c>
      <c r="F463">
        <v>101.58</v>
      </c>
      <c r="G463">
        <v>100.88</v>
      </c>
      <c r="H463">
        <v>101.25</v>
      </c>
      <c r="I463">
        <v>3844</v>
      </c>
      <c r="J463">
        <v>0</v>
      </c>
    </row>
    <row r="464" spans="1:10" x14ac:dyDescent="0.3">
      <c r="A464" s="5" t="s">
        <v>16</v>
      </c>
      <c r="B464" s="5" t="s">
        <v>15</v>
      </c>
      <c r="C464" s="6">
        <v>43691</v>
      </c>
      <c r="D464">
        <v>0</v>
      </c>
      <c r="E464">
        <v>100.83</v>
      </c>
      <c r="F464">
        <v>101.51</v>
      </c>
      <c r="G464">
        <v>100.78</v>
      </c>
      <c r="H464">
        <v>101.14</v>
      </c>
      <c r="I464">
        <v>4995</v>
      </c>
      <c r="J464">
        <v>0</v>
      </c>
    </row>
    <row r="465" spans="1:10" x14ac:dyDescent="0.3">
      <c r="A465" s="5" t="s">
        <v>16</v>
      </c>
      <c r="B465" s="5" t="s">
        <v>15</v>
      </c>
      <c r="C465" s="6">
        <v>43692</v>
      </c>
      <c r="D465">
        <v>0</v>
      </c>
      <c r="E465">
        <v>101.05</v>
      </c>
      <c r="F465">
        <v>101.46</v>
      </c>
      <c r="G465">
        <v>101</v>
      </c>
      <c r="H465">
        <v>101.01</v>
      </c>
      <c r="I465">
        <v>6181</v>
      </c>
      <c r="J465">
        <v>0</v>
      </c>
    </row>
    <row r="466" spans="1:10" x14ac:dyDescent="0.3">
      <c r="A466" s="5" t="s">
        <v>16</v>
      </c>
      <c r="B466" s="5" t="s">
        <v>15</v>
      </c>
      <c r="C466" s="6">
        <v>43693</v>
      </c>
      <c r="D466">
        <v>0</v>
      </c>
      <c r="E466">
        <v>101.5</v>
      </c>
      <c r="F466">
        <v>101.5</v>
      </c>
      <c r="G466">
        <v>100.48</v>
      </c>
      <c r="H466">
        <v>101.23</v>
      </c>
      <c r="I466">
        <v>2225</v>
      </c>
      <c r="J466">
        <v>0</v>
      </c>
    </row>
    <row r="467" spans="1:10" x14ac:dyDescent="0.3">
      <c r="A467" s="5" t="s">
        <v>16</v>
      </c>
      <c r="B467" s="5" t="s">
        <v>15</v>
      </c>
      <c r="C467" s="6">
        <v>43696</v>
      </c>
      <c r="D467">
        <v>0</v>
      </c>
      <c r="E467">
        <v>100.86</v>
      </c>
      <c r="F467">
        <v>101.4</v>
      </c>
      <c r="G467">
        <v>100.85</v>
      </c>
      <c r="H467">
        <v>101.11</v>
      </c>
      <c r="I467">
        <v>4157</v>
      </c>
      <c r="J467">
        <v>0</v>
      </c>
    </row>
    <row r="468" spans="1:10" x14ac:dyDescent="0.3">
      <c r="A468" s="5" t="s">
        <v>16</v>
      </c>
      <c r="B468" s="5" t="s">
        <v>15</v>
      </c>
      <c r="C468" s="6">
        <v>43697</v>
      </c>
      <c r="D468">
        <v>0</v>
      </c>
      <c r="E468">
        <v>100.82</v>
      </c>
      <c r="F468">
        <v>101.4</v>
      </c>
      <c r="G468">
        <v>100.82</v>
      </c>
      <c r="H468">
        <v>101.03</v>
      </c>
      <c r="I468">
        <v>13851</v>
      </c>
      <c r="J468">
        <v>0</v>
      </c>
    </row>
    <row r="469" spans="1:10" x14ac:dyDescent="0.3">
      <c r="A469" s="5" t="s">
        <v>16</v>
      </c>
      <c r="B469" s="5" t="s">
        <v>15</v>
      </c>
      <c r="C469" s="6">
        <v>43698</v>
      </c>
      <c r="D469">
        <v>0</v>
      </c>
      <c r="E469">
        <v>101.46</v>
      </c>
      <c r="F469">
        <v>101.46</v>
      </c>
      <c r="G469">
        <v>100.91</v>
      </c>
      <c r="H469">
        <v>101.15</v>
      </c>
      <c r="I469">
        <v>5453</v>
      </c>
      <c r="J469">
        <v>0</v>
      </c>
    </row>
    <row r="470" spans="1:10" x14ac:dyDescent="0.3">
      <c r="A470" s="5" t="s">
        <v>16</v>
      </c>
      <c r="B470" s="5" t="s">
        <v>15</v>
      </c>
      <c r="C470" s="6">
        <v>43699</v>
      </c>
      <c r="D470">
        <v>0</v>
      </c>
      <c r="E470">
        <v>101.5</v>
      </c>
      <c r="F470">
        <v>101.5</v>
      </c>
      <c r="G470">
        <v>101</v>
      </c>
      <c r="H470">
        <v>101.2</v>
      </c>
      <c r="I470">
        <v>1051</v>
      </c>
      <c r="J470">
        <v>0</v>
      </c>
    </row>
    <row r="471" spans="1:10" x14ac:dyDescent="0.3">
      <c r="A471" s="5" t="s">
        <v>16</v>
      </c>
      <c r="B471" s="5" t="s">
        <v>15</v>
      </c>
      <c r="C471" s="6">
        <v>43700</v>
      </c>
      <c r="D471">
        <v>0</v>
      </c>
      <c r="E471">
        <v>101.52</v>
      </c>
      <c r="F471">
        <v>101.52</v>
      </c>
      <c r="G471">
        <v>100.9</v>
      </c>
      <c r="H471">
        <v>101.24</v>
      </c>
      <c r="I471">
        <v>33152</v>
      </c>
      <c r="J471">
        <v>0</v>
      </c>
    </row>
    <row r="472" spans="1:10" x14ac:dyDescent="0.3">
      <c r="A472" s="5" t="s">
        <v>16</v>
      </c>
      <c r="B472" s="5" t="s">
        <v>15</v>
      </c>
      <c r="C472" s="6">
        <v>43703</v>
      </c>
      <c r="D472">
        <v>0</v>
      </c>
      <c r="E472">
        <v>101.52</v>
      </c>
      <c r="F472">
        <v>101.52</v>
      </c>
      <c r="G472">
        <v>100.77</v>
      </c>
      <c r="H472">
        <v>101.25</v>
      </c>
      <c r="I472">
        <v>4054</v>
      </c>
      <c r="J472">
        <v>0</v>
      </c>
    </row>
    <row r="473" spans="1:10" x14ac:dyDescent="0.3">
      <c r="A473" s="5" t="s">
        <v>16</v>
      </c>
      <c r="B473" s="5" t="s">
        <v>15</v>
      </c>
      <c r="C473" s="6">
        <v>43704</v>
      </c>
      <c r="D473">
        <v>0</v>
      </c>
      <c r="E473">
        <v>101.53</v>
      </c>
      <c r="F473">
        <v>101.53</v>
      </c>
      <c r="G473">
        <v>101</v>
      </c>
      <c r="H473">
        <v>101.08</v>
      </c>
      <c r="I473">
        <v>27290</v>
      </c>
      <c r="J473">
        <v>0</v>
      </c>
    </row>
    <row r="474" spans="1:10" x14ac:dyDescent="0.3">
      <c r="A474" s="5" t="s">
        <v>16</v>
      </c>
      <c r="B474" s="5" t="s">
        <v>15</v>
      </c>
      <c r="C474" s="6">
        <v>43705</v>
      </c>
      <c r="D474">
        <v>0</v>
      </c>
      <c r="E474">
        <v>100.83</v>
      </c>
      <c r="F474">
        <v>101.25</v>
      </c>
      <c r="G474">
        <v>100.33</v>
      </c>
      <c r="H474">
        <v>101.23</v>
      </c>
      <c r="I474">
        <v>14762</v>
      </c>
      <c r="J474">
        <v>0</v>
      </c>
    </row>
    <row r="475" spans="1:10" x14ac:dyDescent="0.3">
      <c r="A475" s="5" t="s">
        <v>16</v>
      </c>
      <c r="B475" s="5" t="s">
        <v>15</v>
      </c>
      <c r="C475" s="6">
        <v>43706</v>
      </c>
      <c r="D475">
        <v>0</v>
      </c>
      <c r="E475">
        <v>101.49</v>
      </c>
      <c r="F475">
        <v>101.49</v>
      </c>
      <c r="G475">
        <v>101</v>
      </c>
      <c r="H475">
        <v>101.2</v>
      </c>
      <c r="I475">
        <v>22317</v>
      </c>
      <c r="J475">
        <v>0</v>
      </c>
    </row>
    <row r="476" spans="1:10" x14ac:dyDescent="0.3">
      <c r="A476" s="5" t="s">
        <v>16</v>
      </c>
      <c r="B476" s="5" t="s">
        <v>15</v>
      </c>
      <c r="C476" s="6">
        <v>43707</v>
      </c>
      <c r="D476">
        <v>0</v>
      </c>
      <c r="E476">
        <v>101.25</v>
      </c>
      <c r="F476">
        <v>101.37</v>
      </c>
      <c r="G476">
        <v>101.06</v>
      </c>
      <c r="H476">
        <v>101.2</v>
      </c>
      <c r="I476">
        <v>11311</v>
      </c>
      <c r="J476">
        <v>0</v>
      </c>
    </row>
    <row r="477" spans="1:10" x14ac:dyDescent="0.3">
      <c r="A477" s="5" t="s">
        <v>16</v>
      </c>
      <c r="B477" s="5" t="s">
        <v>15</v>
      </c>
      <c r="C477" s="6">
        <v>43710</v>
      </c>
      <c r="D477">
        <v>0</v>
      </c>
      <c r="E477">
        <v>101.45</v>
      </c>
      <c r="F477">
        <v>101.45</v>
      </c>
      <c r="G477">
        <v>101</v>
      </c>
      <c r="H477">
        <v>101.23</v>
      </c>
      <c r="I477">
        <v>13232</v>
      </c>
      <c r="J477">
        <v>0</v>
      </c>
    </row>
    <row r="478" spans="1:10" x14ac:dyDescent="0.3">
      <c r="A478" s="5" t="s">
        <v>16</v>
      </c>
      <c r="B478" s="5" t="s">
        <v>15</v>
      </c>
      <c r="C478" s="6">
        <v>43711</v>
      </c>
      <c r="D478">
        <v>0</v>
      </c>
      <c r="E478">
        <v>101.3</v>
      </c>
      <c r="F478">
        <v>101.5</v>
      </c>
      <c r="G478">
        <v>101</v>
      </c>
      <c r="H478">
        <v>101.2</v>
      </c>
      <c r="I478">
        <v>13311</v>
      </c>
      <c r="J478">
        <v>0</v>
      </c>
    </row>
    <row r="479" spans="1:10" x14ac:dyDescent="0.3">
      <c r="A479" s="5" t="s">
        <v>16</v>
      </c>
      <c r="B479" s="5" t="s">
        <v>15</v>
      </c>
      <c r="C479" s="6">
        <v>43712</v>
      </c>
      <c r="D479">
        <v>0</v>
      </c>
      <c r="E479">
        <v>101.1</v>
      </c>
      <c r="F479">
        <v>101.36</v>
      </c>
      <c r="G479">
        <v>101.03</v>
      </c>
      <c r="H479">
        <v>101.35</v>
      </c>
      <c r="I479">
        <v>11662</v>
      </c>
      <c r="J479">
        <v>0</v>
      </c>
    </row>
    <row r="480" spans="1:10" x14ac:dyDescent="0.3">
      <c r="A480" s="5" t="s">
        <v>16</v>
      </c>
      <c r="B480" s="5" t="s">
        <v>15</v>
      </c>
      <c r="C480" s="6">
        <v>43713</v>
      </c>
      <c r="D480">
        <v>0</v>
      </c>
      <c r="E480">
        <v>101.6</v>
      </c>
      <c r="F480">
        <v>101.6</v>
      </c>
      <c r="G480">
        <v>100.81</v>
      </c>
      <c r="H480">
        <v>101.32</v>
      </c>
      <c r="I480">
        <v>4098</v>
      </c>
      <c r="J480">
        <v>0</v>
      </c>
    </row>
    <row r="481" spans="1:10" x14ac:dyDescent="0.3">
      <c r="A481" s="5" t="s">
        <v>16</v>
      </c>
      <c r="B481" s="5" t="s">
        <v>15</v>
      </c>
      <c r="C481" s="6">
        <v>43714</v>
      </c>
      <c r="D481">
        <v>0</v>
      </c>
      <c r="E481">
        <v>101.32</v>
      </c>
      <c r="F481">
        <v>101.41</v>
      </c>
      <c r="G481">
        <v>101.11</v>
      </c>
      <c r="H481">
        <v>101.41</v>
      </c>
      <c r="I481">
        <v>3647</v>
      </c>
      <c r="J481">
        <v>0</v>
      </c>
    </row>
    <row r="482" spans="1:10" x14ac:dyDescent="0.3">
      <c r="A482" s="5" t="s">
        <v>16</v>
      </c>
      <c r="B482" s="5" t="s">
        <v>15</v>
      </c>
      <c r="C482" s="6">
        <v>43717</v>
      </c>
      <c r="D482">
        <v>0</v>
      </c>
      <c r="E482">
        <v>101.01</v>
      </c>
      <c r="F482">
        <v>101.43</v>
      </c>
      <c r="G482">
        <v>101.01</v>
      </c>
      <c r="H482">
        <v>101.2</v>
      </c>
      <c r="I482">
        <v>8610</v>
      </c>
      <c r="J482">
        <v>0</v>
      </c>
    </row>
    <row r="483" spans="1:10" x14ac:dyDescent="0.3">
      <c r="A483" s="5" t="s">
        <v>16</v>
      </c>
      <c r="B483" s="5" t="s">
        <v>15</v>
      </c>
      <c r="C483" s="6">
        <v>43718</v>
      </c>
      <c r="D483">
        <v>0</v>
      </c>
      <c r="E483">
        <v>101.28</v>
      </c>
      <c r="F483">
        <v>101.37</v>
      </c>
      <c r="G483">
        <v>101.06</v>
      </c>
      <c r="H483">
        <v>101.13</v>
      </c>
      <c r="I483">
        <v>5673</v>
      </c>
      <c r="J483">
        <v>0</v>
      </c>
    </row>
    <row r="484" spans="1:10" x14ac:dyDescent="0.3">
      <c r="A484" s="5" t="s">
        <v>16</v>
      </c>
      <c r="B484" s="5" t="s">
        <v>15</v>
      </c>
      <c r="C484" s="6">
        <v>43719</v>
      </c>
      <c r="D484">
        <v>0</v>
      </c>
      <c r="E484">
        <v>101.48</v>
      </c>
      <c r="F484">
        <v>101.48</v>
      </c>
      <c r="G484">
        <v>101</v>
      </c>
      <c r="H484">
        <v>101.28</v>
      </c>
      <c r="I484">
        <v>6748</v>
      </c>
      <c r="J484">
        <v>0</v>
      </c>
    </row>
    <row r="485" spans="1:10" x14ac:dyDescent="0.3">
      <c r="A485" s="5" t="s">
        <v>16</v>
      </c>
      <c r="B485" s="5" t="s">
        <v>15</v>
      </c>
      <c r="C485" s="6">
        <v>43720</v>
      </c>
      <c r="D485">
        <v>0</v>
      </c>
      <c r="E485">
        <v>101.33</v>
      </c>
      <c r="F485">
        <v>101.97</v>
      </c>
      <c r="G485">
        <v>101.15</v>
      </c>
      <c r="H485">
        <v>101.47</v>
      </c>
      <c r="I485">
        <v>28409</v>
      </c>
      <c r="J485">
        <v>0</v>
      </c>
    </row>
    <row r="486" spans="1:10" x14ac:dyDescent="0.3">
      <c r="A486" s="5" t="s">
        <v>16</v>
      </c>
      <c r="B486" s="5" t="s">
        <v>15</v>
      </c>
      <c r="C486" s="6">
        <v>43721</v>
      </c>
      <c r="D486">
        <v>0</v>
      </c>
      <c r="E486">
        <v>101.92</v>
      </c>
      <c r="F486">
        <v>101.92</v>
      </c>
      <c r="G486">
        <v>101</v>
      </c>
      <c r="H486">
        <v>101.31</v>
      </c>
      <c r="I486">
        <v>25391</v>
      </c>
      <c r="J486">
        <v>0</v>
      </c>
    </row>
    <row r="487" spans="1:10" x14ac:dyDescent="0.3">
      <c r="A487" s="5" t="s">
        <v>16</v>
      </c>
      <c r="B487" s="5" t="s">
        <v>15</v>
      </c>
      <c r="C487" s="6">
        <v>43724</v>
      </c>
      <c r="D487">
        <v>0</v>
      </c>
      <c r="E487">
        <v>101.47</v>
      </c>
      <c r="F487">
        <v>101.47</v>
      </c>
      <c r="G487">
        <v>100.64</v>
      </c>
      <c r="H487">
        <v>101.21</v>
      </c>
      <c r="I487">
        <v>9412</v>
      </c>
      <c r="J487">
        <v>0</v>
      </c>
    </row>
    <row r="488" spans="1:10" x14ac:dyDescent="0.3">
      <c r="A488" s="5" t="s">
        <v>16</v>
      </c>
      <c r="B488" s="5" t="s">
        <v>15</v>
      </c>
      <c r="C488" s="6">
        <v>43725</v>
      </c>
      <c r="D488">
        <v>0</v>
      </c>
      <c r="E488">
        <v>101.48</v>
      </c>
      <c r="F488">
        <v>101.48</v>
      </c>
      <c r="G488">
        <v>101.02</v>
      </c>
      <c r="H488">
        <v>101.2</v>
      </c>
      <c r="I488">
        <v>4403</v>
      </c>
      <c r="J488">
        <v>0</v>
      </c>
    </row>
    <row r="489" spans="1:10" x14ac:dyDescent="0.3">
      <c r="A489" s="5" t="s">
        <v>16</v>
      </c>
      <c r="B489" s="5" t="s">
        <v>15</v>
      </c>
      <c r="C489" s="6">
        <v>43726</v>
      </c>
      <c r="D489">
        <v>0</v>
      </c>
      <c r="E489">
        <v>100.9</v>
      </c>
      <c r="F489">
        <v>101.42</v>
      </c>
      <c r="G489">
        <v>100.9</v>
      </c>
      <c r="H489">
        <v>101.2</v>
      </c>
      <c r="I489">
        <v>19339</v>
      </c>
      <c r="J489">
        <v>0</v>
      </c>
    </row>
    <row r="490" spans="1:10" x14ac:dyDescent="0.3">
      <c r="A490" s="5" t="s">
        <v>16</v>
      </c>
      <c r="B490" s="5" t="s">
        <v>15</v>
      </c>
      <c r="C490" s="6">
        <v>43727</v>
      </c>
      <c r="D490">
        <v>0</v>
      </c>
      <c r="E490">
        <v>101.54</v>
      </c>
      <c r="F490">
        <v>101.54</v>
      </c>
      <c r="G490">
        <v>101.07</v>
      </c>
      <c r="H490">
        <v>101.35</v>
      </c>
      <c r="I490">
        <v>4757</v>
      </c>
      <c r="J490">
        <v>0</v>
      </c>
    </row>
    <row r="491" spans="1:10" x14ac:dyDescent="0.3">
      <c r="A491" s="5" t="s">
        <v>16</v>
      </c>
      <c r="B491" s="5" t="s">
        <v>15</v>
      </c>
      <c r="C491" s="6">
        <v>43728</v>
      </c>
      <c r="D491">
        <v>0</v>
      </c>
      <c r="E491">
        <v>101.62</v>
      </c>
      <c r="F491">
        <v>101.62</v>
      </c>
      <c r="G491">
        <v>101.17</v>
      </c>
      <c r="H491">
        <v>101.36</v>
      </c>
      <c r="I491">
        <v>3891</v>
      </c>
      <c r="J491">
        <v>0</v>
      </c>
    </row>
    <row r="492" spans="1:10" x14ac:dyDescent="0.3">
      <c r="A492" s="5" t="s">
        <v>16</v>
      </c>
      <c r="B492" s="5" t="s">
        <v>15</v>
      </c>
      <c r="C492" s="6">
        <v>43731</v>
      </c>
      <c r="D492">
        <v>0</v>
      </c>
      <c r="E492">
        <v>101.36</v>
      </c>
      <c r="F492">
        <v>101.36</v>
      </c>
      <c r="G492">
        <v>101</v>
      </c>
      <c r="H492">
        <v>101.29</v>
      </c>
      <c r="I492">
        <v>8276</v>
      </c>
      <c r="J492">
        <v>0</v>
      </c>
    </row>
    <row r="493" spans="1:10" x14ac:dyDescent="0.3">
      <c r="A493" s="5" t="s">
        <v>16</v>
      </c>
      <c r="B493" s="5" t="s">
        <v>15</v>
      </c>
      <c r="C493" s="6">
        <v>43732</v>
      </c>
      <c r="D493">
        <v>0</v>
      </c>
      <c r="E493">
        <v>101.01</v>
      </c>
      <c r="F493">
        <v>101.39</v>
      </c>
      <c r="G493">
        <v>101.01</v>
      </c>
      <c r="H493">
        <v>101.34</v>
      </c>
      <c r="I493">
        <v>7234</v>
      </c>
      <c r="J493">
        <v>0</v>
      </c>
    </row>
    <row r="494" spans="1:10" x14ac:dyDescent="0.3">
      <c r="A494" s="5" t="s">
        <v>16</v>
      </c>
      <c r="B494" s="5" t="s">
        <v>15</v>
      </c>
      <c r="C494" s="6">
        <v>43733</v>
      </c>
      <c r="D494">
        <v>0</v>
      </c>
      <c r="E494">
        <v>101.39</v>
      </c>
      <c r="F494">
        <v>101.39</v>
      </c>
      <c r="G494">
        <v>101.03</v>
      </c>
      <c r="H494">
        <v>101.31</v>
      </c>
      <c r="I494">
        <v>4081</v>
      </c>
      <c r="J494">
        <v>0</v>
      </c>
    </row>
    <row r="495" spans="1:10" x14ac:dyDescent="0.3">
      <c r="A495" s="5" t="s">
        <v>16</v>
      </c>
      <c r="B495" s="5" t="s">
        <v>15</v>
      </c>
      <c r="C495" s="6">
        <v>43734</v>
      </c>
      <c r="D495">
        <v>0</v>
      </c>
      <c r="E495">
        <v>101.13</v>
      </c>
      <c r="F495">
        <v>101.38</v>
      </c>
      <c r="G495">
        <v>100.83</v>
      </c>
      <c r="H495">
        <v>101.38</v>
      </c>
      <c r="I495">
        <v>8751</v>
      </c>
      <c r="J495">
        <v>0</v>
      </c>
    </row>
    <row r="496" spans="1:10" x14ac:dyDescent="0.3">
      <c r="A496" s="5" t="s">
        <v>16</v>
      </c>
      <c r="B496" s="5" t="s">
        <v>15</v>
      </c>
      <c r="C496" s="6">
        <v>43735</v>
      </c>
      <c r="D496">
        <v>0</v>
      </c>
      <c r="E496">
        <v>101.35</v>
      </c>
      <c r="F496">
        <v>101.44</v>
      </c>
      <c r="G496">
        <v>101.2</v>
      </c>
      <c r="H496">
        <v>101.3</v>
      </c>
      <c r="I496">
        <v>1645</v>
      </c>
      <c r="J496">
        <v>0</v>
      </c>
    </row>
    <row r="497" spans="1:10" x14ac:dyDescent="0.3">
      <c r="A497" s="5" t="s">
        <v>16</v>
      </c>
      <c r="B497" s="5" t="s">
        <v>15</v>
      </c>
      <c r="C497" s="6">
        <v>43738</v>
      </c>
      <c r="D497">
        <v>0</v>
      </c>
      <c r="E497">
        <v>101.65</v>
      </c>
      <c r="F497">
        <v>101.65</v>
      </c>
      <c r="G497">
        <v>101.07</v>
      </c>
      <c r="H497">
        <v>101.27</v>
      </c>
      <c r="I497">
        <v>5136</v>
      </c>
      <c r="J497">
        <v>0</v>
      </c>
    </row>
    <row r="498" spans="1:10" x14ac:dyDescent="0.3">
      <c r="A498" s="5" t="s">
        <v>16</v>
      </c>
      <c r="B498" s="5" t="s">
        <v>15</v>
      </c>
      <c r="C498" s="6">
        <v>43739</v>
      </c>
      <c r="D498">
        <v>0</v>
      </c>
      <c r="E498">
        <v>101.56</v>
      </c>
      <c r="F498">
        <v>101.56</v>
      </c>
      <c r="G498">
        <v>101.15</v>
      </c>
      <c r="H498">
        <v>101.3</v>
      </c>
      <c r="I498">
        <v>5289</v>
      </c>
      <c r="J498">
        <v>0</v>
      </c>
    </row>
    <row r="499" spans="1:10" x14ac:dyDescent="0.3">
      <c r="A499" s="5" t="s">
        <v>16</v>
      </c>
      <c r="B499" s="5" t="s">
        <v>15</v>
      </c>
      <c r="C499" s="6">
        <v>43740</v>
      </c>
      <c r="D499">
        <v>0</v>
      </c>
      <c r="E499">
        <v>101.7</v>
      </c>
      <c r="F499">
        <v>101.7</v>
      </c>
      <c r="G499">
        <v>101.16</v>
      </c>
      <c r="H499">
        <v>101.23</v>
      </c>
      <c r="I499">
        <v>20286</v>
      </c>
      <c r="J499">
        <v>0</v>
      </c>
    </row>
    <row r="500" spans="1:10" x14ac:dyDescent="0.3">
      <c r="A500" s="5" t="s">
        <v>16</v>
      </c>
      <c r="B500" s="5" t="s">
        <v>15</v>
      </c>
      <c r="C500" s="6">
        <v>43741</v>
      </c>
      <c r="D500">
        <v>0</v>
      </c>
      <c r="E500">
        <v>101.12</v>
      </c>
      <c r="F500">
        <v>101.58</v>
      </c>
      <c r="G500">
        <v>101.12</v>
      </c>
      <c r="H500">
        <v>101.28</v>
      </c>
      <c r="I500">
        <v>7705</v>
      </c>
      <c r="J500">
        <v>0</v>
      </c>
    </row>
    <row r="501" spans="1:10" x14ac:dyDescent="0.3">
      <c r="A501" s="5" t="s">
        <v>16</v>
      </c>
      <c r="B501" s="5" t="s">
        <v>15</v>
      </c>
      <c r="C501" s="6">
        <v>43742</v>
      </c>
      <c r="D501">
        <v>0</v>
      </c>
      <c r="E501">
        <v>101.28</v>
      </c>
      <c r="F501">
        <v>101.46</v>
      </c>
      <c r="G501">
        <v>101.16</v>
      </c>
      <c r="H501">
        <v>101.31</v>
      </c>
      <c r="I501">
        <v>6919</v>
      </c>
      <c r="J501">
        <v>0</v>
      </c>
    </row>
    <row r="502" spans="1:10" x14ac:dyDescent="0.3">
      <c r="A502" s="5" t="s">
        <v>16</v>
      </c>
      <c r="B502" s="5" t="s">
        <v>15</v>
      </c>
      <c r="C502" s="6">
        <v>43745</v>
      </c>
      <c r="D502">
        <v>0</v>
      </c>
      <c r="E502">
        <v>101.65</v>
      </c>
      <c r="F502">
        <v>101.74</v>
      </c>
      <c r="G502">
        <v>101.26</v>
      </c>
      <c r="H502">
        <v>101.41</v>
      </c>
      <c r="I502">
        <v>3429</v>
      </c>
      <c r="J502">
        <v>0</v>
      </c>
    </row>
    <row r="503" spans="1:10" x14ac:dyDescent="0.3">
      <c r="A503" s="5" t="s">
        <v>16</v>
      </c>
      <c r="B503" s="5" t="s">
        <v>15</v>
      </c>
      <c r="C503" s="6">
        <v>43746</v>
      </c>
      <c r="D503">
        <v>0</v>
      </c>
      <c r="E503">
        <v>101.49</v>
      </c>
      <c r="F503">
        <v>101.86</v>
      </c>
      <c r="G503">
        <v>101.45</v>
      </c>
      <c r="H503">
        <v>101.48</v>
      </c>
      <c r="I503">
        <v>1592</v>
      </c>
      <c r="J503">
        <v>0</v>
      </c>
    </row>
    <row r="504" spans="1:10" x14ac:dyDescent="0.3">
      <c r="A504" s="5" t="s">
        <v>16</v>
      </c>
      <c r="B504" s="5" t="s">
        <v>15</v>
      </c>
      <c r="C504" s="6">
        <v>43747</v>
      </c>
      <c r="D504">
        <v>0</v>
      </c>
      <c r="E504">
        <v>101.23</v>
      </c>
      <c r="F504">
        <v>101.75</v>
      </c>
      <c r="G504">
        <v>101.23</v>
      </c>
      <c r="H504">
        <v>101.72</v>
      </c>
      <c r="I504">
        <v>2750</v>
      </c>
      <c r="J504">
        <v>0</v>
      </c>
    </row>
    <row r="505" spans="1:10" x14ac:dyDescent="0.3">
      <c r="A505" s="5" t="s">
        <v>16</v>
      </c>
      <c r="B505" s="5" t="s">
        <v>15</v>
      </c>
      <c r="C505" s="6">
        <v>43748</v>
      </c>
      <c r="D505">
        <v>0</v>
      </c>
      <c r="E505">
        <v>101.43</v>
      </c>
      <c r="F505">
        <v>101.79</v>
      </c>
      <c r="G505">
        <v>101.43</v>
      </c>
      <c r="H505">
        <v>101.76</v>
      </c>
      <c r="I505">
        <v>1750</v>
      </c>
      <c r="J505">
        <v>0</v>
      </c>
    </row>
    <row r="506" spans="1:10" x14ac:dyDescent="0.3">
      <c r="A506" s="5" t="s">
        <v>16</v>
      </c>
      <c r="B506" s="5" t="s">
        <v>15</v>
      </c>
      <c r="C506" s="6">
        <v>43749</v>
      </c>
      <c r="D506">
        <v>0</v>
      </c>
      <c r="E506">
        <v>101.63</v>
      </c>
      <c r="F506">
        <v>101.63</v>
      </c>
      <c r="G506">
        <v>101.22</v>
      </c>
      <c r="H506">
        <v>101.28</v>
      </c>
      <c r="I506">
        <v>11377</v>
      </c>
      <c r="J506">
        <v>0</v>
      </c>
    </row>
    <row r="507" spans="1:10" x14ac:dyDescent="0.3">
      <c r="A507" s="5" t="s">
        <v>16</v>
      </c>
      <c r="B507" s="5" t="s">
        <v>15</v>
      </c>
      <c r="C507" s="6">
        <v>43752</v>
      </c>
      <c r="D507">
        <v>0</v>
      </c>
      <c r="E507">
        <v>101.64</v>
      </c>
      <c r="F507">
        <v>101.64</v>
      </c>
      <c r="G507">
        <v>101.16</v>
      </c>
      <c r="H507">
        <v>101.36</v>
      </c>
      <c r="I507">
        <v>8304</v>
      </c>
      <c r="J507">
        <v>0</v>
      </c>
    </row>
    <row r="508" spans="1:10" x14ac:dyDescent="0.3">
      <c r="A508" s="5" t="s">
        <v>16</v>
      </c>
      <c r="B508" s="5" t="s">
        <v>15</v>
      </c>
      <c r="C508" s="6">
        <v>43753</v>
      </c>
      <c r="D508">
        <v>0</v>
      </c>
      <c r="E508">
        <v>101.66</v>
      </c>
      <c r="F508">
        <v>101.66</v>
      </c>
      <c r="G508">
        <v>101.22</v>
      </c>
      <c r="H508">
        <v>101.5</v>
      </c>
      <c r="I508">
        <v>22234</v>
      </c>
      <c r="J508">
        <v>0</v>
      </c>
    </row>
    <row r="509" spans="1:10" x14ac:dyDescent="0.3">
      <c r="A509" s="5" t="s">
        <v>16</v>
      </c>
      <c r="B509" s="5" t="s">
        <v>15</v>
      </c>
      <c r="C509" s="6">
        <v>43754</v>
      </c>
      <c r="D509">
        <v>0</v>
      </c>
      <c r="E509">
        <v>101.17</v>
      </c>
      <c r="F509">
        <v>101.98</v>
      </c>
      <c r="G509">
        <v>101.17</v>
      </c>
      <c r="H509">
        <v>101.59</v>
      </c>
      <c r="I509">
        <v>34957</v>
      </c>
      <c r="J509">
        <v>0</v>
      </c>
    </row>
    <row r="510" spans="1:10" x14ac:dyDescent="0.3">
      <c r="A510" s="5" t="s">
        <v>16</v>
      </c>
      <c r="B510" s="5" t="s">
        <v>15</v>
      </c>
      <c r="C510" s="6">
        <v>43755</v>
      </c>
      <c r="D510">
        <v>0</v>
      </c>
      <c r="E510">
        <v>101.82</v>
      </c>
      <c r="F510">
        <v>101.82</v>
      </c>
      <c r="G510">
        <v>101</v>
      </c>
      <c r="H510">
        <v>101.58</v>
      </c>
      <c r="I510">
        <v>22785</v>
      </c>
      <c r="J510">
        <v>0</v>
      </c>
    </row>
    <row r="511" spans="1:10" x14ac:dyDescent="0.3">
      <c r="A511" s="5" t="s">
        <v>16</v>
      </c>
      <c r="B511" s="5" t="s">
        <v>15</v>
      </c>
      <c r="C511" s="6">
        <v>43756</v>
      </c>
      <c r="D511">
        <v>0</v>
      </c>
      <c r="E511">
        <v>101.99</v>
      </c>
      <c r="F511">
        <v>101.99</v>
      </c>
      <c r="G511">
        <v>101.38</v>
      </c>
      <c r="H511">
        <v>101.74</v>
      </c>
      <c r="I511">
        <v>7648</v>
      </c>
      <c r="J511">
        <v>0</v>
      </c>
    </row>
    <row r="512" spans="1:10" x14ac:dyDescent="0.3">
      <c r="A512" s="5" t="s">
        <v>16</v>
      </c>
      <c r="B512" s="5" t="s">
        <v>15</v>
      </c>
      <c r="C512" s="6">
        <v>43759</v>
      </c>
      <c r="D512">
        <v>0</v>
      </c>
      <c r="E512">
        <v>101.72</v>
      </c>
      <c r="F512">
        <v>101.83</v>
      </c>
      <c r="G512">
        <v>101.61</v>
      </c>
      <c r="H512">
        <v>101.8</v>
      </c>
      <c r="I512">
        <v>6467</v>
      </c>
      <c r="J512">
        <v>0</v>
      </c>
    </row>
    <row r="513" spans="1:10" x14ac:dyDescent="0.3">
      <c r="A513" s="5" t="s">
        <v>16</v>
      </c>
      <c r="B513" s="5" t="s">
        <v>15</v>
      </c>
      <c r="C513" s="6">
        <v>43760</v>
      </c>
      <c r="D513">
        <v>0</v>
      </c>
      <c r="E513">
        <v>102.12</v>
      </c>
      <c r="F513">
        <v>102.12</v>
      </c>
      <c r="G513">
        <v>101.65</v>
      </c>
      <c r="H513">
        <v>101.65</v>
      </c>
      <c r="I513">
        <v>49049</v>
      </c>
      <c r="J513">
        <v>0</v>
      </c>
    </row>
    <row r="514" spans="1:10" x14ac:dyDescent="0.3">
      <c r="A514" s="5" t="s">
        <v>16</v>
      </c>
      <c r="B514" s="5" t="s">
        <v>15</v>
      </c>
      <c r="C514" s="6">
        <v>43761</v>
      </c>
      <c r="D514">
        <v>0</v>
      </c>
      <c r="E514">
        <v>101.97</v>
      </c>
      <c r="F514">
        <v>101.97</v>
      </c>
      <c r="G514">
        <v>101.25</v>
      </c>
      <c r="H514">
        <v>101.74</v>
      </c>
      <c r="I514">
        <v>26327</v>
      </c>
      <c r="J514">
        <v>0</v>
      </c>
    </row>
    <row r="515" spans="1:10" x14ac:dyDescent="0.3">
      <c r="A515" s="5" t="s">
        <v>16</v>
      </c>
      <c r="B515" s="5" t="s">
        <v>15</v>
      </c>
      <c r="C515" s="6">
        <v>43762</v>
      </c>
      <c r="D515">
        <v>0</v>
      </c>
      <c r="E515">
        <v>101.75</v>
      </c>
      <c r="F515">
        <v>101.78</v>
      </c>
      <c r="G515">
        <v>101.5</v>
      </c>
      <c r="H515">
        <v>101.69</v>
      </c>
      <c r="I515">
        <v>19741</v>
      </c>
      <c r="J515">
        <v>0</v>
      </c>
    </row>
    <row r="516" spans="1:10" x14ac:dyDescent="0.3">
      <c r="A516" s="5" t="s">
        <v>16</v>
      </c>
      <c r="B516" s="5" t="s">
        <v>15</v>
      </c>
      <c r="C516" s="6">
        <v>43763</v>
      </c>
      <c r="D516">
        <v>0</v>
      </c>
      <c r="E516">
        <v>101.48</v>
      </c>
      <c r="F516">
        <v>101.89</v>
      </c>
      <c r="G516">
        <v>101.48</v>
      </c>
      <c r="H516">
        <v>101.89</v>
      </c>
      <c r="I516">
        <v>33759</v>
      </c>
      <c r="J516">
        <v>0</v>
      </c>
    </row>
    <row r="517" spans="1:10" x14ac:dyDescent="0.3">
      <c r="A517" s="5" t="s">
        <v>16</v>
      </c>
      <c r="B517" s="5" t="s">
        <v>15</v>
      </c>
      <c r="C517" s="6">
        <v>43766</v>
      </c>
      <c r="D517">
        <v>0</v>
      </c>
      <c r="E517">
        <v>102.19</v>
      </c>
      <c r="F517">
        <v>102.19</v>
      </c>
      <c r="G517">
        <v>101.62</v>
      </c>
      <c r="H517">
        <v>101.78</v>
      </c>
      <c r="I517">
        <v>12444</v>
      </c>
      <c r="J517">
        <v>0</v>
      </c>
    </row>
    <row r="518" spans="1:10" x14ac:dyDescent="0.3">
      <c r="A518" s="5" t="s">
        <v>16</v>
      </c>
      <c r="B518" s="5" t="s">
        <v>15</v>
      </c>
      <c r="C518" s="6">
        <v>43767</v>
      </c>
      <c r="D518">
        <v>0</v>
      </c>
      <c r="E518">
        <v>102.23</v>
      </c>
      <c r="F518">
        <v>102.23</v>
      </c>
      <c r="G518">
        <v>101.11</v>
      </c>
      <c r="H518">
        <v>101.78</v>
      </c>
      <c r="I518">
        <v>20205</v>
      </c>
      <c r="J518">
        <v>0</v>
      </c>
    </row>
    <row r="519" spans="1:10" x14ac:dyDescent="0.3">
      <c r="A519" s="5" t="s">
        <v>16</v>
      </c>
      <c r="B519" s="5" t="s">
        <v>15</v>
      </c>
      <c r="C519" s="6">
        <v>43768</v>
      </c>
      <c r="D519">
        <v>0</v>
      </c>
      <c r="E519">
        <v>102.06</v>
      </c>
      <c r="F519">
        <v>102.06</v>
      </c>
      <c r="G519">
        <v>101.7</v>
      </c>
      <c r="H519">
        <v>101.77</v>
      </c>
      <c r="I519">
        <v>1461</v>
      </c>
      <c r="J519">
        <v>0</v>
      </c>
    </row>
    <row r="520" spans="1:10" x14ac:dyDescent="0.3">
      <c r="A520" s="5" t="s">
        <v>16</v>
      </c>
      <c r="B520" s="5" t="s">
        <v>15</v>
      </c>
      <c r="C520" s="6">
        <v>43769</v>
      </c>
      <c r="D520">
        <v>0</v>
      </c>
      <c r="E520">
        <v>101.77</v>
      </c>
      <c r="F520">
        <v>101.78</v>
      </c>
      <c r="G520">
        <v>101.44</v>
      </c>
      <c r="H520">
        <v>101.6</v>
      </c>
      <c r="I520">
        <v>16287</v>
      </c>
      <c r="J520">
        <v>0</v>
      </c>
    </row>
    <row r="521" spans="1:10" x14ac:dyDescent="0.3">
      <c r="A521" s="5" t="s">
        <v>16</v>
      </c>
      <c r="B521" s="5" t="s">
        <v>15</v>
      </c>
      <c r="C521" s="6">
        <v>43770</v>
      </c>
      <c r="D521">
        <v>0</v>
      </c>
      <c r="E521">
        <v>101.91</v>
      </c>
      <c r="F521">
        <v>101.91</v>
      </c>
      <c r="G521">
        <v>101.55</v>
      </c>
      <c r="H521">
        <v>101.76</v>
      </c>
      <c r="I521">
        <v>9997</v>
      </c>
      <c r="J521">
        <v>0</v>
      </c>
    </row>
    <row r="522" spans="1:10" x14ac:dyDescent="0.3">
      <c r="A522" s="5" t="s">
        <v>16</v>
      </c>
      <c r="B522" s="5" t="s">
        <v>15</v>
      </c>
      <c r="C522" s="6">
        <v>43774</v>
      </c>
      <c r="D522">
        <v>0</v>
      </c>
      <c r="E522">
        <v>101.6</v>
      </c>
      <c r="F522">
        <v>101.76</v>
      </c>
      <c r="G522">
        <v>101.17</v>
      </c>
      <c r="H522">
        <v>101.6</v>
      </c>
      <c r="I522">
        <v>20367</v>
      </c>
      <c r="J522">
        <v>0</v>
      </c>
    </row>
    <row r="523" spans="1:10" x14ac:dyDescent="0.3">
      <c r="A523" s="5" t="s">
        <v>16</v>
      </c>
      <c r="B523" s="5" t="s">
        <v>15</v>
      </c>
      <c r="C523" s="6">
        <v>43775</v>
      </c>
      <c r="D523">
        <v>0</v>
      </c>
      <c r="E523">
        <v>101.51</v>
      </c>
      <c r="F523">
        <v>101.7</v>
      </c>
      <c r="G523">
        <v>101.51</v>
      </c>
      <c r="H523">
        <v>101.68</v>
      </c>
      <c r="I523">
        <v>16539</v>
      </c>
      <c r="J523">
        <v>0</v>
      </c>
    </row>
    <row r="524" spans="1:10" x14ac:dyDescent="0.3">
      <c r="A524" s="5" t="s">
        <v>16</v>
      </c>
      <c r="B524" s="5" t="s">
        <v>15</v>
      </c>
      <c r="C524" s="6">
        <v>43776</v>
      </c>
      <c r="D524">
        <v>0</v>
      </c>
      <c r="E524">
        <v>101.94</v>
      </c>
      <c r="F524">
        <v>101.94</v>
      </c>
      <c r="G524">
        <v>101.51</v>
      </c>
      <c r="H524">
        <v>101.65</v>
      </c>
      <c r="I524">
        <v>10786</v>
      </c>
      <c r="J524">
        <v>0</v>
      </c>
    </row>
    <row r="525" spans="1:10" x14ac:dyDescent="0.3">
      <c r="A525" s="5" t="s">
        <v>16</v>
      </c>
      <c r="B525" s="5" t="s">
        <v>15</v>
      </c>
      <c r="C525" s="6">
        <v>43777</v>
      </c>
      <c r="D525">
        <v>0</v>
      </c>
      <c r="E525">
        <v>101.99</v>
      </c>
      <c r="F525">
        <v>101.99</v>
      </c>
      <c r="G525">
        <v>101.65</v>
      </c>
      <c r="H525">
        <v>101.76</v>
      </c>
      <c r="I525">
        <v>11271</v>
      </c>
      <c r="J525">
        <v>0</v>
      </c>
    </row>
    <row r="526" spans="1:10" x14ac:dyDescent="0.3">
      <c r="A526" s="5" t="s">
        <v>16</v>
      </c>
      <c r="B526" s="5" t="s">
        <v>15</v>
      </c>
      <c r="C526" s="6">
        <v>43780</v>
      </c>
      <c r="D526">
        <v>0</v>
      </c>
      <c r="E526">
        <v>101.83</v>
      </c>
      <c r="F526">
        <v>101.87</v>
      </c>
      <c r="G526">
        <v>101.46</v>
      </c>
      <c r="H526">
        <v>101.84</v>
      </c>
      <c r="I526">
        <v>7673</v>
      </c>
      <c r="J526">
        <v>0</v>
      </c>
    </row>
    <row r="527" spans="1:10" x14ac:dyDescent="0.3">
      <c r="A527" s="5" t="s">
        <v>16</v>
      </c>
      <c r="B527" s="5" t="s">
        <v>15</v>
      </c>
      <c r="C527" s="6">
        <v>43781</v>
      </c>
      <c r="D527">
        <v>0</v>
      </c>
      <c r="E527">
        <v>101.55</v>
      </c>
      <c r="F527">
        <v>101.95</v>
      </c>
      <c r="G527">
        <v>101.36</v>
      </c>
      <c r="H527">
        <v>101.9</v>
      </c>
      <c r="I527">
        <v>7102</v>
      </c>
      <c r="J527">
        <v>0</v>
      </c>
    </row>
    <row r="528" spans="1:10" x14ac:dyDescent="0.3">
      <c r="A528" s="5" t="s">
        <v>16</v>
      </c>
      <c r="B528" s="5" t="s">
        <v>15</v>
      </c>
      <c r="C528" s="6">
        <v>43782</v>
      </c>
      <c r="D528">
        <v>0</v>
      </c>
      <c r="E528">
        <v>101.66</v>
      </c>
      <c r="F528">
        <v>101.97</v>
      </c>
      <c r="G528">
        <v>101.65</v>
      </c>
      <c r="H528">
        <v>101.85</v>
      </c>
      <c r="I528">
        <v>6827</v>
      </c>
      <c r="J528">
        <v>0</v>
      </c>
    </row>
    <row r="529" spans="1:10" x14ac:dyDescent="0.3">
      <c r="A529" s="5" t="s">
        <v>16</v>
      </c>
      <c r="B529" s="5" t="s">
        <v>15</v>
      </c>
      <c r="C529" s="6">
        <v>43783</v>
      </c>
      <c r="D529">
        <v>0</v>
      </c>
      <c r="E529">
        <v>102.08</v>
      </c>
      <c r="F529">
        <v>102.08</v>
      </c>
      <c r="G529">
        <v>101.23</v>
      </c>
      <c r="H529">
        <v>101.73</v>
      </c>
      <c r="I529">
        <v>11749</v>
      </c>
      <c r="J529">
        <v>0</v>
      </c>
    </row>
    <row r="530" spans="1:10" x14ac:dyDescent="0.3">
      <c r="A530" s="5" t="s">
        <v>16</v>
      </c>
      <c r="B530" s="5" t="s">
        <v>15</v>
      </c>
      <c r="C530" s="6">
        <v>43784</v>
      </c>
      <c r="D530">
        <v>0</v>
      </c>
      <c r="E530">
        <v>102.01</v>
      </c>
      <c r="F530">
        <v>102.01</v>
      </c>
      <c r="G530">
        <v>101.3</v>
      </c>
      <c r="H530">
        <v>101.75</v>
      </c>
      <c r="I530">
        <v>5918</v>
      </c>
      <c r="J530">
        <v>0</v>
      </c>
    </row>
    <row r="531" spans="1:10" x14ac:dyDescent="0.3">
      <c r="A531" s="5" t="s">
        <v>16</v>
      </c>
      <c r="B531" s="5" t="s">
        <v>15</v>
      </c>
      <c r="C531" s="6">
        <v>43787</v>
      </c>
      <c r="D531">
        <v>0</v>
      </c>
      <c r="E531">
        <v>102</v>
      </c>
      <c r="F531">
        <v>102</v>
      </c>
      <c r="G531">
        <v>101.26</v>
      </c>
      <c r="H531">
        <v>101.63</v>
      </c>
      <c r="I531">
        <v>14727</v>
      </c>
      <c r="J531">
        <v>0</v>
      </c>
    </row>
    <row r="532" spans="1:10" x14ac:dyDescent="0.3">
      <c r="A532" s="5" t="s">
        <v>16</v>
      </c>
      <c r="B532" s="5" t="s">
        <v>15</v>
      </c>
      <c r="C532" s="6">
        <v>43788</v>
      </c>
      <c r="D532">
        <v>0</v>
      </c>
      <c r="E532">
        <v>101.67</v>
      </c>
      <c r="F532">
        <v>101.7</v>
      </c>
      <c r="G532">
        <v>101.35</v>
      </c>
      <c r="H532">
        <v>101.6</v>
      </c>
      <c r="I532">
        <v>3914</v>
      </c>
      <c r="J532">
        <v>0</v>
      </c>
    </row>
    <row r="533" spans="1:10" x14ac:dyDescent="0.3">
      <c r="A533" s="5" t="s">
        <v>16</v>
      </c>
      <c r="B533" s="5" t="s">
        <v>15</v>
      </c>
      <c r="C533" s="6">
        <v>43789</v>
      </c>
      <c r="D533">
        <v>0</v>
      </c>
      <c r="E533">
        <v>100.96</v>
      </c>
      <c r="F533">
        <v>101.79</v>
      </c>
      <c r="G533">
        <v>100.96</v>
      </c>
      <c r="H533">
        <v>101.75</v>
      </c>
      <c r="I533">
        <v>3432</v>
      </c>
      <c r="J533">
        <v>0</v>
      </c>
    </row>
    <row r="534" spans="1:10" x14ac:dyDescent="0.3">
      <c r="A534" s="5" t="s">
        <v>16</v>
      </c>
      <c r="B534" s="5" t="s">
        <v>15</v>
      </c>
      <c r="C534" s="6">
        <v>43790</v>
      </c>
      <c r="D534">
        <v>0</v>
      </c>
      <c r="E534">
        <v>102.02</v>
      </c>
      <c r="F534">
        <v>102.02</v>
      </c>
      <c r="G534">
        <v>101.48</v>
      </c>
      <c r="H534">
        <v>101.81</v>
      </c>
      <c r="I534">
        <v>12377</v>
      </c>
      <c r="J534">
        <v>0</v>
      </c>
    </row>
    <row r="535" spans="1:10" x14ac:dyDescent="0.3">
      <c r="A535" s="5" t="s">
        <v>16</v>
      </c>
      <c r="B535" s="5" t="s">
        <v>15</v>
      </c>
      <c r="C535" s="6">
        <v>43791</v>
      </c>
      <c r="D535">
        <v>0</v>
      </c>
      <c r="E535">
        <v>102.13</v>
      </c>
      <c r="F535">
        <v>102.13</v>
      </c>
      <c r="G535">
        <v>101.32</v>
      </c>
      <c r="H535">
        <v>101.61</v>
      </c>
      <c r="I535">
        <v>13980</v>
      </c>
      <c r="J535">
        <v>0</v>
      </c>
    </row>
    <row r="536" spans="1:10" x14ac:dyDescent="0.3">
      <c r="A536" s="5" t="s">
        <v>16</v>
      </c>
      <c r="B536" s="5" t="s">
        <v>15</v>
      </c>
      <c r="C536" s="6">
        <v>43794</v>
      </c>
      <c r="D536">
        <v>0</v>
      </c>
      <c r="E536">
        <v>101.9</v>
      </c>
      <c r="F536">
        <v>101.9</v>
      </c>
      <c r="G536">
        <v>101.48</v>
      </c>
      <c r="H536">
        <v>101.73</v>
      </c>
      <c r="I536">
        <v>8825</v>
      </c>
      <c r="J536">
        <v>0</v>
      </c>
    </row>
    <row r="537" spans="1:10" x14ac:dyDescent="0.3">
      <c r="A537" s="5" t="s">
        <v>16</v>
      </c>
      <c r="B537" s="5" t="s">
        <v>15</v>
      </c>
      <c r="C537" s="6">
        <v>43795</v>
      </c>
      <c r="D537">
        <v>0</v>
      </c>
      <c r="E537">
        <v>102.01</v>
      </c>
      <c r="F537">
        <v>102.01</v>
      </c>
      <c r="G537">
        <v>101.55</v>
      </c>
      <c r="H537">
        <v>101.55</v>
      </c>
      <c r="I537">
        <v>16172</v>
      </c>
      <c r="J537">
        <v>0</v>
      </c>
    </row>
    <row r="538" spans="1:10" x14ac:dyDescent="0.3">
      <c r="A538" s="5" t="s">
        <v>16</v>
      </c>
      <c r="B538" s="5" t="s">
        <v>15</v>
      </c>
      <c r="C538" s="6">
        <v>43796</v>
      </c>
      <c r="D538">
        <v>0</v>
      </c>
      <c r="E538">
        <v>101.92</v>
      </c>
      <c r="F538">
        <v>101.92</v>
      </c>
      <c r="G538">
        <v>101.56</v>
      </c>
      <c r="H538">
        <v>101.76</v>
      </c>
      <c r="I538">
        <v>7615</v>
      </c>
      <c r="J538">
        <v>0</v>
      </c>
    </row>
    <row r="539" spans="1:10" x14ac:dyDescent="0.3">
      <c r="A539" s="5" t="s">
        <v>16</v>
      </c>
      <c r="B539" s="5" t="s">
        <v>15</v>
      </c>
      <c r="C539" s="6">
        <v>43797</v>
      </c>
      <c r="D539">
        <v>0</v>
      </c>
      <c r="E539">
        <v>102.02</v>
      </c>
      <c r="F539">
        <v>102.02</v>
      </c>
      <c r="G539">
        <v>101.6</v>
      </c>
      <c r="H539">
        <v>101.62</v>
      </c>
      <c r="I539">
        <v>4841</v>
      </c>
      <c r="J539">
        <v>0</v>
      </c>
    </row>
    <row r="540" spans="1:10" x14ac:dyDescent="0.3">
      <c r="A540" s="5" t="s">
        <v>16</v>
      </c>
      <c r="B540" s="5" t="s">
        <v>15</v>
      </c>
      <c r="C540" s="6">
        <v>43798</v>
      </c>
      <c r="D540">
        <v>0</v>
      </c>
      <c r="E540">
        <v>101.37</v>
      </c>
      <c r="F540">
        <v>101.92</v>
      </c>
      <c r="G540">
        <v>101.37</v>
      </c>
      <c r="H540">
        <v>101.78</v>
      </c>
      <c r="I540">
        <v>11650</v>
      </c>
      <c r="J540">
        <v>0</v>
      </c>
    </row>
    <row r="541" spans="1:10" x14ac:dyDescent="0.3">
      <c r="A541" s="5" t="s">
        <v>16</v>
      </c>
      <c r="B541" s="5" t="s">
        <v>15</v>
      </c>
      <c r="C541" s="6">
        <v>43801</v>
      </c>
      <c r="D541">
        <v>0</v>
      </c>
      <c r="E541">
        <v>102.09</v>
      </c>
      <c r="F541">
        <v>102.09</v>
      </c>
      <c r="G541">
        <v>101.5</v>
      </c>
      <c r="H541">
        <v>101.81</v>
      </c>
      <c r="I541">
        <v>6292</v>
      </c>
      <c r="J541">
        <v>0</v>
      </c>
    </row>
    <row r="542" spans="1:10" x14ac:dyDescent="0.3">
      <c r="A542" s="5" t="s">
        <v>16</v>
      </c>
      <c r="B542" s="5" t="s">
        <v>15</v>
      </c>
      <c r="C542" s="6">
        <v>43802</v>
      </c>
      <c r="D542">
        <v>0</v>
      </c>
      <c r="E542">
        <v>101.61</v>
      </c>
      <c r="F542">
        <v>101.97</v>
      </c>
      <c r="G542">
        <v>101.56</v>
      </c>
      <c r="H542">
        <v>101.94</v>
      </c>
      <c r="I542">
        <v>32301</v>
      </c>
      <c r="J542">
        <v>0</v>
      </c>
    </row>
    <row r="543" spans="1:10" x14ac:dyDescent="0.3">
      <c r="A543" s="5" t="s">
        <v>16</v>
      </c>
      <c r="B543" s="5" t="s">
        <v>15</v>
      </c>
      <c r="C543" s="6">
        <v>43803</v>
      </c>
      <c r="D543">
        <v>0</v>
      </c>
      <c r="E543">
        <v>102.19</v>
      </c>
      <c r="F543">
        <v>102.19</v>
      </c>
      <c r="G543">
        <v>101.24</v>
      </c>
      <c r="H543">
        <v>101.63</v>
      </c>
      <c r="I543">
        <v>81552</v>
      </c>
      <c r="J543">
        <v>0</v>
      </c>
    </row>
    <row r="544" spans="1:10" x14ac:dyDescent="0.3">
      <c r="A544" s="5" t="s">
        <v>16</v>
      </c>
      <c r="B544" s="5" t="s">
        <v>15</v>
      </c>
      <c r="C544" s="6">
        <v>43804</v>
      </c>
      <c r="D544">
        <v>0</v>
      </c>
      <c r="E544">
        <v>101.84</v>
      </c>
      <c r="F544">
        <v>101.89</v>
      </c>
      <c r="G544">
        <v>101.22</v>
      </c>
      <c r="H544">
        <v>101.62</v>
      </c>
      <c r="I544">
        <v>30828</v>
      </c>
      <c r="J544">
        <v>0</v>
      </c>
    </row>
    <row r="545" spans="1:10" x14ac:dyDescent="0.3">
      <c r="A545" s="5" t="s">
        <v>16</v>
      </c>
      <c r="B545" s="5" t="s">
        <v>15</v>
      </c>
      <c r="C545" s="6">
        <v>43805</v>
      </c>
      <c r="D545">
        <v>0</v>
      </c>
      <c r="E545">
        <v>101.83</v>
      </c>
      <c r="F545">
        <v>101.84</v>
      </c>
      <c r="G545">
        <v>101.48</v>
      </c>
      <c r="H545">
        <v>101.83</v>
      </c>
      <c r="I545">
        <v>26030</v>
      </c>
      <c r="J545">
        <v>0</v>
      </c>
    </row>
    <row r="546" spans="1:10" x14ac:dyDescent="0.3">
      <c r="A546" s="5" t="s">
        <v>16</v>
      </c>
      <c r="B546" s="5" t="s">
        <v>15</v>
      </c>
      <c r="C546" s="6">
        <v>43808</v>
      </c>
      <c r="D546">
        <v>0</v>
      </c>
      <c r="E546">
        <v>101.44</v>
      </c>
      <c r="F546">
        <v>101.84</v>
      </c>
      <c r="G546">
        <v>101.44</v>
      </c>
      <c r="H546">
        <v>101.65</v>
      </c>
      <c r="I546">
        <v>6516</v>
      </c>
      <c r="J546">
        <v>0</v>
      </c>
    </row>
    <row r="547" spans="1:10" x14ac:dyDescent="0.3">
      <c r="A547" s="5" t="s">
        <v>16</v>
      </c>
      <c r="B547" s="5" t="s">
        <v>15</v>
      </c>
      <c r="C547" s="6">
        <v>43809</v>
      </c>
      <c r="D547">
        <v>0</v>
      </c>
      <c r="E547">
        <v>101.27</v>
      </c>
      <c r="F547">
        <v>101.86</v>
      </c>
      <c r="G547">
        <v>101.27</v>
      </c>
      <c r="H547">
        <v>101.82</v>
      </c>
      <c r="I547">
        <v>12698</v>
      </c>
      <c r="J547">
        <v>0</v>
      </c>
    </row>
    <row r="548" spans="1:10" x14ac:dyDescent="0.3">
      <c r="A548" s="5" t="s">
        <v>16</v>
      </c>
      <c r="B548" s="5" t="s">
        <v>15</v>
      </c>
      <c r="C548" s="6">
        <v>43810</v>
      </c>
      <c r="D548">
        <v>0</v>
      </c>
      <c r="E548">
        <v>101.81</v>
      </c>
      <c r="F548">
        <v>101.85</v>
      </c>
      <c r="G548">
        <v>101.65</v>
      </c>
      <c r="H548">
        <v>101.82</v>
      </c>
      <c r="I548">
        <v>2425</v>
      </c>
      <c r="J548">
        <v>0</v>
      </c>
    </row>
    <row r="549" spans="1:10" x14ac:dyDescent="0.3">
      <c r="A549" s="5" t="s">
        <v>16</v>
      </c>
      <c r="B549" s="5" t="s">
        <v>15</v>
      </c>
      <c r="C549" s="6">
        <v>43811</v>
      </c>
      <c r="D549">
        <v>0</v>
      </c>
      <c r="E549">
        <v>101.42</v>
      </c>
      <c r="F549">
        <v>102.08</v>
      </c>
      <c r="G549">
        <v>101.42</v>
      </c>
      <c r="H549">
        <v>102.07</v>
      </c>
      <c r="I549">
        <v>39834</v>
      </c>
      <c r="J549">
        <v>0</v>
      </c>
    </row>
    <row r="550" spans="1:10" x14ac:dyDescent="0.3">
      <c r="A550" s="5" t="s">
        <v>16</v>
      </c>
      <c r="B550" s="5" t="s">
        <v>15</v>
      </c>
      <c r="C550" s="6">
        <v>43812</v>
      </c>
      <c r="D550">
        <v>0</v>
      </c>
      <c r="E550">
        <v>101.6</v>
      </c>
      <c r="F550">
        <v>102.22</v>
      </c>
      <c r="G550">
        <v>101.6</v>
      </c>
      <c r="H550">
        <v>102.22</v>
      </c>
      <c r="I550">
        <v>10963</v>
      </c>
      <c r="J550">
        <v>0</v>
      </c>
    </row>
    <row r="551" spans="1:10" x14ac:dyDescent="0.3">
      <c r="A551" s="5" t="s">
        <v>16</v>
      </c>
      <c r="B551" s="5" t="s">
        <v>15</v>
      </c>
      <c r="C551" s="6">
        <v>43815</v>
      </c>
      <c r="D551">
        <v>0</v>
      </c>
      <c r="E551">
        <v>101.96</v>
      </c>
      <c r="F551">
        <v>102.47</v>
      </c>
      <c r="G551">
        <v>101.7</v>
      </c>
      <c r="H551">
        <v>101.9</v>
      </c>
      <c r="I551">
        <v>16617</v>
      </c>
      <c r="J551">
        <v>0</v>
      </c>
    </row>
    <row r="552" spans="1:10" x14ac:dyDescent="0.3">
      <c r="A552" s="5" t="s">
        <v>16</v>
      </c>
      <c r="B552" s="5" t="s">
        <v>15</v>
      </c>
      <c r="C552" s="6">
        <v>43816</v>
      </c>
      <c r="D552">
        <v>0</v>
      </c>
      <c r="E552">
        <v>101.48</v>
      </c>
      <c r="F552">
        <v>102.24</v>
      </c>
      <c r="G552">
        <v>101.48</v>
      </c>
      <c r="H552">
        <v>101.88</v>
      </c>
      <c r="I552">
        <v>8759</v>
      </c>
      <c r="J552">
        <v>0</v>
      </c>
    </row>
    <row r="553" spans="1:10" x14ac:dyDescent="0.3">
      <c r="A553" s="5" t="s">
        <v>16</v>
      </c>
      <c r="B553" s="5" t="s">
        <v>15</v>
      </c>
      <c r="C553" s="6">
        <v>43817</v>
      </c>
      <c r="D553">
        <v>0</v>
      </c>
      <c r="E553">
        <v>101.61</v>
      </c>
      <c r="F553">
        <v>102.13</v>
      </c>
      <c r="G553">
        <v>101.61</v>
      </c>
      <c r="H553">
        <v>102.01</v>
      </c>
      <c r="I553">
        <v>19188</v>
      </c>
      <c r="J553">
        <v>0</v>
      </c>
    </row>
    <row r="554" spans="1:10" x14ac:dyDescent="0.3">
      <c r="A554" s="5" t="s">
        <v>16</v>
      </c>
      <c r="B554" s="5" t="s">
        <v>15</v>
      </c>
      <c r="C554" s="6">
        <v>43818</v>
      </c>
      <c r="D554">
        <v>0</v>
      </c>
      <c r="E554">
        <v>102.33</v>
      </c>
      <c r="F554">
        <v>102.33</v>
      </c>
      <c r="G554">
        <v>101.81</v>
      </c>
      <c r="H554">
        <v>102.03</v>
      </c>
      <c r="I554">
        <v>6446</v>
      </c>
      <c r="J554">
        <v>0</v>
      </c>
    </row>
    <row r="555" spans="1:10" x14ac:dyDescent="0.3">
      <c r="A555" s="5" t="s">
        <v>16</v>
      </c>
      <c r="B555" s="5" t="s">
        <v>15</v>
      </c>
      <c r="C555" s="6">
        <v>43819</v>
      </c>
      <c r="D555">
        <v>0</v>
      </c>
      <c r="E555">
        <v>102.39</v>
      </c>
      <c r="F555">
        <v>102.39</v>
      </c>
      <c r="G555">
        <v>101.75</v>
      </c>
      <c r="H555">
        <v>102</v>
      </c>
      <c r="I555">
        <v>9857</v>
      </c>
      <c r="J555">
        <v>0</v>
      </c>
    </row>
    <row r="556" spans="1:10" x14ac:dyDescent="0.3">
      <c r="A556" s="5" t="s">
        <v>16</v>
      </c>
      <c r="B556" s="5" t="s">
        <v>15</v>
      </c>
      <c r="C556" s="6">
        <v>43822</v>
      </c>
      <c r="D556">
        <v>0</v>
      </c>
      <c r="E556">
        <v>101.75</v>
      </c>
      <c r="F556">
        <v>102.08</v>
      </c>
      <c r="G556">
        <v>101.75</v>
      </c>
      <c r="H556">
        <v>101.99</v>
      </c>
      <c r="I556">
        <v>20118</v>
      </c>
      <c r="J556">
        <v>0</v>
      </c>
    </row>
    <row r="557" spans="1:10" x14ac:dyDescent="0.3">
      <c r="A557" s="5" t="s">
        <v>16</v>
      </c>
      <c r="B557" s="5" t="s">
        <v>15</v>
      </c>
      <c r="C557" s="6">
        <v>43823</v>
      </c>
      <c r="D557">
        <v>0</v>
      </c>
      <c r="E557">
        <v>101.83</v>
      </c>
      <c r="F557">
        <v>102</v>
      </c>
      <c r="G557">
        <v>101.7</v>
      </c>
      <c r="H557">
        <v>101.9</v>
      </c>
      <c r="I557">
        <v>14521</v>
      </c>
      <c r="J557">
        <v>0</v>
      </c>
    </row>
    <row r="558" spans="1:10" x14ac:dyDescent="0.3">
      <c r="A558" s="5" t="s">
        <v>16</v>
      </c>
      <c r="B558" s="5" t="s">
        <v>15</v>
      </c>
      <c r="C558" s="6">
        <v>43824</v>
      </c>
      <c r="D558">
        <v>0</v>
      </c>
      <c r="E558">
        <v>102.2</v>
      </c>
      <c r="F558">
        <v>102.24</v>
      </c>
      <c r="G558">
        <v>101.71</v>
      </c>
      <c r="H558">
        <v>102</v>
      </c>
      <c r="I558">
        <v>8493</v>
      </c>
      <c r="J558">
        <v>0</v>
      </c>
    </row>
    <row r="559" spans="1:10" x14ac:dyDescent="0.3">
      <c r="A559" s="5" t="s">
        <v>16</v>
      </c>
      <c r="B559" s="5" t="s">
        <v>15</v>
      </c>
      <c r="C559" s="6">
        <v>43825</v>
      </c>
      <c r="D559">
        <v>0</v>
      </c>
      <c r="E559">
        <v>101.65</v>
      </c>
      <c r="F559">
        <v>102</v>
      </c>
      <c r="G559">
        <v>101.65</v>
      </c>
      <c r="H559">
        <v>102</v>
      </c>
      <c r="I559">
        <v>10725</v>
      </c>
      <c r="J559">
        <v>0</v>
      </c>
    </row>
    <row r="560" spans="1:10" x14ac:dyDescent="0.3">
      <c r="A560" s="5" t="s">
        <v>16</v>
      </c>
      <c r="B560" s="5" t="s">
        <v>15</v>
      </c>
      <c r="C560" s="6">
        <v>43826</v>
      </c>
      <c r="D560">
        <v>0</v>
      </c>
      <c r="E560">
        <v>101.71</v>
      </c>
      <c r="F560">
        <v>102.16</v>
      </c>
      <c r="G560">
        <v>101.71</v>
      </c>
      <c r="H560">
        <v>102.1</v>
      </c>
      <c r="I560">
        <v>6509</v>
      </c>
      <c r="J560">
        <v>0</v>
      </c>
    </row>
    <row r="561" spans="1:10" x14ac:dyDescent="0.3">
      <c r="A561" s="5" t="s">
        <v>16</v>
      </c>
      <c r="B561" s="5" t="s">
        <v>15</v>
      </c>
      <c r="C561" s="6">
        <v>43829</v>
      </c>
      <c r="D561">
        <v>0</v>
      </c>
      <c r="E561">
        <v>102.36</v>
      </c>
      <c r="F561">
        <v>103</v>
      </c>
      <c r="G561">
        <v>101.77</v>
      </c>
      <c r="H561">
        <v>102.1</v>
      </c>
      <c r="I561">
        <v>11979</v>
      </c>
      <c r="J561">
        <v>0</v>
      </c>
    </row>
    <row r="562" spans="1:10" x14ac:dyDescent="0.3">
      <c r="A562" s="5" t="s">
        <v>16</v>
      </c>
      <c r="B562" s="5" t="s">
        <v>15</v>
      </c>
      <c r="C562" s="6">
        <v>43833</v>
      </c>
      <c r="D562">
        <v>0</v>
      </c>
      <c r="E562">
        <v>102.51</v>
      </c>
      <c r="F562">
        <v>102.51</v>
      </c>
      <c r="G562">
        <v>101.91</v>
      </c>
      <c r="H562">
        <v>102.09</v>
      </c>
      <c r="I562">
        <v>2382</v>
      </c>
      <c r="J562">
        <v>0</v>
      </c>
    </row>
    <row r="563" spans="1:10" x14ac:dyDescent="0.3">
      <c r="A563" s="5" t="s">
        <v>16</v>
      </c>
      <c r="B563" s="5" t="s">
        <v>15</v>
      </c>
      <c r="C563" s="6">
        <v>43836</v>
      </c>
      <c r="D563">
        <v>0</v>
      </c>
      <c r="E563">
        <v>101.86</v>
      </c>
      <c r="F563">
        <v>103</v>
      </c>
      <c r="G563">
        <v>101.86</v>
      </c>
      <c r="H563">
        <v>102.22</v>
      </c>
      <c r="I563">
        <v>2604</v>
      </c>
      <c r="J563">
        <v>0</v>
      </c>
    </row>
    <row r="564" spans="1:10" x14ac:dyDescent="0.3">
      <c r="A564" s="5" t="s">
        <v>16</v>
      </c>
      <c r="B564" s="5" t="s">
        <v>15</v>
      </c>
      <c r="C564" s="6">
        <v>43838</v>
      </c>
      <c r="D564">
        <v>0</v>
      </c>
      <c r="E564">
        <v>104</v>
      </c>
      <c r="F564">
        <v>104</v>
      </c>
      <c r="G564">
        <v>102.01</v>
      </c>
      <c r="H564">
        <v>102.15</v>
      </c>
      <c r="I564">
        <v>3053</v>
      </c>
      <c r="J564">
        <v>0</v>
      </c>
    </row>
    <row r="565" spans="1:10" x14ac:dyDescent="0.3">
      <c r="A565" s="5" t="s">
        <v>16</v>
      </c>
      <c r="B565" s="5" t="s">
        <v>15</v>
      </c>
      <c r="C565" s="6">
        <v>43839</v>
      </c>
      <c r="D565">
        <v>0</v>
      </c>
      <c r="E565">
        <v>102.04</v>
      </c>
      <c r="F565">
        <v>102.29</v>
      </c>
      <c r="G565">
        <v>101.77</v>
      </c>
      <c r="H565">
        <v>102.08</v>
      </c>
      <c r="I565">
        <v>13903</v>
      </c>
      <c r="J565">
        <v>0</v>
      </c>
    </row>
    <row r="566" spans="1:10" x14ac:dyDescent="0.3">
      <c r="A566" s="5" t="s">
        <v>16</v>
      </c>
      <c r="B566" s="5" t="s">
        <v>15</v>
      </c>
      <c r="C566" s="6">
        <v>43840</v>
      </c>
      <c r="D566">
        <v>0</v>
      </c>
      <c r="E566">
        <v>102.37</v>
      </c>
      <c r="F566">
        <v>102.37</v>
      </c>
      <c r="G566">
        <v>101.73</v>
      </c>
      <c r="H566">
        <v>101.93</v>
      </c>
      <c r="I566">
        <v>11414</v>
      </c>
      <c r="J566">
        <v>0</v>
      </c>
    </row>
    <row r="567" spans="1:10" x14ac:dyDescent="0.3">
      <c r="A567" s="5" t="s">
        <v>16</v>
      </c>
      <c r="B567" s="5" t="s">
        <v>15</v>
      </c>
      <c r="C567" s="6">
        <v>43843</v>
      </c>
      <c r="D567">
        <v>0</v>
      </c>
      <c r="E567">
        <v>101.67</v>
      </c>
      <c r="F567">
        <v>102.13</v>
      </c>
      <c r="G567">
        <v>101.67</v>
      </c>
      <c r="H567">
        <v>101.89</v>
      </c>
      <c r="I567">
        <v>10288</v>
      </c>
      <c r="J567">
        <v>0</v>
      </c>
    </row>
    <row r="568" spans="1:10" x14ac:dyDescent="0.3">
      <c r="A568" s="5" t="s">
        <v>16</v>
      </c>
      <c r="B568" s="5" t="s">
        <v>15</v>
      </c>
      <c r="C568" s="6">
        <v>43844</v>
      </c>
      <c r="D568">
        <v>0</v>
      </c>
      <c r="E568">
        <v>102.2</v>
      </c>
      <c r="F568">
        <v>102.2</v>
      </c>
      <c r="G568">
        <v>101.5</v>
      </c>
      <c r="H568">
        <v>101.79</v>
      </c>
      <c r="I568">
        <v>13788</v>
      </c>
      <c r="J568">
        <v>0</v>
      </c>
    </row>
    <row r="569" spans="1:10" x14ac:dyDescent="0.3">
      <c r="A569" s="5" t="s">
        <v>16</v>
      </c>
      <c r="B569" s="5" t="s">
        <v>15</v>
      </c>
      <c r="C569" s="6">
        <v>43845</v>
      </c>
      <c r="D569">
        <v>0</v>
      </c>
      <c r="E569">
        <v>102.1</v>
      </c>
      <c r="F569">
        <v>102.1</v>
      </c>
      <c r="G569">
        <v>101.52</v>
      </c>
      <c r="H569">
        <v>101.78</v>
      </c>
      <c r="I569">
        <v>19789</v>
      </c>
      <c r="J569">
        <v>0</v>
      </c>
    </row>
    <row r="570" spans="1:10" x14ac:dyDescent="0.3">
      <c r="A570" s="5" t="s">
        <v>16</v>
      </c>
      <c r="B570" s="5" t="s">
        <v>15</v>
      </c>
      <c r="C570" s="6">
        <v>43846</v>
      </c>
      <c r="D570">
        <v>0</v>
      </c>
      <c r="E570">
        <v>102.07</v>
      </c>
      <c r="F570">
        <v>102.07</v>
      </c>
      <c r="G570">
        <v>101.55</v>
      </c>
      <c r="H570">
        <v>101.72</v>
      </c>
      <c r="I570">
        <v>47956</v>
      </c>
      <c r="J570">
        <v>0</v>
      </c>
    </row>
    <row r="571" spans="1:10" x14ac:dyDescent="0.3">
      <c r="A571" s="5" t="s">
        <v>16</v>
      </c>
      <c r="B571" s="5" t="s">
        <v>15</v>
      </c>
      <c r="C571" s="6">
        <v>43847</v>
      </c>
      <c r="D571">
        <v>0</v>
      </c>
      <c r="E571">
        <v>101.97</v>
      </c>
      <c r="F571">
        <v>101.97</v>
      </c>
      <c r="G571">
        <v>101.53</v>
      </c>
      <c r="H571">
        <v>101.79</v>
      </c>
      <c r="I571">
        <v>41908</v>
      </c>
      <c r="J571">
        <v>0</v>
      </c>
    </row>
    <row r="572" spans="1:10" x14ac:dyDescent="0.3">
      <c r="A572" s="5" t="s">
        <v>16</v>
      </c>
      <c r="B572" s="5" t="s">
        <v>15</v>
      </c>
      <c r="C572" s="6">
        <v>43850</v>
      </c>
      <c r="D572">
        <v>0</v>
      </c>
      <c r="E572">
        <v>101.53</v>
      </c>
      <c r="F572">
        <v>101.88</v>
      </c>
      <c r="G572">
        <v>101.19</v>
      </c>
      <c r="H572">
        <v>101.75</v>
      </c>
      <c r="I572">
        <v>36967</v>
      </c>
      <c r="J572">
        <v>0</v>
      </c>
    </row>
    <row r="573" spans="1:10" x14ac:dyDescent="0.3">
      <c r="A573" s="5" t="s">
        <v>16</v>
      </c>
      <c r="B573" s="5" t="s">
        <v>15</v>
      </c>
      <c r="C573" s="6">
        <v>43851</v>
      </c>
      <c r="D573">
        <v>0</v>
      </c>
      <c r="E573">
        <v>101.71</v>
      </c>
      <c r="F573">
        <v>101.83</v>
      </c>
      <c r="G573">
        <v>101.6</v>
      </c>
      <c r="H573">
        <v>101.75</v>
      </c>
      <c r="I573">
        <v>22100</v>
      </c>
      <c r="J573">
        <v>0</v>
      </c>
    </row>
    <row r="574" spans="1:10" x14ac:dyDescent="0.3">
      <c r="A574" s="5" t="s">
        <v>16</v>
      </c>
      <c r="B574" s="5" t="s">
        <v>15</v>
      </c>
      <c r="C574" s="6">
        <v>43852</v>
      </c>
      <c r="D574">
        <v>0</v>
      </c>
      <c r="E574">
        <v>102.05</v>
      </c>
      <c r="F574">
        <v>102.05</v>
      </c>
      <c r="G574">
        <v>101.21</v>
      </c>
      <c r="H574">
        <v>101.75</v>
      </c>
      <c r="I574">
        <v>25266</v>
      </c>
      <c r="J574">
        <v>0</v>
      </c>
    </row>
    <row r="575" spans="1:10" x14ac:dyDescent="0.3">
      <c r="A575" s="5" t="s">
        <v>16</v>
      </c>
      <c r="B575" s="5" t="s">
        <v>15</v>
      </c>
      <c r="C575" s="6">
        <v>43853</v>
      </c>
      <c r="D575">
        <v>0</v>
      </c>
      <c r="E575">
        <v>102.02</v>
      </c>
      <c r="F575">
        <v>102.02</v>
      </c>
      <c r="G575">
        <v>101.51</v>
      </c>
      <c r="H575">
        <v>101.78</v>
      </c>
      <c r="I575">
        <v>74581</v>
      </c>
      <c r="J575">
        <v>0</v>
      </c>
    </row>
    <row r="576" spans="1:10" x14ac:dyDescent="0.3">
      <c r="A576" s="5" t="s">
        <v>16</v>
      </c>
      <c r="B576" s="5" t="s">
        <v>15</v>
      </c>
      <c r="C576" s="6">
        <v>43854</v>
      </c>
      <c r="D576">
        <v>0</v>
      </c>
      <c r="E576">
        <v>102.04</v>
      </c>
      <c r="F576">
        <v>102.04</v>
      </c>
      <c r="G576">
        <v>101.73</v>
      </c>
      <c r="H576">
        <v>101.8</v>
      </c>
      <c r="I576">
        <v>5374</v>
      </c>
      <c r="J576">
        <v>0</v>
      </c>
    </row>
    <row r="577" spans="1:10" x14ac:dyDescent="0.3">
      <c r="A577" s="5" t="s">
        <v>16</v>
      </c>
      <c r="B577" s="5" t="s">
        <v>15</v>
      </c>
      <c r="C577" s="6">
        <v>43857</v>
      </c>
      <c r="D577">
        <v>0</v>
      </c>
      <c r="E577">
        <v>102.07</v>
      </c>
      <c r="F577">
        <v>102.07</v>
      </c>
      <c r="G577">
        <v>101.52</v>
      </c>
      <c r="H577">
        <v>101.7</v>
      </c>
      <c r="I577">
        <v>6349</v>
      </c>
      <c r="J577">
        <v>0</v>
      </c>
    </row>
    <row r="578" spans="1:10" x14ac:dyDescent="0.3">
      <c r="A578" s="5" t="s">
        <v>16</v>
      </c>
      <c r="B578" s="5" t="s">
        <v>15</v>
      </c>
      <c r="C578" s="6">
        <v>43858</v>
      </c>
      <c r="D578">
        <v>0</v>
      </c>
      <c r="E578">
        <v>101.7</v>
      </c>
      <c r="F578">
        <v>101.79</v>
      </c>
      <c r="G578">
        <v>101.53</v>
      </c>
      <c r="H578">
        <v>101.69</v>
      </c>
      <c r="I578">
        <v>21528</v>
      </c>
      <c r="J578">
        <v>0</v>
      </c>
    </row>
    <row r="579" spans="1:10" x14ac:dyDescent="0.3">
      <c r="A579" s="5" t="s">
        <v>16</v>
      </c>
      <c r="B579" s="5" t="s">
        <v>15</v>
      </c>
      <c r="C579" s="6">
        <v>43859</v>
      </c>
      <c r="D579">
        <v>0</v>
      </c>
      <c r="E579">
        <v>101.42</v>
      </c>
      <c r="F579">
        <v>101.98</v>
      </c>
      <c r="G579">
        <v>101.42</v>
      </c>
      <c r="H579">
        <v>101.98</v>
      </c>
      <c r="I579">
        <v>4306</v>
      </c>
      <c r="J579">
        <v>0</v>
      </c>
    </row>
    <row r="580" spans="1:10" x14ac:dyDescent="0.3">
      <c r="A580" s="5" t="s">
        <v>16</v>
      </c>
      <c r="B580" s="5" t="s">
        <v>15</v>
      </c>
      <c r="C580" s="6">
        <v>43860</v>
      </c>
      <c r="D580">
        <v>0</v>
      </c>
      <c r="E580">
        <v>102.24</v>
      </c>
      <c r="F580">
        <v>102.24</v>
      </c>
      <c r="G580">
        <v>101.6</v>
      </c>
      <c r="H580">
        <v>102.01</v>
      </c>
      <c r="I580">
        <v>5550</v>
      </c>
      <c r="J580">
        <v>0</v>
      </c>
    </row>
    <row r="581" spans="1:10" x14ac:dyDescent="0.3">
      <c r="A581" s="5" t="s">
        <v>16</v>
      </c>
      <c r="B581" s="5" t="s">
        <v>15</v>
      </c>
      <c r="C581" s="6">
        <v>43861</v>
      </c>
      <c r="D581">
        <v>0</v>
      </c>
      <c r="E581">
        <v>101.55</v>
      </c>
      <c r="F581">
        <v>102.06</v>
      </c>
      <c r="G581">
        <v>101.55</v>
      </c>
      <c r="H581">
        <v>101.85</v>
      </c>
      <c r="I581">
        <v>26294</v>
      </c>
      <c r="J581">
        <v>0</v>
      </c>
    </row>
    <row r="582" spans="1:10" x14ac:dyDescent="0.3">
      <c r="A582" s="5" t="s">
        <v>16</v>
      </c>
      <c r="B582" s="5" t="s">
        <v>15</v>
      </c>
      <c r="C582" s="6">
        <v>43864</v>
      </c>
      <c r="D582">
        <v>0</v>
      </c>
      <c r="E582">
        <v>101.49</v>
      </c>
      <c r="F582">
        <v>102.08</v>
      </c>
      <c r="G582">
        <v>101.49</v>
      </c>
      <c r="H582">
        <v>101.92</v>
      </c>
      <c r="I582">
        <v>15414</v>
      </c>
      <c r="J582">
        <v>0</v>
      </c>
    </row>
    <row r="583" spans="1:10" x14ac:dyDescent="0.3">
      <c r="A583" s="5" t="s">
        <v>16</v>
      </c>
      <c r="B583" s="5" t="s">
        <v>15</v>
      </c>
      <c r="C583" s="6">
        <v>43865</v>
      </c>
      <c r="D583">
        <v>0</v>
      </c>
      <c r="E583">
        <v>102.21</v>
      </c>
      <c r="F583">
        <v>102.21</v>
      </c>
      <c r="G583">
        <v>101.75</v>
      </c>
      <c r="H583">
        <v>101.84</v>
      </c>
      <c r="I583">
        <v>5881</v>
      </c>
      <c r="J583">
        <v>0</v>
      </c>
    </row>
    <row r="584" spans="1:10" x14ac:dyDescent="0.3">
      <c r="A584" s="5" t="s">
        <v>16</v>
      </c>
      <c r="B584" s="5" t="s">
        <v>15</v>
      </c>
      <c r="C584" s="6">
        <v>43866</v>
      </c>
      <c r="D584">
        <v>0</v>
      </c>
      <c r="E584">
        <v>102.19</v>
      </c>
      <c r="F584">
        <v>102.19</v>
      </c>
      <c r="G584">
        <v>101.64</v>
      </c>
      <c r="H584">
        <v>101.79</v>
      </c>
      <c r="I584">
        <v>4636</v>
      </c>
      <c r="J584">
        <v>0</v>
      </c>
    </row>
    <row r="585" spans="1:10" x14ac:dyDescent="0.3">
      <c r="A585" s="5" t="s">
        <v>16</v>
      </c>
      <c r="B585" s="5" t="s">
        <v>15</v>
      </c>
      <c r="C585" s="6">
        <v>43867</v>
      </c>
      <c r="D585">
        <v>0</v>
      </c>
      <c r="E585">
        <v>101.46</v>
      </c>
      <c r="F585">
        <v>101.91</v>
      </c>
      <c r="G585">
        <v>101.41</v>
      </c>
      <c r="H585">
        <v>101.75</v>
      </c>
      <c r="I585">
        <v>17961</v>
      </c>
      <c r="J585">
        <v>0</v>
      </c>
    </row>
    <row r="586" spans="1:10" x14ac:dyDescent="0.3">
      <c r="A586" s="5" t="s">
        <v>16</v>
      </c>
      <c r="B586" s="5" t="s">
        <v>15</v>
      </c>
      <c r="C586" s="6">
        <v>43868</v>
      </c>
      <c r="D586">
        <v>0</v>
      </c>
      <c r="E586">
        <v>101.84</v>
      </c>
      <c r="F586">
        <v>101.84</v>
      </c>
      <c r="G586">
        <v>101.62</v>
      </c>
      <c r="H586">
        <v>101.78</v>
      </c>
      <c r="I586">
        <v>25095</v>
      </c>
      <c r="J586">
        <v>0</v>
      </c>
    </row>
    <row r="587" spans="1:10" x14ac:dyDescent="0.3">
      <c r="A587" s="5" t="s">
        <v>16</v>
      </c>
      <c r="B587" s="5" t="s">
        <v>15</v>
      </c>
      <c r="C587" s="6">
        <v>43871</v>
      </c>
      <c r="D587">
        <v>0</v>
      </c>
      <c r="E587">
        <v>101.85</v>
      </c>
      <c r="F587">
        <v>101.94</v>
      </c>
      <c r="G587">
        <v>101.31</v>
      </c>
      <c r="H587">
        <v>101.93</v>
      </c>
      <c r="I587">
        <v>51327</v>
      </c>
      <c r="J587">
        <v>0</v>
      </c>
    </row>
    <row r="588" spans="1:10" x14ac:dyDescent="0.3">
      <c r="A588" s="5" t="s">
        <v>16</v>
      </c>
      <c r="B588" s="5" t="s">
        <v>15</v>
      </c>
      <c r="C588" s="6">
        <v>43872</v>
      </c>
      <c r="D588">
        <v>0</v>
      </c>
      <c r="E588">
        <v>102.37</v>
      </c>
      <c r="F588">
        <v>102.99</v>
      </c>
      <c r="G588">
        <v>101.59</v>
      </c>
      <c r="H588">
        <v>101.85</v>
      </c>
      <c r="I588">
        <v>9170</v>
      </c>
      <c r="J588">
        <v>0</v>
      </c>
    </row>
    <row r="589" spans="1:10" x14ac:dyDescent="0.3">
      <c r="A589" s="5" t="s">
        <v>16</v>
      </c>
      <c r="B589" s="5" t="s">
        <v>15</v>
      </c>
      <c r="C589" s="6">
        <v>43873</v>
      </c>
      <c r="D589">
        <v>0</v>
      </c>
      <c r="E589">
        <v>102.08</v>
      </c>
      <c r="F589">
        <v>102.08</v>
      </c>
      <c r="G589">
        <v>101.58</v>
      </c>
      <c r="H589">
        <v>101.79</v>
      </c>
      <c r="I589">
        <v>9297</v>
      </c>
      <c r="J589">
        <v>0</v>
      </c>
    </row>
    <row r="590" spans="1:10" x14ac:dyDescent="0.3">
      <c r="A590" s="5" t="s">
        <v>16</v>
      </c>
      <c r="B590" s="5" t="s">
        <v>15</v>
      </c>
      <c r="C590" s="6">
        <v>43874</v>
      </c>
      <c r="D590">
        <v>0</v>
      </c>
      <c r="E590">
        <v>102.09</v>
      </c>
      <c r="F590">
        <v>102.09</v>
      </c>
      <c r="G590">
        <v>101.64</v>
      </c>
      <c r="H590">
        <v>101.83</v>
      </c>
      <c r="I590">
        <v>100692</v>
      </c>
      <c r="J590">
        <v>0</v>
      </c>
    </row>
    <row r="591" spans="1:10" x14ac:dyDescent="0.3">
      <c r="A591" s="5" t="s">
        <v>16</v>
      </c>
      <c r="B591" s="5" t="s">
        <v>15</v>
      </c>
      <c r="C591" s="6">
        <v>43875</v>
      </c>
      <c r="D591">
        <v>0</v>
      </c>
      <c r="E591">
        <v>102.09</v>
      </c>
      <c r="F591">
        <v>102.09</v>
      </c>
      <c r="G591">
        <v>101.7</v>
      </c>
      <c r="H591">
        <v>101.9</v>
      </c>
      <c r="I591">
        <v>11637</v>
      </c>
      <c r="J591">
        <v>0</v>
      </c>
    </row>
    <row r="592" spans="1:10" x14ac:dyDescent="0.3">
      <c r="A592" s="5" t="s">
        <v>16</v>
      </c>
      <c r="B592" s="5" t="s">
        <v>15</v>
      </c>
      <c r="C592" s="6">
        <v>43878</v>
      </c>
      <c r="D592">
        <v>0</v>
      </c>
      <c r="E592">
        <v>102.15</v>
      </c>
      <c r="F592">
        <v>102.3</v>
      </c>
      <c r="G592">
        <v>101.66</v>
      </c>
      <c r="H592">
        <v>101.87</v>
      </c>
      <c r="I592">
        <v>45569</v>
      </c>
      <c r="J592">
        <v>0</v>
      </c>
    </row>
    <row r="593" spans="1:10" x14ac:dyDescent="0.3">
      <c r="A593" s="5" t="s">
        <v>16</v>
      </c>
      <c r="B593" s="5" t="s">
        <v>15</v>
      </c>
      <c r="C593" s="6">
        <v>43879</v>
      </c>
      <c r="D593">
        <v>0</v>
      </c>
      <c r="E593">
        <v>102.37</v>
      </c>
      <c r="F593">
        <v>102.37</v>
      </c>
      <c r="G593">
        <v>101.71</v>
      </c>
      <c r="H593">
        <v>101.95</v>
      </c>
      <c r="I593">
        <v>7768</v>
      </c>
      <c r="J593">
        <v>0</v>
      </c>
    </row>
    <row r="594" spans="1:10" x14ac:dyDescent="0.3">
      <c r="A594" s="5" t="s">
        <v>16</v>
      </c>
      <c r="B594" s="5" t="s">
        <v>15</v>
      </c>
      <c r="C594" s="6">
        <v>43880</v>
      </c>
      <c r="D594">
        <v>0</v>
      </c>
      <c r="E594">
        <v>102.29</v>
      </c>
      <c r="F594">
        <v>102.29</v>
      </c>
      <c r="G594">
        <v>101.77</v>
      </c>
      <c r="H594">
        <v>101.91</v>
      </c>
      <c r="I594">
        <v>9826</v>
      </c>
      <c r="J594">
        <v>0</v>
      </c>
    </row>
    <row r="595" spans="1:10" x14ac:dyDescent="0.3">
      <c r="A595" s="5" t="s">
        <v>16</v>
      </c>
      <c r="B595" s="5" t="s">
        <v>15</v>
      </c>
      <c r="C595" s="6">
        <v>43881</v>
      </c>
      <c r="D595">
        <v>0</v>
      </c>
      <c r="E595">
        <v>102.26</v>
      </c>
      <c r="F595">
        <v>102.26</v>
      </c>
      <c r="G595">
        <v>101.7</v>
      </c>
      <c r="H595">
        <v>101.94</v>
      </c>
      <c r="I595">
        <v>57860</v>
      </c>
      <c r="J595">
        <v>0</v>
      </c>
    </row>
    <row r="596" spans="1:10" x14ac:dyDescent="0.3">
      <c r="A596" s="5" t="s">
        <v>16</v>
      </c>
      <c r="B596" s="5" t="s">
        <v>15</v>
      </c>
      <c r="C596" s="6">
        <v>43882</v>
      </c>
      <c r="D596">
        <v>0</v>
      </c>
      <c r="E596">
        <v>102.2</v>
      </c>
      <c r="F596">
        <v>102.2</v>
      </c>
      <c r="G596">
        <v>101.77</v>
      </c>
      <c r="H596">
        <v>101.96</v>
      </c>
      <c r="I596">
        <v>4300</v>
      </c>
      <c r="J596">
        <v>0</v>
      </c>
    </row>
    <row r="597" spans="1:10" x14ac:dyDescent="0.3">
      <c r="A597" s="5" t="s">
        <v>16</v>
      </c>
      <c r="B597" s="5" t="s">
        <v>15</v>
      </c>
      <c r="C597" s="6">
        <v>43886</v>
      </c>
      <c r="D597">
        <v>0</v>
      </c>
      <c r="E597">
        <v>101.98</v>
      </c>
      <c r="F597">
        <v>102</v>
      </c>
      <c r="G597">
        <v>101</v>
      </c>
      <c r="H597">
        <v>101.62</v>
      </c>
      <c r="I597">
        <v>44681</v>
      </c>
      <c r="J597">
        <v>0</v>
      </c>
    </row>
    <row r="598" spans="1:10" x14ac:dyDescent="0.3">
      <c r="A598" s="5" t="s">
        <v>16</v>
      </c>
      <c r="B598" s="5" t="s">
        <v>15</v>
      </c>
      <c r="C598" s="6">
        <v>43887</v>
      </c>
      <c r="D598">
        <v>0</v>
      </c>
      <c r="E598">
        <v>101.99</v>
      </c>
      <c r="F598">
        <v>101.99</v>
      </c>
      <c r="G598">
        <v>101.49</v>
      </c>
      <c r="H598">
        <v>101.58</v>
      </c>
      <c r="I598">
        <v>14277</v>
      </c>
      <c r="J598">
        <v>0</v>
      </c>
    </row>
    <row r="599" spans="1:10" x14ac:dyDescent="0.3">
      <c r="A599" s="5" t="s">
        <v>16</v>
      </c>
      <c r="B599" s="5" t="s">
        <v>15</v>
      </c>
      <c r="C599" s="6">
        <v>43888</v>
      </c>
      <c r="D599">
        <v>0</v>
      </c>
      <c r="E599">
        <v>101.92</v>
      </c>
      <c r="F599">
        <v>101.92</v>
      </c>
      <c r="G599">
        <v>101.35</v>
      </c>
      <c r="H599">
        <v>101.59</v>
      </c>
      <c r="I599">
        <v>22015</v>
      </c>
      <c r="J599">
        <v>0</v>
      </c>
    </row>
    <row r="600" spans="1:10" x14ac:dyDescent="0.3">
      <c r="A600" s="5" t="s">
        <v>16</v>
      </c>
      <c r="B600" s="5" t="s">
        <v>15</v>
      </c>
      <c r="C600" s="6">
        <v>43889</v>
      </c>
      <c r="D600">
        <v>0</v>
      </c>
      <c r="E600">
        <v>101.84</v>
      </c>
      <c r="F600">
        <v>101.84</v>
      </c>
      <c r="G600">
        <v>100.8</v>
      </c>
      <c r="H600">
        <v>101.1</v>
      </c>
      <c r="I600">
        <v>26156</v>
      </c>
      <c r="J600">
        <v>0</v>
      </c>
    </row>
    <row r="601" spans="1:10" x14ac:dyDescent="0.3">
      <c r="A601" s="5" t="s">
        <v>16</v>
      </c>
      <c r="B601" s="5" t="s">
        <v>15</v>
      </c>
      <c r="C601" s="6">
        <v>43892</v>
      </c>
      <c r="D601">
        <v>0</v>
      </c>
      <c r="E601">
        <v>100.76</v>
      </c>
      <c r="F601">
        <v>101.49</v>
      </c>
      <c r="G601">
        <v>100.76</v>
      </c>
      <c r="H601">
        <v>101.34</v>
      </c>
      <c r="I601">
        <v>24106</v>
      </c>
      <c r="J601">
        <v>0</v>
      </c>
    </row>
    <row r="602" spans="1:10" x14ac:dyDescent="0.3">
      <c r="A602" s="5" t="s">
        <v>16</v>
      </c>
      <c r="B602" s="5" t="s">
        <v>15</v>
      </c>
      <c r="C602" s="6">
        <v>43893</v>
      </c>
      <c r="D602">
        <v>0</v>
      </c>
      <c r="E602">
        <v>100.98</v>
      </c>
      <c r="F602">
        <v>101.7</v>
      </c>
      <c r="G602">
        <v>100.98</v>
      </c>
      <c r="H602">
        <v>101.69</v>
      </c>
      <c r="I602">
        <v>14365</v>
      </c>
      <c r="J602">
        <v>0</v>
      </c>
    </row>
    <row r="603" spans="1:10" x14ac:dyDescent="0.3">
      <c r="A603" s="5" t="s">
        <v>16</v>
      </c>
      <c r="B603" s="5" t="s">
        <v>15</v>
      </c>
      <c r="C603" s="6">
        <v>43894</v>
      </c>
      <c r="D603">
        <v>0</v>
      </c>
      <c r="E603">
        <v>101.99</v>
      </c>
      <c r="F603">
        <v>101.99</v>
      </c>
      <c r="G603">
        <v>101.46</v>
      </c>
      <c r="H603">
        <v>101.94</v>
      </c>
      <c r="I603">
        <v>42787</v>
      </c>
      <c r="J603">
        <v>0</v>
      </c>
    </row>
    <row r="604" spans="1:10" x14ac:dyDescent="0.3">
      <c r="A604" s="5" t="s">
        <v>16</v>
      </c>
      <c r="B604" s="5" t="s">
        <v>15</v>
      </c>
      <c r="C604" s="6">
        <v>43895</v>
      </c>
      <c r="D604">
        <v>0</v>
      </c>
      <c r="E604">
        <v>102.15</v>
      </c>
      <c r="F604">
        <v>102.15</v>
      </c>
      <c r="G604">
        <v>101.5</v>
      </c>
      <c r="H604">
        <v>101.6</v>
      </c>
      <c r="I604">
        <v>19022</v>
      </c>
      <c r="J604">
        <v>0</v>
      </c>
    </row>
    <row r="605" spans="1:10" x14ac:dyDescent="0.3">
      <c r="A605" s="5" t="s">
        <v>16</v>
      </c>
      <c r="B605" s="5" t="s">
        <v>15</v>
      </c>
      <c r="C605" s="6">
        <v>43896</v>
      </c>
      <c r="D605">
        <v>0</v>
      </c>
      <c r="E605">
        <v>101.76</v>
      </c>
      <c r="F605">
        <v>101.88</v>
      </c>
      <c r="G605">
        <v>101.2</v>
      </c>
      <c r="H605">
        <v>101.5</v>
      </c>
      <c r="I605">
        <v>15230</v>
      </c>
      <c r="J605">
        <v>0</v>
      </c>
    </row>
    <row r="606" spans="1:10" x14ac:dyDescent="0.3">
      <c r="A606" s="5" t="s">
        <v>16</v>
      </c>
      <c r="B606" s="5" t="s">
        <v>15</v>
      </c>
      <c r="C606" s="6">
        <v>43900</v>
      </c>
      <c r="D606">
        <v>0</v>
      </c>
      <c r="E606">
        <v>101.01</v>
      </c>
      <c r="F606">
        <v>101.19</v>
      </c>
      <c r="G606">
        <v>99.81</v>
      </c>
      <c r="H606">
        <v>100.9</v>
      </c>
      <c r="I606">
        <v>74456</v>
      </c>
      <c r="J606">
        <v>0</v>
      </c>
    </row>
    <row r="607" spans="1:10" x14ac:dyDescent="0.3">
      <c r="A607" s="5" t="s">
        <v>16</v>
      </c>
      <c r="B607" s="5" t="s">
        <v>15</v>
      </c>
      <c r="C607" s="6">
        <v>43901</v>
      </c>
      <c r="D607">
        <v>0</v>
      </c>
      <c r="E607">
        <v>100.47</v>
      </c>
      <c r="F607">
        <v>101.02</v>
      </c>
      <c r="G607">
        <v>100.11</v>
      </c>
      <c r="H607">
        <v>100.8</v>
      </c>
      <c r="I607">
        <v>143511</v>
      </c>
      <c r="J607">
        <v>0</v>
      </c>
    </row>
    <row r="608" spans="1:10" x14ac:dyDescent="0.3">
      <c r="A608" s="5" t="s">
        <v>16</v>
      </c>
      <c r="B608" s="5" t="s">
        <v>15</v>
      </c>
      <c r="C608" s="6">
        <v>43902</v>
      </c>
      <c r="D608">
        <v>0</v>
      </c>
      <c r="E608">
        <v>100.8</v>
      </c>
      <c r="F608">
        <v>100.96</v>
      </c>
      <c r="G608">
        <v>100.06</v>
      </c>
      <c r="H608">
        <v>100.4</v>
      </c>
      <c r="I608">
        <v>50731</v>
      </c>
      <c r="J608">
        <v>0</v>
      </c>
    </row>
    <row r="609" spans="1:10" x14ac:dyDescent="0.3">
      <c r="A609" s="5" t="s">
        <v>16</v>
      </c>
      <c r="B609" s="5" t="s">
        <v>15</v>
      </c>
      <c r="C609" s="6">
        <v>43903</v>
      </c>
      <c r="D609">
        <v>0</v>
      </c>
      <c r="E609">
        <v>100.69</v>
      </c>
      <c r="F609">
        <v>101.44</v>
      </c>
      <c r="G609">
        <v>100.2</v>
      </c>
      <c r="H609">
        <v>100.71</v>
      </c>
      <c r="I609">
        <v>20061</v>
      </c>
      <c r="J609">
        <v>0</v>
      </c>
    </row>
    <row r="610" spans="1:10" x14ac:dyDescent="0.3">
      <c r="A610" s="5" t="s">
        <v>16</v>
      </c>
      <c r="B610" s="5" t="s">
        <v>15</v>
      </c>
      <c r="C610" s="6">
        <v>43906</v>
      </c>
      <c r="D610">
        <v>0</v>
      </c>
      <c r="E610">
        <v>100.01</v>
      </c>
      <c r="F610">
        <v>101</v>
      </c>
      <c r="G610">
        <v>100.01</v>
      </c>
      <c r="H610">
        <v>100.8</v>
      </c>
      <c r="I610">
        <v>36295</v>
      </c>
      <c r="J610">
        <v>0</v>
      </c>
    </row>
    <row r="611" spans="1:10" x14ac:dyDescent="0.3">
      <c r="A611" s="5" t="s">
        <v>16</v>
      </c>
      <c r="B611" s="5" t="s">
        <v>15</v>
      </c>
      <c r="C611" s="6">
        <v>43907</v>
      </c>
      <c r="D611">
        <v>0</v>
      </c>
      <c r="E611">
        <v>100.71</v>
      </c>
      <c r="F611">
        <v>100.97</v>
      </c>
      <c r="G611">
        <v>100.29</v>
      </c>
      <c r="H611">
        <v>100.42</v>
      </c>
      <c r="I611">
        <v>36131</v>
      </c>
      <c r="J611">
        <v>0</v>
      </c>
    </row>
    <row r="612" spans="1:10" x14ac:dyDescent="0.3">
      <c r="A612" s="5" t="s">
        <v>16</v>
      </c>
      <c r="B612" s="5" t="s">
        <v>15</v>
      </c>
      <c r="C612" s="6">
        <v>43908</v>
      </c>
      <c r="D612">
        <v>0</v>
      </c>
      <c r="E612">
        <v>100.76</v>
      </c>
      <c r="F612">
        <v>101.42</v>
      </c>
      <c r="G612">
        <v>100.05</v>
      </c>
      <c r="H612">
        <v>100.72</v>
      </c>
      <c r="I612">
        <v>48698</v>
      </c>
      <c r="J612">
        <v>0</v>
      </c>
    </row>
    <row r="613" spans="1:10" x14ac:dyDescent="0.3">
      <c r="A613" s="5" t="s">
        <v>16</v>
      </c>
      <c r="B613" s="5" t="s">
        <v>15</v>
      </c>
      <c r="C613" s="6">
        <v>43909</v>
      </c>
      <c r="D613">
        <v>0</v>
      </c>
      <c r="E613">
        <v>101.45</v>
      </c>
      <c r="F613">
        <v>101.45</v>
      </c>
      <c r="G613">
        <v>99.87</v>
      </c>
      <c r="H613">
        <v>100.52</v>
      </c>
      <c r="I613">
        <v>33137</v>
      </c>
      <c r="J613">
        <v>0</v>
      </c>
    </row>
    <row r="614" spans="1:10" x14ac:dyDescent="0.3">
      <c r="A614" s="5" t="s">
        <v>16</v>
      </c>
      <c r="B614" s="5" t="s">
        <v>15</v>
      </c>
      <c r="C614" s="6">
        <v>43910</v>
      </c>
      <c r="D614">
        <v>0</v>
      </c>
      <c r="E614">
        <v>100.94</v>
      </c>
      <c r="F614">
        <v>101.07</v>
      </c>
      <c r="G614">
        <v>100.02</v>
      </c>
      <c r="H614">
        <v>100.77</v>
      </c>
      <c r="I614">
        <v>17946</v>
      </c>
      <c r="J614">
        <v>0</v>
      </c>
    </row>
    <row r="615" spans="1:10" x14ac:dyDescent="0.3">
      <c r="A615" s="5" t="s">
        <v>16</v>
      </c>
      <c r="B615" s="5" t="s">
        <v>15</v>
      </c>
      <c r="C615" s="6">
        <v>43913</v>
      </c>
      <c r="D615">
        <v>0</v>
      </c>
      <c r="E615">
        <v>101.13</v>
      </c>
      <c r="F615">
        <v>101.13</v>
      </c>
      <c r="G615">
        <v>100.36</v>
      </c>
      <c r="H615">
        <v>100.69</v>
      </c>
      <c r="I615">
        <v>24435</v>
      </c>
      <c r="J615">
        <v>0</v>
      </c>
    </row>
    <row r="616" spans="1:10" x14ac:dyDescent="0.3">
      <c r="A616" s="5" t="s">
        <v>16</v>
      </c>
      <c r="B616" s="5" t="s">
        <v>15</v>
      </c>
      <c r="C616" s="6">
        <v>43914</v>
      </c>
      <c r="D616">
        <v>0</v>
      </c>
      <c r="E616">
        <v>101.02</v>
      </c>
      <c r="F616">
        <v>101.02</v>
      </c>
      <c r="G616">
        <v>100.55</v>
      </c>
      <c r="H616">
        <v>100.76</v>
      </c>
      <c r="I616">
        <v>21430</v>
      </c>
      <c r="J616">
        <v>0</v>
      </c>
    </row>
    <row r="617" spans="1:10" x14ac:dyDescent="0.3">
      <c r="A617" s="5" t="s">
        <v>16</v>
      </c>
      <c r="B617" s="5" t="s">
        <v>15</v>
      </c>
      <c r="C617" s="6">
        <v>43915</v>
      </c>
      <c r="D617">
        <v>0</v>
      </c>
      <c r="E617">
        <v>100.76</v>
      </c>
      <c r="F617">
        <v>101.01</v>
      </c>
      <c r="G617">
        <v>100.76</v>
      </c>
      <c r="H617">
        <v>101.01</v>
      </c>
      <c r="I617">
        <v>31998</v>
      </c>
      <c r="J617">
        <v>0</v>
      </c>
    </row>
    <row r="618" spans="1:10" x14ac:dyDescent="0.3">
      <c r="A618" s="5" t="s">
        <v>16</v>
      </c>
      <c r="B618" s="5" t="s">
        <v>15</v>
      </c>
      <c r="C618" s="6">
        <v>43916</v>
      </c>
      <c r="D618">
        <v>0</v>
      </c>
      <c r="E618">
        <v>101.26</v>
      </c>
      <c r="F618">
        <v>101.26</v>
      </c>
      <c r="G618">
        <v>100.7</v>
      </c>
      <c r="H618">
        <v>101</v>
      </c>
      <c r="I618">
        <v>7993</v>
      </c>
      <c r="J618">
        <v>0</v>
      </c>
    </row>
    <row r="619" spans="1:10" x14ac:dyDescent="0.3">
      <c r="A619" s="5" t="s">
        <v>16</v>
      </c>
      <c r="B619" s="5" t="s">
        <v>15</v>
      </c>
      <c r="C619" s="6">
        <v>43917</v>
      </c>
      <c r="D619">
        <v>0</v>
      </c>
      <c r="E619">
        <v>101</v>
      </c>
      <c r="F619">
        <v>101.01</v>
      </c>
      <c r="G619">
        <v>100.84</v>
      </c>
      <c r="H619">
        <v>101</v>
      </c>
      <c r="I619">
        <v>21973</v>
      </c>
      <c r="J619">
        <v>0</v>
      </c>
    </row>
    <row r="620" spans="1:10" x14ac:dyDescent="0.3">
      <c r="A620" s="5" t="s">
        <v>16</v>
      </c>
      <c r="B620" s="5" t="s">
        <v>15</v>
      </c>
      <c r="C620" s="6">
        <v>43920</v>
      </c>
      <c r="D620">
        <v>0</v>
      </c>
      <c r="E620">
        <v>101.2</v>
      </c>
      <c r="F620">
        <v>101.2</v>
      </c>
      <c r="G620">
        <v>100.05</v>
      </c>
      <c r="H620">
        <v>100.88</v>
      </c>
      <c r="I620">
        <v>51896</v>
      </c>
      <c r="J620">
        <v>0</v>
      </c>
    </row>
    <row r="621" spans="1:10" x14ac:dyDescent="0.3">
      <c r="A621" s="5" t="s">
        <v>16</v>
      </c>
      <c r="B621" s="5" t="s">
        <v>15</v>
      </c>
      <c r="C621" s="6">
        <v>43921</v>
      </c>
      <c r="D621">
        <v>0</v>
      </c>
      <c r="E621">
        <v>101.29</v>
      </c>
      <c r="F621">
        <v>101.29</v>
      </c>
      <c r="G621">
        <v>100.7</v>
      </c>
      <c r="H621">
        <v>100.8</v>
      </c>
      <c r="I621">
        <v>17271</v>
      </c>
      <c r="J621">
        <v>0</v>
      </c>
    </row>
    <row r="622" spans="1:10" x14ac:dyDescent="0.3">
      <c r="A622" s="5" t="s">
        <v>16</v>
      </c>
      <c r="B622" s="5" t="s">
        <v>15</v>
      </c>
      <c r="C622" s="6">
        <v>43922</v>
      </c>
      <c r="D622">
        <v>0</v>
      </c>
      <c r="E622">
        <v>101.13</v>
      </c>
      <c r="F622">
        <v>101.13</v>
      </c>
      <c r="G622">
        <v>100.59</v>
      </c>
      <c r="H622">
        <v>101.07</v>
      </c>
      <c r="I622">
        <v>14293</v>
      </c>
      <c r="J622">
        <v>0</v>
      </c>
    </row>
    <row r="623" spans="1:10" x14ac:dyDescent="0.3">
      <c r="A623" s="5" t="s">
        <v>16</v>
      </c>
      <c r="B623" s="5" t="s">
        <v>15</v>
      </c>
      <c r="C623" s="6">
        <v>43923</v>
      </c>
      <c r="D623">
        <v>0</v>
      </c>
      <c r="E623">
        <v>101.41</v>
      </c>
      <c r="F623">
        <v>101.41</v>
      </c>
      <c r="G623">
        <v>101</v>
      </c>
      <c r="H623">
        <v>101.05</v>
      </c>
      <c r="I623">
        <v>104204</v>
      </c>
      <c r="J623">
        <v>0</v>
      </c>
    </row>
    <row r="624" spans="1:10" x14ac:dyDescent="0.3">
      <c r="A624" s="5" t="s">
        <v>16</v>
      </c>
      <c r="B624" s="5" t="s">
        <v>15</v>
      </c>
      <c r="C624" s="6">
        <v>43924</v>
      </c>
      <c r="D624">
        <v>0</v>
      </c>
      <c r="E624">
        <v>101.41</v>
      </c>
      <c r="F624">
        <v>101.45</v>
      </c>
      <c r="G624">
        <v>100.9</v>
      </c>
      <c r="H624">
        <v>101.45</v>
      </c>
      <c r="I624">
        <v>25810</v>
      </c>
      <c r="J624">
        <v>0</v>
      </c>
    </row>
    <row r="625" spans="1:10" x14ac:dyDescent="0.3">
      <c r="A625" s="5" t="s">
        <v>16</v>
      </c>
      <c r="B625" s="5" t="s">
        <v>15</v>
      </c>
      <c r="C625" s="6">
        <v>43927</v>
      </c>
      <c r="D625">
        <v>0</v>
      </c>
      <c r="E625">
        <v>101.72</v>
      </c>
      <c r="F625">
        <v>101.72</v>
      </c>
      <c r="G625">
        <v>101.01</v>
      </c>
      <c r="H625">
        <v>101.35</v>
      </c>
      <c r="I625">
        <v>10963</v>
      </c>
      <c r="J625">
        <v>0</v>
      </c>
    </row>
    <row r="626" spans="1:10" x14ac:dyDescent="0.3">
      <c r="A626" s="5" t="s">
        <v>16</v>
      </c>
      <c r="B626" s="5" t="s">
        <v>15</v>
      </c>
      <c r="C626" s="6">
        <v>43928</v>
      </c>
      <c r="D626">
        <v>0</v>
      </c>
      <c r="E626">
        <v>101.28</v>
      </c>
      <c r="F626">
        <v>101.44</v>
      </c>
      <c r="G626">
        <v>101.05</v>
      </c>
      <c r="H626">
        <v>101.29</v>
      </c>
      <c r="I626">
        <v>14253</v>
      </c>
      <c r="J626">
        <v>0</v>
      </c>
    </row>
    <row r="627" spans="1:10" x14ac:dyDescent="0.3">
      <c r="A627" s="5" t="s">
        <v>16</v>
      </c>
      <c r="B627" s="5" t="s">
        <v>15</v>
      </c>
      <c r="C627" s="6">
        <v>43929</v>
      </c>
      <c r="D627">
        <v>0</v>
      </c>
      <c r="E627">
        <v>101.29</v>
      </c>
      <c r="F627">
        <v>101.4</v>
      </c>
      <c r="G627">
        <v>101.23</v>
      </c>
      <c r="H627">
        <v>101.25</v>
      </c>
      <c r="I627">
        <v>5116</v>
      </c>
      <c r="J627">
        <v>0</v>
      </c>
    </row>
    <row r="628" spans="1:10" x14ac:dyDescent="0.3">
      <c r="A628" s="5" t="s">
        <v>16</v>
      </c>
      <c r="B628" s="5" t="s">
        <v>15</v>
      </c>
      <c r="C628" s="6">
        <v>43930</v>
      </c>
      <c r="D628">
        <v>0</v>
      </c>
      <c r="E628">
        <v>101</v>
      </c>
      <c r="F628">
        <v>101.28</v>
      </c>
      <c r="G628">
        <v>100.94</v>
      </c>
      <c r="H628">
        <v>101.23</v>
      </c>
      <c r="I628">
        <v>54380</v>
      </c>
      <c r="J628">
        <v>0</v>
      </c>
    </row>
    <row r="629" spans="1:10" x14ac:dyDescent="0.3">
      <c r="A629" s="5" t="s">
        <v>16</v>
      </c>
      <c r="B629" s="5" t="s">
        <v>15</v>
      </c>
      <c r="C629" s="6">
        <v>43931</v>
      </c>
      <c r="D629">
        <v>0</v>
      </c>
      <c r="E629">
        <v>101.01</v>
      </c>
      <c r="F629">
        <v>101.3</v>
      </c>
      <c r="G629">
        <v>100.93</v>
      </c>
      <c r="H629">
        <v>101.23</v>
      </c>
      <c r="I629">
        <v>20902</v>
      </c>
      <c r="J629">
        <v>0</v>
      </c>
    </row>
    <row r="630" spans="1:10" x14ac:dyDescent="0.3">
      <c r="A630" s="5" t="s">
        <v>16</v>
      </c>
      <c r="B630" s="5" t="s">
        <v>15</v>
      </c>
      <c r="C630" s="6">
        <v>43934</v>
      </c>
      <c r="D630">
        <v>0</v>
      </c>
      <c r="E630">
        <v>101.2</v>
      </c>
      <c r="F630">
        <v>101.3</v>
      </c>
      <c r="G630">
        <v>101</v>
      </c>
      <c r="H630">
        <v>101.18</v>
      </c>
      <c r="I630">
        <v>18509</v>
      </c>
      <c r="J630">
        <v>0</v>
      </c>
    </row>
    <row r="631" spans="1:10" x14ac:dyDescent="0.3">
      <c r="A631" s="5" t="s">
        <v>16</v>
      </c>
      <c r="B631" s="5" t="s">
        <v>15</v>
      </c>
      <c r="C631" s="6">
        <v>43935</v>
      </c>
      <c r="D631">
        <v>0</v>
      </c>
      <c r="E631">
        <v>101.49</v>
      </c>
      <c r="F631">
        <v>101.49</v>
      </c>
      <c r="G631">
        <v>101.05</v>
      </c>
      <c r="H631">
        <v>101.29</v>
      </c>
      <c r="I631">
        <v>57164</v>
      </c>
      <c r="J631">
        <v>0</v>
      </c>
    </row>
    <row r="632" spans="1:10" x14ac:dyDescent="0.3">
      <c r="A632" s="5" t="s">
        <v>16</v>
      </c>
      <c r="B632" s="5" t="s">
        <v>15</v>
      </c>
      <c r="C632" s="6">
        <v>43936</v>
      </c>
      <c r="D632">
        <v>0</v>
      </c>
      <c r="E632">
        <v>101.29</v>
      </c>
      <c r="F632">
        <v>101.3</v>
      </c>
      <c r="G632">
        <v>101.05</v>
      </c>
      <c r="H632">
        <v>101.1</v>
      </c>
      <c r="I632">
        <v>19917</v>
      </c>
      <c r="J632">
        <v>0</v>
      </c>
    </row>
    <row r="633" spans="1:10" x14ac:dyDescent="0.3">
      <c r="A633" s="5" t="s">
        <v>16</v>
      </c>
      <c r="B633" s="5" t="s">
        <v>15</v>
      </c>
      <c r="C633" s="6">
        <v>43937</v>
      </c>
      <c r="D633">
        <v>0</v>
      </c>
      <c r="E633">
        <v>101.42</v>
      </c>
      <c r="F633">
        <v>101.42</v>
      </c>
      <c r="G633">
        <v>101</v>
      </c>
      <c r="H633">
        <v>101.33</v>
      </c>
      <c r="I633">
        <v>60852</v>
      </c>
      <c r="J633">
        <v>0</v>
      </c>
    </row>
    <row r="634" spans="1:10" x14ac:dyDescent="0.3">
      <c r="A634" s="5" t="s">
        <v>16</v>
      </c>
      <c r="B634" s="5" t="s">
        <v>15</v>
      </c>
      <c r="C634" s="6">
        <v>43938</v>
      </c>
      <c r="D634">
        <v>0</v>
      </c>
      <c r="E634">
        <v>101.66</v>
      </c>
      <c r="F634">
        <v>101.66</v>
      </c>
      <c r="G634">
        <v>101.2</v>
      </c>
      <c r="H634">
        <v>101.38</v>
      </c>
      <c r="I634">
        <v>10637</v>
      </c>
      <c r="J634">
        <v>0</v>
      </c>
    </row>
    <row r="635" spans="1:10" x14ac:dyDescent="0.3">
      <c r="A635" s="5" t="s">
        <v>16</v>
      </c>
      <c r="B635" s="5" t="s">
        <v>15</v>
      </c>
      <c r="C635" s="6">
        <v>43941</v>
      </c>
      <c r="D635">
        <v>0</v>
      </c>
      <c r="E635">
        <v>101.04</v>
      </c>
      <c r="F635">
        <v>101.4</v>
      </c>
      <c r="G635">
        <v>101.04</v>
      </c>
      <c r="H635">
        <v>101.32</v>
      </c>
      <c r="I635">
        <v>9761</v>
      </c>
      <c r="J635">
        <v>0</v>
      </c>
    </row>
    <row r="636" spans="1:10" x14ac:dyDescent="0.3">
      <c r="A636" s="5" t="s">
        <v>16</v>
      </c>
      <c r="B636" s="5" t="s">
        <v>15</v>
      </c>
      <c r="C636" s="6">
        <v>43942</v>
      </c>
      <c r="D636">
        <v>0</v>
      </c>
      <c r="E636">
        <v>101.61</v>
      </c>
      <c r="F636">
        <v>101.61</v>
      </c>
      <c r="G636">
        <v>101.05</v>
      </c>
      <c r="H636">
        <v>101.18</v>
      </c>
      <c r="I636">
        <v>31259</v>
      </c>
      <c r="J636">
        <v>0</v>
      </c>
    </row>
    <row r="637" spans="1:10" x14ac:dyDescent="0.3">
      <c r="A637" s="5" t="s">
        <v>16</v>
      </c>
      <c r="B637" s="5" t="s">
        <v>15</v>
      </c>
      <c r="C637" s="6">
        <v>43943</v>
      </c>
      <c r="D637">
        <v>0</v>
      </c>
      <c r="E637">
        <v>101.46</v>
      </c>
      <c r="F637">
        <v>101.61</v>
      </c>
      <c r="G637">
        <v>101.11</v>
      </c>
      <c r="H637">
        <v>101.43</v>
      </c>
      <c r="I637">
        <v>9369</v>
      </c>
      <c r="J637">
        <v>0</v>
      </c>
    </row>
    <row r="638" spans="1:10" x14ac:dyDescent="0.3">
      <c r="A638" s="5" t="s">
        <v>16</v>
      </c>
      <c r="B638" s="5" t="s">
        <v>15</v>
      </c>
      <c r="C638" s="6">
        <v>43944</v>
      </c>
      <c r="D638">
        <v>0</v>
      </c>
      <c r="E638">
        <v>101.79</v>
      </c>
      <c r="F638">
        <v>101.79</v>
      </c>
      <c r="G638">
        <v>101.31</v>
      </c>
      <c r="H638">
        <v>101.43</v>
      </c>
      <c r="I638">
        <v>7390</v>
      </c>
      <c r="J638">
        <v>0</v>
      </c>
    </row>
    <row r="639" spans="1:10" x14ac:dyDescent="0.3">
      <c r="A639" s="5" t="s">
        <v>16</v>
      </c>
      <c r="B639" s="5" t="s">
        <v>15</v>
      </c>
      <c r="C639" s="6">
        <v>43945</v>
      </c>
      <c r="D639">
        <v>0</v>
      </c>
      <c r="E639">
        <v>101.59</v>
      </c>
      <c r="F639">
        <v>101.59</v>
      </c>
      <c r="G639">
        <v>101.2</v>
      </c>
      <c r="H639">
        <v>101.55</v>
      </c>
      <c r="I639">
        <v>5483</v>
      </c>
      <c r="J639">
        <v>0</v>
      </c>
    </row>
    <row r="640" spans="1:10" x14ac:dyDescent="0.3">
      <c r="A640" s="5" t="s">
        <v>16</v>
      </c>
      <c r="B640" s="5" t="s">
        <v>15</v>
      </c>
      <c r="C640" s="6">
        <v>43948</v>
      </c>
      <c r="D640">
        <v>0</v>
      </c>
      <c r="E640">
        <v>101.83</v>
      </c>
      <c r="F640">
        <v>101.83</v>
      </c>
      <c r="G640">
        <v>101</v>
      </c>
      <c r="H640">
        <v>101.5</v>
      </c>
      <c r="I640">
        <v>52063</v>
      </c>
      <c r="J640">
        <v>0</v>
      </c>
    </row>
    <row r="641" spans="1:10" x14ac:dyDescent="0.3">
      <c r="A641" s="5" t="s">
        <v>16</v>
      </c>
      <c r="B641" s="5" t="s">
        <v>15</v>
      </c>
      <c r="C641" s="6">
        <v>43949</v>
      </c>
      <c r="D641">
        <v>0</v>
      </c>
      <c r="E641">
        <v>101.76</v>
      </c>
      <c r="F641">
        <v>101.76</v>
      </c>
      <c r="G641">
        <v>101.25</v>
      </c>
      <c r="H641">
        <v>101.5</v>
      </c>
      <c r="I641">
        <v>5458</v>
      </c>
      <c r="J641">
        <v>0</v>
      </c>
    </row>
    <row r="642" spans="1:10" x14ac:dyDescent="0.3">
      <c r="A642" s="5" t="s">
        <v>16</v>
      </c>
      <c r="B642" s="5" t="s">
        <v>15</v>
      </c>
      <c r="C642" s="6">
        <v>43950</v>
      </c>
      <c r="D642">
        <v>0</v>
      </c>
      <c r="E642">
        <v>101.75</v>
      </c>
      <c r="F642">
        <v>101.75</v>
      </c>
      <c r="G642">
        <v>101.1</v>
      </c>
      <c r="H642">
        <v>101.6</v>
      </c>
      <c r="I642">
        <v>4983</v>
      </c>
      <c r="J642">
        <v>0</v>
      </c>
    </row>
    <row r="643" spans="1:10" x14ac:dyDescent="0.3">
      <c r="A643" s="5" t="s">
        <v>16</v>
      </c>
      <c r="B643" s="5" t="s">
        <v>15</v>
      </c>
      <c r="C643" s="6">
        <v>43951</v>
      </c>
      <c r="D643">
        <v>0</v>
      </c>
      <c r="E643">
        <v>101.89</v>
      </c>
      <c r="F643">
        <v>101.89</v>
      </c>
      <c r="G643">
        <v>101.2</v>
      </c>
      <c r="H643">
        <v>101.61</v>
      </c>
      <c r="I643">
        <v>14781</v>
      </c>
      <c r="J643">
        <v>0</v>
      </c>
    </row>
    <row r="644" spans="1:10" x14ac:dyDescent="0.3">
      <c r="A644" s="5" t="s">
        <v>16</v>
      </c>
      <c r="B644" s="5" t="s">
        <v>15</v>
      </c>
      <c r="C644" s="6">
        <v>43955</v>
      </c>
      <c r="D644">
        <v>0</v>
      </c>
      <c r="E644">
        <v>101.66</v>
      </c>
      <c r="F644">
        <v>101.68</v>
      </c>
      <c r="G644">
        <v>101.26</v>
      </c>
      <c r="H644">
        <v>101.5</v>
      </c>
      <c r="I644">
        <v>3992</v>
      </c>
      <c r="J644">
        <v>0</v>
      </c>
    </row>
    <row r="645" spans="1:10" x14ac:dyDescent="0.3">
      <c r="A645" s="5" t="s">
        <v>16</v>
      </c>
      <c r="B645" s="5" t="s">
        <v>15</v>
      </c>
      <c r="C645" s="6">
        <v>43956</v>
      </c>
      <c r="D645">
        <v>0</v>
      </c>
      <c r="E645">
        <v>101.56</v>
      </c>
      <c r="F645">
        <v>101.67</v>
      </c>
      <c r="G645">
        <v>101.4</v>
      </c>
      <c r="H645">
        <v>101.66</v>
      </c>
      <c r="I645">
        <v>4318</v>
      </c>
      <c r="J645">
        <v>0</v>
      </c>
    </row>
    <row r="646" spans="1:10" x14ac:dyDescent="0.3">
      <c r="A646" s="5" t="s">
        <v>16</v>
      </c>
      <c r="B646" s="5" t="s">
        <v>15</v>
      </c>
      <c r="C646" s="6">
        <v>43957</v>
      </c>
      <c r="D646">
        <v>0</v>
      </c>
      <c r="E646">
        <v>101.48</v>
      </c>
      <c r="F646">
        <v>101.69</v>
      </c>
      <c r="G646">
        <v>101.48</v>
      </c>
      <c r="H646">
        <v>101.55</v>
      </c>
      <c r="I646">
        <v>5966</v>
      </c>
      <c r="J646">
        <v>0</v>
      </c>
    </row>
    <row r="647" spans="1:10" x14ac:dyDescent="0.3">
      <c r="A647" s="5" t="s">
        <v>16</v>
      </c>
      <c r="B647" s="5" t="s">
        <v>15</v>
      </c>
      <c r="C647" s="6">
        <v>43958</v>
      </c>
      <c r="D647">
        <v>0</v>
      </c>
      <c r="E647">
        <v>101.51</v>
      </c>
      <c r="F647">
        <v>102.3</v>
      </c>
      <c r="G647">
        <v>101.5</v>
      </c>
      <c r="H647">
        <v>101.5</v>
      </c>
      <c r="I647">
        <v>42303</v>
      </c>
      <c r="J647">
        <v>0</v>
      </c>
    </row>
    <row r="648" spans="1:10" x14ac:dyDescent="0.3">
      <c r="A648" s="5" t="s">
        <v>16</v>
      </c>
      <c r="B648" s="5" t="s">
        <v>15</v>
      </c>
      <c r="C648" s="6">
        <v>43959</v>
      </c>
      <c r="D648">
        <v>0</v>
      </c>
      <c r="E648">
        <v>101.91</v>
      </c>
      <c r="F648">
        <v>101.91</v>
      </c>
      <c r="G648">
        <v>101.4</v>
      </c>
      <c r="H648">
        <v>101.63</v>
      </c>
      <c r="I648">
        <v>18584</v>
      </c>
      <c r="J648">
        <v>0</v>
      </c>
    </row>
    <row r="649" spans="1:10" x14ac:dyDescent="0.3">
      <c r="A649" s="5" t="s">
        <v>16</v>
      </c>
      <c r="B649" s="5" t="s">
        <v>15</v>
      </c>
      <c r="C649" s="6">
        <v>43963</v>
      </c>
      <c r="D649">
        <v>0</v>
      </c>
      <c r="E649">
        <v>101.03</v>
      </c>
      <c r="F649">
        <v>101.93</v>
      </c>
      <c r="G649">
        <v>101</v>
      </c>
      <c r="H649">
        <v>101.5</v>
      </c>
      <c r="I649">
        <v>33943</v>
      </c>
      <c r="J649">
        <v>0</v>
      </c>
    </row>
    <row r="650" spans="1:10" x14ac:dyDescent="0.3">
      <c r="A650" s="5" t="s">
        <v>16</v>
      </c>
      <c r="B650" s="5" t="s">
        <v>15</v>
      </c>
      <c r="C650" s="6">
        <v>43964</v>
      </c>
      <c r="D650">
        <v>0</v>
      </c>
      <c r="E650">
        <v>101.78</v>
      </c>
      <c r="F650">
        <v>101.98</v>
      </c>
      <c r="G650">
        <v>101.2</v>
      </c>
      <c r="H650">
        <v>101.65</v>
      </c>
      <c r="I650">
        <v>6935</v>
      </c>
      <c r="J650">
        <v>0</v>
      </c>
    </row>
    <row r="651" spans="1:10" x14ac:dyDescent="0.3">
      <c r="A651" s="5" t="s">
        <v>16</v>
      </c>
      <c r="B651" s="5" t="s">
        <v>15</v>
      </c>
      <c r="C651" s="6">
        <v>43965</v>
      </c>
      <c r="D651">
        <v>0</v>
      </c>
      <c r="E651">
        <v>102.2</v>
      </c>
      <c r="F651">
        <v>102.2</v>
      </c>
      <c r="G651">
        <v>101.45</v>
      </c>
      <c r="H651">
        <v>101.6</v>
      </c>
      <c r="I651">
        <v>8974</v>
      </c>
      <c r="J651">
        <v>0</v>
      </c>
    </row>
    <row r="652" spans="1:10" x14ac:dyDescent="0.3">
      <c r="A652" s="5" t="s">
        <v>16</v>
      </c>
      <c r="B652" s="5" t="s">
        <v>15</v>
      </c>
      <c r="C652" s="6">
        <v>43966</v>
      </c>
      <c r="D652">
        <v>0</v>
      </c>
      <c r="E652">
        <v>101.28</v>
      </c>
      <c r="F652">
        <v>101.83</v>
      </c>
      <c r="G652">
        <v>101.28</v>
      </c>
      <c r="H652">
        <v>101.5</v>
      </c>
      <c r="I652">
        <v>8770</v>
      </c>
      <c r="J652">
        <v>0</v>
      </c>
    </row>
    <row r="653" spans="1:10" x14ac:dyDescent="0.3">
      <c r="A653" s="5" t="s">
        <v>16</v>
      </c>
      <c r="B653" s="5" t="s">
        <v>15</v>
      </c>
      <c r="C653" s="6">
        <v>43969</v>
      </c>
      <c r="D653">
        <v>0</v>
      </c>
      <c r="E653">
        <v>101.5</v>
      </c>
      <c r="F653">
        <v>101.57</v>
      </c>
      <c r="G653">
        <v>101.1</v>
      </c>
      <c r="H653">
        <v>101.4</v>
      </c>
      <c r="I653">
        <v>27363</v>
      </c>
      <c r="J653">
        <v>0</v>
      </c>
    </row>
    <row r="654" spans="1:10" x14ac:dyDescent="0.3">
      <c r="A654" s="5" t="s">
        <v>16</v>
      </c>
      <c r="B654" s="5" t="s">
        <v>15</v>
      </c>
      <c r="C654" s="6">
        <v>43970</v>
      </c>
      <c r="D654">
        <v>0</v>
      </c>
      <c r="E654">
        <v>101.66</v>
      </c>
      <c r="F654">
        <v>101.66</v>
      </c>
      <c r="G654">
        <v>101.22</v>
      </c>
      <c r="H654">
        <v>101.32</v>
      </c>
      <c r="I654">
        <v>10855</v>
      </c>
      <c r="J654">
        <v>0</v>
      </c>
    </row>
    <row r="655" spans="1:10" x14ac:dyDescent="0.3">
      <c r="A655" s="5" t="s">
        <v>16</v>
      </c>
      <c r="B655" s="5" t="s">
        <v>15</v>
      </c>
      <c r="C655" s="6">
        <v>43971</v>
      </c>
      <c r="D655">
        <v>0</v>
      </c>
      <c r="E655">
        <v>101.32</v>
      </c>
      <c r="F655">
        <v>101.49</v>
      </c>
      <c r="G655">
        <v>101.2</v>
      </c>
      <c r="H655">
        <v>101.44</v>
      </c>
      <c r="I655">
        <v>13754</v>
      </c>
      <c r="J655">
        <v>0</v>
      </c>
    </row>
    <row r="656" spans="1:10" x14ac:dyDescent="0.3">
      <c r="A656" s="5" t="s">
        <v>16</v>
      </c>
      <c r="B656" s="5" t="s">
        <v>15</v>
      </c>
      <c r="C656" s="6">
        <v>43972</v>
      </c>
      <c r="D656">
        <v>0</v>
      </c>
      <c r="E656">
        <v>101.73</v>
      </c>
      <c r="F656">
        <v>101.73</v>
      </c>
      <c r="G656">
        <v>101.4</v>
      </c>
      <c r="H656">
        <v>101.46</v>
      </c>
      <c r="I656">
        <v>5707</v>
      </c>
      <c r="J656">
        <v>0</v>
      </c>
    </row>
    <row r="657" spans="1:10" x14ac:dyDescent="0.3">
      <c r="A657" s="5" t="s">
        <v>16</v>
      </c>
      <c r="B657" s="5" t="s">
        <v>15</v>
      </c>
      <c r="C657" s="6">
        <v>43973</v>
      </c>
      <c r="D657">
        <v>0</v>
      </c>
      <c r="E657">
        <v>101.73</v>
      </c>
      <c r="F657">
        <v>101.73</v>
      </c>
      <c r="G657">
        <v>101.35</v>
      </c>
      <c r="H657">
        <v>101.42</v>
      </c>
      <c r="I657">
        <v>11123</v>
      </c>
      <c r="J657">
        <v>0</v>
      </c>
    </row>
    <row r="658" spans="1:10" x14ac:dyDescent="0.3">
      <c r="A658" s="5" t="s">
        <v>16</v>
      </c>
      <c r="B658" s="5" t="s">
        <v>15</v>
      </c>
      <c r="C658" s="6">
        <v>43976</v>
      </c>
      <c r="D658">
        <v>0</v>
      </c>
      <c r="E658">
        <v>101.22</v>
      </c>
      <c r="F658">
        <v>101.6</v>
      </c>
      <c r="G658">
        <v>101.17</v>
      </c>
      <c r="H658">
        <v>101.55</v>
      </c>
      <c r="I658">
        <v>15273</v>
      </c>
      <c r="J658">
        <v>0</v>
      </c>
    </row>
    <row r="659" spans="1:10" x14ac:dyDescent="0.3">
      <c r="A659" s="5" t="s">
        <v>16</v>
      </c>
      <c r="B659" s="5" t="s">
        <v>15</v>
      </c>
      <c r="C659" s="6">
        <v>43977</v>
      </c>
      <c r="D659">
        <v>0</v>
      </c>
      <c r="E659">
        <v>101.41</v>
      </c>
      <c r="F659">
        <v>101.6</v>
      </c>
      <c r="G659">
        <v>101.41</v>
      </c>
      <c r="H659">
        <v>101.45</v>
      </c>
      <c r="I659">
        <v>17225</v>
      </c>
      <c r="J659">
        <v>0</v>
      </c>
    </row>
    <row r="660" spans="1:10" x14ac:dyDescent="0.3">
      <c r="A660" s="5" t="s">
        <v>16</v>
      </c>
      <c r="B660" s="5" t="s">
        <v>15</v>
      </c>
      <c r="C660" s="6">
        <v>43978</v>
      </c>
      <c r="D660">
        <v>0</v>
      </c>
      <c r="E660">
        <v>101.38</v>
      </c>
      <c r="F660">
        <v>101.44</v>
      </c>
      <c r="G660">
        <v>101.05</v>
      </c>
      <c r="H660">
        <v>101.44</v>
      </c>
      <c r="I660">
        <v>37915</v>
      </c>
      <c r="J660">
        <v>0</v>
      </c>
    </row>
    <row r="661" spans="1:10" x14ac:dyDescent="0.3">
      <c r="A661" s="5" t="s">
        <v>16</v>
      </c>
      <c r="B661" s="5" t="s">
        <v>15</v>
      </c>
      <c r="C661" s="6">
        <v>43979</v>
      </c>
      <c r="D661">
        <v>0</v>
      </c>
      <c r="E661">
        <v>101.22</v>
      </c>
      <c r="F661">
        <v>101.49</v>
      </c>
      <c r="G661">
        <v>101.22</v>
      </c>
      <c r="H661">
        <v>101.45</v>
      </c>
      <c r="I661">
        <v>115295</v>
      </c>
      <c r="J661">
        <v>0</v>
      </c>
    </row>
    <row r="662" spans="1:10" x14ac:dyDescent="0.3">
      <c r="A662" s="5" t="s">
        <v>16</v>
      </c>
      <c r="B662" s="5" t="s">
        <v>15</v>
      </c>
      <c r="C662" s="6">
        <v>43980</v>
      </c>
      <c r="D662">
        <v>0</v>
      </c>
      <c r="E662">
        <v>101.5</v>
      </c>
      <c r="F662">
        <v>101.87</v>
      </c>
      <c r="G662">
        <v>101.42</v>
      </c>
      <c r="H662">
        <v>101.53</v>
      </c>
      <c r="I662">
        <v>30966</v>
      </c>
      <c r="J662">
        <v>0</v>
      </c>
    </row>
    <row r="663" spans="1:10" x14ac:dyDescent="0.3">
      <c r="A663" s="5" t="s">
        <v>16</v>
      </c>
      <c r="B663" s="5" t="s">
        <v>15</v>
      </c>
      <c r="C663" s="6">
        <v>43983</v>
      </c>
      <c r="D663">
        <v>0</v>
      </c>
      <c r="E663">
        <v>101.51</v>
      </c>
      <c r="F663">
        <v>101.8</v>
      </c>
      <c r="G663">
        <v>101.3</v>
      </c>
      <c r="H663">
        <v>101.5</v>
      </c>
      <c r="I663">
        <v>53596</v>
      </c>
      <c r="J663">
        <v>0</v>
      </c>
    </row>
    <row r="664" spans="1:10" x14ac:dyDescent="0.3">
      <c r="A664" s="5" t="s">
        <v>16</v>
      </c>
      <c r="B664" s="5" t="s">
        <v>15</v>
      </c>
      <c r="C664" s="6">
        <v>43984</v>
      </c>
      <c r="D664">
        <v>0</v>
      </c>
      <c r="E664">
        <v>101.63</v>
      </c>
      <c r="F664">
        <v>101.64</v>
      </c>
      <c r="G664">
        <v>101.3</v>
      </c>
      <c r="H664">
        <v>101.5</v>
      </c>
      <c r="I664">
        <v>131257</v>
      </c>
      <c r="J664">
        <v>0</v>
      </c>
    </row>
    <row r="665" spans="1:10" x14ac:dyDescent="0.3">
      <c r="A665" s="5" t="s">
        <v>16</v>
      </c>
      <c r="B665" s="5" t="s">
        <v>15</v>
      </c>
      <c r="C665" s="6">
        <v>43985</v>
      </c>
      <c r="D665">
        <v>0</v>
      </c>
      <c r="E665">
        <v>101.46</v>
      </c>
      <c r="F665">
        <v>101.55</v>
      </c>
      <c r="G665">
        <v>101.3</v>
      </c>
      <c r="H665">
        <v>101.5</v>
      </c>
      <c r="I665">
        <v>19560</v>
      </c>
      <c r="J665">
        <v>0</v>
      </c>
    </row>
    <row r="666" spans="1:10" x14ac:dyDescent="0.3">
      <c r="A666" s="5" t="s">
        <v>16</v>
      </c>
      <c r="B666" s="5" t="s">
        <v>15</v>
      </c>
      <c r="C666" s="6">
        <v>43986</v>
      </c>
      <c r="D666">
        <v>0</v>
      </c>
      <c r="E666">
        <v>101.44</v>
      </c>
      <c r="F666">
        <v>101.55</v>
      </c>
      <c r="G666">
        <v>101.43</v>
      </c>
      <c r="H666">
        <v>101.46</v>
      </c>
      <c r="I666">
        <v>21304</v>
      </c>
      <c r="J666">
        <v>0</v>
      </c>
    </row>
    <row r="667" spans="1:10" x14ac:dyDescent="0.3">
      <c r="A667" s="5" t="s">
        <v>16</v>
      </c>
      <c r="B667" s="5" t="s">
        <v>15</v>
      </c>
      <c r="C667" s="6">
        <v>43987</v>
      </c>
      <c r="D667">
        <v>0</v>
      </c>
      <c r="E667">
        <v>101.55</v>
      </c>
      <c r="F667">
        <v>101.55</v>
      </c>
      <c r="G667">
        <v>101.41</v>
      </c>
      <c r="H667">
        <v>101.46</v>
      </c>
      <c r="I667">
        <v>8936</v>
      </c>
      <c r="J667">
        <v>0</v>
      </c>
    </row>
    <row r="668" spans="1:10" x14ac:dyDescent="0.3">
      <c r="A668" s="5" t="s">
        <v>16</v>
      </c>
      <c r="B668" s="5" t="s">
        <v>15</v>
      </c>
      <c r="C668" s="6">
        <v>43990</v>
      </c>
      <c r="D668">
        <v>0</v>
      </c>
      <c r="E668">
        <v>101.46</v>
      </c>
      <c r="F668">
        <v>101.51</v>
      </c>
      <c r="G668">
        <v>101.3</v>
      </c>
      <c r="H668">
        <v>101.4</v>
      </c>
      <c r="I668">
        <v>22587</v>
      </c>
      <c r="J668">
        <v>0</v>
      </c>
    </row>
    <row r="669" spans="1:10" x14ac:dyDescent="0.3">
      <c r="A669" s="5" t="s">
        <v>16</v>
      </c>
      <c r="B669" s="5" t="s">
        <v>15</v>
      </c>
      <c r="C669" s="6">
        <v>43991</v>
      </c>
      <c r="D669">
        <v>0</v>
      </c>
      <c r="E669">
        <v>101.4</v>
      </c>
      <c r="F669">
        <v>101.63</v>
      </c>
      <c r="G669">
        <v>101.3</v>
      </c>
      <c r="H669">
        <v>101.39</v>
      </c>
      <c r="I669">
        <v>10900</v>
      </c>
      <c r="J669">
        <v>0</v>
      </c>
    </row>
    <row r="670" spans="1:10" x14ac:dyDescent="0.3">
      <c r="A670" s="5" t="s">
        <v>16</v>
      </c>
      <c r="B670" s="5" t="s">
        <v>15</v>
      </c>
      <c r="C670" s="6">
        <v>43992</v>
      </c>
      <c r="D670">
        <v>0</v>
      </c>
      <c r="E670">
        <v>101.39</v>
      </c>
      <c r="F670">
        <v>101.5</v>
      </c>
      <c r="G670">
        <v>101.22</v>
      </c>
      <c r="H670">
        <v>101.5</v>
      </c>
      <c r="I670">
        <v>29329</v>
      </c>
      <c r="J670">
        <v>0</v>
      </c>
    </row>
    <row r="671" spans="1:10" x14ac:dyDescent="0.3">
      <c r="A671" s="5" t="s">
        <v>16</v>
      </c>
      <c r="B671" s="5" t="s">
        <v>15</v>
      </c>
      <c r="C671" s="6">
        <v>43993</v>
      </c>
      <c r="D671">
        <v>0</v>
      </c>
      <c r="E671">
        <v>101.51</v>
      </c>
      <c r="F671">
        <v>101.56</v>
      </c>
      <c r="G671">
        <v>101.25</v>
      </c>
      <c r="H671">
        <v>101.42</v>
      </c>
      <c r="I671">
        <v>9467</v>
      </c>
      <c r="J671">
        <v>0</v>
      </c>
    </row>
    <row r="672" spans="1:10" x14ac:dyDescent="0.3">
      <c r="A672" s="5" t="s">
        <v>16</v>
      </c>
      <c r="B672" s="5" t="s">
        <v>15</v>
      </c>
      <c r="C672" s="6">
        <v>43997</v>
      </c>
      <c r="D672">
        <v>0</v>
      </c>
      <c r="E672">
        <v>101.16</v>
      </c>
      <c r="F672">
        <v>101.59</v>
      </c>
      <c r="G672">
        <v>101.15</v>
      </c>
      <c r="H672">
        <v>101.4</v>
      </c>
      <c r="I672">
        <v>8975</v>
      </c>
      <c r="J672">
        <v>0</v>
      </c>
    </row>
    <row r="673" spans="1:10" x14ac:dyDescent="0.3">
      <c r="A673" s="5" t="s">
        <v>16</v>
      </c>
      <c r="B673" s="5" t="s">
        <v>15</v>
      </c>
      <c r="C673" s="6">
        <v>43998</v>
      </c>
      <c r="D673">
        <v>0</v>
      </c>
      <c r="E673">
        <v>101.39</v>
      </c>
      <c r="F673">
        <v>101.52</v>
      </c>
      <c r="G673">
        <v>101.3</v>
      </c>
      <c r="H673">
        <v>101.51</v>
      </c>
      <c r="I673">
        <v>13226</v>
      </c>
      <c r="J673">
        <v>0</v>
      </c>
    </row>
    <row r="674" spans="1:10" x14ac:dyDescent="0.3">
      <c r="A674" s="5" t="s">
        <v>16</v>
      </c>
      <c r="B674" s="5" t="s">
        <v>15</v>
      </c>
      <c r="C674" s="6">
        <v>43999</v>
      </c>
      <c r="D674">
        <v>0</v>
      </c>
      <c r="E674">
        <v>101.41</v>
      </c>
      <c r="F674">
        <v>101.48</v>
      </c>
      <c r="G674">
        <v>101.31</v>
      </c>
      <c r="H674">
        <v>101.4</v>
      </c>
      <c r="I674">
        <v>64584</v>
      </c>
      <c r="J674">
        <v>0</v>
      </c>
    </row>
    <row r="675" spans="1:10" x14ac:dyDescent="0.3">
      <c r="A675" s="5" t="s">
        <v>16</v>
      </c>
      <c r="B675" s="5" t="s">
        <v>15</v>
      </c>
      <c r="C675" s="6">
        <v>44000</v>
      </c>
      <c r="D675">
        <v>0</v>
      </c>
      <c r="E675">
        <v>101.51</v>
      </c>
      <c r="F675">
        <v>101.51</v>
      </c>
      <c r="G675">
        <v>101.31</v>
      </c>
      <c r="H675">
        <v>101.46</v>
      </c>
      <c r="I675">
        <v>19413</v>
      </c>
      <c r="J675">
        <v>0</v>
      </c>
    </row>
    <row r="676" spans="1:10" x14ac:dyDescent="0.3">
      <c r="A676" s="5" t="s">
        <v>16</v>
      </c>
      <c r="B676" s="5" t="s">
        <v>15</v>
      </c>
      <c r="C676" s="6">
        <v>44001</v>
      </c>
      <c r="D676">
        <v>0</v>
      </c>
      <c r="E676">
        <v>101.53</v>
      </c>
      <c r="F676">
        <v>101.53</v>
      </c>
      <c r="G676">
        <v>101.3</v>
      </c>
      <c r="H676">
        <v>101.52</v>
      </c>
      <c r="I676">
        <v>23716</v>
      </c>
      <c r="J676">
        <v>0</v>
      </c>
    </row>
    <row r="677" spans="1:10" x14ac:dyDescent="0.3">
      <c r="A677" s="5" t="s">
        <v>16</v>
      </c>
      <c r="B677" s="5" t="s">
        <v>15</v>
      </c>
      <c r="C677" s="6">
        <v>44004</v>
      </c>
      <c r="D677">
        <v>0</v>
      </c>
      <c r="E677">
        <v>101.55</v>
      </c>
      <c r="F677">
        <v>101.6</v>
      </c>
      <c r="G677">
        <v>101.36</v>
      </c>
      <c r="H677">
        <v>101.58</v>
      </c>
      <c r="I677">
        <v>9419</v>
      </c>
      <c r="J677">
        <v>0</v>
      </c>
    </row>
    <row r="678" spans="1:10" x14ac:dyDescent="0.3">
      <c r="A678" s="5" t="s">
        <v>16</v>
      </c>
      <c r="B678" s="5" t="s">
        <v>15</v>
      </c>
      <c r="C678" s="6">
        <v>44005</v>
      </c>
      <c r="D678">
        <v>0</v>
      </c>
      <c r="E678">
        <v>101.6</v>
      </c>
      <c r="F678">
        <v>101.97</v>
      </c>
      <c r="G678">
        <v>101.36</v>
      </c>
      <c r="H678">
        <v>101.5</v>
      </c>
      <c r="I678">
        <v>32803</v>
      </c>
      <c r="J678">
        <v>0</v>
      </c>
    </row>
    <row r="679" spans="1:10" x14ac:dyDescent="0.3">
      <c r="A679" s="5" t="s">
        <v>16</v>
      </c>
      <c r="B679" s="5" t="s">
        <v>15</v>
      </c>
      <c r="C679" s="6">
        <v>44007</v>
      </c>
      <c r="D679">
        <v>0</v>
      </c>
      <c r="E679">
        <v>101.73</v>
      </c>
      <c r="F679">
        <v>101.88</v>
      </c>
      <c r="G679">
        <v>101.35</v>
      </c>
      <c r="H679">
        <v>101.53</v>
      </c>
      <c r="I679">
        <v>31299</v>
      </c>
      <c r="J679">
        <v>0</v>
      </c>
    </row>
    <row r="680" spans="1:10" x14ac:dyDescent="0.3">
      <c r="A680" s="5" t="s">
        <v>16</v>
      </c>
      <c r="B680" s="5" t="s">
        <v>15</v>
      </c>
      <c r="C680" s="6">
        <v>44008</v>
      </c>
      <c r="D680">
        <v>0</v>
      </c>
      <c r="E680">
        <v>101.54</v>
      </c>
      <c r="F680">
        <v>101.66</v>
      </c>
      <c r="G680">
        <v>101.32</v>
      </c>
      <c r="H680">
        <v>101.53</v>
      </c>
      <c r="I680">
        <v>10394</v>
      </c>
      <c r="J680">
        <v>0</v>
      </c>
    </row>
    <row r="681" spans="1:10" x14ac:dyDescent="0.3">
      <c r="A681" s="5" t="s">
        <v>16</v>
      </c>
      <c r="B681" s="5" t="s">
        <v>15</v>
      </c>
      <c r="C681" s="6">
        <v>44011</v>
      </c>
      <c r="D681">
        <v>0</v>
      </c>
      <c r="E681">
        <v>101.53</v>
      </c>
      <c r="F681">
        <v>101.56</v>
      </c>
      <c r="G681">
        <v>100.92</v>
      </c>
      <c r="H681">
        <v>101.47</v>
      </c>
      <c r="I681">
        <v>13442</v>
      </c>
      <c r="J681">
        <v>0</v>
      </c>
    </row>
    <row r="682" spans="1:10" x14ac:dyDescent="0.3">
      <c r="A682" s="5" t="s">
        <v>16</v>
      </c>
      <c r="B682" s="5" t="s">
        <v>15</v>
      </c>
      <c r="C682" s="6">
        <v>44012</v>
      </c>
      <c r="D682">
        <v>0</v>
      </c>
      <c r="E682">
        <v>101.41</v>
      </c>
      <c r="F682">
        <v>101.54</v>
      </c>
      <c r="G682">
        <v>101.34</v>
      </c>
      <c r="H682">
        <v>101.43</v>
      </c>
      <c r="I682">
        <v>6543</v>
      </c>
      <c r="J682">
        <v>0</v>
      </c>
    </row>
    <row r="683" spans="1:10" x14ac:dyDescent="0.3">
      <c r="A683" s="5" t="s">
        <v>16</v>
      </c>
      <c r="B683" s="5" t="s">
        <v>15</v>
      </c>
      <c r="C683" s="6">
        <v>44014</v>
      </c>
      <c r="D683">
        <v>0</v>
      </c>
      <c r="E683">
        <v>101.04</v>
      </c>
      <c r="F683">
        <v>101.47</v>
      </c>
      <c r="G683">
        <v>101.04</v>
      </c>
      <c r="H683">
        <v>101.37</v>
      </c>
      <c r="I683">
        <v>26102</v>
      </c>
      <c r="J683">
        <v>0</v>
      </c>
    </row>
    <row r="684" spans="1:10" x14ac:dyDescent="0.3">
      <c r="A684" s="5" t="s">
        <v>16</v>
      </c>
      <c r="B684" s="5" t="s">
        <v>15</v>
      </c>
      <c r="C684" s="6">
        <v>44015</v>
      </c>
      <c r="D684">
        <v>0</v>
      </c>
      <c r="E684">
        <v>101.42</v>
      </c>
      <c r="F684">
        <v>101.48</v>
      </c>
      <c r="G684">
        <v>101.31</v>
      </c>
      <c r="H684">
        <v>101.38</v>
      </c>
      <c r="I684">
        <v>16073</v>
      </c>
      <c r="J684">
        <v>0</v>
      </c>
    </row>
    <row r="685" spans="1:10" x14ac:dyDescent="0.3">
      <c r="A685" s="5" t="s">
        <v>16</v>
      </c>
      <c r="B685" s="5" t="s">
        <v>15</v>
      </c>
      <c r="C685" s="6">
        <v>44018</v>
      </c>
      <c r="D685">
        <v>0</v>
      </c>
      <c r="E685">
        <v>101.46</v>
      </c>
      <c r="F685">
        <v>101.47</v>
      </c>
      <c r="G685">
        <v>101.18</v>
      </c>
      <c r="H685">
        <v>101.37</v>
      </c>
      <c r="I685">
        <v>43536</v>
      </c>
      <c r="J685">
        <v>0</v>
      </c>
    </row>
    <row r="686" spans="1:10" x14ac:dyDescent="0.3">
      <c r="A686" s="5" t="s">
        <v>16</v>
      </c>
      <c r="B686" s="5" t="s">
        <v>15</v>
      </c>
      <c r="C686" s="6">
        <v>44019</v>
      </c>
      <c r="D686">
        <v>0</v>
      </c>
      <c r="E686">
        <v>101.88</v>
      </c>
      <c r="F686">
        <v>101.88</v>
      </c>
      <c r="G686">
        <v>101.31</v>
      </c>
      <c r="H686">
        <v>101.38</v>
      </c>
      <c r="I686">
        <v>8779</v>
      </c>
      <c r="J686">
        <v>0</v>
      </c>
    </row>
    <row r="687" spans="1:10" x14ac:dyDescent="0.3">
      <c r="A687" s="5" t="s">
        <v>16</v>
      </c>
      <c r="B687" s="5" t="s">
        <v>15</v>
      </c>
      <c r="C687" s="6">
        <v>44020</v>
      </c>
      <c r="D687">
        <v>0</v>
      </c>
      <c r="E687">
        <v>101.29</v>
      </c>
      <c r="F687">
        <v>101.43</v>
      </c>
      <c r="G687">
        <v>101.28</v>
      </c>
      <c r="H687">
        <v>101.39</v>
      </c>
      <c r="I687">
        <v>21776</v>
      </c>
      <c r="J687">
        <v>0</v>
      </c>
    </row>
    <row r="688" spans="1:10" x14ac:dyDescent="0.3">
      <c r="A688" s="5" t="s">
        <v>16</v>
      </c>
      <c r="B688" s="5" t="s">
        <v>15</v>
      </c>
      <c r="C688" s="6">
        <v>44021</v>
      </c>
      <c r="D688">
        <v>0</v>
      </c>
      <c r="E688">
        <v>101.29</v>
      </c>
      <c r="F688">
        <v>101.4</v>
      </c>
      <c r="G688">
        <v>101.28</v>
      </c>
      <c r="H688">
        <v>101.38</v>
      </c>
      <c r="I688">
        <v>15317</v>
      </c>
      <c r="J688">
        <v>0</v>
      </c>
    </row>
    <row r="689" spans="1:10" x14ac:dyDescent="0.3">
      <c r="A689" s="5" t="s">
        <v>16</v>
      </c>
      <c r="B689" s="5" t="s">
        <v>15</v>
      </c>
      <c r="C689" s="6">
        <v>44022</v>
      </c>
      <c r="D689">
        <v>0</v>
      </c>
      <c r="E689">
        <v>101.27</v>
      </c>
      <c r="F689">
        <v>101.39</v>
      </c>
      <c r="G689">
        <v>101.26</v>
      </c>
      <c r="H689">
        <v>101.35</v>
      </c>
      <c r="I689">
        <v>2477</v>
      </c>
      <c r="J689">
        <v>0</v>
      </c>
    </row>
    <row r="690" spans="1:10" x14ac:dyDescent="0.3">
      <c r="A690" s="5" t="s">
        <v>16</v>
      </c>
      <c r="B690" s="5" t="s">
        <v>15</v>
      </c>
      <c r="C690" s="6">
        <v>44025</v>
      </c>
      <c r="D690">
        <v>0</v>
      </c>
      <c r="E690">
        <v>101.39</v>
      </c>
      <c r="F690">
        <v>101.39</v>
      </c>
      <c r="G690">
        <v>101.23</v>
      </c>
      <c r="H690">
        <v>101.24</v>
      </c>
      <c r="I690">
        <v>19283</v>
      </c>
      <c r="J690">
        <v>0</v>
      </c>
    </row>
    <row r="691" spans="1:10" x14ac:dyDescent="0.3">
      <c r="A691" s="5" t="s">
        <v>16</v>
      </c>
      <c r="B691" s="5" t="s">
        <v>15</v>
      </c>
      <c r="C691" s="6">
        <v>44026</v>
      </c>
      <c r="D691">
        <v>0</v>
      </c>
      <c r="E691">
        <v>101.31</v>
      </c>
      <c r="F691">
        <v>101.36</v>
      </c>
      <c r="G691">
        <v>101.2</v>
      </c>
      <c r="H691">
        <v>101.3</v>
      </c>
      <c r="I691">
        <v>8999</v>
      </c>
      <c r="J691">
        <v>0</v>
      </c>
    </row>
    <row r="692" spans="1:10" x14ac:dyDescent="0.3">
      <c r="A692" s="5" t="s">
        <v>16</v>
      </c>
      <c r="B692" s="5" t="s">
        <v>15</v>
      </c>
      <c r="C692" s="6">
        <v>44027</v>
      </c>
      <c r="D692">
        <v>0</v>
      </c>
      <c r="E692">
        <v>101.32</v>
      </c>
      <c r="F692">
        <v>101.36</v>
      </c>
      <c r="G692">
        <v>101.2</v>
      </c>
      <c r="H692">
        <v>101.25</v>
      </c>
      <c r="I692">
        <v>17112</v>
      </c>
      <c r="J692">
        <v>0</v>
      </c>
    </row>
    <row r="693" spans="1:10" x14ac:dyDescent="0.3">
      <c r="A693" s="5" t="s">
        <v>16</v>
      </c>
      <c r="B693" s="5" t="s">
        <v>15</v>
      </c>
      <c r="C693" s="6">
        <v>44028</v>
      </c>
      <c r="D693">
        <v>0</v>
      </c>
      <c r="E693">
        <v>101.3</v>
      </c>
      <c r="F693">
        <v>101.48</v>
      </c>
      <c r="G693">
        <v>101.24</v>
      </c>
      <c r="H693">
        <v>101.44</v>
      </c>
      <c r="I693">
        <v>6319</v>
      </c>
      <c r="J693">
        <v>0</v>
      </c>
    </row>
    <row r="694" spans="1:10" x14ac:dyDescent="0.3">
      <c r="A694" s="5" t="s">
        <v>16</v>
      </c>
      <c r="B694" s="5" t="s">
        <v>15</v>
      </c>
      <c r="C694" s="6">
        <v>44029</v>
      </c>
      <c r="D694">
        <v>0</v>
      </c>
      <c r="E694">
        <v>101.39</v>
      </c>
      <c r="F694">
        <v>101.54</v>
      </c>
      <c r="G694">
        <v>101.04</v>
      </c>
      <c r="H694">
        <v>101.3</v>
      </c>
      <c r="I694">
        <v>39878</v>
      </c>
      <c r="J694">
        <v>0</v>
      </c>
    </row>
    <row r="695" spans="1:10" x14ac:dyDescent="0.3">
      <c r="A695" s="5" t="s">
        <v>16</v>
      </c>
      <c r="B695" s="5" t="s">
        <v>15</v>
      </c>
      <c r="C695" s="6">
        <v>44032</v>
      </c>
      <c r="D695">
        <v>0</v>
      </c>
      <c r="E695">
        <v>101.33</v>
      </c>
      <c r="F695">
        <v>101.33</v>
      </c>
      <c r="G695">
        <v>101.02</v>
      </c>
      <c r="H695">
        <v>101.3</v>
      </c>
      <c r="I695">
        <v>19813</v>
      </c>
      <c r="J695">
        <v>0</v>
      </c>
    </row>
    <row r="696" spans="1:10" x14ac:dyDescent="0.3">
      <c r="A696" s="5" t="s">
        <v>16</v>
      </c>
      <c r="B696" s="5" t="s">
        <v>15</v>
      </c>
      <c r="C696" s="6">
        <v>44033</v>
      </c>
      <c r="D696">
        <v>0</v>
      </c>
      <c r="E696">
        <v>101.29</v>
      </c>
      <c r="F696">
        <v>101.3</v>
      </c>
      <c r="G696">
        <v>101.18</v>
      </c>
      <c r="H696">
        <v>101.18</v>
      </c>
      <c r="I696">
        <v>5184</v>
      </c>
      <c r="J696">
        <v>0</v>
      </c>
    </row>
    <row r="697" spans="1:10" x14ac:dyDescent="0.3">
      <c r="A697" s="5" t="s">
        <v>16</v>
      </c>
      <c r="B697" s="5" t="s">
        <v>15</v>
      </c>
      <c r="C697" s="6">
        <v>44034</v>
      </c>
      <c r="D697">
        <v>0</v>
      </c>
      <c r="E697">
        <v>101.29</v>
      </c>
      <c r="F697">
        <v>101.29</v>
      </c>
      <c r="G697">
        <v>101.19</v>
      </c>
      <c r="H697">
        <v>101.24</v>
      </c>
      <c r="I697">
        <v>15656</v>
      </c>
      <c r="J697">
        <v>0</v>
      </c>
    </row>
    <row r="698" spans="1:10" x14ac:dyDescent="0.3">
      <c r="A698" s="5" t="s">
        <v>16</v>
      </c>
      <c r="B698" s="5" t="s">
        <v>15</v>
      </c>
      <c r="C698" s="6">
        <v>44035</v>
      </c>
      <c r="D698">
        <v>0</v>
      </c>
      <c r="E698">
        <v>101.3</v>
      </c>
      <c r="F698">
        <v>101.3</v>
      </c>
      <c r="G698">
        <v>101</v>
      </c>
      <c r="H698">
        <v>101.23</v>
      </c>
      <c r="I698">
        <v>27160</v>
      </c>
      <c r="J698">
        <v>0</v>
      </c>
    </row>
    <row r="699" spans="1:10" x14ac:dyDescent="0.3">
      <c r="A699" s="5" t="s">
        <v>16</v>
      </c>
      <c r="B699" s="5" t="s">
        <v>15</v>
      </c>
      <c r="C699" s="6">
        <v>44036</v>
      </c>
      <c r="D699">
        <v>0</v>
      </c>
      <c r="E699">
        <v>101.24</v>
      </c>
      <c r="F699">
        <v>101.25</v>
      </c>
      <c r="G699">
        <v>101.15</v>
      </c>
      <c r="H699">
        <v>101.23</v>
      </c>
      <c r="I699">
        <v>5347</v>
      </c>
      <c r="J699">
        <v>0</v>
      </c>
    </row>
    <row r="700" spans="1:10" x14ac:dyDescent="0.3">
      <c r="A700" s="5" t="s">
        <v>16</v>
      </c>
      <c r="B700" s="5" t="s">
        <v>15</v>
      </c>
      <c r="C700" s="6">
        <v>44039</v>
      </c>
      <c r="D700">
        <v>0</v>
      </c>
      <c r="E700">
        <v>101.17</v>
      </c>
      <c r="F700">
        <v>101.28</v>
      </c>
      <c r="G700">
        <v>101.13</v>
      </c>
      <c r="H700">
        <v>101.19</v>
      </c>
      <c r="I700">
        <v>37281</v>
      </c>
      <c r="J700">
        <v>0</v>
      </c>
    </row>
    <row r="701" spans="1:10" x14ac:dyDescent="0.3">
      <c r="A701" s="5" t="s">
        <v>16</v>
      </c>
      <c r="B701" s="5" t="s">
        <v>15</v>
      </c>
      <c r="C701" s="6">
        <v>44040</v>
      </c>
      <c r="D701">
        <v>0</v>
      </c>
      <c r="E701">
        <v>101.22</v>
      </c>
      <c r="F701">
        <v>101.22</v>
      </c>
      <c r="G701">
        <v>100.81</v>
      </c>
      <c r="H701">
        <v>101.12</v>
      </c>
      <c r="I701">
        <v>31864</v>
      </c>
      <c r="J701">
        <v>0</v>
      </c>
    </row>
    <row r="702" spans="1:10" x14ac:dyDescent="0.3">
      <c r="A702" s="5" t="s">
        <v>16</v>
      </c>
      <c r="B702" s="5" t="s">
        <v>15</v>
      </c>
      <c r="C702" s="6">
        <v>44041</v>
      </c>
      <c r="D702">
        <v>0</v>
      </c>
      <c r="E702">
        <v>101.1</v>
      </c>
      <c r="F702">
        <v>101.25</v>
      </c>
      <c r="G702">
        <v>101.05</v>
      </c>
      <c r="H702">
        <v>101.06</v>
      </c>
      <c r="I702">
        <v>16397</v>
      </c>
      <c r="J702">
        <v>0</v>
      </c>
    </row>
    <row r="703" spans="1:10" x14ac:dyDescent="0.3">
      <c r="A703" s="5" t="s">
        <v>16</v>
      </c>
      <c r="B703" s="5" t="s">
        <v>15</v>
      </c>
      <c r="C703" s="6">
        <v>44042</v>
      </c>
      <c r="D703">
        <v>0</v>
      </c>
      <c r="E703">
        <v>101.24</v>
      </c>
      <c r="F703">
        <v>101.24</v>
      </c>
      <c r="G703">
        <v>101.06</v>
      </c>
      <c r="H703">
        <v>101.2</v>
      </c>
      <c r="I703">
        <v>70521</v>
      </c>
      <c r="J703">
        <v>0</v>
      </c>
    </row>
    <row r="704" spans="1:10" x14ac:dyDescent="0.3">
      <c r="A704" s="5" t="s">
        <v>16</v>
      </c>
      <c r="B704" s="5" t="s">
        <v>15</v>
      </c>
      <c r="C704" s="6">
        <v>44043</v>
      </c>
      <c r="D704">
        <v>0</v>
      </c>
      <c r="E704">
        <v>101.27</v>
      </c>
      <c r="F704">
        <v>101.44</v>
      </c>
      <c r="G704">
        <v>101.06</v>
      </c>
      <c r="H704">
        <v>101.15</v>
      </c>
      <c r="I704">
        <v>13738</v>
      </c>
      <c r="J704">
        <v>0</v>
      </c>
    </row>
    <row r="705" spans="1:10" x14ac:dyDescent="0.3">
      <c r="A705" s="5" t="s">
        <v>16</v>
      </c>
      <c r="B705" s="5" t="s">
        <v>15</v>
      </c>
      <c r="C705" s="6">
        <v>44046</v>
      </c>
      <c r="D705">
        <v>0</v>
      </c>
      <c r="E705">
        <v>101.15</v>
      </c>
      <c r="F705">
        <v>101.34</v>
      </c>
      <c r="G705">
        <v>101</v>
      </c>
      <c r="H705">
        <v>101.15</v>
      </c>
      <c r="I705">
        <v>768933</v>
      </c>
      <c r="J705">
        <v>0</v>
      </c>
    </row>
    <row r="706" spans="1:10" x14ac:dyDescent="0.3">
      <c r="A706" s="5" t="s">
        <v>16</v>
      </c>
      <c r="B706" s="5" t="s">
        <v>15</v>
      </c>
      <c r="C706" s="6">
        <v>44047</v>
      </c>
      <c r="D706">
        <v>0</v>
      </c>
      <c r="E706">
        <v>101.15</v>
      </c>
      <c r="F706">
        <v>101.17</v>
      </c>
      <c r="G706">
        <v>100.94</v>
      </c>
      <c r="H706">
        <v>101.12</v>
      </c>
      <c r="I706">
        <v>37276</v>
      </c>
      <c r="J706">
        <v>0</v>
      </c>
    </row>
    <row r="707" spans="1:10" x14ac:dyDescent="0.3">
      <c r="A707" s="5" t="s">
        <v>16</v>
      </c>
      <c r="B707" s="5" t="s">
        <v>15</v>
      </c>
      <c r="C707" s="6">
        <v>44048</v>
      </c>
      <c r="D707">
        <v>0</v>
      </c>
      <c r="E707">
        <v>101.13</v>
      </c>
      <c r="F707">
        <v>101.19</v>
      </c>
      <c r="G707">
        <v>100.99</v>
      </c>
      <c r="H707">
        <v>101.11</v>
      </c>
      <c r="I707">
        <v>25801</v>
      </c>
      <c r="J707">
        <v>0</v>
      </c>
    </row>
    <row r="708" spans="1:10" x14ac:dyDescent="0.3">
      <c r="A708" s="5" t="s">
        <v>16</v>
      </c>
      <c r="B708" s="5" t="s">
        <v>15</v>
      </c>
      <c r="C708" s="6">
        <v>44049</v>
      </c>
      <c r="D708">
        <v>0</v>
      </c>
      <c r="E708">
        <v>101.28</v>
      </c>
      <c r="F708">
        <v>101.28</v>
      </c>
      <c r="G708">
        <v>100.8</v>
      </c>
      <c r="H708">
        <v>101.19</v>
      </c>
      <c r="I708">
        <v>5741</v>
      </c>
      <c r="J708">
        <v>0</v>
      </c>
    </row>
    <row r="709" spans="1:10" x14ac:dyDescent="0.3">
      <c r="A709" s="5" t="s">
        <v>16</v>
      </c>
      <c r="B709" s="5" t="s">
        <v>15</v>
      </c>
      <c r="C709" s="6">
        <v>44050</v>
      </c>
      <c r="D709">
        <v>0</v>
      </c>
      <c r="E709">
        <v>101.19</v>
      </c>
      <c r="F709">
        <v>101.19</v>
      </c>
      <c r="G709">
        <v>101.03</v>
      </c>
      <c r="H709">
        <v>101.16</v>
      </c>
      <c r="I709">
        <v>22748</v>
      </c>
      <c r="J709">
        <v>0</v>
      </c>
    </row>
    <row r="710" spans="1:10" x14ac:dyDescent="0.3">
      <c r="A710" s="5" t="s">
        <v>16</v>
      </c>
      <c r="B710" s="5" t="s">
        <v>15</v>
      </c>
      <c r="C710" s="6">
        <v>44053</v>
      </c>
      <c r="D710">
        <v>0</v>
      </c>
      <c r="E710">
        <v>100.91</v>
      </c>
      <c r="F710">
        <v>101.14</v>
      </c>
      <c r="G710">
        <v>100.62</v>
      </c>
      <c r="H710">
        <v>101.13</v>
      </c>
      <c r="I710">
        <v>64598</v>
      </c>
      <c r="J710">
        <v>0</v>
      </c>
    </row>
    <row r="711" spans="1:10" x14ac:dyDescent="0.3">
      <c r="A711" s="5" t="s">
        <v>16</v>
      </c>
      <c r="B711" s="5" t="s">
        <v>15</v>
      </c>
      <c r="C711" s="6">
        <v>44054</v>
      </c>
      <c r="D711">
        <v>0</v>
      </c>
      <c r="E711">
        <v>101.08</v>
      </c>
      <c r="F711">
        <v>101.18</v>
      </c>
      <c r="G711">
        <v>100.73</v>
      </c>
      <c r="H711">
        <v>101.12</v>
      </c>
      <c r="I711">
        <v>30309</v>
      </c>
      <c r="J711">
        <v>0</v>
      </c>
    </row>
    <row r="712" spans="1:10" x14ac:dyDescent="0.3">
      <c r="A712" s="5" t="s">
        <v>16</v>
      </c>
      <c r="B712" s="5" t="s">
        <v>15</v>
      </c>
      <c r="C712" s="6">
        <v>44055</v>
      </c>
      <c r="D712">
        <v>0</v>
      </c>
      <c r="E712">
        <v>101.16</v>
      </c>
      <c r="F712">
        <v>101.16</v>
      </c>
      <c r="G712">
        <v>101.02</v>
      </c>
      <c r="H712">
        <v>101.13</v>
      </c>
      <c r="I712">
        <v>5155</v>
      </c>
      <c r="J712">
        <v>0</v>
      </c>
    </row>
    <row r="713" spans="1:10" x14ac:dyDescent="0.3">
      <c r="A713" s="5" t="s">
        <v>16</v>
      </c>
      <c r="B713" s="5" t="s">
        <v>15</v>
      </c>
      <c r="C713" s="6">
        <v>44056</v>
      </c>
      <c r="D713">
        <v>0</v>
      </c>
      <c r="E713">
        <v>101</v>
      </c>
      <c r="F713">
        <v>101.18</v>
      </c>
      <c r="G713">
        <v>100.95</v>
      </c>
      <c r="H713">
        <v>101.13</v>
      </c>
      <c r="I713">
        <v>39034</v>
      </c>
      <c r="J713">
        <v>0</v>
      </c>
    </row>
    <row r="714" spans="1:10" x14ac:dyDescent="0.3">
      <c r="A714" s="5" t="s">
        <v>16</v>
      </c>
      <c r="B714" s="5" t="s">
        <v>15</v>
      </c>
      <c r="C714" s="6">
        <v>44057</v>
      </c>
      <c r="D714">
        <v>0</v>
      </c>
      <c r="E714">
        <v>101.19</v>
      </c>
      <c r="F714">
        <v>101.2</v>
      </c>
      <c r="G714">
        <v>100.91</v>
      </c>
      <c r="H714">
        <v>101.12</v>
      </c>
      <c r="I714">
        <v>90306</v>
      </c>
      <c r="J714">
        <v>0</v>
      </c>
    </row>
    <row r="715" spans="1:10" x14ac:dyDescent="0.3">
      <c r="A715" s="5" t="s">
        <v>16</v>
      </c>
      <c r="B715" s="5" t="s">
        <v>15</v>
      </c>
      <c r="C715" s="6">
        <v>44060</v>
      </c>
      <c r="D715">
        <v>0</v>
      </c>
      <c r="E715">
        <v>101.2</v>
      </c>
      <c r="F715">
        <v>101.2</v>
      </c>
      <c r="G715">
        <v>100.85</v>
      </c>
      <c r="H715">
        <v>101.01</v>
      </c>
      <c r="I715">
        <v>22003</v>
      </c>
      <c r="J715">
        <v>0</v>
      </c>
    </row>
    <row r="716" spans="1:10" x14ac:dyDescent="0.3">
      <c r="A716" s="5" t="s">
        <v>16</v>
      </c>
      <c r="B716" s="5" t="s">
        <v>15</v>
      </c>
      <c r="C716" s="6">
        <v>44061</v>
      </c>
      <c r="D716">
        <v>0</v>
      </c>
      <c r="E716">
        <v>101.01</v>
      </c>
      <c r="F716">
        <v>101.13</v>
      </c>
      <c r="G716">
        <v>100.52</v>
      </c>
      <c r="H716">
        <v>100.93</v>
      </c>
      <c r="I716">
        <v>15394</v>
      </c>
      <c r="J716">
        <v>0</v>
      </c>
    </row>
    <row r="717" spans="1:10" x14ac:dyDescent="0.3">
      <c r="A717" s="5" t="s">
        <v>16</v>
      </c>
      <c r="B717" s="5" t="s">
        <v>15</v>
      </c>
      <c r="C717" s="6">
        <v>44062</v>
      </c>
      <c r="D717">
        <v>0</v>
      </c>
      <c r="E717">
        <v>100.68</v>
      </c>
      <c r="F717">
        <v>101</v>
      </c>
      <c r="G717">
        <v>100.68</v>
      </c>
      <c r="H717">
        <v>100.95</v>
      </c>
      <c r="I717">
        <v>8053</v>
      </c>
      <c r="J717">
        <v>0</v>
      </c>
    </row>
    <row r="718" spans="1:10" x14ac:dyDescent="0.3">
      <c r="A718" s="5" t="s">
        <v>16</v>
      </c>
      <c r="B718" s="5" t="s">
        <v>15</v>
      </c>
      <c r="C718" s="6">
        <v>44063</v>
      </c>
      <c r="D718">
        <v>0</v>
      </c>
      <c r="E718">
        <v>100.99</v>
      </c>
      <c r="F718">
        <v>101.04</v>
      </c>
      <c r="G718">
        <v>100.63</v>
      </c>
      <c r="H718">
        <v>101.03</v>
      </c>
      <c r="I718">
        <v>9267</v>
      </c>
      <c r="J718">
        <v>0</v>
      </c>
    </row>
    <row r="719" spans="1:10" x14ac:dyDescent="0.3">
      <c r="A719" s="5" t="s">
        <v>16</v>
      </c>
      <c r="B719" s="5" t="s">
        <v>15</v>
      </c>
      <c r="C719" s="6">
        <v>44064</v>
      </c>
      <c r="D719">
        <v>0</v>
      </c>
      <c r="E719">
        <v>101.18</v>
      </c>
      <c r="F719">
        <v>101.18</v>
      </c>
      <c r="G719">
        <v>100.75</v>
      </c>
      <c r="H719">
        <v>101.03</v>
      </c>
      <c r="I719">
        <v>241933</v>
      </c>
      <c r="J719">
        <v>0</v>
      </c>
    </row>
    <row r="720" spans="1:10" x14ac:dyDescent="0.3">
      <c r="A720" s="5" t="s">
        <v>16</v>
      </c>
      <c r="B720" s="5" t="s">
        <v>15</v>
      </c>
      <c r="C720" s="6">
        <v>44067</v>
      </c>
      <c r="D720">
        <v>0</v>
      </c>
      <c r="E720">
        <v>101.03</v>
      </c>
      <c r="F720">
        <v>101.03</v>
      </c>
      <c r="G720">
        <v>100.89</v>
      </c>
      <c r="H720">
        <v>100.97</v>
      </c>
      <c r="I720">
        <v>17261</v>
      </c>
      <c r="J720">
        <v>0</v>
      </c>
    </row>
    <row r="721" spans="1:10" x14ac:dyDescent="0.3">
      <c r="A721" s="5" t="s">
        <v>16</v>
      </c>
      <c r="B721" s="5" t="s">
        <v>15</v>
      </c>
      <c r="C721" s="6">
        <v>44068</v>
      </c>
      <c r="D721">
        <v>0</v>
      </c>
      <c r="E721">
        <v>100.95</v>
      </c>
      <c r="F721">
        <v>100.95</v>
      </c>
      <c r="G721">
        <v>100.76</v>
      </c>
      <c r="H721">
        <v>100.89</v>
      </c>
      <c r="I721">
        <v>11869</v>
      </c>
      <c r="J721">
        <v>0</v>
      </c>
    </row>
    <row r="722" spans="1:10" x14ac:dyDescent="0.3">
      <c r="A722" s="5" t="s">
        <v>16</v>
      </c>
      <c r="B722" s="5" t="s">
        <v>15</v>
      </c>
      <c r="C722" s="6">
        <v>44069</v>
      </c>
      <c r="D722">
        <v>0</v>
      </c>
      <c r="E722">
        <v>101</v>
      </c>
      <c r="F722">
        <v>101</v>
      </c>
      <c r="G722">
        <v>100.7</v>
      </c>
      <c r="H722">
        <v>100.91</v>
      </c>
      <c r="I722">
        <v>16581</v>
      </c>
      <c r="J722">
        <v>0</v>
      </c>
    </row>
    <row r="723" spans="1:10" x14ac:dyDescent="0.3">
      <c r="A723" s="5" t="s">
        <v>16</v>
      </c>
      <c r="B723" s="5" t="s">
        <v>15</v>
      </c>
      <c r="C723" s="6">
        <v>44070</v>
      </c>
      <c r="D723">
        <v>0</v>
      </c>
      <c r="E723">
        <v>100.72</v>
      </c>
      <c r="F723">
        <v>101.21</v>
      </c>
      <c r="G723">
        <v>100.72</v>
      </c>
      <c r="H723">
        <v>100.88</v>
      </c>
      <c r="I723">
        <v>15202</v>
      </c>
      <c r="J723">
        <v>0</v>
      </c>
    </row>
    <row r="724" spans="1:10" x14ac:dyDescent="0.3">
      <c r="A724" s="5" t="s">
        <v>16</v>
      </c>
      <c r="B724" s="5" t="s">
        <v>15</v>
      </c>
      <c r="C724" s="6">
        <v>44071</v>
      </c>
      <c r="D724">
        <v>0</v>
      </c>
      <c r="E724">
        <v>100.79</v>
      </c>
      <c r="F724">
        <v>100.99</v>
      </c>
      <c r="G724">
        <v>100.74</v>
      </c>
      <c r="H724">
        <v>100.98</v>
      </c>
      <c r="I724">
        <v>13282</v>
      </c>
      <c r="J724">
        <v>0</v>
      </c>
    </row>
    <row r="725" spans="1:10" x14ac:dyDescent="0.3">
      <c r="A725" s="5" t="s">
        <v>16</v>
      </c>
      <c r="B725" s="5" t="s">
        <v>15</v>
      </c>
      <c r="C725" s="6">
        <v>44074</v>
      </c>
      <c r="D725">
        <v>0</v>
      </c>
      <c r="E725">
        <v>100.81</v>
      </c>
      <c r="F725">
        <v>101</v>
      </c>
      <c r="G725">
        <v>100.78</v>
      </c>
      <c r="H725">
        <v>100.81</v>
      </c>
      <c r="I725">
        <v>5546</v>
      </c>
      <c r="J725">
        <v>0</v>
      </c>
    </row>
    <row r="726" spans="1:10" x14ac:dyDescent="0.3">
      <c r="A726" s="5" t="s">
        <v>16</v>
      </c>
      <c r="B726" s="5" t="s">
        <v>15</v>
      </c>
      <c r="C726" s="6">
        <v>44075</v>
      </c>
      <c r="D726">
        <v>0</v>
      </c>
      <c r="E726">
        <v>100.79</v>
      </c>
      <c r="F726">
        <v>100.98</v>
      </c>
      <c r="G726">
        <v>100.61</v>
      </c>
      <c r="H726">
        <v>100.9</v>
      </c>
      <c r="I726">
        <v>35385</v>
      </c>
      <c r="J726">
        <v>0</v>
      </c>
    </row>
    <row r="727" spans="1:10" x14ac:dyDescent="0.3">
      <c r="A727" s="5" t="s">
        <v>16</v>
      </c>
      <c r="B727" s="5" t="s">
        <v>15</v>
      </c>
      <c r="C727" s="6">
        <v>44076</v>
      </c>
      <c r="D727">
        <v>0</v>
      </c>
      <c r="E727">
        <v>100.94</v>
      </c>
      <c r="F727">
        <v>100.96</v>
      </c>
      <c r="G727">
        <v>100.82</v>
      </c>
      <c r="H727">
        <v>100.84</v>
      </c>
      <c r="I727">
        <v>4134</v>
      </c>
      <c r="J727">
        <v>0</v>
      </c>
    </row>
    <row r="728" spans="1:10" x14ac:dyDescent="0.3">
      <c r="A728" s="5" t="s">
        <v>16</v>
      </c>
      <c r="B728" s="5" t="s">
        <v>15</v>
      </c>
      <c r="C728" s="6">
        <v>44077</v>
      </c>
      <c r="D728">
        <v>0</v>
      </c>
      <c r="E728">
        <v>100.76</v>
      </c>
      <c r="F728">
        <v>100.89</v>
      </c>
      <c r="G728">
        <v>100.58</v>
      </c>
      <c r="H728">
        <v>100.88</v>
      </c>
      <c r="I728">
        <v>5794</v>
      </c>
      <c r="J728">
        <v>0</v>
      </c>
    </row>
    <row r="729" spans="1:10" x14ac:dyDescent="0.3">
      <c r="A729" s="5" t="s">
        <v>16</v>
      </c>
      <c r="B729" s="5" t="s">
        <v>15</v>
      </c>
      <c r="C729" s="6">
        <v>44078</v>
      </c>
      <c r="D729">
        <v>0</v>
      </c>
      <c r="E729">
        <v>100.9</v>
      </c>
      <c r="F729">
        <v>100.93</v>
      </c>
      <c r="G729">
        <v>100.67</v>
      </c>
      <c r="H729">
        <v>100.93</v>
      </c>
      <c r="I729">
        <v>9568</v>
      </c>
      <c r="J729">
        <v>0</v>
      </c>
    </row>
    <row r="730" spans="1:10" x14ac:dyDescent="0.3">
      <c r="A730" s="5" t="s">
        <v>16</v>
      </c>
      <c r="B730" s="5" t="s">
        <v>15</v>
      </c>
      <c r="C730" s="6">
        <v>44081</v>
      </c>
      <c r="D730">
        <v>0</v>
      </c>
      <c r="E730">
        <v>100.97</v>
      </c>
      <c r="F730">
        <v>101</v>
      </c>
      <c r="G730">
        <v>100.81</v>
      </c>
      <c r="H730">
        <v>100.88</v>
      </c>
      <c r="I730">
        <v>1762</v>
      </c>
      <c r="J730">
        <v>0</v>
      </c>
    </row>
    <row r="731" spans="1:10" x14ac:dyDescent="0.3">
      <c r="A731" s="5" t="s">
        <v>16</v>
      </c>
      <c r="B731" s="5" t="s">
        <v>15</v>
      </c>
      <c r="C731" s="6">
        <v>44082</v>
      </c>
      <c r="D731">
        <v>0</v>
      </c>
      <c r="E731">
        <v>100.88</v>
      </c>
      <c r="F731">
        <v>100.93</v>
      </c>
      <c r="G731">
        <v>100.78</v>
      </c>
      <c r="H731">
        <v>100.78</v>
      </c>
      <c r="I731">
        <v>4490</v>
      </c>
      <c r="J731">
        <v>0</v>
      </c>
    </row>
    <row r="732" spans="1:10" x14ac:dyDescent="0.3">
      <c r="A732" s="5" t="s">
        <v>16</v>
      </c>
      <c r="B732" s="5" t="s">
        <v>15</v>
      </c>
      <c r="C732" s="6">
        <v>44083</v>
      </c>
      <c r="D732">
        <v>0</v>
      </c>
      <c r="E732">
        <v>100.7</v>
      </c>
      <c r="F732">
        <v>100.9</v>
      </c>
      <c r="G732">
        <v>100.7</v>
      </c>
      <c r="H732">
        <v>100.77</v>
      </c>
      <c r="I732">
        <v>24514</v>
      </c>
      <c r="J732">
        <v>0</v>
      </c>
    </row>
    <row r="733" spans="1:10" x14ac:dyDescent="0.3">
      <c r="A733" s="5" t="s">
        <v>16</v>
      </c>
      <c r="B733" s="5" t="s">
        <v>15</v>
      </c>
      <c r="C733" s="6">
        <v>44084</v>
      </c>
      <c r="D733">
        <v>0</v>
      </c>
      <c r="E733">
        <v>100.84</v>
      </c>
      <c r="F733">
        <v>100.92</v>
      </c>
      <c r="G733">
        <v>100.69</v>
      </c>
      <c r="H733">
        <v>100.92</v>
      </c>
      <c r="I733">
        <v>2311</v>
      </c>
      <c r="J733">
        <v>0</v>
      </c>
    </row>
    <row r="734" spans="1:10" x14ac:dyDescent="0.3">
      <c r="A734" s="5" t="s">
        <v>16</v>
      </c>
      <c r="B734" s="5" t="s">
        <v>15</v>
      </c>
      <c r="C734" s="6">
        <v>44085</v>
      </c>
      <c r="D734">
        <v>0</v>
      </c>
      <c r="E734">
        <v>100.96</v>
      </c>
      <c r="F734">
        <v>100.96</v>
      </c>
      <c r="G734">
        <v>100.76</v>
      </c>
      <c r="H734">
        <v>100.86</v>
      </c>
      <c r="I734">
        <v>4186</v>
      </c>
      <c r="J734">
        <v>0</v>
      </c>
    </row>
    <row r="735" spans="1:10" x14ac:dyDescent="0.3">
      <c r="A735" s="5" t="s">
        <v>16</v>
      </c>
      <c r="B735" s="5" t="s">
        <v>15</v>
      </c>
      <c r="C735" s="6">
        <v>44088</v>
      </c>
      <c r="D735">
        <v>0</v>
      </c>
      <c r="E735">
        <v>100.94</v>
      </c>
      <c r="F735">
        <v>100.94</v>
      </c>
      <c r="G735">
        <v>100.55</v>
      </c>
      <c r="H735">
        <v>100.79</v>
      </c>
      <c r="I735">
        <v>18127</v>
      </c>
      <c r="J735">
        <v>0</v>
      </c>
    </row>
    <row r="736" spans="1:10" x14ac:dyDescent="0.3">
      <c r="A736" s="5" t="s">
        <v>16</v>
      </c>
      <c r="B736" s="5" t="s">
        <v>15</v>
      </c>
      <c r="C736" s="6">
        <v>44089</v>
      </c>
      <c r="D736">
        <v>0</v>
      </c>
      <c r="E736">
        <v>100.78</v>
      </c>
      <c r="F736">
        <v>100.86</v>
      </c>
      <c r="G736">
        <v>100.7</v>
      </c>
      <c r="H736">
        <v>100.86</v>
      </c>
      <c r="I736">
        <v>13201</v>
      </c>
      <c r="J736">
        <v>0</v>
      </c>
    </row>
    <row r="737" spans="1:10" x14ac:dyDescent="0.3">
      <c r="A737" s="5" t="s">
        <v>16</v>
      </c>
      <c r="B737" s="5" t="s">
        <v>15</v>
      </c>
      <c r="C737" s="6">
        <v>44090</v>
      </c>
      <c r="D737">
        <v>0</v>
      </c>
      <c r="E737">
        <v>100.75</v>
      </c>
      <c r="F737">
        <v>100.88</v>
      </c>
      <c r="G737">
        <v>100.68</v>
      </c>
      <c r="H737">
        <v>100.86</v>
      </c>
      <c r="I737">
        <v>153840</v>
      </c>
      <c r="J737">
        <v>0</v>
      </c>
    </row>
    <row r="738" spans="1:10" x14ac:dyDescent="0.3">
      <c r="A738" s="5" t="s">
        <v>16</v>
      </c>
      <c r="B738" s="5" t="s">
        <v>15</v>
      </c>
      <c r="C738" s="6">
        <v>44091</v>
      </c>
      <c r="D738">
        <v>0</v>
      </c>
      <c r="E738">
        <v>100.88</v>
      </c>
      <c r="F738">
        <v>100.88</v>
      </c>
      <c r="G738">
        <v>100.62</v>
      </c>
      <c r="H738">
        <v>100.85</v>
      </c>
      <c r="I738">
        <v>5250</v>
      </c>
      <c r="J738">
        <v>0</v>
      </c>
    </row>
    <row r="739" spans="1:10" x14ac:dyDescent="0.3">
      <c r="A739" s="5" t="s">
        <v>16</v>
      </c>
      <c r="B739" s="5" t="s">
        <v>15</v>
      </c>
      <c r="C739" s="6">
        <v>44092</v>
      </c>
      <c r="D739">
        <v>0</v>
      </c>
      <c r="E739">
        <v>100.88</v>
      </c>
      <c r="F739">
        <v>100.88</v>
      </c>
      <c r="G739">
        <v>100.71</v>
      </c>
      <c r="H739">
        <v>100.74</v>
      </c>
      <c r="I739">
        <v>5735</v>
      </c>
      <c r="J739">
        <v>0</v>
      </c>
    </row>
    <row r="740" spans="1:10" x14ac:dyDescent="0.3">
      <c r="A740" s="5" t="s">
        <v>16</v>
      </c>
      <c r="B740" s="5" t="s">
        <v>15</v>
      </c>
      <c r="C740" s="6">
        <v>44095</v>
      </c>
      <c r="D740">
        <v>0</v>
      </c>
      <c r="E740">
        <v>100.89</v>
      </c>
      <c r="F740">
        <v>100.89</v>
      </c>
      <c r="G740">
        <v>100.66</v>
      </c>
      <c r="H740">
        <v>100.77</v>
      </c>
      <c r="I740">
        <v>7803</v>
      </c>
      <c r="J740">
        <v>0</v>
      </c>
    </row>
    <row r="741" spans="1:10" x14ac:dyDescent="0.3">
      <c r="A741" s="5" t="s">
        <v>16</v>
      </c>
      <c r="B741" s="5" t="s">
        <v>15</v>
      </c>
      <c r="C741" s="6">
        <v>44096</v>
      </c>
      <c r="D741">
        <v>0</v>
      </c>
      <c r="E741">
        <v>100.64</v>
      </c>
      <c r="F741">
        <v>100.89</v>
      </c>
      <c r="G741">
        <v>100.64</v>
      </c>
      <c r="H741">
        <v>100.75</v>
      </c>
      <c r="I741">
        <v>9926</v>
      </c>
      <c r="J741">
        <v>0</v>
      </c>
    </row>
    <row r="742" spans="1:10" x14ac:dyDescent="0.3">
      <c r="A742" s="5" t="s">
        <v>16</v>
      </c>
      <c r="B742" s="5" t="s">
        <v>15</v>
      </c>
      <c r="C742" s="6">
        <v>44097</v>
      </c>
      <c r="D742">
        <v>0</v>
      </c>
      <c r="E742">
        <v>100.75</v>
      </c>
      <c r="F742">
        <v>100.83</v>
      </c>
      <c r="G742">
        <v>100.66</v>
      </c>
      <c r="H742">
        <v>100.82</v>
      </c>
      <c r="I742">
        <v>5169</v>
      </c>
      <c r="J742">
        <v>0</v>
      </c>
    </row>
    <row r="743" spans="1:10" x14ac:dyDescent="0.3">
      <c r="A743" s="5" t="s">
        <v>16</v>
      </c>
      <c r="B743" s="5" t="s">
        <v>15</v>
      </c>
      <c r="C743" s="6">
        <v>44098</v>
      </c>
      <c r="D743">
        <v>0</v>
      </c>
      <c r="E743">
        <v>100.8</v>
      </c>
      <c r="F743">
        <v>100.82</v>
      </c>
      <c r="G743">
        <v>100.63</v>
      </c>
      <c r="H743">
        <v>100.74</v>
      </c>
      <c r="I743">
        <v>12643</v>
      </c>
      <c r="J743">
        <v>0</v>
      </c>
    </row>
    <row r="744" spans="1:10" x14ac:dyDescent="0.3">
      <c r="A744" s="5" t="s">
        <v>16</v>
      </c>
      <c r="B744" s="5" t="s">
        <v>15</v>
      </c>
      <c r="C744" s="6">
        <v>44099</v>
      </c>
      <c r="D744">
        <v>0</v>
      </c>
      <c r="E744">
        <v>100.75</v>
      </c>
      <c r="F744">
        <v>100.76</v>
      </c>
      <c r="G744">
        <v>100.7</v>
      </c>
      <c r="H744">
        <v>100.75</v>
      </c>
      <c r="I744">
        <v>13112</v>
      </c>
      <c r="J744">
        <v>0</v>
      </c>
    </row>
    <row r="745" spans="1:10" x14ac:dyDescent="0.3">
      <c r="A745" s="5" t="s">
        <v>16</v>
      </c>
      <c r="B745" s="5" t="s">
        <v>15</v>
      </c>
      <c r="C745" s="6">
        <v>44102</v>
      </c>
      <c r="D745">
        <v>0</v>
      </c>
      <c r="E745">
        <v>100.64</v>
      </c>
      <c r="F745">
        <v>100.82</v>
      </c>
      <c r="G745">
        <v>100.6</v>
      </c>
      <c r="H745">
        <v>100.65</v>
      </c>
      <c r="I745">
        <v>30727</v>
      </c>
      <c r="J745">
        <v>0</v>
      </c>
    </row>
    <row r="746" spans="1:10" x14ac:dyDescent="0.3">
      <c r="A746" s="5" t="s">
        <v>16</v>
      </c>
      <c r="B746" s="5" t="s">
        <v>15</v>
      </c>
      <c r="C746" s="6">
        <v>44103</v>
      </c>
      <c r="D746">
        <v>0</v>
      </c>
      <c r="E746">
        <v>100.75</v>
      </c>
      <c r="F746">
        <v>100.76</v>
      </c>
      <c r="G746">
        <v>100.59</v>
      </c>
      <c r="H746">
        <v>100.74</v>
      </c>
      <c r="I746">
        <v>9778</v>
      </c>
      <c r="J746">
        <v>0</v>
      </c>
    </row>
    <row r="747" spans="1:10" x14ac:dyDescent="0.3">
      <c r="A747" s="5" t="s">
        <v>16</v>
      </c>
      <c r="B747" s="5" t="s">
        <v>15</v>
      </c>
      <c r="C747" s="6">
        <v>44104</v>
      </c>
      <c r="D747">
        <v>0</v>
      </c>
      <c r="E747">
        <v>100.79</v>
      </c>
      <c r="F747">
        <v>100.8</v>
      </c>
      <c r="G747">
        <v>100.58</v>
      </c>
      <c r="H747">
        <v>100.74</v>
      </c>
      <c r="I747">
        <v>7318</v>
      </c>
      <c r="J747">
        <v>0</v>
      </c>
    </row>
    <row r="748" spans="1:10" x14ac:dyDescent="0.3">
      <c r="A748" s="5" t="s">
        <v>16</v>
      </c>
      <c r="B748" s="5" t="s">
        <v>15</v>
      </c>
      <c r="C748" s="6">
        <v>44105</v>
      </c>
      <c r="D748">
        <v>0</v>
      </c>
      <c r="E748">
        <v>100.8</v>
      </c>
      <c r="F748">
        <v>100.8</v>
      </c>
      <c r="G748">
        <v>100.6</v>
      </c>
      <c r="H748">
        <v>100.66</v>
      </c>
      <c r="I748">
        <v>2523</v>
      </c>
      <c r="J748">
        <v>0</v>
      </c>
    </row>
    <row r="749" spans="1:10" x14ac:dyDescent="0.3">
      <c r="A749" s="5" t="s">
        <v>16</v>
      </c>
      <c r="B749" s="5" t="s">
        <v>15</v>
      </c>
      <c r="C749" s="6">
        <v>44106</v>
      </c>
      <c r="D749">
        <v>0</v>
      </c>
      <c r="E749">
        <v>100.66</v>
      </c>
      <c r="F749">
        <v>100.78</v>
      </c>
      <c r="G749">
        <v>100.58</v>
      </c>
      <c r="H749">
        <v>100.7</v>
      </c>
      <c r="I749">
        <v>14913</v>
      </c>
      <c r="J749">
        <v>0</v>
      </c>
    </row>
    <row r="750" spans="1:10" x14ac:dyDescent="0.3">
      <c r="A750" s="5" t="s">
        <v>16</v>
      </c>
      <c r="B750" s="5" t="s">
        <v>15</v>
      </c>
      <c r="C750" s="6">
        <v>44109</v>
      </c>
      <c r="D750">
        <v>0</v>
      </c>
      <c r="E750">
        <v>100.7</v>
      </c>
      <c r="F750">
        <v>100.7</v>
      </c>
      <c r="G750">
        <v>100.51</v>
      </c>
      <c r="H750">
        <v>100.67</v>
      </c>
      <c r="I750">
        <v>15117</v>
      </c>
      <c r="J750">
        <v>0</v>
      </c>
    </row>
    <row r="751" spans="1:10" x14ac:dyDescent="0.3">
      <c r="A751" s="5" t="s">
        <v>16</v>
      </c>
      <c r="B751" s="5" t="s">
        <v>15</v>
      </c>
      <c r="C751" s="6">
        <v>44110</v>
      </c>
      <c r="D751">
        <v>0</v>
      </c>
      <c r="E751">
        <v>100.67</v>
      </c>
      <c r="F751">
        <v>100.75</v>
      </c>
      <c r="G751">
        <v>100.59</v>
      </c>
      <c r="H751">
        <v>100.62</v>
      </c>
      <c r="I751">
        <v>13057</v>
      </c>
      <c r="J751">
        <v>0</v>
      </c>
    </row>
    <row r="752" spans="1:10" x14ac:dyDescent="0.3">
      <c r="A752" s="5" t="s">
        <v>16</v>
      </c>
      <c r="B752" s="5" t="s">
        <v>15</v>
      </c>
      <c r="C752" s="6">
        <v>44111</v>
      </c>
      <c r="D752">
        <v>0</v>
      </c>
      <c r="E752">
        <v>100.74</v>
      </c>
      <c r="F752">
        <v>100.74</v>
      </c>
      <c r="G752">
        <v>100.6</v>
      </c>
      <c r="H752">
        <v>100.68</v>
      </c>
      <c r="I752">
        <v>8311</v>
      </c>
      <c r="J752">
        <v>0</v>
      </c>
    </row>
    <row r="753" spans="1:10" x14ac:dyDescent="0.3">
      <c r="A753" s="5" t="s">
        <v>16</v>
      </c>
      <c r="B753" s="5" t="s">
        <v>15</v>
      </c>
      <c r="C753" s="6">
        <v>44112</v>
      </c>
      <c r="D753">
        <v>0</v>
      </c>
      <c r="E753">
        <v>100.75</v>
      </c>
      <c r="F753">
        <v>100.75</v>
      </c>
      <c r="G753">
        <v>100.41</v>
      </c>
      <c r="H753">
        <v>100.57</v>
      </c>
      <c r="I753">
        <v>18537</v>
      </c>
      <c r="J753">
        <v>0</v>
      </c>
    </row>
    <row r="754" spans="1:10" x14ac:dyDescent="0.3">
      <c r="A754" s="5" t="s">
        <v>16</v>
      </c>
      <c r="B754" s="5" t="s">
        <v>15</v>
      </c>
      <c r="C754" s="6">
        <v>44113</v>
      </c>
      <c r="D754">
        <v>0</v>
      </c>
      <c r="E754">
        <v>100.6</v>
      </c>
      <c r="F754">
        <v>100.6</v>
      </c>
      <c r="G754">
        <v>100.45</v>
      </c>
      <c r="H754">
        <v>100.6</v>
      </c>
      <c r="I754">
        <v>10599</v>
      </c>
      <c r="J754">
        <v>0</v>
      </c>
    </row>
    <row r="755" spans="1:10" x14ac:dyDescent="0.3">
      <c r="A755" s="5" t="s">
        <v>16</v>
      </c>
      <c r="B755" s="5" t="s">
        <v>15</v>
      </c>
      <c r="C755" s="6">
        <v>44116</v>
      </c>
      <c r="D755">
        <v>0</v>
      </c>
      <c r="E755">
        <v>100.56</v>
      </c>
      <c r="F755">
        <v>100.6</v>
      </c>
      <c r="G755">
        <v>100.45</v>
      </c>
      <c r="H755">
        <v>100.54</v>
      </c>
      <c r="I755">
        <v>66905</v>
      </c>
      <c r="J755">
        <v>0</v>
      </c>
    </row>
    <row r="756" spans="1:10" x14ac:dyDescent="0.3">
      <c r="A756" s="5" t="s">
        <v>16</v>
      </c>
      <c r="B756" s="5" t="s">
        <v>15</v>
      </c>
      <c r="C756" s="6">
        <v>44117</v>
      </c>
      <c r="D756">
        <v>0</v>
      </c>
      <c r="E756">
        <v>100.5</v>
      </c>
      <c r="F756">
        <v>100.6</v>
      </c>
      <c r="G756">
        <v>100</v>
      </c>
      <c r="H756">
        <v>100.49</v>
      </c>
      <c r="I756">
        <v>68110</v>
      </c>
      <c r="J756">
        <v>0</v>
      </c>
    </row>
    <row r="757" spans="1:10" x14ac:dyDescent="0.3">
      <c r="A757" s="5" t="s">
        <v>16</v>
      </c>
      <c r="B757" s="5" t="s">
        <v>15</v>
      </c>
      <c r="C757" s="6">
        <v>44118</v>
      </c>
      <c r="D757">
        <v>0</v>
      </c>
      <c r="E757">
        <v>100.48</v>
      </c>
      <c r="F757">
        <v>100.53</v>
      </c>
      <c r="G757">
        <v>100.41</v>
      </c>
      <c r="H757">
        <v>100.5</v>
      </c>
      <c r="I757">
        <v>25997</v>
      </c>
      <c r="J757">
        <v>0</v>
      </c>
    </row>
    <row r="758" spans="1:10" x14ac:dyDescent="0.3">
      <c r="A758" s="5" t="s">
        <v>16</v>
      </c>
      <c r="B758" s="5" t="s">
        <v>15</v>
      </c>
      <c r="C758" s="6">
        <v>44119</v>
      </c>
      <c r="D758">
        <v>0</v>
      </c>
      <c r="E758">
        <v>100.5</v>
      </c>
      <c r="F758">
        <v>100.56</v>
      </c>
      <c r="G758">
        <v>100.34</v>
      </c>
      <c r="H758">
        <v>100.49</v>
      </c>
      <c r="I758">
        <v>54366</v>
      </c>
      <c r="J758">
        <v>0</v>
      </c>
    </row>
    <row r="759" spans="1:10" x14ac:dyDescent="0.3">
      <c r="A759" s="5" t="s">
        <v>16</v>
      </c>
      <c r="B759" s="5" t="s">
        <v>15</v>
      </c>
      <c r="C759" s="6">
        <v>44120</v>
      </c>
      <c r="D759">
        <v>0</v>
      </c>
      <c r="E759">
        <v>100.56</v>
      </c>
      <c r="F759">
        <v>100.56</v>
      </c>
      <c r="G759">
        <v>100.37</v>
      </c>
      <c r="H759">
        <v>100.48</v>
      </c>
      <c r="I759">
        <v>73783</v>
      </c>
      <c r="J759">
        <v>0</v>
      </c>
    </row>
    <row r="760" spans="1:10" x14ac:dyDescent="0.3">
      <c r="A760" s="5" t="s">
        <v>16</v>
      </c>
      <c r="B760" s="5" t="s">
        <v>15</v>
      </c>
      <c r="C760" s="6">
        <v>44123</v>
      </c>
      <c r="D760">
        <v>0</v>
      </c>
      <c r="E760">
        <v>100.57</v>
      </c>
      <c r="F760">
        <v>100.57</v>
      </c>
      <c r="G760">
        <v>100.4</v>
      </c>
      <c r="H760">
        <v>100.45</v>
      </c>
      <c r="I760">
        <v>42047</v>
      </c>
      <c r="J760">
        <v>0</v>
      </c>
    </row>
    <row r="761" spans="1:10" x14ac:dyDescent="0.3">
      <c r="A761" s="5" t="s">
        <v>16</v>
      </c>
      <c r="B761" s="5" t="s">
        <v>15</v>
      </c>
      <c r="C761" s="6">
        <v>44124</v>
      </c>
      <c r="D761">
        <v>0</v>
      </c>
      <c r="E761">
        <v>100.38</v>
      </c>
      <c r="F761">
        <v>100.45</v>
      </c>
      <c r="G761">
        <v>100.31</v>
      </c>
      <c r="H761">
        <v>100.43</v>
      </c>
      <c r="I761">
        <v>31038</v>
      </c>
      <c r="J761">
        <v>0</v>
      </c>
    </row>
    <row r="762" spans="1:10" x14ac:dyDescent="0.3">
      <c r="A762" s="5" t="s">
        <v>16</v>
      </c>
      <c r="B762" s="5" t="s">
        <v>15</v>
      </c>
      <c r="C762" s="6">
        <v>44125</v>
      </c>
      <c r="D762">
        <v>0</v>
      </c>
      <c r="E762">
        <v>100.44</v>
      </c>
      <c r="F762">
        <v>100.48</v>
      </c>
      <c r="G762">
        <v>100.3</v>
      </c>
      <c r="H762">
        <v>100.42</v>
      </c>
      <c r="I762">
        <v>43939</v>
      </c>
      <c r="J762">
        <v>0</v>
      </c>
    </row>
    <row r="763" spans="1:10" x14ac:dyDescent="0.3">
      <c r="A763" s="5" t="s">
        <v>16</v>
      </c>
      <c r="B763" s="5" t="s">
        <v>15</v>
      </c>
      <c r="C763" s="6">
        <v>44126</v>
      </c>
      <c r="D763">
        <v>0</v>
      </c>
      <c r="E763">
        <v>100.24</v>
      </c>
      <c r="F763">
        <v>100.44</v>
      </c>
      <c r="G763">
        <v>100.24</v>
      </c>
      <c r="H763">
        <v>100.44</v>
      </c>
      <c r="I763">
        <v>51156</v>
      </c>
      <c r="J763">
        <v>0</v>
      </c>
    </row>
    <row r="764" spans="1:10" x14ac:dyDescent="0.3">
      <c r="A764" s="5" t="s">
        <v>16</v>
      </c>
      <c r="B764" s="5" t="s">
        <v>15</v>
      </c>
      <c r="C764" s="6">
        <v>44127</v>
      </c>
      <c r="D764">
        <v>0</v>
      </c>
      <c r="E764">
        <v>100.43</v>
      </c>
      <c r="F764">
        <v>100.54</v>
      </c>
      <c r="G764">
        <v>100.33</v>
      </c>
      <c r="H764">
        <v>100.44</v>
      </c>
      <c r="I764">
        <v>45626</v>
      </c>
      <c r="J764">
        <v>0</v>
      </c>
    </row>
    <row r="765" spans="1:10" x14ac:dyDescent="0.3">
      <c r="A765" s="5" t="s">
        <v>16</v>
      </c>
      <c r="B765" s="5" t="s">
        <v>15</v>
      </c>
      <c r="C765" s="6">
        <v>44130</v>
      </c>
      <c r="D765">
        <v>0</v>
      </c>
      <c r="E765">
        <v>100.41</v>
      </c>
      <c r="F765">
        <v>100.51</v>
      </c>
      <c r="G765">
        <v>100.36</v>
      </c>
      <c r="H765">
        <v>100.39</v>
      </c>
      <c r="I765">
        <v>99151</v>
      </c>
      <c r="J765">
        <v>0</v>
      </c>
    </row>
    <row r="766" spans="1:10" x14ac:dyDescent="0.3">
      <c r="A766" s="5" t="s">
        <v>16</v>
      </c>
      <c r="B766" s="5" t="s">
        <v>15</v>
      </c>
      <c r="C766" s="6">
        <v>44131</v>
      </c>
      <c r="D766">
        <v>0</v>
      </c>
      <c r="E766">
        <v>100.53</v>
      </c>
      <c r="F766">
        <v>100.53</v>
      </c>
      <c r="G766">
        <v>100.35</v>
      </c>
      <c r="H766">
        <v>100.38</v>
      </c>
      <c r="I766">
        <v>15796</v>
      </c>
      <c r="J766">
        <v>0</v>
      </c>
    </row>
    <row r="767" spans="1:10" x14ac:dyDescent="0.3">
      <c r="A767" s="5" t="s">
        <v>16</v>
      </c>
      <c r="B767" s="5" t="s">
        <v>15</v>
      </c>
      <c r="C767" s="6">
        <v>44132</v>
      </c>
      <c r="D767">
        <v>0</v>
      </c>
      <c r="E767">
        <v>100.38</v>
      </c>
      <c r="F767">
        <v>100.48</v>
      </c>
      <c r="G767">
        <v>100.1</v>
      </c>
      <c r="H767">
        <v>100.38</v>
      </c>
      <c r="I767">
        <v>24537</v>
      </c>
      <c r="J767">
        <v>0</v>
      </c>
    </row>
    <row r="768" spans="1:10" x14ac:dyDescent="0.3">
      <c r="A768" s="5" t="s">
        <v>16</v>
      </c>
      <c r="B768" s="5" t="s">
        <v>15</v>
      </c>
      <c r="C768" s="6">
        <v>44133</v>
      </c>
      <c r="D768">
        <v>0</v>
      </c>
      <c r="E768">
        <v>100.37</v>
      </c>
      <c r="F768">
        <v>100.43</v>
      </c>
      <c r="G768">
        <v>100.26</v>
      </c>
      <c r="H768">
        <v>100.33</v>
      </c>
      <c r="I768">
        <v>50257</v>
      </c>
      <c r="J768">
        <v>0</v>
      </c>
    </row>
    <row r="769" spans="1:10" x14ac:dyDescent="0.3">
      <c r="A769" s="5" t="s">
        <v>16</v>
      </c>
      <c r="B769" s="5" t="s">
        <v>15</v>
      </c>
      <c r="C769" s="6">
        <v>44134</v>
      </c>
      <c r="D769">
        <v>0</v>
      </c>
      <c r="E769">
        <v>100.4</v>
      </c>
      <c r="F769">
        <v>100.4</v>
      </c>
      <c r="G769">
        <v>100.3</v>
      </c>
      <c r="H769">
        <v>100.31</v>
      </c>
      <c r="I769">
        <v>25709</v>
      </c>
      <c r="J769">
        <v>0</v>
      </c>
    </row>
    <row r="770" spans="1:10" x14ac:dyDescent="0.3">
      <c r="A770" s="5" t="s">
        <v>16</v>
      </c>
      <c r="B770" s="5" t="s">
        <v>15</v>
      </c>
      <c r="C770" s="6">
        <v>44137</v>
      </c>
      <c r="D770">
        <v>0</v>
      </c>
      <c r="E770">
        <v>100.25</v>
      </c>
      <c r="F770">
        <v>100.35</v>
      </c>
      <c r="G770">
        <v>100.25</v>
      </c>
      <c r="H770">
        <v>100.33</v>
      </c>
      <c r="I770">
        <v>17512</v>
      </c>
      <c r="J770">
        <v>0</v>
      </c>
    </row>
    <row r="771" spans="1:10" x14ac:dyDescent="0.3">
      <c r="A771" s="5" t="s">
        <v>16</v>
      </c>
      <c r="B771" s="5" t="s">
        <v>15</v>
      </c>
      <c r="C771" s="6">
        <v>44138</v>
      </c>
      <c r="D771">
        <v>0</v>
      </c>
      <c r="E771">
        <v>100.41</v>
      </c>
      <c r="F771">
        <v>100.42</v>
      </c>
      <c r="G771">
        <v>100.16</v>
      </c>
      <c r="H771">
        <v>100.31</v>
      </c>
      <c r="I771">
        <v>4740</v>
      </c>
      <c r="J771">
        <v>0</v>
      </c>
    </row>
    <row r="772" spans="1:10" x14ac:dyDescent="0.3">
      <c r="A772" s="5" t="s">
        <v>16</v>
      </c>
      <c r="B772" s="5" t="s">
        <v>15</v>
      </c>
      <c r="C772" s="6">
        <v>44140</v>
      </c>
      <c r="D772">
        <v>0</v>
      </c>
      <c r="E772">
        <v>100.32</v>
      </c>
      <c r="F772">
        <v>100.38</v>
      </c>
      <c r="G772">
        <v>100.2</v>
      </c>
      <c r="H772">
        <v>100.29</v>
      </c>
      <c r="I772">
        <v>10143</v>
      </c>
      <c r="J772">
        <v>0</v>
      </c>
    </row>
    <row r="773" spans="1:10" x14ac:dyDescent="0.3">
      <c r="A773" s="5" t="s">
        <v>16</v>
      </c>
      <c r="B773" s="5" t="s">
        <v>15</v>
      </c>
      <c r="C773" s="6">
        <v>44141</v>
      </c>
      <c r="D773">
        <v>0</v>
      </c>
      <c r="E773">
        <v>100.29</v>
      </c>
      <c r="F773">
        <v>100.38</v>
      </c>
      <c r="G773">
        <v>100.25</v>
      </c>
      <c r="H773">
        <v>100.29</v>
      </c>
      <c r="I773">
        <v>10967</v>
      </c>
      <c r="J773">
        <v>0</v>
      </c>
    </row>
    <row r="774" spans="1:10" x14ac:dyDescent="0.3">
      <c r="A774" s="5" t="s">
        <v>16</v>
      </c>
      <c r="B774" s="5" t="s">
        <v>15</v>
      </c>
      <c r="C774" s="6">
        <v>44144</v>
      </c>
      <c r="D774">
        <v>0</v>
      </c>
      <c r="E774">
        <v>100.41</v>
      </c>
      <c r="F774">
        <v>100.48</v>
      </c>
      <c r="G774">
        <v>100.17</v>
      </c>
      <c r="H774">
        <v>100.35</v>
      </c>
      <c r="I774">
        <v>15412</v>
      </c>
      <c r="J774">
        <v>0</v>
      </c>
    </row>
    <row r="775" spans="1:10" x14ac:dyDescent="0.3">
      <c r="A775" s="5" t="s">
        <v>16</v>
      </c>
      <c r="B775" s="5" t="s">
        <v>15</v>
      </c>
      <c r="C775" s="6">
        <v>44145</v>
      </c>
      <c r="D775">
        <v>0</v>
      </c>
      <c r="E775">
        <v>100.41</v>
      </c>
      <c r="F775">
        <v>100.41</v>
      </c>
      <c r="G775">
        <v>100.1</v>
      </c>
      <c r="H775">
        <v>100.27</v>
      </c>
      <c r="I775">
        <v>15343</v>
      </c>
      <c r="J775">
        <v>0</v>
      </c>
    </row>
    <row r="776" spans="1:10" x14ac:dyDescent="0.3">
      <c r="A776" s="5" t="s">
        <v>16</v>
      </c>
      <c r="B776" s="5" t="s">
        <v>15</v>
      </c>
      <c r="C776" s="6">
        <v>44146</v>
      </c>
      <c r="D776">
        <v>0</v>
      </c>
      <c r="E776">
        <v>100.34</v>
      </c>
      <c r="F776">
        <v>100.39</v>
      </c>
      <c r="G776">
        <v>100.06</v>
      </c>
      <c r="H776">
        <v>100.25</v>
      </c>
      <c r="I776">
        <v>18275</v>
      </c>
      <c r="J776">
        <v>0</v>
      </c>
    </row>
    <row r="777" spans="1:10" x14ac:dyDescent="0.3">
      <c r="A777" s="5" t="s">
        <v>16</v>
      </c>
      <c r="B777" s="5" t="s">
        <v>15</v>
      </c>
      <c r="C777" s="6">
        <v>44147</v>
      </c>
      <c r="D777">
        <v>0</v>
      </c>
      <c r="E777">
        <v>100.15</v>
      </c>
      <c r="F777">
        <v>100.36</v>
      </c>
      <c r="G777">
        <v>100.14</v>
      </c>
      <c r="H777">
        <v>100.35</v>
      </c>
      <c r="I777">
        <v>12720</v>
      </c>
      <c r="J777">
        <v>0</v>
      </c>
    </row>
    <row r="778" spans="1:10" x14ac:dyDescent="0.3">
      <c r="A778" s="5" t="s">
        <v>16</v>
      </c>
      <c r="B778" s="5" t="s">
        <v>15</v>
      </c>
      <c r="C778" s="6">
        <v>44148</v>
      </c>
      <c r="D778">
        <v>0</v>
      </c>
      <c r="E778">
        <v>100.28</v>
      </c>
      <c r="F778">
        <v>100.36</v>
      </c>
      <c r="G778">
        <v>100.2</v>
      </c>
      <c r="H778">
        <v>100.26</v>
      </c>
      <c r="I778">
        <v>9162</v>
      </c>
      <c r="J778">
        <v>0</v>
      </c>
    </row>
    <row r="779" spans="1:10" x14ac:dyDescent="0.3">
      <c r="A779" s="5" t="s">
        <v>16</v>
      </c>
      <c r="B779" s="5" t="s">
        <v>15</v>
      </c>
      <c r="C779" s="6">
        <v>44151</v>
      </c>
      <c r="D779">
        <v>0</v>
      </c>
      <c r="E779">
        <v>100.26</v>
      </c>
      <c r="F779">
        <v>100.27</v>
      </c>
      <c r="G779">
        <v>100.15</v>
      </c>
      <c r="H779">
        <v>100.19</v>
      </c>
      <c r="I779">
        <v>25647</v>
      </c>
      <c r="J779">
        <v>0</v>
      </c>
    </row>
    <row r="780" spans="1:10" x14ac:dyDescent="0.3">
      <c r="A780" s="5" t="s">
        <v>16</v>
      </c>
      <c r="B780" s="5" t="s">
        <v>15</v>
      </c>
      <c r="C780" s="6">
        <v>44152</v>
      </c>
      <c r="D780">
        <v>0</v>
      </c>
      <c r="E780">
        <v>100.34</v>
      </c>
      <c r="F780">
        <v>100.34</v>
      </c>
      <c r="G780">
        <v>100.1</v>
      </c>
      <c r="H780">
        <v>100.19</v>
      </c>
      <c r="I780">
        <v>102759</v>
      </c>
      <c r="J780">
        <v>0</v>
      </c>
    </row>
    <row r="781" spans="1:10" x14ac:dyDescent="0.3">
      <c r="A781" s="5" t="s">
        <v>16</v>
      </c>
      <c r="B781" s="5" t="s">
        <v>15</v>
      </c>
      <c r="C781" s="6">
        <v>44153</v>
      </c>
      <c r="D781">
        <v>0</v>
      </c>
      <c r="E781">
        <v>100.23</v>
      </c>
      <c r="F781">
        <v>100.4</v>
      </c>
      <c r="G781">
        <v>100.15</v>
      </c>
      <c r="H781">
        <v>100.2</v>
      </c>
      <c r="I781">
        <v>71374</v>
      </c>
      <c r="J781">
        <v>0</v>
      </c>
    </row>
    <row r="782" spans="1:10" x14ac:dyDescent="0.3">
      <c r="A782" s="5" t="s">
        <v>16</v>
      </c>
      <c r="B782" s="5" t="s">
        <v>15</v>
      </c>
      <c r="C782" s="6">
        <v>44154</v>
      </c>
      <c r="D782">
        <v>0</v>
      </c>
      <c r="E782">
        <v>100.3</v>
      </c>
      <c r="F782">
        <v>100.3</v>
      </c>
      <c r="G782">
        <v>100.14</v>
      </c>
      <c r="H782">
        <v>100.17</v>
      </c>
      <c r="I782">
        <v>29789</v>
      </c>
      <c r="J782">
        <v>0</v>
      </c>
    </row>
    <row r="783" spans="1:10" x14ac:dyDescent="0.3">
      <c r="A783" s="5" t="s">
        <v>16</v>
      </c>
      <c r="B783" s="5" t="s">
        <v>15</v>
      </c>
      <c r="C783" s="6">
        <v>44155</v>
      </c>
      <c r="D783">
        <v>0</v>
      </c>
      <c r="E783">
        <v>100.35</v>
      </c>
      <c r="F783">
        <v>100.35</v>
      </c>
      <c r="G783">
        <v>100.12</v>
      </c>
      <c r="H783">
        <v>100.16</v>
      </c>
      <c r="I783">
        <v>20551</v>
      </c>
      <c r="J783">
        <v>0</v>
      </c>
    </row>
    <row r="784" spans="1:10" x14ac:dyDescent="0.3">
      <c r="A784" s="5" t="s">
        <v>16</v>
      </c>
      <c r="B784" s="5" t="s">
        <v>15</v>
      </c>
      <c r="C784" s="6">
        <v>44158</v>
      </c>
      <c r="D784">
        <v>0</v>
      </c>
      <c r="E784">
        <v>100.59</v>
      </c>
      <c r="F784">
        <v>100.59</v>
      </c>
      <c r="G784">
        <v>100.12</v>
      </c>
      <c r="H784">
        <v>100.13</v>
      </c>
      <c r="I784">
        <v>15957</v>
      </c>
      <c r="J784">
        <v>0</v>
      </c>
    </row>
    <row r="785" spans="1:10" x14ac:dyDescent="0.3">
      <c r="A785" s="5" t="s">
        <v>16</v>
      </c>
      <c r="B785" s="5" t="s">
        <v>15</v>
      </c>
      <c r="C785" s="6">
        <v>44159</v>
      </c>
      <c r="D785">
        <v>0</v>
      </c>
      <c r="E785">
        <v>100.05</v>
      </c>
      <c r="F785">
        <v>100.19</v>
      </c>
      <c r="G785">
        <v>100.05</v>
      </c>
      <c r="H785">
        <v>100.13</v>
      </c>
      <c r="I785">
        <v>36784</v>
      </c>
      <c r="J785">
        <v>0</v>
      </c>
    </row>
    <row r="786" spans="1:10" x14ac:dyDescent="0.3">
      <c r="A786" s="5" t="s">
        <v>16</v>
      </c>
      <c r="B786" s="5" t="s">
        <v>15</v>
      </c>
      <c r="C786" s="6">
        <v>44160</v>
      </c>
      <c r="D786">
        <v>0</v>
      </c>
      <c r="E786">
        <v>100.11</v>
      </c>
      <c r="F786">
        <v>100.13</v>
      </c>
      <c r="G786">
        <v>100.07</v>
      </c>
      <c r="H786">
        <v>100.12</v>
      </c>
      <c r="I786">
        <v>4969</v>
      </c>
      <c r="J786">
        <v>0</v>
      </c>
    </row>
    <row r="787" spans="1:10" x14ac:dyDescent="0.3">
      <c r="A787" s="5" t="s">
        <v>16</v>
      </c>
      <c r="B787" s="5" t="s">
        <v>15</v>
      </c>
      <c r="C787" s="6">
        <v>44161</v>
      </c>
      <c r="D787">
        <v>0</v>
      </c>
      <c r="E787">
        <v>100.21</v>
      </c>
      <c r="F787">
        <v>100.21</v>
      </c>
      <c r="G787">
        <v>99.95</v>
      </c>
      <c r="H787">
        <v>100.13</v>
      </c>
      <c r="I787">
        <v>18034</v>
      </c>
      <c r="J787">
        <v>0</v>
      </c>
    </row>
    <row r="788" spans="1:10" x14ac:dyDescent="0.3">
      <c r="A788" s="5" t="s">
        <v>16</v>
      </c>
      <c r="B788" s="5" t="s">
        <v>15</v>
      </c>
      <c r="C788" s="6">
        <v>44162</v>
      </c>
      <c r="D788">
        <v>0</v>
      </c>
      <c r="E788">
        <v>100.03</v>
      </c>
      <c r="F788">
        <v>100.21</v>
      </c>
      <c r="G788">
        <v>100.03</v>
      </c>
      <c r="H788">
        <v>100.09</v>
      </c>
      <c r="I788">
        <v>7075</v>
      </c>
      <c r="J788">
        <v>0</v>
      </c>
    </row>
    <row r="789" spans="1:10" x14ac:dyDescent="0.3">
      <c r="A789" s="5" t="s">
        <v>16</v>
      </c>
      <c r="B789" s="5" t="s">
        <v>15</v>
      </c>
      <c r="C789" s="6">
        <v>44165</v>
      </c>
      <c r="D789">
        <v>0</v>
      </c>
      <c r="E789">
        <v>100.07</v>
      </c>
      <c r="F789">
        <v>100.18</v>
      </c>
      <c r="G789">
        <v>100.03</v>
      </c>
      <c r="H789">
        <v>100.14</v>
      </c>
      <c r="I789">
        <v>24958</v>
      </c>
      <c r="J789">
        <v>0</v>
      </c>
    </row>
    <row r="790" spans="1:10" x14ac:dyDescent="0.3">
      <c r="A790" s="5" t="s">
        <v>16</v>
      </c>
      <c r="B790" s="5" t="s">
        <v>15</v>
      </c>
      <c r="C790" s="6">
        <v>44166</v>
      </c>
      <c r="D790">
        <v>0</v>
      </c>
      <c r="E790">
        <v>100.05</v>
      </c>
      <c r="F790">
        <v>100.2</v>
      </c>
      <c r="G790">
        <v>100.05</v>
      </c>
      <c r="H790">
        <v>100.1</v>
      </c>
      <c r="I790">
        <v>15897</v>
      </c>
      <c r="J790">
        <v>0</v>
      </c>
    </row>
    <row r="791" spans="1:10" x14ac:dyDescent="0.3">
      <c r="A791" s="5" t="s">
        <v>16</v>
      </c>
      <c r="B791" s="5" t="s">
        <v>15</v>
      </c>
      <c r="C791" s="6">
        <v>44167</v>
      </c>
      <c r="D791">
        <v>0</v>
      </c>
      <c r="E791">
        <v>100.13</v>
      </c>
      <c r="F791">
        <v>100.13</v>
      </c>
      <c r="G791">
        <v>100</v>
      </c>
      <c r="H791">
        <v>100.11</v>
      </c>
      <c r="I791">
        <v>26624</v>
      </c>
      <c r="J791">
        <v>0</v>
      </c>
    </row>
    <row r="792" spans="1:10" x14ac:dyDescent="0.3">
      <c r="A792" s="5" t="s">
        <v>16</v>
      </c>
      <c r="B792" s="5" t="s">
        <v>15</v>
      </c>
      <c r="C792" s="6">
        <v>44168</v>
      </c>
      <c r="D792">
        <v>0</v>
      </c>
      <c r="E792">
        <v>100.13</v>
      </c>
      <c r="F792">
        <v>100.13</v>
      </c>
      <c r="G792">
        <v>100.01</v>
      </c>
      <c r="H792">
        <v>100.09</v>
      </c>
      <c r="I792">
        <v>25841</v>
      </c>
      <c r="J792">
        <v>0</v>
      </c>
    </row>
    <row r="793" spans="1:10" x14ac:dyDescent="0.3">
      <c r="A793" s="5" t="s">
        <v>16</v>
      </c>
      <c r="B793" s="5" t="s">
        <v>15</v>
      </c>
      <c r="C793" s="6">
        <v>44169</v>
      </c>
      <c r="D793">
        <v>0</v>
      </c>
      <c r="E793">
        <v>100.14</v>
      </c>
      <c r="F793">
        <v>100.14</v>
      </c>
      <c r="G793">
        <v>100</v>
      </c>
      <c r="H793">
        <v>100.01</v>
      </c>
      <c r="I793">
        <v>107461</v>
      </c>
      <c r="J79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EECC-EBEE-4B57-AD7A-64A358059413}">
  <dimension ref="A1:G10"/>
  <sheetViews>
    <sheetView workbookViewId="0">
      <selection activeCell="G12" sqref="G12"/>
    </sheetView>
  </sheetViews>
  <sheetFormatPr defaultRowHeight="15.6" x14ac:dyDescent="0.3"/>
  <cols>
    <col min="2" max="2" width="9.8984375" bestFit="1" customWidth="1"/>
    <col min="4" max="4" width="15.8984375" customWidth="1"/>
    <col min="5" max="5" width="9.09765625" customWidth="1"/>
    <col min="6" max="6" width="16.8984375" customWidth="1"/>
    <col min="7" max="7" width="10.09765625" customWidth="1"/>
  </cols>
  <sheetData>
    <row r="1" spans="1:7" x14ac:dyDescent="0.3">
      <c r="A1" s="18" t="s">
        <v>17</v>
      </c>
      <c r="B1" s="18"/>
      <c r="C1" s="18"/>
      <c r="D1" s="18"/>
      <c r="E1" s="18"/>
      <c r="F1" s="18" t="s">
        <v>18</v>
      </c>
      <c r="G1" s="18"/>
    </row>
    <row r="2" spans="1:7" x14ac:dyDescent="0.3">
      <c r="A2" s="7" t="s">
        <v>23</v>
      </c>
      <c r="B2" s="17" t="s">
        <v>0</v>
      </c>
      <c r="C2" s="7" t="s">
        <v>21</v>
      </c>
      <c r="D2" s="7" t="s">
        <v>22</v>
      </c>
      <c r="E2" s="7" t="s">
        <v>24</v>
      </c>
      <c r="F2" s="7" t="s">
        <v>25</v>
      </c>
      <c r="G2" s="7" t="s">
        <v>26</v>
      </c>
    </row>
    <row r="3" spans="1:7" x14ac:dyDescent="0.3">
      <c r="A3" s="7">
        <v>0</v>
      </c>
      <c r="B3" s="6">
        <v>43021</v>
      </c>
      <c r="C3" s="7"/>
      <c r="D3" s="7"/>
      <c r="E3" s="7"/>
      <c r="F3" s="7"/>
      <c r="G3" s="7"/>
    </row>
    <row r="4" spans="1:7" x14ac:dyDescent="0.3">
      <c r="A4">
        <v>1</v>
      </c>
      <c r="B4" s="6">
        <v>43203</v>
      </c>
      <c r="C4" s="19">
        <v>0.08</v>
      </c>
      <c r="D4">
        <v>3.9889999999999999</v>
      </c>
      <c r="E4" t="s">
        <v>19</v>
      </c>
    </row>
    <row r="5" spans="1:7" x14ac:dyDescent="0.3">
      <c r="A5">
        <v>2</v>
      </c>
      <c r="B5" s="6">
        <v>43385</v>
      </c>
      <c r="C5" s="19">
        <v>0.08</v>
      </c>
      <c r="D5">
        <v>3.9889999999999999</v>
      </c>
      <c r="E5" t="s">
        <v>19</v>
      </c>
    </row>
    <row r="6" spans="1:7" x14ac:dyDescent="0.3">
      <c r="A6">
        <v>3</v>
      </c>
      <c r="B6" s="6">
        <v>43567</v>
      </c>
      <c r="C6" s="19">
        <v>0.08</v>
      </c>
      <c r="D6">
        <v>3.9889999999999999</v>
      </c>
      <c r="E6" t="s">
        <v>19</v>
      </c>
    </row>
    <row r="7" spans="1:7" x14ac:dyDescent="0.3">
      <c r="A7">
        <v>4</v>
      </c>
      <c r="B7" s="6">
        <v>43749</v>
      </c>
      <c r="C7" s="19">
        <v>0.08</v>
      </c>
      <c r="D7">
        <v>3.9889999999999999</v>
      </c>
      <c r="E7" t="s">
        <v>19</v>
      </c>
    </row>
    <row r="8" spans="1:7" x14ac:dyDescent="0.3">
      <c r="A8">
        <v>5</v>
      </c>
      <c r="B8" s="6">
        <v>43931</v>
      </c>
      <c r="C8" s="19">
        <v>0.08</v>
      </c>
      <c r="D8">
        <v>3.9889999999999999</v>
      </c>
      <c r="E8" t="s">
        <v>19</v>
      </c>
    </row>
    <row r="9" spans="1:7" x14ac:dyDescent="0.3">
      <c r="A9">
        <v>6</v>
      </c>
      <c r="B9" s="6">
        <v>44113</v>
      </c>
      <c r="C9" s="19">
        <v>0.08</v>
      </c>
      <c r="D9">
        <v>3.9889999999999999</v>
      </c>
      <c r="E9" t="s">
        <v>19</v>
      </c>
    </row>
    <row r="10" spans="1:7" x14ac:dyDescent="0.3">
      <c r="A10">
        <v>7</v>
      </c>
      <c r="B10" s="6">
        <v>44173</v>
      </c>
      <c r="C10" s="19">
        <v>0.08</v>
      </c>
      <c r="D10">
        <v>1.3149999999999999</v>
      </c>
      <c r="E10" t="s">
        <v>20</v>
      </c>
      <c r="F10" s="5">
        <v>100</v>
      </c>
      <c r="G10">
        <v>1000</v>
      </c>
    </row>
  </sheetData>
  <mergeCells count="2">
    <mergeCell ref="A1:E1"/>
    <mergeCell ref="F1:G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F34D-E677-4668-B2C1-6FE5E2EFDA90}">
  <dimension ref="A1:B352"/>
  <sheetViews>
    <sheetView workbookViewId="0">
      <selection activeCell="C2" sqref="C2"/>
    </sheetView>
  </sheetViews>
  <sheetFormatPr defaultRowHeight="15.6" x14ac:dyDescent="0.3"/>
  <cols>
    <col min="1" max="1" width="16.69921875" bestFit="1" customWidth="1"/>
    <col min="2" max="2" width="30.296875" bestFit="1" customWidth="1"/>
  </cols>
  <sheetData>
    <row r="1" spans="1:2" x14ac:dyDescent="0.3">
      <c r="A1" s="15" t="s">
        <v>29</v>
      </c>
      <c r="B1" t="s">
        <v>31</v>
      </c>
    </row>
    <row r="2" spans="1:2" x14ac:dyDescent="0.3">
      <c r="A2" s="16">
        <v>43021</v>
      </c>
      <c r="B2" s="5">
        <v>380</v>
      </c>
    </row>
    <row r="3" spans="1:2" x14ac:dyDescent="0.3">
      <c r="A3" s="16">
        <v>43026</v>
      </c>
      <c r="B3" s="5">
        <v>380</v>
      </c>
    </row>
    <row r="4" spans="1:2" x14ac:dyDescent="0.3">
      <c r="A4" s="16">
        <v>43027</v>
      </c>
      <c r="B4" s="5">
        <v>570</v>
      </c>
    </row>
    <row r="5" spans="1:2" x14ac:dyDescent="0.3">
      <c r="A5" s="16">
        <v>43028</v>
      </c>
      <c r="B5" s="5">
        <v>-1030</v>
      </c>
    </row>
    <row r="6" spans="1:2" x14ac:dyDescent="0.3">
      <c r="A6" s="16">
        <v>43031</v>
      </c>
      <c r="B6" s="5">
        <v>230</v>
      </c>
    </row>
    <row r="7" spans="1:2" x14ac:dyDescent="0.3">
      <c r="A7" s="16">
        <v>43032</v>
      </c>
      <c r="B7" s="5">
        <v>20</v>
      </c>
    </row>
    <row r="8" spans="1:2" x14ac:dyDescent="0.3">
      <c r="A8" s="16">
        <v>43035</v>
      </c>
      <c r="B8" s="5">
        <v>-10</v>
      </c>
    </row>
    <row r="9" spans="1:2" x14ac:dyDescent="0.3">
      <c r="A9" s="16">
        <v>43041</v>
      </c>
      <c r="B9" s="5">
        <v>700</v>
      </c>
    </row>
    <row r="10" spans="1:2" x14ac:dyDescent="0.3">
      <c r="A10" s="16">
        <v>43042</v>
      </c>
      <c r="B10" s="5">
        <v>-800</v>
      </c>
    </row>
    <row r="11" spans="1:2" x14ac:dyDescent="0.3">
      <c r="A11" s="16">
        <v>43046</v>
      </c>
      <c r="B11" s="5">
        <v>240</v>
      </c>
    </row>
    <row r="12" spans="1:2" x14ac:dyDescent="0.3">
      <c r="A12" s="16">
        <v>43049</v>
      </c>
      <c r="B12" s="5">
        <v>980</v>
      </c>
    </row>
    <row r="13" spans="1:2" x14ac:dyDescent="0.3">
      <c r="A13" s="16">
        <v>43053</v>
      </c>
      <c r="B13" s="5">
        <v>-620</v>
      </c>
    </row>
    <row r="14" spans="1:2" x14ac:dyDescent="0.3">
      <c r="A14" s="16">
        <v>43055</v>
      </c>
      <c r="B14" s="5">
        <v>-920</v>
      </c>
    </row>
    <row r="15" spans="1:2" x14ac:dyDescent="0.3">
      <c r="A15" s="16">
        <v>43056</v>
      </c>
      <c r="B15" s="5">
        <v>250</v>
      </c>
    </row>
    <row r="16" spans="1:2" x14ac:dyDescent="0.3">
      <c r="A16" s="16">
        <v>43061</v>
      </c>
      <c r="B16" s="5">
        <v>550</v>
      </c>
    </row>
    <row r="17" spans="1:2" x14ac:dyDescent="0.3">
      <c r="A17" s="16">
        <v>43069</v>
      </c>
      <c r="B17" s="5">
        <v>740</v>
      </c>
    </row>
    <row r="18" spans="1:2" x14ac:dyDescent="0.3">
      <c r="A18" s="16">
        <v>43070</v>
      </c>
      <c r="B18" s="5">
        <v>-1110</v>
      </c>
    </row>
    <row r="19" spans="1:2" x14ac:dyDescent="0.3">
      <c r="A19" s="16">
        <v>43073</v>
      </c>
      <c r="B19" s="5">
        <v>-520</v>
      </c>
    </row>
    <row r="20" spans="1:2" x14ac:dyDescent="0.3">
      <c r="A20" s="16">
        <v>43077</v>
      </c>
      <c r="B20" s="5">
        <v>690</v>
      </c>
    </row>
    <row r="21" spans="1:2" x14ac:dyDescent="0.3">
      <c r="A21" s="16">
        <v>43080</v>
      </c>
      <c r="B21" s="5">
        <v>60</v>
      </c>
    </row>
    <row r="22" spans="1:2" x14ac:dyDescent="0.3">
      <c r="A22" s="16">
        <v>43081</v>
      </c>
      <c r="B22" s="5">
        <v>-320</v>
      </c>
    </row>
    <row r="23" spans="1:2" x14ac:dyDescent="0.3">
      <c r="A23" s="16">
        <v>43083</v>
      </c>
      <c r="B23" s="5">
        <v>410</v>
      </c>
    </row>
    <row r="24" spans="1:2" x14ac:dyDescent="0.3">
      <c r="A24" s="16">
        <v>43084</v>
      </c>
      <c r="B24" s="5">
        <v>-640</v>
      </c>
    </row>
    <row r="25" spans="1:2" x14ac:dyDescent="0.3">
      <c r="A25" s="16">
        <v>43091</v>
      </c>
      <c r="B25" s="5">
        <v>510</v>
      </c>
    </row>
    <row r="26" spans="1:2" x14ac:dyDescent="0.3">
      <c r="A26" s="16">
        <v>43095</v>
      </c>
      <c r="B26" s="5">
        <v>40</v>
      </c>
    </row>
    <row r="27" spans="1:2" x14ac:dyDescent="0.3">
      <c r="A27" s="16">
        <v>43098</v>
      </c>
      <c r="B27" s="5">
        <v>-700</v>
      </c>
    </row>
    <row r="28" spans="1:2" x14ac:dyDescent="0.3">
      <c r="A28" s="16">
        <v>43103</v>
      </c>
      <c r="B28" s="5">
        <v>540</v>
      </c>
    </row>
    <row r="29" spans="1:2" x14ac:dyDescent="0.3">
      <c r="A29" s="16">
        <v>43105</v>
      </c>
      <c r="B29" s="5">
        <v>-620</v>
      </c>
    </row>
    <row r="30" spans="1:2" x14ac:dyDescent="0.3">
      <c r="A30" s="16">
        <v>43112</v>
      </c>
      <c r="B30" s="5">
        <v>460</v>
      </c>
    </row>
    <row r="31" spans="1:2" x14ac:dyDescent="0.3">
      <c r="A31" s="16">
        <v>43123</v>
      </c>
      <c r="B31" s="5">
        <v>-290</v>
      </c>
    </row>
    <row r="32" spans="1:2" x14ac:dyDescent="0.3">
      <c r="A32" s="16">
        <v>43124</v>
      </c>
      <c r="B32" s="5">
        <v>390</v>
      </c>
    </row>
    <row r="33" spans="1:2" x14ac:dyDescent="0.3">
      <c r="A33" s="16">
        <v>43125</v>
      </c>
      <c r="B33" s="5">
        <v>200</v>
      </c>
    </row>
    <row r="34" spans="1:2" x14ac:dyDescent="0.3">
      <c r="A34" s="16">
        <v>43126</v>
      </c>
      <c r="B34" s="5">
        <v>-750</v>
      </c>
    </row>
    <row r="35" spans="1:2" x14ac:dyDescent="0.3">
      <c r="A35" s="16">
        <v>43132</v>
      </c>
      <c r="B35" s="5">
        <v>450</v>
      </c>
    </row>
    <row r="36" spans="1:2" x14ac:dyDescent="0.3">
      <c r="A36" s="16">
        <v>43140</v>
      </c>
      <c r="B36" s="5">
        <v>-40</v>
      </c>
    </row>
    <row r="37" spans="1:2" x14ac:dyDescent="0.3">
      <c r="A37" s="16">
        <v>43146</v>
      </c>
      <c r="B37" s="5">
        <v>-220</v>
      </c>
    </row>
    <row r="38" spans="1:2" x14ac:dyDescent="0.3">
      <c r="A38" s="16">
        <v>43147</v>
      </c>
      <c r="B38" s="5">
        <v>30</v>
      </c>
    </row>
    <row r="39" spans="1:2" x14ac:dyDescent="0.3">
      <c r="A39" s="16">
        <v>43152</v>
      </c>
      <c r="B39" s="5">
        <v>80</v>
      </c>
    </row>
    <row r="40" spans="1:2" x14ac:dyDescent="0.3">
      <c r="A40" s="16">
        <v>43153</v>
      </c>
      <c r="B40" s="5">
        <v>-90</v>
      </c>
    </row>
    <row r="41" spans="1:2" x14ac:dyDescent="0.3">
      <c r="A41" s="16">
        <v>43161</v>
      </c>
      <c r="B41" s="5">
        <v>960</v>
      </c>
    </row>
    <row r="42" spans="1:2" x14ac:dyDescent="0.3">
      <c r="A42" s="16">
        <v>43164</v>
      </c>
      <c r="B42" s="5">
        <v>-430</v>
      </c>
    </row>
    <row r="43" spans="1:2" x14ac:dyDescent="0.3">
      <c r="A43" s="16">
        <v>43166</v>
      </c>
      <c r="B43" s="5">
        <v>-230</v>
      </c>
    </row>
    <row r="44" spans="1:2" x14ac:dyDescent="0.3">
      <c r="A44" s="16">
        <v>43168</v>
      </c>
      <c r="B44" s="5">
        <v>200</v>
      </c>
    </row>
    <row r="45" spans="1:2" x14ac:dyDescent="0.3">
      <c r="A45" s="16">
        <v>43172</v>
      </c>
      <c r="B45" s="5">
        <v>-500</v>
      </c>
    </row>
    <row r="46" spans="1:2" x14ac:dyDescent="0.3">
      <c r="A46" s="16">
        <v>43173</v>
      </c>
      <c r="B46" s="5">
        <v>500</v>
      </c>
    </row>
    <row r="47" spans="1:2" x14ac:dyDescent="0.3">
      <c r="A47" s="16">
        <v>43174</v>
      </c>
      <c r="B47" s="5">
        <v>-160</v>
      </c>
    </row>
    <row r="48" spans="1:2" x14ac:dyDescent="0.3">
      <c r="A48" s="16">
        <v>43175</v>
      </c>
      <c r="B48" s="5">
        <v>290</v>
      </c>
    </row>
    <row r="49" spans="1:2" x14ac:dyDescent="0.3">
      <c r="A49" s="16">
        <v>43178</v>
      </c>
      <c r="B49" s="5">
        <v>-290</v>
      </c>
    </row>
    <row r="50" spans="1:2" x14ac:dyDescent="0.3">
      <c r="A50" s="16">
        <v>43179</v>
      </c>
      <c r="B50" s="5">
        <v>-380</v>
      </c>
    </row>
    <row r="51" spans="1:2" x14ac:dyDescent="0.3">
      <c r="A51" s="16">
        <v>43182</v>
      </c>
      <c r="B51" s="5">
        <v>770</v>
      </c>
    </row>
    <row r="52" spans="1:2" x14ac:dyDescent="0.3">
      <c r="A52" s="16">
        <v>43187</v>
      </c>
      <c r="B52" s="5">
        <v>-320</v>
      </c>
    </row>
    <row r="53" spans="1:2" x14ac:dyDescent="0.3">
      <c r="A53" s="16">
        <v>43188</v>
      </c>
      <c r="B53" s="5">
        <v>-40</v>
      </c>
    </row>
    <row r="54" spans="1:2" x14ac:dyDescent="0.3">
      <c r="A54" s="16">
        <v>43189</v>
      </c>
      <c r="B54" s="5">
        <v>530</v>
      </c>
    </row>
    <row r="55" spans="1:2" x14ac:dyDescent="0.3">
      <c r="A55" s="16">
        <v>43193</v>
      </c>
      <c r="B55" s="5">
        <v>-430</v>
      </c>
    </row>
    <row r="56" spans="1:2" x14ac:dyDescent="0.3">
      <c r="A56" s="16">
        <v>43196</v>
      </c>
      <c r="B56" s="5">
        <v>1280</v>
      </c>
    </row>
    <row r="57" spans="1:2" x14ac:dyDescent="0.3">
      <c r="A57" s="16">
        <v>43200</v>
      </c>
      <c r="B57" s="5">
        <v>-1680</v>
      </c>
    </row>
    <row r="58" spans="1:2" x14ac:dyDescent="0.3">
      <c r="A58" s="16">
        <v>43202</v>
      </c>
      <c r="B58" s="5">
        <v>380</v>
      </c>
    </row>
    <row r="59" spans="1:2" x14ac:dyDescent="0.3">
      <c r="A59" s="16">
        <v>43203</v>
      </c>
      <c r="B59" s="5">
        <v>360</v>
      </c>
    </row>
    <row r="60" spans="1:2" x14ac:dyDescent="0.3">
      <c r="A60" s="16">
        <v>43213</v>
      </c>
      <c r="B60" s="5">
        <v>470</v>
      </c>
    </row>
    <row r="61" spans="1:2" x14ac:dyDescent="0.3">
      <c r="A61" s="16">
        <v>43215</v>
      </c>
      <c r="B61" s="5">
        <v>60</v>
      </c>
    </row>
    <row r="62" spans="1:2" x14ac:dyDescent="0.3">
      <c r="A62" s="16">
        <v>43220</v>
      </c>
      <c r="B62" s="5">
        <v>920</v>
      </c>
    </row>
    <row r="63" spans="1:2" x14ac:dyDescent="0.3">
      <c r="A63" s="16">
        <v>43228</v>
      </c>
      <c r="B63" s="5">
        <v>-2130</v>
      </c>
    </row>
    <row r="64" spans="1:2" x14ac:dyDescent="0.3">
      <c r="A64" s="16">
        <v>43230</v>
      </c>
      <c r="B64" s="5">
        <v>-310</v>
      </c>
    </row>
    <row r="65" spans="1:2" x14ac:dyDescent="0.3">
      <c r="A65" s="16">
        <v>43231</v>
      </c>
      <c r="B65" s="5">
        <v>890</v>
      </c>
    </row>
    <row r="66" spans="1:2" x14ac:dyDescent="0.3">
      <c r="A66" s="16">
        <v>43234</v>
      </c>
      <c r="B66" s="5">
        <v>90</v>
      </c>
    </row>
    <row r="67" spans="1:2" x14ac:dyDescent="0.3">
      <c r="A67" s="16">
        <v>43238</v>
      </c>
      <c r="B67" s="5">
        <v>-380</v>
      </c>
    </row>
    <row r="68" spans="1:2" x14ac:dyDescent="0.3">
      <c r="A68" s="16">
        <v>43242</v>
      </c>
      <c r="B68" s="5">
        <v>50</v>
      </c>
    </row>
    <row r="69" spans="1:2" x14ac:dyDescent="0.3">
      <c r="A69" s="16">
        <v>43244</v>
      </c>
      <c r="B69" s="5">
        <v>380</v>
      </c>
    </row>
    <row r="70" spans="1:2" x14ac:dyDescent="0.3">
      <c r="A70" s="16">
        <v>43250</v>
      </c>
      <c r="B70" s="5">
        <v>-400</v>
      </c>
    </row>
    <row r="71" spans="1:2" x14ac:dyDescent="0.3">
      <c r="A71" s="16">
        <v>43252</v>
      </c>
      <c r="B71" s="5">
        <v>-90</v>
      </c>
    </row>
    <row r="72" spans="1:2" x14ac:dyDescent="0.3">
      <c r="A72" s="16">
        <v>43262</v>
      </c>
      <c r="B72" s="5">
        <v>-190</v>
      </c>
    </row>
    <row r="73" spans="1:2" x14ac:dyDescent="0.3">
      <c r="A73" s="16">
        <v>43266</v>
      </c>
      <c r="B73" s="5">
        <v>450</v>
      </c>
    </row>
    <row r="74" spans="1:2" x14ac:dyDescent="0.3">
      <c r="A74" s="16">
        <v>43269</v>
      </c>
      <c r="B74" s="5">
        <v>310</v>
      </c>
    </row>
    <row r="75" spans="1:2" x14ac:dyDescent="0.3">
      <c r="A75" s="16">
        <v>43270</v>
      </c>
      <c r="B75" s="5">
        <v>-1010</v>
      </c>
    </row>
    <row r="76" spans="1:2" x14ac:dyDescent="0.3">
      <c r="A76" s="16">
        <v>43273</v>
      </c>
      <c r="B76" s="5">
        <v>1000</v>
      </c>
    </row>
    <row r="77" spans="1:2" x14ac:dyDescent="0.3">
      <c r="A77" s="16">
        <v>43276</v>
      </c>
      <c r="B77" s="5">
        <v>-170</v>
      </c>
    </row>
    <row r="78" spans="1:2" x14ac:dyDescent="0.3">
      <c r="A78" s="16">
        <v>43280</v>
      </c>
      <c r="B78" s="5">
        <v>-410</v>
      </c>
    </row>
    <row r="79" spans="1:2" x14ac:dyDescent="0.3">
      <c r="A79" s="16">
        <v>43283</v>
      </c>
      <c r="B79" s="5">
        <v>-380</v>
      </c>
    </row>
    <row r="80" spans="1:2" x14ac:dyDescent="0.3">
      <c r="A80" s="16">
        <v>43287</v>
      </c>
      <c r="B80" s="5">
        <v>440</v>
      </c>
    </row>
    <row r="81" spans="1:2" x14ac:dyDescent="0.3">
      <c r="A81" s="16">
        <v>43294</v>
      </c>
      <c r="B81" s="5">
        <v>90</v>
      </c>
    </row>
    <row r="82" spans="1:2" x14ac:dyDescent="0.3">
      <c r="A82" s="16">
        <v>43299</v>
      </c>
      <c r="B82" s="5">
        <v>170</v>
      </c>
    </row>
    <row r="83" spans="1:2" x14ac:dyDescent="0.3">
      <c r="A83" s="16">
        <v>43307</v>
      </c>
      <c r="B83" s="5">
        <v>-600</v>
      </c>
    </row>
    <row r="84" spans="1:2" x14ac:dyDescent="0.3">
      <c r="A84" s="16">
        <v>43308</v>
      </c>
      <c r="B84" s="5">
        <v>610</v>
      </c>
    </row>
    <row r="85" spans="1:2" x14ac:dyDescent="0.3">
      <c r="A85" s="16">
        <v>43311</v>
      </c>
      <c r="B85" s="5">
        <v>-10</v>
      </c>
    </row>
    <row r="86" spans="1:2" x14ac:dyDescent="0.3">
      <c r="A86" s="16">
        <v>43313</v>
      </c>
      <c r="B86" s="5">
        <v>900</v>
      </c>
    </row>
    <row r="87" spans="1:2" x14ac:dyDescent="0.3">
      <c r="A87" s="16">
        <v>43314</v>
      </c>
      <c r="B87" s="5">
        <v>-680</v>
      </c>
    </row>
    <row r="88" spans="1:2" x14ac:dyDescent="0.3">
      <c r="A88" s="16">
        <v>43315</v>
      </c>
      <c r="B88" s="5">
        <v>-910</v>
      </c>
    </row>
    <row r="89" spans="1:2" x14ac:dyDescent="0.3">
      <c r="A89" s="16">
        <v>43318</v>
      </c>
      <c r="B89" s="5">
        <v>60</v>
      </c>
    </row>
    <row r="90" spans="1:2" x14ac:dyDescent="0.3">
      <c r="A90" s="16">
        <v>43319</v>
      </c>
      <c r="B90" s="5">
        <v>-160</v>
      </c>
    </row>
    <row r="91" spans="1:2" x14ac:dyDescent="0.3">
      <c r="A91" s="16">
        <v>43322</v>
      </c>
      <c r="B91" s="5">
        <v>530</v>
      </c>
    </row>
    <row r="92" spans="1:2" x14ac:dyDescent="0.3">
      <c r="A92" s="16">
        <v>43326</v>
      </c>
      <c r="B92" s="5">
        <v>610</v>
      </c>
    </row>
    <row r="93" spans="1:2" x14ac:dyDescent="0.3">
      <c r="A93" s="16">
        <v>43327</v>
      </c>
      <c r="B93" s="5">
        <v>-1070</v>
      </c>
    </row>
    <row r="94" spans="1:2" x14ac:dyDescent="0.3">
      <c r="A94" s="16">
        <v>43328</v>
      </c>
      <c r="B94" s="5">
        <v>190</v>
      </c>
    </row>
    <row r="95" spans="1:2" x14ac:dyDescent="0.3">
      <c r="A95" s="16">
        <v>43329</v>
      </c>
      <c r="B95" s="5">
        <v>1150</v>
      </c>
    </row>
    <row r="96" spans="1:2" x14ac:dyDescent="0.3">
      <c r="A96" s="16">
        <v>43332</v>
      </c>
      <c r="B96" s="5">
        <v>-1320</v>
      </c>
    </row>
    <row r="97" spans="1:2" x14ac:dyDescent="0.3">
      <c r="A97" s="16">
        <v>43333</v>
      </c>
      <c r="B97" s="5">
        <v>340</v>
      </c>
    </row>
    <row r="98" spans="1:2" x14ac:dyDescent="0.3">
      <c r="A98" s="16">
        <v>43334</v>
      </c>
      <c r="B98" s="5">
        <v>-490</v>
      </c>
    </row>
    <row r="99" spans="1:2" x14ac:dyDescent="0.3">
      <c r="A99" s="16">
        <v>43340</v>
      </c>
      <c r="B99" s="5">
        <v>310</v>
      </c>
    </row>
    <row r="100" spans="1:2" x14ac:dyDescent="0.3">
      <c r="A100" s="16">
        <v>43341</v>
      </c>
      <c r="B100" s="5">
        <v>110</v>
      </c>
    </row>
    <row r="101" spans="1:2" x14ac:dyDescent="0.3">
      <c r="A101" s="16">
        <v>43343</v>
      </c>
      <c r="B101" s="5">
        <v>-300</v>
      </c>
    </row>
    <row r="102" spans="1:2" x14ac:dyDescent="0.3">
      <c r="A102" s="16">
        <v>43346</v>
      </c>
      <c r="B102" s="5">
        <v>700</v>
      </c>
    </row>
    <row r="103" spans="1:2" x14ac:dyDescent="0.3">
      <c r="A103" s="16">
        <v>43347</v>
      </c>
      <c r="B103" s="5">
        <v>-580</v>
      </c>
    </row>
    <row r="104" spans="1:2" x14ac:dyDescent="0.3">
      <c r="A104" s="16">
        <v>43348</v>
      </c>
      <c r="B104" s="5">
        <v>500</v>
      </c>
    </row>
    <row r="105" spans="1:2" x14ac:dyDescent="0.3">
      <c r="A105" s="16">
        <v>43349</v>
      </c>
      <c r="B105" s="5">
        <v>0</v>
      </c>
    </row>
    <row r="106" spans="1:2" x14ac:dyDescent="0.3">
      <c r="A106" s="16">
        <v>43350</v>
      </c>
      <c r="B106" s="5">
        <v>80</v>
      </c>
    </row>
    <row r="107" spans="1:2" x14ac:dyDescent="0.3">
      <c r="A107" s="16">
        <v>43355</v>
      </c>
      <c r="B107" s="5">
        <v>690</v>
      </c>
    </row>
    <row r="108" spans="1:2" x14ac:dyDescent="0.3">
      <c r="A108" s="16">
        <v>43357</v>
      </c>
      <c r="B108" s="5">
        <v>-1060</v>
      </c>
    </row>
    <row r="109" spans="1:2" x14ac:dyDescent="0.3">
      <c r="A109" s="16">
        <v>43360</v>
      </c>
      <c r="B109" s="5">
        <v>0</v>
      </c>
    </row>
    <row r="110" spans="1:2" x14ac:dyDescent="0.3">
      <c r="A110" s="16">
        <v>43361</v>
      </c>
      <c r="B110" s="5">
        <v>400</v>
      </c>
    </row>
    <row r="111" spans="1:2" x14ac:dyDescent="0.3">
      <c r="A111" s="16">
        <v>43364</v>
      </c>
      <c r="B111" s="5">
        <v>640</v>
      </c>
    </row>
    <row r="112" spans="1:2" x14ac:dyDescent="0.3">
      <c r="A112" s="16">
        <v>43367</v>
      </c>
      <c r="B112" s="5">
        <v>-1300</v>
      </c>
    </row>
    <row r="113" spans="1:2" x14ac:dyDescent="0.3">
      <c r="A113" s="16">
        <v>43368</v>
      </c>
      <c r="B113" s="5">
        <v>60</v>
      </c>
    </row>
    <row r="114" spans="1:2" x14ac:dyDescent="0.3">
      <c r="A114" s="16">
        <v>43371</v>
      </c>
      <c r="B114" s="5">
        <v>850</v>
      </c>
    </row>
    <row r="115" spans="1:2" x14ac:dyDescent="0.3">
      <c r="A115" s="16">
        <v>43378</v>
      </c>
      <c r="B115" s="5">
        <v>-900</v>
      </c>
    </row>
    <row r="116" spans="1:2" x14ac:dyDescent="0.3">
      <c r="A116" s="16">
        <v>43382</v>
      </c>
      <c r="B116" s="5">
        <v>50</v>
      </c>
    </row>
    <row r="117" spans="1:2" x14ac:dyDescent="0.3">
      <c r="A117" s="16">
        <v>43383</v>
      </c>
      <c r="B117" s="5">
        <v>-20</v>
      </c>
    </row>
    <row r="118" spans="1:2" x14ac:dyDescent="0.3">
      <c r="A118" s="16">
        <v>43384</v>
      </c>
      <c r="B118" s="5">
        <v>540</v>
      </c>
    </row>
    <row r="119" spans="1:2" x14ac:dyDescent="0.3">
      <c r="A119" s="16">
        <v>43385</v>
      </c>
      <c r="B119" s="5">
        <v>-20</v>
      </c>
    </row>
    <row r="120" spans="1:2" x14ac:dyDescent="0.3">
      <c r="A120" s="16">
        <v>43388</v>
      </c>
      <c r="B120" s="5">
        <v>80</v>
      </c>
    </row>
    <row r="121" spans="1:2" x14ac:dyDescent="0.3">
      <c r="A121" s="16">
        <v>43392</v>
      </c>
      <c r="B121" s="5">
        <v>-640</v>
      </c>
    </row>
    <row r="122" spans="1:2" x14ac:dyDescent="0.3">
      <c r="A122" s="16">
        <v>43397</v>
      </c>
      <c r="B122" s="5">
        <v>370</v>
      </c>
    </row>
    <row r="123" spans="1:2" x14ac:dyDescent="0.3">
      <c r="A123" s="16">
        <v>43399</v>
      </c>
      <c r="B123" s="5">
        <v>-340</v>
      </c>
    </row>
    <row r="124" spans="1:2" x14ac:dyDescent="0.3">
      <c r="A124" s="16">
        <v>43402</v>
      </c>
      <c r="B124" s="5">
        <v>720</v>
      </c>
    </row>
    <row r="125" spans="1:2" x14ac:dyDescent="0.3">
      <c r="A125" s="16">
        <v>43403</v>
      </c>
      <c r="B125" s="5">
        <v>-180</v>
      </c>
    </row>
    <row r="126" spans="1:2" x14ac:dyDescent="0.3">
      <c r="A126" s="16">
        <v>43406</v>
      </c>
      <c r="B126" s="5">
        <v>410</v>
      </c>
    </row>
    <row r="127" spans="1:2" x14ac:dyDescent="0.3">
      <c r="A127" s="16">
        <v>43410</v>
      </c>
      <c r="B127" s="5">
        <v>610</v>
      </c>
    </row>
    <row r="128" spans="1:2" x14ac:dyDescent="0.3">
      <c r="A128" s="16">
        <v>43412</v>
      </c>
      <c r="B128" s="5">
        <v>690</v>
      </c>
    </row>
    <row r="129" spans="1:2" x14ac:dyDescent="0.3">
      <c r="A129" s="16">
        <v>43413</v>
      </c>
      <c r="B129" s="5">
        <v>-730</v>
      </c>
    </row>
    <row r="130" spans="1:2" x14ac:dyDescent="0.3">
      <c r="A130" s="16">
        <v>43420</v>
      </c>
      <c r="B130" s="5">
        <v>-710</v>
      </c>
    </row>
    <row r="131" spans="1:2" x14ac:dyDescent="0.3">
      <c r="A131" s="16">
        <v>43423</v>
      </c>
      <c r="B131" s="5">
        <v>-710</v>
      </c>
    </row>
    <row r="132" spans="1:2" x14ac:dyDescent="0.3">
      <c r="A132" s="16">
        <v>43426</v>
      </c>
      <c r="B132" s="5">
        <v>750</v>
      </c>
    </row>
    <row r="133" spans="1:2" x14ac:dyDescent="0.3">
      <c r="A133" s="16">
        <v>43431</v>
      </c>
      <c r="B133" s="5">
        <v>170</v>
      </c>
    </row>
    <row r="134" spans="1:2" x14ac:dyDescent="0.3">
      <c r="A134" s="16">
        <v>43433</v>
      </c>
      <c r="B134" s="5">
        <v>-120</v>
      </c>
    </row>
    <row r="135" spans="1:2" x14ac:dyDescent="0.3">
      <c r="A135" s="16">
        <v>43434</v>
      </c>
      <c r="B135" s="5">
        <v>90</v>
      </c>
    </row>
    <row r="136" spans="1:2" x14ac:dyDescent="0.3">
      <c r="A136" s="16">
        <v>43438</v>
      </c>
      <c r="B136" s="5">
        <v>-1190</v>
      </c>
    </row>
    <row r="137" spans="1:2" x14ac:dyDescent="0.3">
      <c r="A137" s="16">
        <v>43440</v>
      </c>
      <c r="B137" s="5">
        <v>190</v>
      </c>
    </row>
    <row r="138" spans="1:2" x14ac:dyDescent="0.3">
      <c r="A138" s="16">
        <v>43441</v>
      </c>
      <c r="B138" s="5">
        <v>570</v>
      </c>
    </row>
    <row r="139" spans="1:2" x14ac:dyDescent="0.3">
      <c r="A139" s="16">
        <v>43445</v>
      </c>
      <c r="B139" s="5">
        <v>100</v>
      </c>
    </row>
    <row r="140" spans="1:2" x14ac:dyDescent="0.3">
      <c r="A140" s="16">
        <v>43448</v>
      </c>
      <c r="B140" s="5">
        <v>-310</v>
      </c>
    </row>
    <row r="141" spans="1:2" x14ac:dyDescent="0.3">
      <c r="A141" s="16">
        <v>43452</v>
      </c>
      <c r="B141" s="5">
        <v>580</v>
      </c>
    </row>
    <row r="142" spans="1:2" x14ac:dyDescent="0.3">
      <c r="A142" s="16">
        <v>43453</v>
      </c>
      <c r="B142" s="5">
        <v>720</v>
      </c>
    </row>
    <row r="143" spans="1:2" x14ac:dyDescent="0.3">
      <c r="A143" s="16">
        <v>43455</v>
      </c>
      <c r="B143" s="5">
        <v>-230</v>
      </c>
    </row>
    <row r="144" spans="1:2" x14ac:dyDescent="0.3">
      <c r="A144" s="16">
        <v>43460</v>
      </c>
      <c r="B144" s="5">
        <v>-1560</v>
      </c>
    </row>
    <row r="145" spans="1:2" x14ac:dyDescent="0.3">
      <c r="A145" s="16">
        <v>43468</v>
      </c>
      <c r="B145" s="5">
        <v>250</v>
      </c>
    </row>
    <row r="146" spans="1:2" x14ac:dyDescent="0.3">
      <c r="A146" s="16">
        <v>43474</v>
      </c>
      <c r="B146" s="5">
        <v>50</v>
      </c>
    </row>
    <row r="147" spans="1:2" x14ac:dyDescent="0.3">
      <c r="A147" s="16">
        <v>43476</v>
      </c>
      <c r="B147" s="5">
        <v>-110</v>
      </c>
    </row>
    <row r="148" spans="1:2" x14ac:dyDescent="0.3">
      <c r="A148" s="16">
        <v>43479</v>
      </c>
      <c r="B148" s="5">
        <v>230</v>
      </c>
    </row>
    <row r="149" spans="1:2" x14ac:dyDescent="0.3">
      <c r="A149" s="16">
        <v>43480</v>
      </c>
      <c r="B149" s="5">
        <v>-270</v>
      </c>
    </row>
    <row r="150" spans="1:2" x14ac:dyDescent="0.3">
      <c r="A150" s="16">
        <v>43481</v>
      </c>
      <c r="B150" s="5">
        <v>910</v>
      </c>
    </row>
    <row r="151" spans="1:2" x14ac:dyDescent="0.3">
      <c r="A151" s="16">
        <v>43482</v>
      </c>
      <c r="B151" s="5">
        <v>-1080</v>
      </c>
    </row>
    <row r="152" spans="1:2" x14ac:dyDescent="0.3">
      <c r="A152" s="16">
        <v>43483</v>
      </c>
      <c r="B152" s="5">
        <v>370</v>
      </c>
    </row>
    <row r="153" spans="1:2" x14ac:dyDescent="0.3">
      <c r="A153" s="16">
        <v>43486</v>
      </c>
      <c r="B153" s="5">
        <v>50</v>
      </c>
    </row>
    <row r="154" spans="1:2" x14ac:dyDescent="0.3">
      <c r="A154" s="16">
        <v>43489</v>
      </c>
      <c r="B154" s="5">
        <v>540</v>
      </c>
    </row>
    <row r="155" spans="1:2" x14ac:dyDescent="0.3">
      <c r="A155" s="16">
        <v>43490</v>
      </c>
      <c r="B155" s="5">
        <v>-160</v>
      </c>
    </row>
    <row r="156" spans="1:2" x14ac:dyDescent="0.3">
      <c r="A156" s="16">
        <v>43494</v>
      </c>
      <c r="B156" s="5">
        <v>-310</v>
      </c>
    </row>
    <row r="157" spans="1:2" x14ac:dyDescent="0.3">
      <c r="A157" s="16">
        <v>43497</v>
      </c>
      <c r="B157" s="5">
        <v>-460</v>
      </c>
    </row>
    <row r="158" spans="1:2" x14ac:dyDescent="0.3">
      <c r="A158" s="16">
        <v>43501</v>
      </c>
      <c r="B158" s="5">
        <v>560</v>
      </c>
    </row>
    <row r="159" spans="1:2" x14ac:dyDescent="0.3">
      <c r="A159" s="16">
        <v>43503</v>
      </c>
      <c r="B159" s="5">
        <v>-500</v>
      </c>
    </row>
    <row r="160" spans="1:2" x14ac:dyDescent="0.3">
      <c r="A160" s="16">
        <v>43509</v>
      </c>
      <c r="B160" s="5">
        <v>450</v>
      </c>
    </row>
    <row r="161" spans="1:2" x14ac:dyDescent="0.3">
      <c r="A161" s="16">
        <v>43511</v>
      </c>
      <c r="B161" s="5">
        <v>-480</v>
      </c>
    </row>
    <row r="162" spans="1:2" x14ac:dyDescent="0.3">
      <c r="A162" s="16">
        <v>43518</v>
      </c>
      <c r="B162" s="5">
        <v>570</v>
      </c>
    </row>
    <row r="163" spans="1:2" x14ac:dyDescent="0.3">
      <c r="A163" s="16">
        <v>43525</v>
      </c>
      <c r="B163" s="5">
        <v>-510</v>
      </c>
    </row>
    <row r="164" spans="1:2" x14ac:dyDescent="0.3">
      <c r="A164" s="16">
        <v>43530</v>
      </c>
      <c r="B164" s="5">
        <v>650</v>
      </c>
    </row>
    <row r="165" spans="1:2" x14ac:dyDescent="0.3">
      <c r="A165" s="16">
        <v>43531</v>
      </c>
      <c r="B165" s="5">
        <v>-410</v>
      </c>
    </row>
    <row r="166" spans="1:2" x14ac:dyDescent="0.3">
      <c r="A166" s="16">
        <v>43538</v>
      </c>
      <c r="B166" s="5">
        <v>-350</v>
      </c>
    </row>
    <row r="167" spans="1:2" x14ac:dyDescent="0.3">
      <c r="A167" s="16">
        <v>43539</v>
      </c>
      <c r="B167" s="5">
        <v>-40</v>
      </c>
    </row>
    <row r="168" spans="1:2" x14ac:dyDescent="0.3">
      <c r="A168" s="16">
        <v>43542</v>
      </c>
      <c r="B168" s="5">
        <v>130</v>
      </c>
    </row>
    <row r="169" spans="1:2" x14ac:dyDescent="0.3">
      <c r="A169" s="16">
        <v>43544</v>
      </c>
      <c r="B169" s="5">
        <v>300</v>
      </c>
    </row>
    <row r="170" spans="1:2" x14ac:dyDescent="0.3">
      <c r="A170" s="16">
        <v>43546</v>
      </c>
      <c r="B170" s="5">
        <v>570</v>
      </c>
    </row>
    <row r="171" spans="1:2" x14ac:dyDescent="0.3">
      <c r="A171" s="16">
        <v>43550</v>
      </c>
      <c r="B171" s="5">
        <v>40</v>
      </c>
    </row>
    <row r="172" spans="1:2" x14ac:dyDescent="0.3">
      <c r="A172" s="16">
        <v>43551</v>
      </c>
      <c r="B172" s="5">
        <v>-300</v>
      </c>
    </row>
    <row r="173" spans="1:2" x14ac:dyDescent="0.3">
      <c r="A173" s="16">
        <v>43553</v>
      </c>
      <c r="B173" s="5">
        <v>-400</v>
      </c>
    </row>
    <row r="174" spans="1:2" x14ac:dyDescent="0.3">
      <c r="A174" s="16">
        <v>43557</v>
      </c>
      <c r="B174" s="5">
        <v>220</v>
      </c>
    </row>
    <row r="175" spans="1:2" x14ac:dyDescent="0.3">
      <c r="A175" s="16">
        <v>43559</v>
      </c>
      <c r="B175" s="5">
        <v>-480</v>
      </c>
    </row>
    <row r="176" spans="1:2" x14ac:dyDescent="0.3">
      <c r="A176" s="16">
        <v>43560</v>
      </c>
      <c r="B176" s="5">
        <v>-40</v>
      </c>
    </row>
    <row r="177" spans="1:2" x14ac:dyDescent="0.3">
      <c r="A177" s="16">
        <v>43564</v>
      </c>
      <c r="B177" s="5">
        <v>10</v>
      </c>
    </row>
    <row r="178" spans="1:2" x14ac:dyDescent="0.3">
      <c r="A178" s="16">
        <v>43565</v>
      </c>
      <c r="B178" s="5">
        <v>370</v>
      </c>
    </row>
    <row r="179" spans="1:2" x14ac:dyDescent="0.3">
      <c r="A179" s="16">
        <v>43567</v>
      </c>
      <c r="B179" s="5">
        <v>0</v>
      </c>
    </row>
    <row r="180" spans="1:2" x14ac:dyDescent="0.3">
      <c r="A180" s="16">
        <v>43570</v>
      </c>
      <c r="B180" s="5">
        <v>670</v>
      </c>
    </row>
    <row r="181" spans="1:2" x14ac:dyDescent="0.3">
      <c r="A181" s="16">
        <v>43572</v>
      </c>
      <c r="B181" s="5">
        <v>-1120</v>
      </c>
    </row>
    <row r="182" spans="1:2" x14ac:dyDescent="0.3">
      <c r="A182" s="16">
        <v>43574</v>
      </c>
      <c r="B182" s="5">
        <v>510</v>
      </c>
    </row>
    <row r="183" spans="1:2" x14ac:dyDescent="0.3">
      <c r="A183" s="16">
        <v>43578</v>
      </c>
      <c r="B183" s="5">
        <v>660</v>
      </c>
    </row>
    <row r="184" spans="1:2" x14ac:dyDescent="0.3">
      <c r="A184" s="16">
        <v>43579</v>
      </c>
      <c r="B184" s="5">
        <v>-940</v>
      </c>
    </row>
    <row r="185" spans="1:2" x14ac:dyDescent="0.3">
      <c r="A185" s="16">
        <v>43581</v>
      </c>
      <c r="B185" s="5">
        <v>590</v>
      </c>
    </row>
    <row r="186" spans="1:2" x14ac:dyDescent="0.3">
      <c r="A186" s="16">
        <v>43585</v>
      </c>
      <c r="B186" s="5">
        <v>-160</v>
      </c>
    </row>
    <row r="187" spans="1:2" x14ac:dyDescent="0.3">
      <c r="A187" s="16">
        <v>43587</v>
      </c>
      <c r="B187" s="5">
        <v>220</v>
      </c>
    </row>
    <row r="188" spans="1:2" x14ac:dyDescent="0.3">
      <c r="A188" s="16">
        <v>43588</v>
      </c>
      <c r="B188" s="5">
        <v>-360</v>
      </c>
    </row>
    <row r="189" spans="1:2" x14ac:dyDescent="0.3">
      <c r="A189" s="16">
        <v>43593</v>
      </c>
      <c r="B189" s="5">
        <v>140</v>
      </c>
    </row>
    <row r="190" spans="1:2" x14ac:dyDescent="0.3">
      <c r="A190" s="16">
        <v>43598</v>
      </c>
      <c r="B190" s="5">
        <v>140</v>
      </c>
    </row>
    <row r="191" spans="1:2" x14ac:dyDescent="0.3">
      <c r="A191" s="16">
        <v>43599</v>
      </c>
      <c r="B191" s="5">
        <v>-280</v>
      </c>
    </row>
    <row r="192" spans="1:2" x14ac:dyDescent="0.3">
      <c r="A192" s="16">
        <v>43600</v>
      </c>
      <c r="B192" s="5">
        <v>-230</v>
      </c>
    </row>
    <row r="193" spans="1:2" x14ac:dyDescent="0.3">
      <c r="A193" s="16">
        <v>43601</v>
      </c>
      <c r="B193" s="5">
        <v>550</v>
      </c>
    </row>
    <row r="194" spans="1:2" x14ac:dyDescent="0.3">
      <c r="A194" s="16">
        <v>43605</v>
      </c>
      <c r="B194" s="5">
        <v>-660</v>
      </c>
    </row>
    <row r="195" spans="1:2" x14ac:dyDescent="0.3">
      <c r="A195" s="16">
        <v>43608</v>
      </c>
      <c r="B195" s="5">
        <v>330</v>
      </c>
    </row>
    <row r="196" spans="1:2" x14ac:dyDescent="0.3">
      <c r="A196" s="16">
        <v>43609</v>
      </c>
      <c r="B196" s="5">
        <v>400</v>
      </c>
    </row>
    <row r="197" spans="1:2" x14ac:dyDescent="0.3">
      <c r="A197" s="16">
        <v>43615</v>
      </c>
      <c r="B197" s="5">
        <v>30</v>
      </c>
    </row>
    <row r="198" spans="1:2" x14ac:dyDescent="0.3">
      <c r="A198" s="16">
        <v>43616</v>
      </c>
      <c r="B198" s="5">
        <v>-680</v>
      </c>
    </row>
    <row r="199" spans="1:2" x14ac:dyDescent="0.3">
      <c r="A199" s="16">
        <v>43621</v>
      </c>
      <c r="B199" s="5">
        <v>680</v>
      </c>
    </row>
    <row r="200" spans="1:2" x14ac:dyDescent="0.3">
      <c r="A200" s="16">
        <v>43623</v>
      </c>
      <c r="B200" s="5">
        <v>-330</v>
      </c>
    </row>
    <row r="201" spans="1:2" x14ac:dyDescent="0.3">
      <c r="A201" s="16">
        <v>43626</v>
      </c>
      <c r="B201" s="5">
        <v>380</v>
      </c>
    </row>
    <row r="202" spans="1:2" x14ac:dyDescent="0.3">
      <c r="A202" s="16">
        <v>43627</v>
      </c>
      <c r="B202" s="5">
        <v>20</v>
      </c>
    </row>
    <row r="203" spans="1:2" x14ac:dyDescent="0.3">
      <c r="A203" s="16">
        <v>43630</v>
      </c>
      <c r="B203" s="5">
        <v>-140</v>
      </c>
    </row>
    <row r="204" spans="1:2" x14ac:dyDescent="0.3">
      <c r="A204" s="16">
        <v>43637</v>
      </c>
      <c r="B204" s="5">
        <v>750</v>
      </c>
    </row>
    <row r="205" spans="1:2" x14ac:dyDescent="0.3">
      <c r="A205" s="16">
        <v>43641</v>
      </c>
      <c r="B205" s="5">
        <v>-1180</v>
      </c>
    </row>
    <row r="206" spans="1:2" x14ac:dyDescent="0.3">
      <c r="A206" s="16">
        <v>43650</v>
      </c>
      <c r="B206" s="5">
        <v>280</v>
      </c>
    </row>
    <row r="207" spans="1:2" x14ac:dyDescent="0.3">
      <c r="A207" s="16">
        <v>43654</v>
      </c>
      <c r="B207" s="5">
        <v>-80</v>
      </c>
    </row>
    <row r="208" spans="1:2" x14ac:dyDescent="0.3">
      <c r="A208" s="16">
        <v>43655</v>
      </c>
      <c r="B208" s="5">
        <v>440</v>
      </c>
    </row>
    <row r="209" spans="1:2" x14ac:dyDescent="0.3">
      <c r="A209" s="16">
        <v>43656</v>
      </c>
      <c r="B209" s="5">
        <v>-630</v>
      </c>
    </row>
    <row r="210" spans="1:2" x14ac:dyDescent="0.3">
      <c r="A210" s="16">
        <v>43658</v>
      </c>
      <c r="B210" s="5">
        <v>80</v>
      </c>
    </row>
    <row r="211" spans="1:2" x14ac:dyDescent="0.3">
      <c r="A211" s="16">
        <v>43664</v>
      </c>
      <c r="B211" s="5">
        <v>580</v>
      </c>
    </row>
    <row r="212" spans="1:2" x14ac:dyDescent="0.3">
      <c r="A212" s="16">
        <v>43665</v>
      </c>
      <c r="B212" s="5">
        <v>10</v>
      </c>
    </row>
    <row r="213" spans="1:2" x14ac:dyDescent="0.3">
      <c r="A213" s="16">
        <v>43669</v>
      </c>
      <c r="B213" s="5">
        <v>480</v>
      </c>
    </row>
    <row r="214" spans="1:2" x14ac:dyDescent="0.3">
      <c r="A214" s="16">
        <v>43676</v>
      </c>
      <c r="B214" s="5">
        <v>-1330</v>
      </c>
    </row>
    <row r="215" spans="1:2" x14ac:dyDescent="0.3">
      <c r="A215" s="16">
        <v>43685</v>
      </c>
      <c r="B215" s="5">
        <v>650</v>
      </c>
    </row>
    <row r="216" spans="1:2" x14ac:dyDescent="0.3">
      <c r="A216" s="16">
        <v>43686</v>
      </c>
      <c r="B216" s="5">
        <v>40</v>
      </c>
    </row>
    <row r="217" spans="1:2" x14ac:dyDescent="0.3">
      <c r="A217" s="16">
        <v>43696</v>
      </c>
      <c r="B217" s="5">
        <v>580</v>
      </c>
    </row>
    <row r="218" spans="1:2" x14ac:dyDescent="0.3">
      <c r="A218" s="16">
        <v>43705</v>
      </c>
      <c r="B218" s="5">
        <v>-460</v>
      </c>
    </row>
    <row r="219" spans="1:2" x14ac:dyDescent="0.3">
      <c r="A219" s="16">
        <v>43706</v>
      </c>
      <c r="B219" s="5">
        <v>-140</v>
      </c>
    </row>
    <row r="220" spans="1:2" x14ac:dyDescent="0.3">
      <c r="A220" s="16">
        <v>43707</v>
      </c>
      <c r="B220" s="5">
        <v>-40</v>
      </c>
    </row>
    <row r="221" spans="1:2" x14ac:dyDescent="0.3">
      <c r="A221" s="16">
        <v>43710</v>
      </c>
      <c r="B221" s="5">
        <v>-680</v>
      </c>
    </row>
    <row r="222" spans="1:2" x14ac:dyDescent="0.3">
      <c r="A222" s="16">
        <v>43714</v>
      </c>
      <c r="B222" s="5">
        <v>570</v>
      </c>
    </row>
    <row r="223" spans="1:2" x14ac:dyDescent="0.3">
      <c r="A223" s="16">
        <v>43721</v>
      </c>
      <c r="B223" s="5">
        <v>-130</v>
      </c>
    </row>
    <row r="224" spans="1:2" x14ac:dyDescent="0.3">
      <c r="A224" s="16">
        <v>43724</v>
      </c>
      <c r="B224" s="5">
        <v>1480</v>
      </c>
    </row>
    <row r="225" spans="1:2" x14ac:dyDescent="0.3">
      <c r="A225" s="16">
        <v>43725</v>
      </c>
      <c r="B225" s="5">
        <v>-790</v>
      </c>
    </row>
    <row r="226" spans="1:2" x14ac:dyDescent="0.3">
      <c r="A226" s="16">
        <v>43733</v>
      </c>
      <c r="B226" s="5">
        <v>-1280</v>
      </c>
    </row>
    <row r="227" spans="1:2" x14ac:dyDescent="0.3">
      <c r="A227" s="16">
        <v>43734</v>
      </c>
      <c r="B227" s="5">
        <v>580</v>
      </c>
    </row>
    <row r="228" spans="1:2" x14ac:dyDescent="0.3">
      <c r="A228" s="16">
        <v>43746</v>
      </c>
      <c r="B228" s="5">
        <v>-610</v>
      </c>
    </row>
    <row r="229" spans="1:2" x14ac:dyDescent="0.3">
      <c r="A229" s="16">
        <v>43748</v>
      </c>
      <c r="B229" s="5">
        <v>420</v>
      </c>
    </row>
    <row r="230" spans="1:2" x14ac:dyDescent="0.3">
      <c r="A230" s="16">
        <v>43749</v>
      </c>
      <c r="B230" s="5">
        <v>170</v>
      </c>
    </row>
    <row r="231" spans="1:2" x14ac:dyDescent="0.3">
      <c r="A231" s="16">
        <v>43752</v>
      </c>
      <c r="B231" s="5">
        <v>630</v>
      </c>
    </row>
    <row r="232" spans="1:2" x14ac:dyDescent="0.3">
      <c r="A232" s="16">
        <v>43753</v>
      </c>
      <c r="B232" s="5">
        <v>110</v>
      </c>
    </row>
    <row r="233" spans="1:2" x14ac:dyDescent="0.3">
      <c r="A233" s="16">
        <v>43754</v>
      </c>
      <c r="B233" s="5">
        <v>310</v>
      </c>
    </row>
    <row r="234" spans="1:2" x14ac:dyDescent="0.3">
      <c r="A234" s="16">
        <v>43756</v>
      </c>
      <c r="B234" s="5">
        <v>60</v>
      </c>
    </row>
    <row r="235" spans="1:2" x14ac:dyDescent="0.3">
      <c r="A235" s="16">
        <v>43762</v>
      </c>
      <c r="B235" s="5">
        <v>-1520</v>
      </c>
    </row>
    <row r="236" spans="1:2" x14ac:dyDescent="0.3">
      <c r="A236" s="16">
        <v>43770</v>
      </c>
      <c r="B236" s="5">
        <v>50</v>
      </c>
    </row>
    <row r="237" spans="1:2" x14ac:dyDescent="0.3">
      <c r="A237" s="16">
        <v>43775</v>
      </c>
      <c r="B237" s="5">
        <v>-130</v>
      </c>
    </row>
    <row r="238" spans="1:2" x14ac:dyDescent="0.3">
      <c r="A238" s="16">
        <v>43776</v>
      </c>
      <c r="B238" s="5">
        <v>690</v>
      </c>
    </row>
    <row r="239" spans="1:2" x14ac:dyDescent="0.3">
      <c r="A239" s="16">
        <v>43777</v>
      </c>
      <c r="B239" s="5">
        <v>920</v>
      </c>
    </row>
    <row r="240" spans="1:2" x14ac:dyDescent="0.3">
      <c r="A240" s="16">
        <v>43784</v>
      </c>
      <c r="B240" s="5">
        <v>-1550</v>
      </c>
    </row>
    <row r="241" spans="1:2" x14ac:dyDescent="0.3">
      <c r="A241" s="16">
        <v>43791</v>
      </c>
      <c r="B241" s="5">
        <v>610</v>
      </c>
    </row>
    <row r="242" spans="1:2" x14ac:dyDescent="0.3">
      <c r="A242" s="16">
        <v>43796</v>
      </c>
      <c r="B242" s="5">
        <v>370</v>
      </c>
    </row>
    <row r="243" spans="1:2" x14ac:dyDescent="0.3">
      <c r="A243" s="16">
        <v>43803</v>
      </c>
      <c r="B243" s="5">
        <v>-160</v>
      </c>
    </row>
    <row r="244" spans="1:2" x14ac:dyDescent="0.3">
      <c r="A244" s="16">
        <v>43805</v>
      </c>
      <c r="B244" s="5">
        <v>-110</v>
      </c>
    </row>
    <row r="245" spans="1:2" x14ac:dyDescent="0.3">
      <c r="A245" s="16">
        <v>43808</v>
      </c>
      <c r="B245" s="5">
        <v>-450</v>
      </c>
    </row>
    <row r="246" spans="1:2" x14ac:dyDescent="0.3">
      <c r="A246" s="16">
        <v>43811</v>
      </c>
      <c r="B246" s="5">
        <v>510</v>
      </c>
    </row>
    <row r="247" spans="1:2" x14ac:dyDescent="0.3">
      <c r="A247" s="16">
        <v>43816</v>
      </c>
      <c r="B247" s="5">
        <v>-70</v>
      </c>
    </row>
    <row r="248" spans="1:2" x14ac:dyDescent="0.3">
      <c r="A248" s="16">
        <v>43817</v>
      </c>
      <c r="B248" s="5">
        <v>-760</v>
      </c>
    </row>
    <row r="249" spans="1:2" x14ac:dyDescent="0.3">
      <c r="A249" s="16">
        <v>43818</v>
      </c>
      <c r="B249" s="5">
        <v>330</v>
      </c>
    </row>
    <row r="250" spans="1:2" x14ac:dyDescent="0.3">
      <c r="A250" s="16">
        <v>43819</v>
      </c>
      <c r="B250" s="5">
        <v>540</v>
      </c>
    </row>
    <row r="251" spans="1:2" x14ac:dyDescent="0.3">
      <c r="A251" s="16">
        <v>43823</v>
      </c>
      <c r="B251" s="5">
        <v>-80</v>
      </c>
    </row>
    <row r="252" spans="1:2" x14ac:dyDescent="0.3">
      <c r="A252" s="16">
        <v>43829</v>
      </c>
      <c r="B252" s="5">
        <v>-540</v>
      </c>
    </row>
    <row r="253" spans="1:2" x14ac:dyDescent="0.3">
      <c r="A253" s="16">
        <v>43833</v>
      </c>
      <c r="B253" s="5">
        <v>130</v>
      </c>
    </row>
    <row r="254" spans="1:2" x14ac:dyDescent="0.3">
      <c r="A254" s="16">
        <v>43836</v>
      </c>
      <c r="B254" s="5">
        <v>120</v>
      </c>
    </row>
    <row r="255" spans="1:2" x14ac:dyDescent="0.3">
      <c r="A255" s="16">
        <v>43840</v>
      </c>
      <c r="B255" s="5">
        <v>-130</v>
      </c>
    </row>
    <row r="256" spans="1:2" x14ac:dyDescent="0.3">
      <c r="A256" s="16">
        <v>43846</v>
      </c>
      <c r="B256" s="5">
        <v>160</v>
      </c>
    </row>
    <row r="257" spans="1:2" x14ac:dyDescent="0.3">
      <c r="A257" s="16">
        <v>43852</v>
      </c>
      <c r="B257" s="5">
        <v>-150</v>
      </c>
    </row>
    <row r="258" spans="1:2" x14ac:dyDescent="0.3">
      <c r="A258" s="16">
        <v>43853</v>
      </c>
      <c r="B258" s="5">
        <v>290</v>
      </c>
    </row>
    <row r="259" spans="1:2" x14ac:dyDescent="0.3">
      <c r="A259" s="16">
        <v>43854</v>
      </c>
      <c r="B259" s="5">
        <v>220</v>
      </c>
    </row>
    <row r="260" spans="1:2" x14ac:dyDescent="0.3">
      <c r="A260" s="16">
        <v>43858</v>
      </c>
      <c r="B260" s="5">
        <v>-560</v>
      </c>
    </row>
    <row r="261" spans="1:2" x14ac:dyDescent="0.3">
      <c r="A261" s="16">
        <v>43860</v>
      </c>
      <c r="B261" s="5">
        <v>-200</v>
      </c>
    </row>
    <row r="262" spans="1:2" x14ac:dyDescent="0.3">
      <c r="A262" s="16">
        <v>43861</v>
      </c>
      <c r="B262" s="5">
        <v>160</v>
      </c>
    </row>
    <row r="263" spans="1:2" x14ac:dyDescent="0.3">
      <c r="A263" s="16">
        <v>43864</v>
      </c>
      <c r="B263" s="5">
        <v>720</v>
      </c>
    </row>
    <row r="264" spans="1:2" x14ac:dyDescent="0.3">
      <c r="A264" s="16">
        <v>43865</v>
      </c>
      <c r="B264" s="5">
        <v>-610</v>
      </c>
    </row>
    <row r="265" spans="1:2" x14ac:dyDescent="0.3">
      <c r="A265" s="16">
        <v>43866</v>
      </c>
      <c r="B265" s="5">
        <v>320</v>
      </c>
    </row>
    <row r="266" spans="1:2" x14ac:dyDescent="0.3">
      <c r="A266" s="16">
        <v>43868</v>
      </c>
      <c r="B266" s="5">
        <v>-520</v>
      </c>
    </row>
    <row r="267" spans="1:2" x14ac:dyDescent="0.3">
      <c r="A267" s="16">
        <v>43871</v>
      </c>
      <c r="B267" s="5">
        <v>-290</v>
      </c>
    </row>
    <row r="268" spans="1:2" x14ac:dyDescent="0.3">
      <c r="A268" s="16">
        <v>43874</v>
      </c>
      <c r="B268" s="5">
        <v>400</v>
      </c>
    </row>
    <row r="269" spans="1:2" x14ac:dyDescent="0.3">
      <c r="A269" s="16">
        <v>43875</v>
      </c>
      <c r="B269" s="5">
        <v>650</v>
      </c>
    </row>
    <row r="270" spans="1:2" x14ac:dyDescent="0.3">
      <c r="A270" s="16">
        <v>43878</v>
      </c>
      <c r="B270" s="5">
        <v>750</v>
      </c>
    </row>
    <row r="271" spans="1:2" x14ac:dyDescent="0.3">
      <c r="A271" s="16">
        <v>43879</v>
      </c>
      <c r="B271" s="5">
        <v>380</v>
      </c>
    </row>
    <row r="272" spans="1:2" x14ac:dyDescent="0.3">
      <c r="A272" s="16">
        <v>43881</v>
      </c>
      <c r="B272" s="5">
        <v>-2250</v>
      </c>
    </row>
    <row r="273" spans="1:2" x14ac:dyDescent="0.3">
      <c r="A273" s="16">
        <v>43882</v>
      </c>
      <c r="B273" s="5">
        <v>140</v>
      </c>
    </row>
    <row r="274" spans="1:2" x14ac:dyDescent="0.3">
      <c r="A274" s="16">
        <v>43886</v>
      </c>
      <c r="B274" s="5">
        <v>-10</v>
      </c>
    </row>
    <row r="275" spans="1:2" x14ac:dyDescent="0.3">
      <c r="A275" s="16">
        <v>43887</v>
      </c>
      <c r="B275" s="5">
        <v>690</v>
      </c>
    </row>
    <row r="276" spans="1:2" x14ac:dyDescent="0.3">
      <c r="A276" s="16">
        <v>43889</v>
      </c>
      <c r="B276" s="5">
        <v>-560</v>
      </c>
    </row>
    <row r="277" spans="1:2" x14ac:dyDescent="0.3">
      <c r="A277" s="16">
        <v>43896</v>
      </c>
      <c r="B277" s="5">
        <v>710</v>
      </c>
    </row>
    <row r="278" spans="1:2" x14ac:dyDescent="0.3">
      <c r="A278" s="16">
        <v>43901</v>
      </c>
      <c r="B278" s="5">
        <v>500</v>
      </c>
    </row>
    <row r="279" spans="1:2" x14ac:dyDescent="0.3">
      <c r="A279" s="16">
        <v>43903</v>
      </c>
      <c r="B279" s="5">
        <v>-1140</v>
      </c>
    </row>
    <row r="280" spans="1:2" x14ac:dyDescent="0.3">
      <c r="A280" s="16">
        <v>43908</v>
      </c>
      <c r="B280" s="5">
        <v>120</v>
      </c>
    </row>
    <row r="281" spans="1:2" x14ac:dyDescent="0.3">
      <c r="A281" s="16">
        <v>43910</v>
      </c>
      <c r="B281" s="5">
        <v>-360</v>
      </c>
    </row>
    <row r="282" spans="1:2" x14ac:dyDescent="0.3">
      <c r="A282" s="16">
        <v>43914</v>
      </c>
      <c r="B282" s="5">
        <v>280</v>
      </c>
    </row>
    <row r="283" spans="1:2" x14ac:dyDescent="0.3">
      <c r="A283" s="16">
        <v>43915</v>
      </c>
      <c r="B283" s="5">
        <v>690</v>
      </c>
    </row>
    <row r="284" spans="1:2" x14ac:dyDescent="0.3">
      <c r="A284" s="16">
        <v>43916</v>
      </c>
      <c r="B284" s="5">
        <v>-220</v>
      </c>
    </row>
    <row r="285" spans="1:2" x14ac:dyDescent="0.3">
      <c r="A285" s="16">
        <v>43924</v>
      </c>
      <c r="B285" s="5">
        <v>-640</v>
      </c>
    </row>
    <row r="286" spans="1:2" x14ac:dyDescent="0.3">
      <c r="A286" s="16">
        <v>43927</v>
      </c>
      <c r="B286" s="5">
        <v>520</v>
      </c>
    </row>
    <row r="287" spans="1:2" x14ac:dyDescent="0.3">
      <c r="A287" s="16">
        <v>43928</v>
      </c>
      <c r="B287" s="5">
        <v>300</v>
      </c>
    </row>
    <row r="288" spans="1:2" x14ac:dyDescent="0.3">
      <c r="A288" s="16">
        <v>43929</v>
      </c>
      <c r="B288" s="5">
        <v>170</v>
      </c>
    </row>
    <row r="289" spans="1:2" x14ac:dyDescent="0.3">
      <c r="A289" s="16">
        <v>43931</v>
      </c>
      <c r="B289" s="5">
        <v>0</v>
      </c>
    </row>
    <row r="290" spans="1:2" x14ac:dyDescent="0.3">
      <c r="A290" s="16">
        <v>43934</v>
      </c>
      <c r="B290" s="5">
        <v>150</v>
      </c>
    </row>
    <row r="291" spans="1:2" x14ac:dyDescent="0.3">
      <c r="A291" s="16">
        <v>43936</v>
      </c>
      <c r="B291" s="5">
        <v>-970</v>
      </c>
    </row>
    <row r="292" spans="1:2" x14ac:dyDescent="0.3">
      <c r="A292" s="16">
        <v>43938</v>
      </c>
      <c r="B292" s="5">
        <v>-130</v>
      </c>
    </row>
    <row r="293" spans="1:2" x14ac:dyDescent="0.3">
      <c r="A293" s="16">
        <v>43942</v>
      </c>
      <c r="B293" s="5">
        <v>390</v>
      </c>
    </row>
    <row r="294" spans="1:2" x14ac:dyDescent="0.3">
      <c r="A294" s="16">
        <v>43943</v>
      </c>
      <c r="B294" s="5">
        <v>40</v>
      </c>
    </row>
    <row r="295" spans="1:2" x14ac:dyDescent="0.3">
      <c r="A295" s="16">
        <v>43944</v>
      </c>
      <c r="B295" s="5">
        <v>390</v>
      </c>
    </row>
    <row r="296" spans="1:2" x14ac:dyDescent="0.3">
      <c r="A296" s="16">
        <v>43945</v>
      </c>
      <c r="B296" s="5">
        <v>110</v>
      </c>
    </row>
    <row r="297" spans="1:2" x14ac:dyDescent="0.3">
      <c r="A297" s="16">
        <v>43948</v>
      </c>
      <c r="B297" s="5">
        <v>-220</v>
      </c>
    </row>
    <row r="298" spans="1:2" x14ac:dyDescent="0.3">
      <c r="A298" s="16">
        <v>43949</v>
      </c>
      <c r="B298" s="5">
        <v>-400</v>
      </c>
    </row>
    <row r="299" spans="1:2" x14ac:dyDescent="0.3">
      <c r="A299" s="16">
        <v>43950</v>
      </c>
      <c r="B299" s="5">
        <v>300</v>
      </c>
    </row>
    <row r="300" spans="1:2" x14ac:dyDescent="0.3">
      <c r="A300" s="16">
        <v>43951</v>
      </c>
      <c r="B300" s="5">
        <v>-650</v>
      </c>
    </row>
    <row r="301" spans="1:2" x14ac:dyDescent="0.3">
      <c r="A301" s="16">
        <v>43955</v>
      </c>
      <c r="B301" s="5">
        <v>510</v>
      </c>
    </row>
    <row r="302" spans="1:2" x14ac:dyDescent="0.3">
      <c r="A302" s="16">
        <v>43959</v>
      </c>
      <c r="B302" s="5">
        <v>-660</v>
      </c>
    </row>
    <row r="303" spans="1:2" x14ac:dyDescent="0.3">
      <c r="A303" s="16">
        <v>43966</v>
      </c>
      <c r="B303" s="5">
        <v>510</v>
      </c>
    </row>
    <row r="304" spans="1:2" x14ac:dyDescent="0.3">
      <c r="A304" s="16">
        <v>43969</v>
      </c>
      <c r="B304" s="5">
        <v>-390</v>
      </c>
    </row>
    <row r="305" spans="1:2" x14ac:dyDescent="0.3">
      <c r="A305" s="16">
        <v>43972</v>
      </c>
      <c r="B305" s="5">
        <v>1120</v>
      </c>
    </row>
    <row r="306" spans="1:2" x14ac:dyDescent="0.3">
      <c r="A306" s="16">
        <v>43973</v>
      </c>
      <c r="B306" s="5">
        <v>-790</v>
      </c>
    </row>
    <row r="307" spans="1:2" x14ac:dyDescent="0.3">
      <c r="A307" s="16">
        <v>43977</v>
      </c>
      <c r="B307" s="5">
        <v>110</v>
      </c>
    </row>
    <row r="308" spans="1:2" x14ac:dyDescent="0.3">
      <c r="A308" s="16">
        <v>43983</v>
      </c>
      <c r="B308" s="5">
        <v>-280</v>
      </c>
    </row>
    <row r="309" spans="1:2" x14ac:dyDescent="0.3">
      <c r="A309" s="16">
        <v>43985</v>
      </c>
      <c r="B309" s="5">
        <v>-70</v>
      </c>
    </row>
    <row r="310" spans="1:2" x14ac:dyDescent="0.3">
      <c r="A310" s="16">
        <v>43987</v>
      </c>
      <c r="B310" s="5">
        <v>-170</v>
      </c>
    </row>
    <row r="311" spans="1:2" x14ac:dyDescent="0.3">
      <c r="A311" s="16">
        <v>43993</v>
      </c>
      <c r="B311" s="5">
        <v>190</v>
      </c>
    </row>
    <row r="312" spans="1:2" x14ac:dyDescent="0.3">
      <c r="A312" s="16">
        <v>43997</v>
      </c>
      <c r="B312" s="5">
        <v>-240</v>
      </c>
    </row>
    <row r="313" spans="1:2" x14ac:dyDescent="0.3">
      <c r="A313" s="16">
        <v>44000</v>
      </c>
      <c r="B313" s="5">
        <v>410</v>
      </c>
    </row>
    <row r="314" spans="1:2" x14ac:dyDescent="0.3">
      <c r="A314" s="16">
        <v>44001</v>
      </c>
      <c r="B314" s="5">
        <v>630</v>
      </c>
    </row>
    <row r="315" spans="1:2" x14ac:dyDescent="0.3">
      <c r="A315" s="16">
        <v>44004</v>
      </c>
      <c r="B315" s="5">
        <v>-550</v>
      </c>
    </row>
    <row r="316" spans="1:2" x14ac:dyDescent="0.3">
      <c r="A316" s="16">
        <v>44005</v>
      </c>
      <c r="B316" s="5">
        <v>-300</v>
      </c>
    </row>
    <row r="317" spans="1:2" x14ac:dyDescent="0.3">
      <c r="A317" s="16">
        <v>44007</v>
      </c>
      <c r="B317" s="5">
        <v>290</v>
      </c>
    </row>
    <row r="318" spans="1:2" x14ac:dyDescent="0.3">
      <c r="A318" s="16">
        <v>44008</v>
      </c>
      <c r="B318" s="5">
        <v>450</v>
      </c>
    </row>
    <row r="319" spans="1:2" x14ac:dyDescent="0.3">
      <c r="A319" s="16">
        <v>44011</v>
      </c>
      <c r="B319" s="5">
        <v>-410</v>
      </c>
    </row>
    <row r="320" spans="1:2" x14ac:dyDescent="0.3">
      <c r="A320" s="16">
        <v>44012</v>
      </c>
      <c r="B320" s="5">
        <v>350</v>
      </c>
    </row>
    <row r="321" spans="1:2" x14ac:dyDescent="0.3">
      <c r="A321" s="16">
        <v>44015</v>
      </c>
      <c r="B321" s="5">
        <v>570</v>
      </c>
    </row>
    <row r="322" spans="1:2" x14ac:dyDescent="0.3">
      <c r="A322" s="16">
        <v>44018</v>
      </c>
      <c r="B322" s="5">
        <v>340</v>
      </c>
    </row>
    <row r="323" spans="1:2" x14ac:dyDescent="0.3">
      <c r="A323" s="16">
        <v>44019</v>
      </c>
      <c r="B323" s="5">
        <v>-570</v>
      </c>
    </row>
    <row r="324" spans="1:2" x14ac:dyDescent="0.3">
      <c r="A324" s="16">
        <v>44022</v>
      </c>
      <c r="B324" s="5">
        <v>-500</v>
      </c>
    </row>
    <row r="325" spans="1:2" x14ac:dyDescent="0.3">
      <c r="A325" s="16">
        <v>44025</v>
      </c>
      <c r="B325" s="5">
        <v>-540</v>
      </c>
    </row>
    <row r="326" spans="1:2" x14ac:dyDescent="0.3">
      <c r="A326" s="16">
        <v>44027</v>
      </c>
      <c r="B326" s="5">
        <v>410</v>
      </c>
    </row>
    <row r="327" spans="1:2" x14ac:dyDescent="0.3">
      <c r="A327" s="16">
        <v>44032</v>
      </c>
      <c r="B327" s="5">
        <v>200</v>
      </c>
    </row>
    <row r="328" spans="1:2" x14ac:dyDescent="0.3">
      <c r="A328" s="16">
        <v>44043</v>
      </c>
      <c r="B328" s="5">
        <v>-180</v>
      </c>
    </row>
    <row r="329" spans="1:2" x14ac:dyDescent="0.3">
      <c r="A329" s="16">
        <v>44053</v>
      </c>
      <c r="B329" s="5">
        <v>100</v>
      </c>
    </row>
    <row r="330" spans="1:2" x14ac:dyDescent="0.3">
      <c r="A330" s="16">
        <v>44054</v>
      </c>
      <c r="B330" s="5">
        <v>-390</v>
      </c>
    </row>
    <row r="331" spans="1:2" x14ac:dyDescent="0.3">
      <c r="A331" s="16">
        <v>44056</v>
      </c>
      <c r="B331" s="5">
        <v>-350</v>
      </c>
    </row>
    <row r="332" spans="1:2" x14ac:dyDescent="0.3">
      <c r="A332" s="16">
        <v>44057</v>
      </c>
      <c r="B332" s="5">
        <v>170</v>
      </c>
    </row>
    <row r="333" spans="1:2" x14ac:dyDescent="0.3">
      <c r="A333" s="16">
        <v>44060</v>
      </c>
      <c r="B333" s="5">
        <v>260</v>
      </c>
    </row>
    <row r="334" spans="1:2" x14ac:dyDescent="0.3">
      <c r="A334" s="16">
        <v>44064</v>
      </c>
      <c r="B334" s="5">
        <v>170</v>
      </c>
    </row>
    <row r="335" spans="1:2" x14ac:dyDescent="0.3">
      <c r="A335" s="16">
        <v>44069</v>
      </c>
      <c r="B335" s="5">
        <v>-500</v>
      </c>
    </row>
    <row r="336" spans="1:2" x14ac:dyDescent="0.3">
      <c r="A336" s="16">
        <v>44071</v>
      </c>
      <c r="B336" s="5">
        <v>230</v>
      </c>
    </row>
    <row r="337" spans="1:2" x14ac:dyDescent="0.3">
      <c r="A337" s="16">
        <v>44074</v>
      </c>
      <c r="B337" s="5">
        <v>380</v>
      </c>
    </row>
    <row r="338" spans="1:2" x14ac:dyDescent="0.3">
      <c r="A338" s="16">
        <v>44075</v>
      </c>
      <c r="B338" s="5">
        <v>-60</v>
      </c>
    </row>
    <row r="339" spans="1:2" x14ac:dyDescent="0.3">
      <c r="A339" s="16">
        <v>44076</v>
      </c>
      <c r="B339" s="5">
        <v>850</v>
      </c>
    </row>
    <row r="340" spans="1:2" x14ac:dyDescent="0.3">
      <c r="A340" s="16">
        <v>44077</v>
      </c>
      <c r="B340" s="5">
        <v>-1400</v>
      </c>
    </row>
    <row r="341" spans="1:2" x14ac:dyDescent="0.3">
      <c r="A341" s="16">
        <v>44078</v>
      </c>
      <c r="B341" s="5">
        <v>640</v>
      </c>
    </row>
    <row r="342" spans="1:2" x14ac:dyDescent="0.3">
      <c r="A342" s="16">
        <v>44088</v>
      </c>
      <c r="B342" s="5">
        <v>380</v>
      </c>
    </row>
    <row r="343" spans="1:2" x14ac:dyDescent="0.3">
      <c r="A343" s="16">
        <v>44092</v>
      </c>
      <c r="B343" s="5">
        <v>-290</v>
      </c>
    </row>
    <row r="344" spans="1:2" x14ac:dyDescent="0.3">
      <c r="A344" s="16">
        <v>44097</v>
      </c>
      <c r="B344" s="5">
        <v>440</v>
      </c>
    </row>
    <row r="345" spans="1:2" x14ac:dyDescent="0.3">
      <c r="A345" s="16">
        <v>44099</v>
      </c>
      <c r="B345" s="5">
        <v>-1100</v>
      </c>
    </row>
    <row r="346" spans="1:2" x14ac:dyDescent="0.3">
      <c r="A346" s="16">
        <v>44106</v>
      </c>
      <c r="B346" s="5">
        <v>-30</v>
      </c>
    </row>
    <row r="347" spans="1:2" x14ac:dyDescent="0.3">
      <c r="A347" s="16">
        <v>44113</v>
      </c>
      <c r="B347" s="5">
        <v>0</v>
      </c>
    </row>
    <row r="348" spans="1:2" x14ac:dyDescent="0.3">
      <c r="A348" s="16">
        <v>44118</v>
      </c>
      <c r="B348" s="5">
        <v>340</v>
      </c>
    </row>
    <row r="349" spans="1:2" x14ac:dyDescent="0.3">
      <c r="A349" s="16">
        <v>44120</v>
      </c>
      <c r="B349" s="5">
        <v>-370</v>
      </c>
    </row>
    <row r="350" spans="1:2" x14ac:dyDescent="0.3">
      <c r="A350" s="16">
        <v>44124</v>
      </c>
      <c r="B350" s="5">
        <v>-120</v>
      </c>
    </row>
    <row r="351" spans="1:2" x14ac:dyDescent="0.3">
      <c r="A351" s="16">
        <v>44173</v>
      </c>
      <c r="B351" s="5">
        <v>0</v>
      </c>
    </row>
    <row r="352" spans="1:2" x14ac:dyDescent="0.3">
      <c r="A352" s="16" t="s">
        <v>30</v>
      </c>
      <c r="B352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3101-B310-4AA3-AE27-8567E3698D87}">
  <dimension ref="A1:L352"/>
  <sheetViews>
    <sheetView topLeftCell="C1" zoomScale="110" zoomScaleNormal="110" zoomScaleSheetLayoutView="50" workbookViewId="0">
      <selection activeCell="H11" sqref="H11"/>
    </sheetView>
  </sheetViews>
  <sheetFormatPr defaultRowHeight="15.6" x14ac:dyDescent="0.3"/>
  <cols>
    <col min="1" max="1" width="16.69921875" style="6" bestFit="1" customWidth="1"/>
    <col min="2" max="2" width="31.5" customWidth="1"/>
    <col min="3" max="3" width="13.69921875" customWidth="1"/>
    <col min="4" max="4" width="13.3984375" customWidth="1"/>
    <col min="5" max="5" width="6.3984375" customWidth="1"/>
    <col min="6" max="6" width="17.69921875" customWidth="1"/>
    <col min="7" max="7" width="19" customWidth="1"/>
    <col min="8" max="8" width="17.5" style="30" customWidth="1"/>
    <col min="9" max="9" width="24.5" customWidth="1"/>
    <col min="10" max="10" width="30" customWidth="1"/>
  </cols>
  <sheetData>
    <row r="1" spans="1:12" x14ac:dyDescent="0.3">
      <c r="A1" s="20" t="s">
        <v>29</v>
      </c>
      <c r="B1" s="21" t="s">
        <v>31</v>
      </c>
      <c r="C1" s="21" t="s">
        <v>32</v>
      </c>
      <c r="D1" s="21" t="s">
        <v>33</v>
      </c>
      <c r="E1" s="21" t="s">
        <v>34</v>
      </c>
      <c r="F1" s="22" t="s">
        <v>35</v>
      </c>
      <c r="G1" s="32" t="s">
        <v>36</v>
      </c>
      <c r="H1" s="33" t="s">
        <v>37</v>
      </c>
      <c r="I1" t="s">
        <v>38</v>
      </c>
      <c r="J1" s="27" t="s">
        <v>39</v>
      </c>
      <c r="L1" s="44" t="s">
        <v>21</v>
      </c>
    </row>
    <row r="2" spans="1:12" x14ac:dyDescent="0.3">
      <c r="A2" s="23">
        <v>43021</v>
      </c>
      <c r="B2" s="24">
        <v>380</v>
      </c>
      <c r="C2" s="25">
        <f>VLOOKUP(Таблица1[[#This Row],[Названия строк]],Котировки[[&lt;DATE&gt;]:[&lt;VOL&gt;]],6,0)</f>
        <v>100.45</v>
      </c>
      <c r="D2" s="26">
        <f>INDEX(Купоны[Дата],MATCH($A2,Купоны[Дата],1))</f>
        <v>43021</v>
      </c>
      <c r="E2" s="24">
        <f>Купоны!$C$4*(A2-D2)/365*100</f>
        <v>0</v>
      </c>
      <c r="F2" s="27">
        <f>-B2*(C2+E2)*Купоны!$G$10/100</f>
        <v>-381710</v>
      </c>
      <c r="G2" s="34">
        <f>SUM($B$2:B2)</f>
        <v>380</v>
      </c>
      <c r="H2" s="31">
        <f>_xlfn.IFNA(VLOOKUP($A2,Купоны[[Дата]:[% от номинала]],3,0),0)*Купоны!$G$10/100*G2</f>
        <v>0</v>
      </c>
      <c r="I2" s="30">
        <f>Таблица1[[#This Row],[Денежный поток]]+Таблица1[[#This Row],[Купонный доход]]</f>
        <v>-381710</v>
      </c>
      <c r="J2" s="31">
        <f>Таблица1[[#This Row],[Общий денежный поток]]/((1+$L$2)^((Таблица1[[#This Row],[Названия строк]]-$A$2)/365))</f>
        <v>-381710</v>
      </c>
      <c r="L2" s="43">
        <v>0.05</v>
      </c>
    </row>
    <row r="3" spans="1:12" x14ac:dyDescent="0.3">
      <c r="A3" s="23">
        <v>43026</v>
      </c>
      <c r="B3" s="24">
        <v>380</v>
      </c>
      <c r="C3" s="24">
        <f>VLOOKUP(Таблица1[[#This Row],[Названия строк]],Котировки[[&lt;DATE&gt;]:[&lt;VOL&gt;]],6,0)</f>
        <v>100.85</v>
      </c>
      <c r="D3" s="26">
        <f>INDEX(Купоны[Дата],MATCH($A3,Купоны[Дата],1))</f>
        <v>43021</v>
      </c>
      <c r="E3" s="24">
        <f>Купоны!$C$4*(A3-D3)/365*100</f>
        <v>0.10958904109589042</v>
      </c>
      <c r="F3" s="27">
        <f>-B3*(C3+E3)*Купоны!$G$10/100</f>
        <v>-383646.43835616438</v>
      </c>
      <c r="G3" s="34">
        <f>SUM($B$2:B3)</f>
        <v>760</v>
      </c>
      <c r="H3" s="31">
        <f>_xlfn.IFNA(VLOOKUP($A3,Купоны[[Дата]:[% от номинала]],3,0),0)*Купоны!$G$10/100*G3</f>
        <v>0</v>
      </c>
      <c r="I3" s="30">
        <f>Таблица1[[#This Row],[Денежный поток]]+Таблица1[[#This Row],[Купонный доход]]</f>
        <v>-383646.43835616438</v>
      </c>
      <c r="J3" s="31">
        <f>Таблица1[[#This Row],[Общий денежный поток]]/((1+$L$2)^((Таблица1[[#This Row],[Названия строк]]-$A$2)/365))</f>
        <v>-383390.11070027866</v>
      </c>
    </row>
    <row r="4" spans="1:12" x14ac:dyDescent="0.3">
      <c r="A4" s="23">
        <v>43027</v>
      </c>
      <c r="B4" s="24">
        <v>570</v>
      </c>
      <c r="C4" s="24">
        <f>VLOOKUP(Таблица1[[#This Row],[Названия строк]],Котировки[[&lt;DATE&gt;]:[&lt;VOL&gt;]],6,0)</f>
        <v>101.05</v>
      </c>
      <c r="D4" s="26">
        <f>INDEX(Купоны[Дата],MATCH($A4,Купоны[Дата],1))</f>
        <v>43021</v>
      </c>
      <c r="E4" s="24">
        <f>Купоны!$C$4*(A4-D4)/365*100</f>
        <v>0.13150684931506851</v>
      </c>
      <c r="F4" s="27">
        <f>-B4*(C4+E4)*Купоны!$G$10/100</f>
        <v>-576734.58904109593</v>
      </c>
      <c r="G4" s="34">
        <f>SUM($B$2:B4)</f>
        <v>1330</v>
      </c>
      <c r="H4" s="31">
        <f>_xlfn.IFNA(VLOOKUP($A4,Купоны[[Дата]:[% от номинала]],3,0),0)*Купоны!$G$10/100*G4</f>
        <v>0</v>
      </c>
      <c r="I4" s="30">
        <f>Таблица1[[#This Row],[Денежный поток]]+Таблица1[[#This Row],[Купонный доход]]</f>
        <v>-576734.58904109593</v>
      </c>
      <c r="J4" s="31">
        <f>Таблица1[[#This Row],[Общий денежный поток]]/((1+$L$2)^((Таблица1[[#This Row],[Названия строк]]-$A$2)/365))</f>
        <v>-576272.21598665556</v>
      </c>
    </row>
    <row r="5" spans="1:12" x14ac:dyDescent="0.3">
      <c r="A5" s="23">
        <v>43028</v>
      </c>
      <c r="B5" s="24">
        <v>-1030</v>
      </c>
      <c r="C5" s="24">
        <f>VLOOKUP(Таблица1[[#This Row],[Названия строк]],Котировки[[&lt;DATE&gt;]:[&lt;VOL&gt;]],6,0)</f>
        <v>101.15</v>
      </c>
      <c r="D5" s="26">
        <f>INDEX(Купоны[Дата],MATCH($A5,Купоны[Дата],1))</f>
        <v>43021</v>
      </c>
      <c r="E5" s="24">
        <f>Купоны!$C$4*(A5-D5)/365*100</f>
        <v>0.15342465753424658</v>
      </c>
      <c r="F5" s="27">
        <f>-B5*(C5+E5)*Купоны!$G$10/100</f>
        <v>1043425.2739726028</v>
      </c>
      <c r="G5" s="34">
        <f>SUM($B$2:B5)</f>
        <v>300</v>
      </c>
      <c r="H5" s="31">
        <f>_xlfn.IFNA(VLOOKUP($A5,Купоны[[Дата]:[% от номинала]],3,0),0)*Купоны!$G$10/100*G5</f>
        <v>0</v>
      </c>
      <c r="I5" s="30">
        <f>Таблица1[[#This Row],[Денежный поток]]+Таблица1[[#This Row],[Купонный доход]]</f>
        <v>1043425.2739726028</v>
      </c>
      <c r="J5" s="31">
        <f>Таблица1[[#This Row],[Общий денежный поток]]/((1+$L$2)^((Таблица1[[#This Row],[Названия строк]]-$A$2)/365))</f>
        <v>1042449.3957246266</v>
      </c>
    </row>
    <row r="6" spans="1:12" x14ac:dyDescent="0.3">
      <c r="A6" s="23">
        <v>43031</v>
      </c>
      <c r="B6" s="24">
        <v>230</v>
      </c>
      <c r="C6" s="24">
        <f>VLOOKUP(Таблица1[[#This Row],[Названия строк]],Котировки[[&lt;DATE&gt;]:[&lt;VOL&gt;]],6,0)</f>
        <v>101.03</v>
      </c>
      <c r="D6" s="26">
        <f>INDEX(Купоны[Дата],MATCH($A6,Купоны[Дата],1))</f>
        <v>43021</v>
      </c>
      <c r="E6" s="24">
        <f>Купоны!$C$4*(A6-D6)/365*100</f>
        <v>0.21917808219178084</v>
      </c>
      <c r="F6" s="27">
        <f>-B6*(C6+E6)*Купоны!$G$10/100</f>
        <v>-232873.10958904109</v>
      </c>
      <c r="G6" s="34">
        <f>SUM($B$2:B6)</f>
        <v>530</v>
      </c>
      <c r="H6" s="31">
        <f>_xlfn.IFNA(VLOOKUP($A6,Купоны[[Дата]:[% от номинала]],3,0),0)*Купоны!$G$10/100*G6</f>
        <v>0</v>
      </c>
      <c r="I6" s="30">
        <f>Таблица1[[#This Row],[Денежный поток]]+Таблица1[[#This Row],[Купонный доход]]</f>
        <v>-232873.10958904109</v>
      </c>
      <c r="J6" s="31">
        <f>Таблица1[[#This Row],[Общий денежный поток]]/((1+$L$2)^((Таблица1[[#This Row],[Названия строк]]-$A$2)/365))</f>
        <v>-232562.03214254839</v>
      </c>
    </row>
    <row r="7" spans="1:12" x14ac:dyDescent="0.3">
      <c r="A7" s="23">
        <v>43032</v>
      </c>
      <c r="B7" s="24">
        <v>20</v>
      </c>
      <c r="C7" s="24">
        <f>VLOOKUP(Таблица1[[#This Row],[Названия строк]],Котировки[[&lt;DATE&gt;]:[&lt;VOL&gt;]],6,0)</f>
        <v>101.09</v>
      </c>
      <c r="D7" s="26">
        <f>INDEX(Купоны[Дата],MATCH($A7,Купоны[Дата],1))</f>
        <v>43021</v>
      </c>
      <c r="E7" s="24">
        <f>Купоны!$C$4*(A7-D7)/365*100</f>
        <v>0.24109589041095891</v>
      </c>
      <c r="F7" s="27">
        <f>-B7*(C7+E7)*Купоны!$G$10/100</f>
        <v>-20266.219178082192</v>
      </c>
      <c r="G7" s="34">
        <f>SUM($B$2:B7)</f>
        <v>550</v>
      </c>
      <c r="H7" s="31">
        <f>_xlfn.IFNA(VLOOKUP($A7,Купоны[[Дата]:[% от номинала]],3,0),0)*Купоны!$G$10/100*G7</f>
        <v>0</v>
      </c>
      <c r="I7" s="30">
        <f>Таблица1[[#This Row],[Денежный поток]]+Таблица1[[#This Row],[Купонный доход]]</f>
        <v>-20266.219178082192</v>
      </c>
      <c r="J7" s="31">
        <f>Таблица1[[#This Row],[Общий денежный поток]]/((1+$L$2)^((Таблица1[[#This Row],[Названия строк]]-$A$2)/365))</f>
        <v>-20236.441859755829</v>
      </c>
    </row>
    <row r="8" spans="1:12" x14ac:dyDescent="0.3">
      <c r="A8" s="23">
        <v>43035</v>
      </c>
      <c r="B8" s="24">
        <v>-10</v>
      </c>
      <c r="C8" s="24">
        <f>VLOOKUP(Таблица1[[#This Row],[Названия строк]],Котировки[[&lt;DATE&gt;]:[&lt;VOL&gt;]],6,0)</f>
        <v>101.08</v>
      </c>
      <c r="D8" s="26">
        <f>INDEX(Купоны[Дата],MATCH($A8,Купоны[Дата],1))</f>
        <v>43021</v>
      </c>
      <c r="E8" s="24">
        <f>Купоны!$C$4*(A8-D8)/365*100</f>
        <v>0.30684931506849317</v>
      </c>
      <c r="F8" s="27">
        <f>-B8*(C8+E8)*Купоны!$G$10/100</f>
        <v>10138.684931506848</v>
      </c>
      <c r="G8" s="34">
        <f>SUM($B$2:B8)</f>
        <v>540</v>
      </c>
      <c r="H8" s="31">
        <f>_xlfn.IFNA(VLOOKUP($A8,Купоны[[Дата]:[% от номинала]],3,0),0)*Купоны!$G$10/100*G8</f>
        <v>0</v>
      </c>
      <c r="I8" s="30">
        <f>Таблица1[[#This Row],[Денежный поток]]+Таблица1[[#This Row],[Купонный доход]]</f>
        <v>10138.684931506848</v>
      </c>
      <c r="J8" s="31">
        <f>Таблица1[[#This Row],[Общий денежный поток]]/((1+$L$2)^((Таблица1[[#This Row],[Названия строк]]-$A$2)/365))</f>
        <v>10119.729102995496</v>
      </c>
    </row>
    <row r="9" spans="1:12" x14ac:dyDescent="0.3">
      <c r="A9" s="23">
        <v>43041</v>
      </c>
      <c r="B9" s="24">
        <v>700</v>
      </c>
      <c r="C9" s="24">
        <f>VLOOKUP(Таблица1[[#This Row],[Названия строк]],Котировки[[&lt;DATE&gt;]:[&lt;VOL&gt;]],6,0)</f>
        <v>101.1</v>
      </c>
      <c r="D9" s="26">
        <f>INDEX(Купоны[Дата],MATCH($A9,Купоны[Дата],1))</f>
        <v>43021</v>
      </c>
      <c r="E9" s="24">
        <f>Купоны!$C$4*(A9-D9)/365*100</f>
        <v>0.43835616438356168</v>
      </c>
      <c r="F9" s="27">
        <f>-B9*(C9+E9)*Купоны!$G$10/100</f>
        <v>-710768.49315068498</v>
      </c>
      <c r="G9" s="34">
        <f>SUM($B$2:B9)</f>
        <v>1240</v>
      </c>
      <c r="H9" s="31">
        <f>_xlfn.IFNA(VLOOKUP($A9,Купоны[[Дата]:[% от номинала]],3,0),0)*Купоны!$G$10/100*G9</f>
        <v>0</v>
      </c>
      <c r="I9" s="30">
        <f>Таблица1[[#This Row],[Денежный поток]]+Таблица1[[#This Row],[Купонный доход]]</f>
        <v>-710768.49315068498</v>
      </c>
      <c r="J9" s="31">
        <f>Таблица1[[#This Row],[Общий денежный поток]]/((1+$L$2)^((Таблица1[[#This Row],[Названия строк]]-$A$2)/365))</f>
        <v>-708870.83849867363</v>
      </c>
    </row>
    <row r="10" spans="1:12" x14ac:dyDescent="0.3">
      <c r="A10" s="23">
        <v>43042</v>
      </c>
      <c r="B10" s="24">
        <v>-800</v>
      </c>
      <c r="C10" s="24">
        <f>VLOOKUP(Таблица1[[#This Row],[Названия строк]],Котировки[[&lt;DATE&gt;]:[&lt;VOL&gt;]],6,0)</f>
        <v>101.24</v>
      </c>
      <c r="D10" s="26">
        <f>INDEX(Купоны[Дата],MATCH($A10,Купоны[Дата],1))</f>
        <v>43021</v>
      </c>
      <c r="E10" s="24">
        <f>Купоны!$C$4*(A10-D10)/365*100</f>
        <v>0.46027397260273967</v>
      </c>
      <c r="F10" s="27">
        <f>-B10*(C10+E10)*Купоны!$G$10/100</f>
        <v>813602.19178082189</v>
      </c>
      <c r="G10" s="34">
        <f>SUM($B$2:B10)</f>
        <v>440</v>
      </c>
      <c r="H10" s="31">
        <f>_xlfn.IFNA(VLOOKUP($A10,Купоны[[Дата]:[% от номинала]],3,0),0)*Купоны!$G$10/100*G10</f>
        <v>0</v>
      </c>
      <c r="I10" s="30">
        <f>Таблица1[[#This Row],[Денежный поток]]+Таблица1[[#This Row],[Купонный доход]]</f>
        <v>813602.19178082189</v>
      </c>
      <c r="J10" s="31">
        <f>Таблица1[[#This Row],[Общий денежный поток]]/((1+$L$2)^((Таблица1[[#This Row],[Названия строк]]-$A$2)/365))</f>
        <v>811321.52725745738</v>
      </c>
    </row>
    <row r="11" spans="1:12" x14ac:dyDescent="0.3">
      <c r="A11" s="23">
        <v>43046</v>
      </c>
      <c r="B11" s="24">
        <v>240</v>
      </c>
      <c r="C11" s="24">
        <f>VLOOKUP(Таблица1[[#This Row],[Названия строк]],Котировки[[&lt;DATE&gt;]:[&lt;VOL&gt;]],6,0)</f>
        <v>101.15</v>
      </c>
      <c r="D11" s="26">
        <f>INDEX(Купоны[Дата],MATCH($A11,Купоны[Дата],1))</f>
        <v>43021</v>
      </c>
      <c r="E11" s="24">
        <f>Купоны!$C$4*(A11-D11)/365*100</f>
        <v>0.54794520547945202</v>
      </c>
      <c r="F11" s="27">
        <f>-B11*(C11+E11)*Купоны!$G$10/100</f>
        <v>-244075.0684931507</v>
      </c>
      <c r="G11" s="34">
        <f>SUM($B$2:B11)</f>
        <v>680</v>
      </c>
      <c r="H11" s="31">
        <f>_xlfn.IFNA(VLOOKUP($A11,Купоны[[Дата]:[% от номинала]],3,0),0)*Купоны!$G$10/100*G11</f>
        <v>0</v>
      </c>
      <c r="I11" s="30">
        <f>Таблица1[[#This Row],[Денежный поток]]+Таблица1[[#This Row],[Купонный доход]]</f>
        <v>-244075.0684931507</v>
      </c>
      <c r="J11" s="31">
        <f>Таблица1[[#This Row],[Общий денежный поток]]/((1+$L$2)^((Таблица1[[#This Row],[Названия строк]]-$A$2)/365))</f>
        <v>-243260.78171200742</v>
      </c>
    </row>
    <row r="12" spans="1:12" x14ac:dyDescent="0.3">
      <c r="A12" s="23">
        <v>43049</v>
      </c>
      <c r="B12" s="24">
        <v>980</v>
      </c>
      <c r="C12" s="24">
        <f>VLOOKUP(Таблица1[[#This Row],[Названия строк]],Котировки[[&lt;DATE&gt;]:[&lt;VOL&gt;]],6,0)</f>
        <v>101.16</v>
      </c>
      <c r="D12" s="26">
        <f>INDEX(Купоны[Дата],MATCH($A12,Купоны[Дата],1))</f>
        <v>43021</v>
      </c>
      <c r="E12" s="24">
        <f>Купоны!$C$4*(A12-D12)/365*100</f>
        <v>0.61369863013698633</v>
      </c>
      <c r="F12" s="27">
        <f>-B12*(C12+E12)*Купоны!$G$10/100</f>
        <v>-997382.24657534237</v>
      </c>
      <c r="G12" s="34">
        <f>SUM($B$2:B12)</f>
        <v>1660</v>
      </c>
      <c r="H12" s="31">
        <f>_xlfn.IFNA(VLOOKUP($A12,Купоны[[Дата]:[% от номинала]],3,0),0)*Купоны!$G$10/100*G12</f>
        <v>0</v>
      </c>
      <c r="I12" s="45">
        <f>Таблица1[[#This Row],[Денежный поток]]+Таблица1[[#This Row],[Купонный доход]]</f>
        <v>-997382.24657534237</v>
      </c>
      <c r="J12" s="31">
        <f>Таблица1[[#This Row],[Общий денежный поток]]/((1+$L$2)^((Таблица1[[#This Row],[Названия строк]]-$A$2)/365))</f>
        <v>-993656.21446656738</v>
      </c>
    </row>
    <row r="13" spans="1:12" x14ac:dyDescent="0.3">
      <c r="A13" s="23">
        <v>43053</v>
      </c>
      <c r="B13" s="24">
        <v>-620</v>
      </c>
      <c r="C13" s="24">
        <f>VLOOKUP(Таблица1[[#This Row],[Названия строк]],Котировки[[&lt;DATE&gt;]:[&lt;VOL&gt;]],6,0)</f>
        <v>101.09</v>
      </c>
      <c r="D13" s="26">
        <f>INDEX(Купоны[Дата],MATCH($A13,Купоны[Дата],1))</f>
        <v>43021</v>
      </c>
      <c r="E13" s="24">
        <f>Купоны!$C$4*(A13-D13)/365*100</f>
        <v>0.70136986301369864</v>
      </c>
      <c r="F13" s="27">
        <f>-B13*(C13+E13)*Купоны!$G$10/100</f>
        <v>631106.49315068487</v>
      </c>
      <c r="G13" s="34">
        <f>SUM($B$2:B13)</f>
        <v>1040</v>
      </c>
      <c r="H13" s="31">
        <f>_xlfn.IFNA(VLOOKUP($A13,Купоны[[Дата]:[% от номинала]],3,0),0)*Купоны!$G$10/100*G13</f>
        <v>0</v>
      </c>
      <c r="I13" s="36">
        <f>Таблица1[[#This Row],[Денежный поток]]+Таблица1[[#This Row],[Купонный доход]]</f>
        <v>631106.49315068487</v>
      </c>
      <c r="J13" s="31">
        <f>Таблица1[[#This Row],[Общий денежный поток]]/((1+$L$2)^((Таблица1[[#This Row],[Названия строк]]-$A$2)/365))</f>
        <v>628412.70445033419</v>
      </c>
    </row>
    <row r="14" spans="1:12" x14ac:dyDescent="0.3">
      <c r="A14" s="23">
        <v>43055</v>
      </c>
      <c r="B14" s="24">
        <v>-920</v>
      </c>
      <c r="C14" s="24">
        <f>VLOOKUP(Таблица1[[#This Row],[Названия строк]],Котировки[[&lt;DATE&gt;]:[&lt;VOL&gt;]],6,0)</f>
        <v>101.09</v>
      </c>
      <c r="D14" s="26">
        <f>INDEX(Купоны[Дата],MATCH($A14,Купоны[Дата],1))</f>
        <v>43021</v>
      </c>
      <c r="E14" s="24">
        <f>Купоны!$C$4*(A14-D14)/365*100</f>
        <v>0.74520547945205484</v>
      </c>
      <c r="F14" s="27">
        <f>-B14*(C14+E14)*Купоны!$G$10/100</f>
        <v>936883.89041095902</v>
      </c>
      <c r="G14" s="34">
        <f>SUM($B$2:B14)</f>
        <v>120</v>
      </c>
      <c r="H14" s="31">
        <f>_xlfn.IFNA(VLOOKUP($A14,Купоны[[Дата]:[% от номинала]],3,0),0)*Купоны!$G$10/100*G14</f>
        <v>0</v>
      </c>
      <c r="I14" s="36">
        <f>Таблица1[[#This Row],[Денежный поток]]+Таблица1[[#This Row],[Купонный доход]]</f>
        <v>936883.89041095902</v>
      </c>
      <c r="J14" s="31">
        <f>Таблица1[[#This Row],[Общий денежный поток]]/((1+$L$2)^((Таблица1[[#This Row],[Названия строк]]-$A$2)/365))</f>
        <v>932635.56692603067</v>
      </c>
    </row>
    <row r="15" spans="1:12" x14ac:dyDescent="0.3">
      <c r="A15" s="23">
        <v>43056</v>
      </c>
      <c r="B15" s="24">
        <v>250</v>
      </c>
      <c r="C15" s="24">
        <f>VLOOKUP(Таблица1[[#This Row],[Названия строк]],Котировки[[&lt;DATE&gt;]:[&lt;VOL&gt;]],6,0)</f>
        <v>101.07</v>
      </c>
      <c r="D15" s="26">
        <f>INDEX(Купоны[Дата],MATCH($A15,Купоны[Дата],1))</f>
        <v>43021</v>
      </c>
      <c r="E15" s="24">
        <f>Купоны!$C$4*(A15-D15)/365*100</f>
        <v>0.76712328767123295</v>
      </c>
      <c r="F15" s="27">
        <f>-B15*(C15+E15)*Купоны!$G$10/100</f>
        <v>-254592.80821917808</v>
      </c>
      <c r="G15" s="34">
        <f>SUM($B$2:B15)</f>
        <v>370</v>
      </c>
      <c r="H15" s="31">
        <f>_xlfn.IFNA(VLOOKUP($A15,Купоны[[Дата]:[% от номинала]],3,0),0)*Купоны!$G$10/100*G15</f>
        <v>0</v>
      </c>
      <c r="I15" s="36">
        <f>Таблица1[[#This Row],[Денежный поток]]+Таблица1[[#This Row],[Купонный доход]]</f>
        <v>-254592.80821917808</v>
      </c>
      <c r="J15" s="31">
        <f>Таблица1[[#This Row],[Общий денежный поток]]/((1+$L$2)^((Таблица1[[#This Row],[Названия строк]]-$A$2)/365))</f>
        <v>-253404.47548204265</v>
      </c>
    </row>
    <row r="16" spans="1:12" x14ac:dyDescent="0.3">
      <c r="A16" s="23">
        <v>43061</v>
      </c>
      <c r="B16" s="24">
        <v>550</v>
      </c>
      <c r="C16" s="24">
        <f>VLOOKUP(Таблица1[[#This Row],[Названия строк]],Котировки[[&lt;DATE&gt;]:[&lt;VOL&gt;]],6,0)</f>
        <v>101.04</v>
      </c>
      <c r="D16" s="26">
        <f>INDEX(Купоны[Дата],MATCH($A16,Купоны[Дата],1))</f>
        <v>43021</v>
      </c>
      <c r="E16" s="24">
        <f>Купоны!$C$4*(A16-D16)/365*100</f>
        <v>0.87671232876712335</v>
      </c>
      <c r="F16" s="27">
        <f>-B16*(C16+E16)*Купоны!$G$10/100</f>
        <v>-560541.91780821921</v>
      </c>
      <c r="G16" s="34">
        <f>SUM($B$2:B16)</f>
        <v>920</v>
      </c>
      <c r="H16" s="31">
        <f>_xlfn.IFNA(VLOOKUP($A16,Купоны[[Дата]:[% от номинала]],3,0),0)*Купоны!$G$10/100*G16</f>
        <v>0</v>
      </c>
      <c r="I16" s="36">
        <f>Таблица1[[#This Row],[Денежный поток]]+Таблица1[[#This Row],[Купонный доход]]</f>
        <v>-560541.91780821921</v>
      </c>
      <c r="J16" s="31">
        <f>Таблица1[[#This Row],[Общий денежный поток]]/((1+$L$2)^((Таблица1[[#This Row],[Названия строк]]-$A$2)/365))</f>
        <v>-557552.77295593859</v>
      </c>
    </row>
    <row r="17" spans="1:10" x14ac:dyDescent="0.3">
      <c r="A17" s="23">
        <v>43069</v>
      </c>
      <c r="B17" s="24">
        <v>740</v>
      </c>
      <c r="C17" s="24">
        <f>VLOOKUP(Таблица1[[#This Row],[Названия строк]],Котировки[[&lt;DATE&gt;]:[&lt;VOL&gt;]],6,0)</f>
        <v>100.99</v>
      </c>
      <c r="D17" s="26">
        <f>INDEX(Купоны[Дата],MATCH($A17,Купоны[Дата],1))</f>
        <v>43021</v>
      </c>
      <c r="E17" s="24">
        <f>Купоны!$C$4*(A17-D17)/365*100</f>
        <v>1.0520547945205481</v>
      </c>
      <c r="F17" s="27">
        <f>-B17*(C17+E17)*Купоны!$G$10/100</f>
        <v>-755111.20547945204</v>
      </c>
      <c r="G17" s="34">
        <f>SUM($B$2:B17)</f>
        <v>1660</v>
      </c>
      <c r="H17" s="31">
        <f>_xlfn.IFNA(VLOOKUP($A17,Купоны[[Дата]:[% от номинала]],3,0),0)*Купоны!$G$10/100*G17</f>
        <v>0</v>
      </c>
      <c r="I17" s="36">
        <f>Таблица1[[#This Row],[Денежный поток]]+Таблица1[[#This Row],[Купонный доход]]</f>
        <v>-755111.20547945204</v>
      </c>
      <c r="J17" s="31">
        <f>Таблица1[[#This Row],[Общий денежный поток]]/((1+$L$2)^((Таблица1[[#This Row],[Названия строк]]-$A$2)/365))</f>
        <v>-750281.74025303649</v>
      </c>
    </row>
    <row r="18" spans="1:10" x14ac:dyDescent="0.3">
      <c r="A18" s="23">
        <v>43070</v>
      </c>
      <c r="B18" s="24">
        <v>-1110</v>
      </c>
      <c r="C18" s="24">
        <f>VLOOKUP(Таблица1[[#This Row],[Названия строк]],Котировки[[&lt;DATE&gt;]:[&lt;VOL&gt;]],6,0)</f>
        <v>101</v>
      </c>
      <c r="D18" s="26">
        <f>INDEX(Купоны[Дата],MATCH($A18,Купоны[Дата],1))</f>
        <v>43021</v>
      </c>
      <c r="E18" s="24">
        <f>Купоны!$C$4*(A18-D18)/365*100</f>
        <v>1.0739726027397261</v>
      </c>
      <c r="F18" s="27">
        <f>-B18*(C18+E18)*Купоны!$G$10/100</f>
        <v>1133021.0958904109</v>
      </c>
      <c r="G18" s="34">
        <f>SUM($B$2:B18)</f>
        <v>550</v>
      </c>
      <c r="H18" s="31">
        <f>_xlfn.IFNA(VLOOKUP($A18,Купоны[[Дата]:[% от номинала]],3,0),0)*Купоны!$G$10/100*G18</f>
        <v>0</v>
      </c>
      <c r="I18" s="36">
        <f>Таблица1[[#This Row],[Денежный поток]]+Таблица1[[#This Row],[Купонный доход]]</f>
        <v>1133021.0958904109</v>
      </c>
      <c r="J18" s="31">
        <f>Таблица1[[#This Row],[Общий денежный поток]]/((1+$L$2)^((Таблица1[[#This Row],[Названия строк]]-$A$2)/365))</f>
        <v>1125624.1580008199</v>
      </c>
    </row>
    <row r="19" spans="1:10" x14ac:dyDescent="0.3">
      <c r="A19" s="23">
        <v>43073</v>
      </c>
      <c r="B19" s="24">
        <v>-520</v>
      </c>
      <c r="C19" s="24">
        <f>VLOOKUP(Таблица1[[#This Row],[Названия строк]],Котировки[[&lt;DATE&gt;]:[&lt;VOL&gt;]],6,0)</f>
        <v>101.02</v>
      </c>
      <c r="D19" s="26">
        <f>INDEX(Купоны[Дата],MATCH($A19,Купоны[Дата],1))</f>
        <v>43021</v>
      </c>
      <c r="E19" s="24">
        <f>Купоны!$C$4*(A19-D19)/365*100</f>
        <v>1.1397260273972603</v>
      </c>
      <c r="F19" s="27">
        <f>-B19*(C19+E19)*Купоны!$G$10/100</f>
        <v>531230.57534246566</v>
      </c>
      <c r="G19" s="34">
        <f>SUM($B$2:B19)</f>
        <v>30</v>
      </c>
      <c r="H19" s="31">
        <f>_xlfn.IFNA(VLOOKUP($A19,Купоны[[Дата]:[% от номинала]],3,0),0)*Купоны!$G$10/100*G19</f>
        <v>0</v>
      </c>
      <c r="I19" s="36">
        <f>Таблица1[[#This Row],[Денежный поток]]+Таблица1[[#This Row],[Купонный доход]]</f>
        <v>531230.57534246566</v>
      </c>
      <c r="J19" s="31">
        <f>Таблица1[[#This Row],[Общий денежный поток]]/((1+$L$2)^((Таблица1[[#This Row],[Названия строк]]-$A$2)/365))</f>
        <v>527550.83375264984</v>
      </c>
    </row>
    <row r="20" spans="1:10" x14ac:dyDescent="0.3">
      <c r="A20" s="23">
        <v>43077</v>
      </c>
      <c r="B20" s="24">
        <v>690</v>
      </c>
      <c r="C20" s="24">
        <f>VLOOKUP(Таблица1[[#This Row],[Названия строк]],Котировки[[&lt;DATE&gt;]:[&lt;VOL&gt;]],6,0)</f>
        <v>101.3</v>
      </c>
      <c r="D20" s="26">
        <f>INDEX(Купоны[Дата],MATCH($A20,Купоны[Дата],1))</f>
        <v>43021</v>
      </c>
      <c r="E20" s="24">
        <f>Купоны!$C$4*(A20-D20)/365*100</f>
        <v>1.2273972602739727</v>
      </c>
      <c r="F20" s="27">
        <f>-B20*(C20+E20)*Купоны!$G$10/100</f>
        <v>-707439.04109589045</v>
      </c>
      <c r="G20" s="34">
        <f>SUM($B$2:B20)</f>
        <v>720</v>
      </c>
      <c r="H20" s="31">
        <f>_xlfn.IFNA(VLOOKUP($A20,Купоны[[Дата]:[% от номинала]],3,0),0)*Купоны!$G$10/100*G20</f>
        <v>0</v>
      </c>
      <c r="I20" s="36">
        <f>Таблица1[[#This Row],[Денежный поток]]+Таблица1[[#This Row],[Купонный доход]]</f>
        <v>-707439.04109589045</v>
      </c>
      <c r="J20" s="31">
        <f>Таблица1[[#This Row],[Общий денежный поток]]/((1+$L$2)^((Таблица1[[#This Row],[Названия строк]]-$A$2)/365))</f>
        <v>-702163.19644849957</v>
      </c>
    </row>
    <row r="21" spans="1:10" x14ac:dyDescent="0.3">
      <c r="A21" s="23">
        <v>43080</v>
      </c>
      <c r="B21" s="24">
        <v>60</v>
      </c>
      <c r="C21" s="24">
        <f>VLOOKUP(Таблица1[[#This Row],[Названия строк]],Котировки[[&lt;DATE&gt;]:[&lt;VOL&gt;]],6,0)</f>
        <v>101.2</v>
      </c>
      <c r="D21" s="26">
        <f>INDEX(Купоны[Дата],MATCH($A21,Купоны[Дата],1))</f>
        <v>43021</v>
      </c>
      <c r="E21" s="24">
        <f>Купоны!$C$4*(A21-D21)/365*100</f>
        <v>1.2931506849315069</v>
      </c>
      <c r="F21" s="27">
        <f>-B21*(C21+E21)*Купоны!$G$10/100</f>
        <v>-61495.890410958898</v>
      </c>
      <c r="G21" s="34">
        <f>SUM($B$2:B21)</f>
        <v>780</v>
      </c>
      <c r="H21" s="31">
        <f>_xlfn.IFNA(VLOOKUP($A21,Купоны[[Дата]:[% от номинала]],3,0),0)*Купоны!$G$10/100*G21</f>
        <v>0</v>
      </c>
      <c r="I21" s="36">
        <f>Таблица1[[#This Row],[Денежный поток]]+Таблица1[[#This Row],[Купонный доход]]</f>
        <v>-61495.890410958898</v>
      </c>
      <c r="J21" s="31">
        <f>Таблица1[[#This Row],[Общий денежный поток]]/((1+$L$2)^((Таблица1[[#This Row],[Названия строк]]-$A$2)/365))</f>
        <v>-61012.802592472348</v>
      </c>
    </row>
    <row r="22" spans="1:10" x14ac:dyDescent="0.3">
      <c r="A22" s="23">
        <v>43081</v>
      </c>
      <c r="B22" s="24">
        <v>-320</v>
      </c>
      <c r="C22" s="24">
        <f>VLOOKUP(Таблица1[[#This Row],[Названия строк]],Котировки[[&lt;DATE&gt;]:[&lt;VOL&gt;]],6,0)</f>
        <v>101.2</v>
      </c>
      <c r="D22" s="26">
        <f>INDEX(Купоны[Дата],MATCH($A22,Купоны[Дата],1))</f>
        <v>43021</v>
      </c>
      <c r="E22" s="24">
        <f>Купоны!$C$4*(A22-D22)/365*100</f>
        <v>1.3150684931506849</v>
      </c>
      <c r="F22" s="27">
        <f>-B22*(C22+E22)*Купоны!$G$10/100</f>
        <v>328048.21917808225</v>
      </c>
      <c r="G22" s="34">
        <f>SUM($B$2:B22)</f>
        <v>460</v>
      </c>
      <c r="H22" s="31">
        <f>_xlfn.IFNA(VLOOKUP($A22,Купоны[[Дата]:[% от номинала]],3,0),0)*Купоны!$G$10/100*G22</f>
        <v>0</v>
      </c>
      <c r="I22" s="36">
        <f>Таблица1[[#This Row],[Денежный поток]]+Таблица1[[#This Row],[Купонный доход]]</f>
        <v>328048.21917808225</v>
      </c>
      <c r="J22" s="31">
        <f>Таблица1[[#This Row],[Общий денежный поток]]/((1+$L$2)^((Таблица1[[#This Row],[Названия строк]]-$A$2)/365))</f>
        <v>325427.69646862097</v>
      </c>
    </row>
    <row r="23" spans="1:10" x14ac:dyDescent="0.3">
      <c r="A23" s="23">
        <v>43083</v>
      </c>
      <c r="B23" s="24">
        <v>410</v>
      </c>
      <c r="C23" s="24">
        <f>VLOOKUP(Таблица1[[#This Row],[Названия строк]],Котировки[[&lt;DATE&gt;]:[&lt;VOL&gt;]],6,0)</f>
        <v>101.35</v>
      </c>
      <c r="D23" s="26">
        <f>INDEX(Купоны[Дата],MATCH($A23,Купоны[Дата],1))</f>
        <v>43021</v>
      </c>
      <c r="E23" s="24">
        <f>Купоны!$C$4*(A23-D23)/365*100</f>
        <v>1.3589041095890411</v>
      </c>
      <c r="F23" s="27">
        <f>-B23*(C23+E23)*Купоны!$G$10/100</f>
        <v>-421106.50684931502</v>
      </c>
      <c r="G23" s="34">
        <f>SUM($B$2:B23)</f>
        <v>870</v>
      </c>
      <c r="H23" s="31">
        <f>_xlfn.IFNA(VLOOKUP($A23,Купоны[[Дата]:[% от номинала]],3,0),0)*Купоны!$G$10/100*G23</f>
        <v>0</v>
      </c>
      <c r="I23" s="36">
        <f>Таблица1[[#This Row],[Денежный поток]]+Таблица1[[#This Row],[Купонный доход]]</f>
        <v>-421106.50684931502</v>
      </c>
      <c r="J23" s="31">
        <f>Таблица1[[#This Row],[Общий денежный поток]]/((1+$L$2)^((Таблица1[[#This Row],[Названия строк]]-$A$2)/365))</f>
        <v>-417630.94788921066</v>
      </c>
    </row>
    <row r="24" spans="1:10" x14ac:dyDescent="0.3">
      <c r="A24" s="23">
        <v>43084</v>
      </c>
      <c r="B24" s="24">
        <v>-640</v>
      </c>
      <c r="C24" s="24">
        <f>VLOOKUP(Таблица1[[#This Row],[Названия строк]],Котировки[[&lt;DATE&gt;]:[&lt;VOL&gt;]],6,0)</f>
        <v>101.4</v>
      </c>
      <c r="D24" s="26">
        <f>INDEX(Купоны[Дата],MATCH($A24,Купоны[Дата],1))</f>
        <v>43021</v>
      </c>
      <c r="E24" s="24">
        <f>Купоны!$C$4*(A24-D24)/365*100</f>
        <v>1.3808219178082191</v>
      </c>
      <c r="F24" s="27">
        <f>-B24*(C24+E24)*Купоны!$G$10/100</f>
        <v>657797.26027397264</v>
      </c>
      <c r="G24" s="34">
        <f>SUM($B$2:B24)</f>
        <v>230</v>
      </c>
      <c r="H24" s="31">
        <f>_xlfn.IFNA(VLOOKUP($A24,Купоны[[Дата]:[% от номинала]],3,0),0)*Купоны!$G$10/100*G24</f>
        <v>0</v>
      </c>
      <c r="I24" s="36">
        <f>Таблица1[[#This Row],[Денежный поток]]+Таблица1[[#This Row],[Купонный доход]]</f>
        <v>657797.26027397264</v>
      </c>
      <c r="J24" s="31">
        <f>Таблица1[[#This Row],[Общий денежный поток]]/((1+$L$2)^((Таблица1[[#This Row],[Названия строк]]-$A$2)/365))</f>
        <v>652281.00135660369</v>
      </c>
    </row>
    <row r="25" spans="1:10" x14ac:dyDescent="0.3">
      <c r="A25" s="23">
        <v>43091</v>
      </c>
      <c r="B25" s="24">
        <v>510</v>
      </c>
      <c r="C25" s="24">
        <f>VLOOKUP(Таблица1[[#This Row],[Названия строк]],Котировки[[&lt;DATE&gt;]:[&lt;VOL&gt;]],6,0)</f>
        <v>101.85</v>
      </c>
      <c r="D25" s="26">
        <f>INDEX(Купоны[Дата],MATCH($A25,Купоны[Дата],1))</f>
        <v>43021</v>
      </c>
      <c r="E25" s="24">
        <f>Купоны!$C$4*(A25-D25)/365*100</f>
        <v>1.5342465753424659</v>
      </c>
      <c r="F25" s="27">
        <f>-B25*(C25+E25)*Купоны!$G$10/100</f>
        <v>-527259.65753424657</v>
      </c>
      <c r="G25" s="34">
        <f>SUM($B$2:B25)</f>
        <v>740</v>
      </c>
      <c r="H25" s="31">
        <f>_xlfn.IFNA(VLOOKUP($A25,Купоны[[Дата]:[% от номинала]],3,0),0)*Купоны!$G$10/100*G25</f>
        <v>0</v>
      </c>
      <c r="I25" s="36">
        <f>Таблица1[[#This Row],[Денежный поток]]+Таблица1[[#This Row],[Купонный доход]]</f>
        <v>-527259.65753424657</v>
      </c>
      <c r="J25" s="31">
        <f>Таблица1[[#This Row],[Общий денежный поток]]/((1+$L$2)^((Таблица1[[#This Row],[Названия строк]]-$A$2)/365))</f>
        <v>-522349.08950527554</v>
      </c>
    </row>
    <row r="26" spans="1:10" x14ac:dyDescent="0.3">
      <c r="A26" s="23">
        <v>43095</v>
      </c>
      <c r="B26" s="24">
        <v>40</v>
      </c>
      <c r="C26" s="24">
        <f>VLOOKUP(Таблица1[[#This Row],[Названия строк]],Котировки[[&lt;DATE&gt;]:[&lt;VOL&gt;]],6,0)</f>
        <v>101.87</v>
      </c>
      <c r="D26" s="26">
        <f>INDEX(Купоны[Дата],MATCH($A26,Купоны[Дата],1))</f>
        <v>43021</v>
      </c>
      <c r="E26" s="24">
        <f>Купоны!$C$4*(A26-D26)/365*100</f>
        <v>1.6219178082191781</v>
      </c>
      <c r="F26" s="27">
        <f>-B26*(C26+E26)*Купоны!$G$10/100</f>
        <v>-41396.767123287675</v>
      </c>
      <c r="G26" s="34">
        <f>SUM($B$2:B26)</f>
        <v>780</v>
      </c>
      <c r="H26" s="31">
        <f>_xlfn.IFNA(VLOOKUP($A26,Купоны[[Дата]:[% от номинала]],3,0),0)*Купоны!$G$10/100*G26</f>
        <v>0</v>
      </c>
      <c r="I26" s="36">
        <f>Таблица1[[#This Row],[Денежный поток]]+Таблица1[[#This Row],[Купонный доход]]</f>
        <v>-41396.767123287675</v>
      </c>
      <c r="J26" s="31">
        <f>Таблица1[[#This Row],[Общий денежный поток]]/((1+$L$2)^((Таблица1[[#This Row],[Названия строк]]-$A$2)/365))</f>
        <v>-40989.301123995021</v>
      </c>
    </row>
    <row r="27" spans="1:10" x14ac:dyDescent="0.3">
      <c r="A27" s="23">
        <v>43098</v>
      </c>
      <c r="B27" s="24">
        <v>-700</v>
      </c>
      <c r="C27" s="24">
        <f>VLOOKUP(Таблица1[[#This Row],[Названия строк]],Котировки[[&lt;DATE&gt;]:[&lt;VOL&gt;]],6,0)</f>
        <v>101.99</v>
      </c>
      <c r="D27" s="26">
        <f>INDEX(Купоны[Дата],MATCH($A27,Купоны[Дата],1))</f>
        <v>43021</v>
      </c>
      <c r="E27" s="24">
        <f>Купоны!$C$4*(A27-D27)/365*100</f>
        <v>1.6876712328767123</v>
      </c>
      <c r="F27" s="27">
        <f>-B27*(C27+E27)*Купоны!$G$10/100</f>
        <v>725743.69863013702</v>
      </c>
      <c r="G27" s="34">
        <f>SUM($B$2:B27)</f>
        <v>80</v>
      </c>
      <c r="H27" s="31">
        <f>_xlfn.IFNA(VLOOKUP($A27,Купоны[[Дата]:[% от номинала]],3,0),0)*Купоны!$G$10/100*G27</f>
        <v>0</v>
      </c>
      <c r="I27" s="36">
        <f>Таблица1[[#This Row],[Денежный поток]]+Таблица1[[#This Row],[Купонный доход]]</f>
        <v>725743.69863013702</v>
      </c>
      <c r="J27" s="31">
        <f>Таблица1[[#This Row],[Общий денежный поток]]/((1+$L$2)^((Таблица1[[#This Row],[Названия строк]]-$A$2)/365))</f>
        <v>718312.13338120922</v>
      </c>
    </row>
    <row r="28" spans="1:10" x14ac:dyDescent="0.3">
      <c r="A28" s="23">
        <v>43103</v>
      </c>
      <c r="B28" s="24">
        <v>540</v>
      </c>
      <c r="C28" s="24">
        <f>VLOOKUP(Таблица1[[#This Row],[Названия строк]],Котировки[[&lt;DATE&gt;]:[&lt;VOL&gt;]],6,0)</f>
        <v>101.93</v>
      </c>
      <c r="D28" s="26">
        <f>INDEX(Купоны[Дата],MATCH($A28,Купоны[Дата],1))</f>
        <v>43021</v>
      </c>
      <c r="E28" s="24">
        <f>Купоны!$C$4*(A28-D28)/365*100</f>
        <v>1.7972602739726027</v>
      </c>
      <c r="F28" s="27">
        <f>-B28*(C28+E28)*Купоны!$G$10/100</f>
        <v>-560127.20547945204</v>
      </c>
      <c r="G28" s="34">
        <f>SUM($B$2:B28)</f>
        <v>620</v>
      </c>
      <c r="H28" s="31">
        <f>_xlfn.IFNA(VLOOKUP($A28,Купоны[[Дата]:[% от номинала]],3,0),0)*Купоны!$G$10/100*G28</f>
        <v>0</v>
      </c>
      <c r="I28" s="36">
        <f>Таблица1[[#This Row],[Денежный поток]]+Таблица1[[#This Row],[Купонный доход]]</f>
        <v>-560127.20547945204</v>
      </c>
      <c r="J28" s="31">
        <f>Таблица1[[#This Row],[Общий денежный поток]]/((1+$L$2)^((Таблица1[[#This Row],[Названия строк]]-$A$2)/365))</f>
        <v>-554021.13320438191</v>
      </c>
    </row>
    <row r="29" spans="1:10" x14ac:dyDescent="0.3">
      <c r="A29" s="23">
        <v>43105</v>
      </c>
      <c r="B29" s="24">
        <v>-620</v>
      </c>
      <c r="C29" s="24">
        <f>VLOOKUP(Таблица1[[#This Row],[Названия строк]],Котировки[[&lt;DATE&gt;]:[&lt;VOL&gt;]],6,0)</f>
        <v>102.18</v>
      </c>
      <c r="D29" s="26">
        <f>INDEX(Купоны[Дата],MATCH($A29,Купоны[Дата],1))</f>
        <v>43021</v>
      </c>
      <c r="E29" s="24">
        <f>Купоны!$C$4*(A29-D29)/365*100</f>
        <v>1.8410958904109587</v>
      </c>
      <c r="F29" s="27">
        <f>-B29*(C29+E29)*Купоны!$G$10/100</f>
        <v>644930.79452054796</v>
      </c>
      <c r="G29" s="34">
        <f>SUM($B$2:B29)</f>
        <v>0</v>
      </c>
      <c r="H29" s="31">
        <f>_xlfn.IFNA(VLOOKUP($A29,Купоны[[Дата]:[% от номинала]],3,0),0)*Купоны!$G$10/100*G29</f>
        <v>0</v>
      </c>
      <c r="I29" s="36">
        <f>Таблица1[[#This Row],[Денежный поток]]+Таблица1[[#This Row],[Купонный доход]]</f>
        <v>644930.79452054796</v>
      </c>
      <c r="J29" s="31">
        <f>Таблица1[[#This Row],[Общий денежный поток]]/((1+$L$2)^((Таблица1[[#This Row],[Названия строк]]-$A$2)/365))</f>
        <v>637729.74369626271</v>
      </c>
    </row>
    <row r="30" spans="1:10" x14ac:dyDescent="0.3">
      <c r="A30" s="23">
        <v>43112</v>
      </c>
      <c r="B30" s="24">
        <v>460</v>
      </c>
      <c r="C30" s="24">
        <f>VLOOKUP(Таблица1[[#This Row],[Названия строк]],Котировки[[&lt;DATE&gt;]:[&lt;VOL&gt;]],6,0)</f>
        <v>101.99</v>
      </c>
      <c r="D30" s="26">
        <f>INDEX(Купоны[Дата],MATCH($A30,Купоны[Дата],1))</f>
        <v>43021</v>
      </c>
      <c r="E30" s="24">
        <f>Купоны!$C$4*(A30-D30)/365*100</f>
        <v>1.9945205479452055</v>
      </c>
      <c r="F30" s="27">
        <f>-B30*(C30+E30)*Купоны!$G$10/100</f>
        <v>-478328.7945205479</v>
      </c>
      <c r="G30" s="34">
        <f>SUM($B$2:B30)</f>
        <v>460</v>
      </c>
      <c r="H30" s="31">
        <f>_xlfn.IFNA(VLOOKUP($A30,Купоны[[Дата]:[% от номинала]],3,0),0)*Купоны!$G$10/100*G30</f>
        <v>0</v>
      </c>
      <c r="I30" s="36">
        <f>Таблица1[[#This Row],[Денежный поток]]+Таблица1[[#This Row],[Купонный доход]]</f>
        <v>-478328.7945205479</v>
      </c>
      <c r="J30" s="31">
        <f>Таблица1[[#This Row],[Общий денежный поток]]/((1+$L$2)^((Таблица1[[#This Row],[Названия строк]]-$A$2)/365))</f>
        <v>-472545.5892911565</v>
      </c>
    </row>
    <row r="31" spans="1:10" x14ac:dyDescent="0.3">
      <c r="A31" s="23">
        <v>43123</v>
      </c>
      <c r="B31" s="24">
        <v>-290</v>
      </c>
      <c r="C31" s="24">
        <f>VLOOKUP(Таблица1[[#This Row],[Названия строк]],Котировки[[&lt;DATE&gt;]:[&lt;VOL&gt;]],6,0)</f>
        <v>101.97</v>
      </c>
      <c r="D31" s="26">
        <f>INDEX(Купоны[Дата],MATCH($A31,Купоны[Дата],1))</f>
        <v>43021</v>
      </c>
      <c r="E31" s="24">
        <f>Купоны!$C$4*(A31-D31)/365*100</f>
        <v>2.2356164383561645</v>
      </c>
      <c r="F31" s="27">
        <f>-B31*(C31+E31)*Купоны!$G$10/100</f>
        <v>302196.28767123283</v>
      </c>
      <c r="G31" s="34">
        <f>SUM($B$2:B31)</f>
        <v>170</v>
      </c>
      <c r="H31" s="31">
        <f>_xlfn.IFNA(VLOOKUP($A31,Купоны[[Дата]:[% от номинала]],3,0),0)*Купоны!$G$10/100*G31</f>
        <v>0</v>
      </c>
      <c r="I31" s="36">
        <f>Таблица1[[#This Row],[Денежный поток]]+Таблица1[[#This Row],[Купонный доход]]</f>
        <v>302196.28767123283</v>
      </c>
      <c r="J31" s="31">
        <f>Таблица1[[#This Row],[Общий денежный поток]]/((1+$L$2)^((Таблица1[[#This Row],[Названия строк]]-$A$2)/365))</f>
        <v>298103.95077654679</v>
      </c>
    </row>
    <row r="32" spans="1:10" x14ac:dyDescent="0.3">
      <c r="A32" s="23">
        <v>43124</v>
      </c>
      <c r="B32" s="24">
        <v>390</v>
      </c>
      <c r="C32" s="24">
        <f>VLOOKUP(Таблица1[[#This Row],[Названия строк]],Котировки[[&lt;DATE&gt;]:[&lt;VOL&gt;]],6,0)</f>
        <v>102</v>
      </c>
      <c r="D32" s="26">
        <f>INDEX(Купоны[Дата],MATCH($A32,Купоны[Дата],1))</f>
        <v>43021</v>
      </c>
      <c r="E32" s="24">
        <f>Купоны!$C$4*(A32-D32)/365*100</f>
        <v>2.2575342465753425</v>
      </c>
      <c r="F32" s="27">
        <f>-B32*(C32+E32)*Купоны!$G$10/100</f>
        <v>-406604.38356164383</v>
      </c>
      <c r="G32" s="34">
        <f>SUM($B$2:B32)</f>
        <v>560</v>
      </c>
      <c r="H32" s="31">
        <f>_xlfn.IFNA(VLOOKUP($A32,Купоны[[Дата]:[% от номинала]],3,0),0)*Купоны!$G$10/100*G32</f>
        <v>0</v>
      </c>
      <c r="I32" s="36">
        <f>Таблица1[[#This Row],[Денежный поток]]+Таблица1[[#This Row],[Купонный доход]]</f>
        <v>-406604.38356164383</v>
      </c>
      <c r="J32" s="31">
        <f>Таблица1[[#This Row],[Общий денежный поток]]/((1+$L$2)^((Таблица1[[#This Row],[Названия строк]]-$A$2)/365))</f>
        <v>-401044.5421584986</v>
      </c>
    </row>
    <row r="33" spans="1:10" x14ac:dyDescent="0.3">
      <c r="A33" s="23">
        <v>43125</v>
      </c>
      <c r="B33" s="24">
        <v>200</v>
      </c>
      <c r="C33" s="24">
        <f>VLOOKUP(Таблица1[[#This Row],[Названия строк]],Котировки[[&lt;DATE&gt;]:[&lt;VOL&gt;]],6,0)</f>
        <v>102</v>
      </c>
      <c r="D33" s="26">
        <f>INDEX(Купоны[Дата],MATCH($A33,Купоны[Дата],1))</f>
        <v>43021</v>
      </c>
      <c r="E33" s="24">
        <f>Купоны!$C$4*(A33-D33)/365*100</f>
        <v>2.2794520547945205</v>
      </c>
      <c r="F33" s="27">
        <f>-B33*(C33+E33)*Купоны!$G$10/100</f>
        <v>-208558.904109589</v>
      </c>
      <c r="G33" s="34">
        <f>SUM($B$2:B33)</f>
        <v>760</v>
      </c>
      <c r="H33" s="31">
        <f>_xlfn.IFNA(VLOOKUP($A33,Купоны[[Дата]:[% от номинала]],3,0),0)*Купоны!$G$10/100*G33</f>
        <v>0</v>
      </c>
      <c r="I33" s="36">
        <f>Таблица1[[#This Row],[Денежный поток]]+Таблица1[[#This Row],[Купонный доход]]</f>
        <v>-208558.904109589</v>
      </c>
      <c r="J33" s="31">
        <f>Таблица1[[#This Row],[Общий денежный поток]]/((1+$L$2)^((Таблица1[[#This Row],[Названия строк]]-$A$2)/365))</f>
        <v>-205679.60861201774</v>
      </c>
    </row>
    <row r="34" spans="1:10" x14ac:dyDescent="0.3">
      <c r="A34" s="23">
        <v>43126</v>
      </c>
      <c r="B34" s="24">
        <v>-750</v>
      </c>
      <c r="C34" s="24">
        <f>VLOOKUP(Таблица1[[#This Row],[Названия строк]],Котировки[[&lt;DATE&gt;]:[&lt;VOL&gt;]],6,0)</f>
        <v>101.99</v>
      </c>
      <c r="D34" s="26">
        <f>INDEX(Купоны[Дата],MATCH($A34,Купоны[Дата],1))</f>
        <v>43021</v>
      </c>
      <c r="E34" s="24">
        <f>Купоны!$C$4*(A34-D34)/365*100</f>
        <v>2.3013698630136985</v>
      </c>
      <c r="F34" s="27">
        <f>-B34*(C34+E34)*Купоны!$G$10/100</f>
        <v>782185.27397260279</v>
      </c>
      <c r="G34" s="34">
        <f>SUM($B$2:B34)</f>
        <v>10</v>
      </c>
      <c r="H34" s="31">
        <f>_xlfn.IFNA(VLOOKUP($A34,Купоны[[Дата]:[% от номинала]],3,0),0)*Купоны!$G$10/100*G34</f>
        <v>0</v>
      </c>
      <c r="I34" s="36">
        <f>Таблица1[[#This Row],[Денежный поток]]+Таблица1[[#This Row],[Купонный доход]]</f>
        <v>782185.27397260279</v>
      </c>
      <c r="J34" s="31">
        <f>Таблица1[[#This Row],[Общий денежный поток]]/((1+$L$2)^((Таблица1[[#This Row],[Названия строк]]-$A$2)/365))</f>
        <v>771283.57619228086</v>
      </c>
    </row>
    <row r="35" spans="1:10" x14ac:dyDescent="0.3">
      <c r="A35" s="23">
        <v>43132</v>
      </c>
      <c r="B35" s="24">
        <v>450</v>
      </c>
      <c r="C35" s="24">
        <f>VLOOKUP(Таблица1[[#This Row],[Названия строк]],Котировки[[&lt;DATE&gt;]:[&lt;VOL&gt;]],6,0)</f>
        <v>102.5</v>
      </c>
      <c r="D35" s="26">
        <f>INDEX(Купоны[Дата],MATCH($A35,Купоны[Дата],1))</f>
        <v>43021</v>
      </c>
      <c r="E35" s="24">
        <f>Купоны!$C$4*(A35-D35)/365*100</f>
        <v>2.4328767123287673</v>
      </c>
      <c r="F35" s="27">
        <f>-B35*(C35+E35)*Купоны!$G$10/100</f>
        <v>-472197.94520547939</v>
      </c>
      <c r="G35" s="34">
        <f>SUM($B$2:B35)</f>
        <v>460</v>
      </c>
      <c r="H35" s="31">
        <f>_xlfn.IFNA(VLOOKUP($A35,Купоны[[Дата]:[% от номинала]],3,0),0)*Купоны!$G$10/100*G35</f>
        <v>0</v>
      </c>
      <c r="I35" s="36">
        <f>Таблица1[[#This Row],[Денежный поток]]+Таблица1[[#This Row],[Купонный доход]]</f>
        <v>-472197.94520547939</v>
      </c>
      <c r="J35" s="31">
        <f>Таблица1[[#This Row],[Общий денежный поток]]/((1+$L$2)^((Таблица1[[#This Row],[Названия строк]]-$A$2)/365))</f>
        <v>-465243.40317881672</v>
      </c>
    </row>
    <row r="36" spans="1:10" x14ac:dyDescent="0.3">
      <c r="A36" s="23">
        <v>43140</v>
      </c>
      <c r="B36" s="24">
        <v>-40</v>
      </c>
      <c r="C36" s="24">
        <f>VLOOKUP(Таблица1[[#This Row],[Названия строк]],Котировки[[&lt;DATE&gt;]:[&lt;VOL&gt;]],6,0)</f>
        <v>102.7</v>
      </c>
      <c r="D36" s="26">
        <f>INDEX(Купоны[Дата],MATCH($A36,Купоны[Дата],1))</f>
        <v>43021</v>
      </c>
      <c r="E36" s="24">
        <f>Купоны!$C$4*(A36-D36)/365*100</f>
        <v>2.6082191780821917</v>
      </c>
      <c r="F36" s="27">
        <f>-B36*(C36+E36)*Купоны!$G$10/100</f>
        <v>42123.287671232887</v>
      </c>
      <c r="G36" s="34">
        <f>SUM($B$2:B36)</f>
        <v>420</v>
      </c>
      <c r="H36" s="31">
        <f>_xlfn.IFNA(VLOOKUP($A36,Купоны[[Дата]:[% от номинала]],3,0),0)*Купоны!$G$10/100*G36</f>
        <v>0</v>
      </c>
      <c r="I36" s="36">
        <f>Таблица1[[#This Row],[Денежный поток]]+Таблица1[[#This Row],[Купонный доход]]</f>
        <v>42123.287671232887</v>
      </c>
      <c r="J36" s="31">
        <f>Таблица1[[#This Row],[Общий денежный поток]]/((1+$L$2)^((Таблица1[[#This Row],[Названия строк]]-$A$2)/365))</f>
        <v>41458.536564468588</v>
      </c>
    </row>
    <row r="37" spans="1:10" x14ac:dyDescent="0.3">
      <c r="A37" s="23">
        <v>43146</v>
      </c>
      <c r="B37" s="24">
        <v>-220</v>
      </c>
      <c r="C37" s="24">
        <f>VLOOKUP(Таблица1[[#This Row],[Названия строк]],Котировки[[&lt;DATE&gt;]:[&lt;VOL&gt;]],6,0)</f>
        <v>102.78</v>
      </c>
      <c r="D37" s="26">
        <f>INDEX(Купоны[Дата],MATCH($A37,Купоны[Дата],1))</f>
        <v>43021</v>
      </c>
      <c r="E37" s="24">
        <f>Купоны!$C$4*(A37-D37)/365*100</f>
        <v>2.7397260273972601</v>
      </c>
      <c r="F37" s="27">
        <f>-B37*(C37+E37)*Купоны!$G$10/100</f>
        <v>232143.39726027395</v>
      </c>
      <c r="G37" s="34">
        <f>SUM($B$2:B37)</f>
        <v>200</v>
      </c>
      <c r="H37" s="31">
        <f>_xlfn.IFNA(VLOOKUP($A37,Купоны[[Дата]:[% от номинала]],3,0),0)*Купоны!$G$10/100*G37</f>
        <v>0</v>
      </c>
      <c r="I37" s="36">
        <f>Таблица1[[#This Row],[Денежный поток]]+Таблица1[[#This Row],[Купонный доход]]</f>
        <v>232143.39726027395</v>
      </c>
      <c r="J37" s="31">
        <f>Таблица1[[#This Row],[Общий денежный поток]]/((1+$L$2)^((Таблица1[[#This Row],[Названия строк]]-$A$2)/365))</f>
        <v>228296.74868817959</v>
      </c>
    </row>
    <row r="38" spans="1:10" x14ac:dyDescent="0.3">
      <c r="A38" s="23">
        <v>43147</v>
      </c>
      <c r="B38" s="24">
        <v>30</v>
      </c>
      <c r="C38" s="24">
        <f>VLOOKUP(Таблица1[[#This Row],[Названия строк]],Котировки[[&lt;DATE&gt;]:[&lt;VOL&gt;]],6,0)</f>
        <v>103</v>
      </c>
      <c r="D38" s="26">
        <f>INDEX(Купоны[Дата],MATCH($A38,Купоны[Дата],1))</f>
        <v>43021</v>
      </c>
      <c r="E38" s="24">
        <f>Купоны!$C$4*(A38-D38)/365*100</f>
        <v>2.7616438356164381</v>
      </c>
      <c r="F38" s="27">
        <f>-B38*(C38+E38)*Купоны!$G$10/100</f>
        <v>-31728.493150684932</v>
      </c>
      <c r="G38" s="34">
        <f>SUM($B$2:B38)</f>
        <v>230</v>
      </c>
      <c r="H38" s="31">
        <f>_xlfn.IFNA(VLOOKUP($A38,Купоны[[Дата]:[% от номинала]],3,0),0)*Купоны!$G$10/100*G38</f>
        <v>0</v>
      </c>
      <c r="I38" s="36">
        <f>Таблица1[[#This Row],[Денежный поток]]+Таблица1[[#This Row],[Купонный доход]]</f>
        <v>-31728.493150684932</v>
      </c>
      <c r="J38" s="31">
        <f>Таблица1[[#This Row],[Общий денежный поток]]/((1+$L$2)^((Таблица1[[#This Row],[Названия строк]]-$A$2)/365))</f>
        <v>-31198.576934984656</v>
      </c>
    </row>
    <row r="39" spans="1:10" x14ac:dyDescent="0.3">
      <c r="A39" s="23">
        <v>43152</v>
      </c>
      <c r="B39" s="24">
        <v>80</v>
      </c>
      <c r="C39" s="24">
        <f>VLOOKUP(Таблица1[[#This Row],[Названия строк]],Котировки[[&lt;DATE&gt;]:[&lt;VOL&gt;]],6,0)</f>
        <v>102.85</v>
      </c>
      <c r="D39" s="26">
        <f>INDEX(Купоны[Дата],MATCH($A39,Купоны[Дата],1))</f>
        <v>43021</v>
      </c>
      <c r="E39" s="24">
        <f>Купоны!$C$4*(A39-D39)/365*100</f>
        <v>2.8712328767123285</v>
      </c>
      <c r="F39" s="27">
        <f>-B39*(C39+E39)*Купоны!$G$10/100</f>
        <v>-84576.986301369849</v>
      </c>
      <c r="G39" s="34">
        <f>SUM($B$2:B39)</f>
        <v>310</v>
      </c>
      <c r="H39" s="31">
        <f>_xlfn.IFNA(VLOOKUP($A39,Купоны[[Дата]:[% от номинала]],3,0),0)*Купоны!$G$10/100*G39</f>
        <v>0</v>
      </c>
      <c r="I39" s="36">
        <f>Таблица1[[#This Row],[Денежный поток]]+Таблица1[[#This Row],[Купонный доход]]</f>
        <v>-84576.986301369849</v>
      </c>
      <c r="J39" s="31">
        <f>Таблица1[[#This Row],[Общий денежный поток]]/((1+$L$2)^((Таблица1[[#This Row],[Названия строк]]-$A$2)/365))</f>
        <v>-83108.851267995517</v>
      </c>
    </row>
    <row r="40" spans="1:10" x14ac:dyDescent="0.3">
      <c r="A40" s="23">
        <v>43153</v>
      </c>
      <c r="B40" s="24">
        <v>-90</v>
      </c>
      <c r="C40" s="24">
        <f>VLOOKUP(Таблица1[[#This Row],[Названия строк]],Котировки[[&lt;DATE&gt;]:[&lt;VOL&gt;]],6,0)</f>
        <v>102.89</v>
      </c>
      <c r="D40" s="26">
        <f>INDEX(Купоны[Дата],MATCH($A40,Купоны[Дата],1))</f>
        <v>43021</v>
      </c>
      <c r="E40" s="24">
        <f>Купоны!$C$4*(A40-D40)/365*100</f>
        <v>2.893150684931507</v>
      </c>
      <c r="F40" s="27">
        <f>-B40*(C40+E40)*Купоны!$G$10/100</f>
        <v>95204.835616438359</v>
      </c>
      <c r="G40" s="34">
        <f>SUM($B$2:B40)</f>
        <v>220</v>
      </c>
      <c r="H40" s="31">
        <f>_xlfn.IFNA(VLOOKUP($A40,Купоны[[Дата]:[% от номинала]],3,0),0)*Купоны!$G$10/100*G40</f>
        <v>0</v>
      </c>
      <c r="I40" s="36">
        <f>Таблица1[[#This Row],[Денежный поток]]+Таблица1[[#This Row],[Купонный доход]]</f>
        <v>95204.835616438359</v>
      </c>
      <c r="J40" s="31">
        <f>Таблица1[[#This Row],[Общий денежный поток]]/((1+$L$2)^((Таблица1[[#This Row],[Названия строк]]-$A$2)/365))</f>
        <v>93539.711933660845</v>
      </c>
    </row>
    <row r="41" spans="1:10" x14ac:dyDescent="0.3">
      <c r="A41" s="23">
        <v>43161</v>
      </c>
      <c r="B41" s="24">
        <v>960</v>
      </c>
      <c r="C41" s="24">
        <f>VLOOKUP(Таблица1[[#This Row],[Названия строк]],Котировки[[&lt;DATE&gt;]:[&lt;VOL&gt;]],6,0)</f>
        <v>103</v>
      </c>
      <c r="D41" s="26">
        <f>INDEX(Купоны[Дата],MATCH($A41,Купоны[Дата],1))</f>
        <v>43021</v>
      </c>
      <c r="E41" s="24">
        <f>Купоны!$C$4*(A41-D41)/365*100</f>
        <v>3.0684931506849318</v>
      </c>
      <c r="F41" s="27">
        <f>-B41*(C41+E41)*Купоны!$G$10/100</f>
        <v>-1018257.5342465754</v>
      </c>
      <c r="G41" s="34">
        <f>SUM($B$2:B41)</f>
        <v>1180</v>
      </c>
      <c r="H41" s="31">
        <f>_xlfn.IFNA(VLOOKUP($A41,Купоны[[Дата]:[% от номинала]],3,0),0)*Купоны!$G$10/100*G41</f>
        <v>0</v>
      </c>
      <c r="I41" s="36">
        <f>Таблица1[[#This Row],[Денежный поток]]+Таблица1[[#This Row],[Купонный доход]]</f>
        <v>-1018257.5342465754</v>
      </c>
      <c r="J41" s="31">
        <f>Таблица1[[#This Row],[Общий денежный поток]]/((1+$L$2)^((Таблица1[[#This Row],[Названия строк]]-$A$2)/365))</f>
        <v>-999379.024043574</v>
      </c>
    </row>
    <row r="42" spans="1:10" x14ac:dyDescent="0.3">
      <c r="A42" s="23">
        <v>43164</v>
      </c>
      <c r="B42" s="24">
        <v>-430</v>
      </c>
      <c r="C42" s="24">
        <f>VLOOKUP(Таблица1[[#This Row],[Названия строк]],Котировки[[&lt;DATE&gt;]:[&lt;VOL&gt;]],6,0)</f>
        <v>102.75</v>
      </c>
      <c r="D42" s="26">
        <f>INDEX(Купоны[Дата],MATCH($A42,Купоны[Дата],1))</f>
        <v>43021</v>
      </c>
      <c r="E42" s="24">
        <f>Купоны!$C$4*(A42-D42)/365*100</f>
        <v>3.1342465753424658</v>
      </c>
      <c r="F42" s="27">
        <f>-B42*(C42+E42)*Купоны!$G$10/100</f>
        <v>455302.26027397258</v>
      </c>
      <c r="G42" s="34">
        <f>SUM($B$2:B42)</f>
        <v>750</v>
      </c>
      <c r="H42" s="31">
        <f>_xlfn.IFNA(VLOOKUP($A42,Купоны[[Дата]:[% от номинала]],3,0),0)*Купоны!$G$10/100*G42</f>
        <v>0</v>
      </c>
      <c r="I42" s="36">
        <f>Таблица1[[#This Row],[Денежный поток]]+Таблица1[[#This Row],[Купонный доход]]</f>
        <v>455302.26027397258</v>
      </c>
      <c r="J42" s="31">
        <f>Таблица1[[#This Row],[Общий денежный поток]]/((1+$L$2)^((Таблица1[[#This Row],[Названия строк]]-$A$2)/365))</f>
        <v>446681.78739043215</v>
      </c>
    </row>
    <row r="43" spans="1:10" x14ac:dyDescent="0.3">
      <c r="A43" s="23">
        <v>43166</v>
      </c>
      <c r="B43" s="24">
        <v>-230</v>
      </c>
      <c r="C43" s="24">
        <f>VLOOKUP(Таблица1[[#This Row],[Названия строк]],Котировки[[&lt;DATE&gt;]:[&lt;VOL&gt;]],6,0)</f>
        <v>102.8</v>
      </c>
      <c r="D43" s="26">
        <f>INDEX(Купоны[Дата],MATCH($A43,Купоны[Дата],1))</f>
        <v>43021</v>
      </c>
      <c r="E43" s="24">
        <f>Купоны!$C$4*(A43-D43)/365*100</f>
        <v>3.1780821917808217</v>
      </c>
      <c r="F43" s="27">
        <f>-B43*(C43+E43)*Купоны!$G$10/100</f>
        <v>243749.58904109587</v>
      </c>
      <c r="G43" s="34">
        <f>SUM($B$2:B43)</f>
        <v>520</v>
      </c>
      <c r="H43" s="31">
        <f>_xlfn.IFNA(VLOOKUP($A43,Купоны[[Дата]:[% от номинала]],3,0),0)*Купоны!$G$10/100*G43</f>
        <v>0</v>
      </c>
      <c r="I43" s="36">
        <f>Таблица1[[#This Row],[Денежный поток]]+Таблица1[[#This Row],[Купонный доход]]</f>
        <v>243749.58904109587</v>
      </c>
      <c r="J43" s="31">
        <f>Таблица1[[#This Row],[Общий денежный поток]]/((1+$L$2)^((Таблица1[[#This Row],[Названия строк]]-$A$2)/365))</f>
        <v>239070.62967018582</v>
      </c>
    </row>
    <row r="44" spans="1:10" x14ac:dyDescent="0.3">
      <c r="A44" s="23">
        <v>43168</v>
      </c>
      <c r="B44" s="24">
        <v>200</v>
      </c>
      <c r="C44" s="24">
        <f>VLOOKUP(Таблица1[[#This Row],[Названия строк]],Котировки[[&lt;DATE&gt;]:[&lt;VOL&gt;]],6,0)</f>
        <v>102.99</v>
      </c>
      <c r="D44" s="26">
        <f>INDEX(Купоны[Дата],MATCH($A44,Купоны[Дата],1))</f>
        <v>43021</v>
      </c>
      <c r="E44" s="24">
        <f>Купоны!$C$4*(A44-D44)/365*100</f>
        <v>3.2219178082191782</v>
      </c>
      <c r="F44" s="27">
        <f>-B44*(C44+E44)*Купоны!$G$10/100</f>
        <v>-212423.83561643836</v>
      </c>
      <c r="G44" s="34">
        <f>SUM($B$2:B44)</f>
        <v>720</v>
      </c>
      <c r="H44" s="31">
        <f>_xlfn.IFNA(VLOOKUP($A44,Купоны[[Дата]:[% от номинала]],3,0),0)*Купоны!$G$10/100*G44</f>
        <v>0</v>
      </c>
      <c r="I44" s="36">
        <f>Таблица1[[#This Row],[Денежный поток]]+Таблица1[[#This Row],[Купонный доход]]</f>
        <v>-212423.83561643836</v>
      </c>
      <c r="J44" s="31">
        <f>Таблица1[[#This Row],[Общий денежный поток]]/((1+$L$2)^((Таблица1[[#This Row],[Названия строк]]-$A$2)/365))</f>
        <v>-208290.50545883106</v>
      </c>
    </row>
    <row r="45" spans="1:10" x14ac:dyDescent="0.3">
      <c r="A45" s="23">
        <v>43172</v>
      </c>
      <c r="B45" s="24">
        <v>-500</v>
      </c>
      <c r="C45" s="24">
        <f>VLOOKUP(Таблица1[[#This Row],[Названия строк]],Котировки[[&lt;DATE&gt;]:[&lt;VOL&gt;]],6,0)</f>
        <v>102.75</v>
      </c>
      <c r="D45" s="26">
        <f>INDEX(Купоны[Дата],MATCH($A45,Купоны[Дата],1))</f>
        <v>43021</v>
      </c>
      <c r="E45" s="24">
        <f>Купоны!$C$4*(A45-D45)/365*100</f>
        <v>3.3095890410958901</v>
      </c>
      <c r="F45" s="27">
        <f>-B45*(C45+E45)*Купоны!$G$10/100</f>
        <v>530297.94520547951</v>
      </c>
      <c r="G45" s="34">
        <f>SUM($B$2:B45)</f>
        <v>220</v>
      </c>
      <c r="H45" s="31">
        <f>_xlfn.IFNA(VLOOKUP($A45,Купоны[[Дата]:[% от номинала]],3,0),0)*Купоны!$G$10/100*G45</f>
        <v>0</v>
      </c>
      <c r="I45" s="36">
        <f>Таблица1[[#This Row],[Денежный поток]]+Таблица1[[#This Row],[Купонный доход]]</f>
        <v>530297.94520547951</v>
      </c>
      <c r="J45" s="31">
        <f>Таблица1[[#This Row],[Общий денежный поток]]/((1+$L$2)^((Таблица1[[#This Row],[Названия строк]]-$A$2)/365))</f>
        <v>519701.48803970631</v>
      </c>
    </row>
    <row r="46" spans="1:10" x14ac:dyDescent="0.3">
      <c r="A46" s="23">
        <v>43173</v>
      </c>
      <c r="B46" s="24">
        <v>500</v>
      </c>
      <c r="C46" s="24">
        <f>VLOOKUP(Таблица1[[#This Row],[Названия строк]],Котировки[[&lt;DATE&gt;]:[&lt;VOL&gt;]],6,0)</f>
        <v>102.75</v>
      </c>
      <c r="D46" s="26">
        <f>INDEX(Купоны[Дата],MATCH($A46,Купоны[Дата],1))</f>
        <v>43021</v>
      </c>
      <c r="E46" s="24">
        <f>Купоны!$C$4*(A46-D46)/365*100</f>
        <v>3.3315068493150681</v>
      </c>
      <c r="F46" s="27">
        <f>-B46*(C46+E46)*Купоны!$G$10/100</f>
        <v>-530407.53424657532</v>
      </c>
      <c r="G46" s="34">
        <f>SUM($B$2:B46)</f>
        <v>720</v>
      </c>
      <c r="H46" s="31">
        <f>_xlfn.IFNA(VLOOKUP($A46,Купоны[[Дата]:[% от номинала]],3,0),0)*Купоны!$G$10/100*G46</f>
        <v>0</v>
      </c>
      <c r="I46" s="36">
        <f>Таблица1[[#This Row],[Денежный поток]]+Таблица1[[#This Row],[Купонный доход]]</f>
        <v>-530407.53424657532</v>
      </c>
      <c r="J46" s="31">
        <f>Таблица1[[#This Row],[Общий денежный поток]]/((1+$L$2)^((Таблица1[[#This Row],[Названия строк]]-$A$2)/365))</f>
        <v>-519739.40817874414</v>
      </c>
    </row>
    <row r="47" spans="1:10" x14ac:dyDescent="0.3">
      <c r="A47" s="23">
        <v>43174</v>
      </c>
      <c r="B47" s="24">
        <v>-160</v>
      </c>
      <c r="C47" s="24">
        <f>VLOOKUP(Таблица1[[#This Row],[Названия строк]],Котировки[[&lt;DATE&gt;]:[&lt;VOL&gt;]],6,0)</f>
        <v>102.73</v>
      </c>
      <c r="D47" s="26">
        <f>INDEX(Купоны[Дата],MATCH($A47,Купоны[Дата],1))</f>
        <v>43021</v>
      </c>
      <c r="E47" s="24">
        <f>Купоны!$C$4*(A47-D47)/365*100</f>
        <v>3.3534246575342466</v>
      </c>
      <c r="F47" s="27">
        <f>-B47*(C47+E47)*Купоны!$G$10/100</f>
        <v>169733.4794520548</v>
      </c>
      <c r="G47" s="34">
        <f>SUM($B$2:B47)</f>
        <v>560</v>
      </c>
      <c r="H47" s="31">
        <f>_xlfn.IFNA(VLOOKUP($A47,Купоны[[Дата]:[% от номинала]],3,0),0)*Купоны!$G$10/100*G47</f>
        <v>0</v>
      </c>
      <c r="I47" s="36">
        <f>Таблица1[[#This Row],[Денежный поток]]+Таблица1[[#This Row],[Купонный доход]]</f>
        <v>169733.4794520548</v>
      </c>
      <c r="J47" s="31">
        <f>Таблица1[[#This Row],[Общий денежный поток]]/((1+$L$2)^((Таблица1[[#This Row],[Названия строк]]-$A$2)/365))</f>
        <v>166297.38665624597</v>
      </c>
    </row>
    <row r="48" spans="1:10" x14ac:dyDescent="0.3">
      <c r="A48" s="23">
        <v>43175</v>
      </c>
      <c r="B48" s="24">
        <v>290</v>
      </c>
      <c r="C48" s="24">
        <f>VLOOKUP(Таблица1[[#This Row],[Названия строк]],Котировки[[&lt;DATE&gt;]:[&lt;VOL&gt;]],6,0)</f>
        <v>102.8</v>
      </c>
      <c r="D48" s="26">
        <f>INDEX(Купоны[Дата],MATCH($A48,Купоны[Дата],1))</f>
        <v>43021</v>
      </c>
      <c r="E48" s="24">
        <f>Купоны!$C$4*(A48-D48)/365*100</f>
        <v>3.3753424657534246</v>
      </c>
      <c r="F48" s="27">
        <f>-B48*(C48+E48)*Купоны!$G$10/100</f>
        <v>-307908.49315068492</v>
      </c>
      <c r="G48" s="34">
        <f>SUM($B$2:B48)</f>
        <v>850</v>
      </c>
      <c r="H48" s="31">
        <f>_xlfn.IFNA(VLOOKUP($A48,Купоны[[Дата]:[% от номинала]],3,0),0)*Купоны!$G$10/100*G48</f>
        <v>0</v>
      </c>
      <c r="I48" s="36">
        <f>Таблица1[[#This Row],[Денежный поток]]+Таблица1[[#This Row],[Купонный доход]]</f>
        <v>-307908.49315068492</v>
      </c>
      <c r="J48" s="31">
        <f>Таблица1[[#This Row],[Общий денежный поток]]/((1+$L$2)^((Таблица1[[#This Row],[Названия строк]]-$A$2)/365))</f>
        <v>-301634.85593774181</v>
      </c>
    </row>
    <row r="49" spans="1:10" x14ac:dyDescent="0.3">
      <c r="A49" s="23">
        <v>43178</v>
      </c>
      <c r="B49" s="24">
        <v>-290</v>
      </c>
      <c r="C49" s="24">
        <f>VLOOKUP(Таблица1[[#This Row],[Названия строк]],Котировки[[&lt;DATE&gt;]:[&lt;VOL&gt;]],6,0)</f>
        <v>102.9</v>
      </c>
      <c r="D49" s="26">
        <f>INDEX(Купоны[Дата],MATCH($A49,Купоны[Дата],1))</f>
        <v>43021</v>
      </c>
      <c r="E49" s="24">
        <f>Купоны!$C$4*(A49-D49)/365*100</f>
        <v>3.441095890410959</v>
      </c>
      <c r="F49" s="27">
        <f>-B49*(C49+E49)*Купоны!$G$10/100</f>
        <v>308389.17808219179</v>
      </c>
      <c r="G49" s="34">
        <f>SUM($B$2:B49)</f>
        <v>560</v>
      </c>
      <c r="H49" s="31">
        <f>_xlfn.IFNA(VLOOKUP($A49,Купоны[[Дата]:[% от номинала]],3,0),0)*Купоны!$G$10/100*G49</f>
        <v>0</v>
      </c>
      <c r="I49" s="36">
        <f>Таблица1[[#This Row],[Денежный поток]]+Таблица1[[#This Row],[Купонный доход]]</f>
        <v>308389.17808219179</v>
      </c>
      <c r="J49" s="31">
        <f>Таблица1[[#This Row],[Общий денежный поток]]/((1+$L$2)^((Таблица1[[#This Row],[Названия строк]]-$A$2)/365))</f>
        <v>301984.62224861031</v>
      </c>
    </row>
    <row r="50" spans="1:10" x14ac:dyDescent="0.3">
      <c r="A50" s="23">
        <v>43179</v>
      </c>
      <c r="B50" s="24">
        <v>-380</v>
      </c>
      <c r="C50" s="24">
        <f>VLOOKUP(Таблица1[[#This Row],[Названия строк]],Котировки[[&lt;DATE&gt;]:[&lt;VOL&gt;]],6,0)</f>
        <v>103</v>
      </c>
      <c r="D50" s="26">
        <f>INDEX(Купоны[Дата],MATCH($A50,Купоны[Дата],1))</f>
        <v>43021</v>
      </c>
      <c r="E50" s="24">
        <f>Купоны!$C$4*(A50-D50)/365*100</f>
        <v>3.4630136986301374</v>
      </c>
      <c r="F50" s="27">
        <f>-B50*(C50+E50)*Купоны!$G$10/100</f>
        <v>404559.45205479453</v>
      </c>
      <c r="G50" s="34">
        <f>SUM($B$2:B50)</f>
        <v>180</v>
      </c>
      <c r="H50" s="31">
        <f>_xlfn.IFNA(VLOOKUP($A50,Купоны[[Дата]:[% от номинала]],3,0),0)*Купоны!$G$10/100*G50</f>
        <v>0</v>
      </c>
      <c r="I50" s="36">
        <f>Таблица1[[#This Row],[Денежный поток]]+Таблица1[[#This Row],[Купонный доход]]</f>
        <v>404559.45205479453</v>
      </c>
      <c r="J50" s="31">
        <f>Таблица1[[#This Row],[Общий денежный поток]]/((1+$L$2)^((Таблица1[[#This Row],[Названия строк]]-$A$2)/365))</f>
        <v>396104.7024719363</v>
      </c>
    </row>
    <row r="51" spans="1:10" x14ac:dyDescent="0.3">
      <c r="A51" s="23">
        <v>43182</v>
      </c>
      <c r="B51" s="24">
        <v>770</v>
      </c>
      <c r="C51" s="24">
        <f>VLOOKUP(Таблица1[[#This Row],[Названия строк]],Котировки[[&lt;DATE&gt;]:[&lt;VOL&gt;]],6,0)</f>
        <v>103.85</v>
      </c>
      <c r="D51" s="26">
        <f>INDEX(Купоны[Дата],MATCH($A51,Купоны[Дата],1))</f>
        <v>43021</v>
      </c>
      <c r="E51" s="24">
        <f>Купоны!$C$4*(A51-D51)/365*100</f>
        <v>3.5287671232876718</v>
      </c>
      <c r="F51" s="27">
        <f>-B51*(C51+E51)*Купоны!$G$10/100</f>
        <v>-826816.50684931502</v>
      </c>
      <c r="G51" s="34">
        <f>SUM($B$2:B51)</f>
        <v>950</v>
      </c>
      <c r="H51" s="31">
        <f>_xlfn.IFNA(VLOOKUP($A51,Купоны[[Дата]:[% от номинала]],3,0),0)*Купоны!$G$10/100*G51</f>
        <v>0</v>
      </c>
      <c r="I51" s="36">
        <f>Таблица1[[#This Row],[Денежный поток]]+Таблица1[[#This Row],[Купонный доход]]</f>
        <v>-826816.50684931502</v>
      </c>
      <c r="J51" s="31">
        <f>Таблица1[[#This Row],[Общий денежный поток]]/((1+$L$2)^((Таблица1[[#This Row],[Названия строк]]-$A$2)/365))</f>
        <v>-809212.58004226722</v>
      </c>
    </row>
    <row r="52" spans="1:10" x14ac:dyDescent="0.3">
      <c r="A52" s="23">
        <v>43187</v>
      </c>
      <c r="B52" s="24">
        <v>-320</v>
      </c>
      <c r="C52" s="24">
        <f>VLOOKUP(Таблица1[[#This Row],[Названия строк]],Котировки[[&lt;DATE&gt;]:[&lt;VOL&gt;]],6,0)</f>
        <v>102.6</v>
      </c>
      <c r="D52" s="26">
        <f>INDEX(Купоны[Дата],MATCH($A52,Купоны[Дата],1))</f>
        <v>43021</v>
      </c>
      <c r="E52" s="24">
        <f>Купоны!$C$4*(A52-D52)/365*100</f>
        <v>3.6383561643835618</v>
      </c>
      <c r="F52" s="27">
        <f>-B52*(C52+E52)*Купоны!$G$10/100</f>
        <v>339962.7397260273</v>
      </c>
      <c r="G52" s="34">
        <f>SUM($B$2:B52)</f>
        <v>630</v>
      </c>
      <c r="H52" s="31">
        <f>_xlfn.IFNA(VLOOKUP($A52,Купоны[[Дата]:[% от номинала]],3,0),0)*Купоны!$G$10/100*G52</f>
        <v>0</v>
      </c>
      <c r="I52" s="36">
        <f>Таблица1[[#This Row],[Денежный поток]]+Таблица1[[#This Row],[Купонный доход]]</f>
        <v>339962.7397260273</v>
      </c>
      <c r="J52" s="31">
        <f>Таблица1[[#This Row],[Общий денежный поток]]/((1+$L$2)^((Таблица1[[#This Row],[Названия строк]]-$A$2)/365))</f>
        <v>332502.21550375596</v>
      </c>
    </row>
    <row r="53" spans="1:10" x14ac:dyDescent="0.3">
      <c r="A53" s="23">
        <v>43188</v>
      </c>
      <c r="B53" s="24">
        <v>-40</v>
      </c>
      <c r="C53" s="24">
        <f>VLOOKUP(Таблица1[[#This Row],[Названия строк]],Котировки[[&lt;DATE&gt;]:[&lt;VOL&gt;]],6,0)</f>
        <v>102.75</v>
      </c>
      <c r="D53" s="26">
        <f>INDEX(Купоны[Дата],MATCH($A53,Купоны[Дата],1))</f>
        <v>43021</v>
      </c>
      <c r="E53" s="24">
        <f>Купоны!$C$4*(A53-D53)/365*100</f>
        <v>3.6602739726027393</v>
      </c>
      <c r="F53" s="27">
        <f>-B53*(C53+E53)*Купоны!$G$10/100</f>
        <v>42564.109589041087</v>
      </c>
      <c r="G53" s="34">
        <f>SUM($B$2:B53)</f>
        <v>590</v>
      </c>
      <c r="H53" s="31">
        <f>_xlfn.IFNA(VLOOKUP($A53,Купоны[[Дата]:[% от номинала]],3,0),0)*Купоны!$G$10/100*G53</f>
        <v>0</v>
      </c>
      <c r="I53" s="36">
        <f>Таблица1[[#This Row],[Денежный поток]]+Таблица1[[#This Row],[Купонный доход]]</f>
        <v>42564.109589041087</v>
      </c>
      <c r="J53" s="31">
        <f>Таблица1[[#This Row],[Общий денежный поток]]/((1+$L$2)^((Таблица1[[#This Row],[Названия строк]]-$A$2)/365))</f>
        <v>41624.470573348095</v>
      </c>
    </row>
    <row r="54" spans="1:10" x14ac:dyDescent="0.3">
      <c r="A54" s="23">
        <v>43189</v>
      </c>
      <c r="B54" s="24">
        <v>530</v>
      </c>
      <c r="C54" s="24">
        <f>VLOOKUP(Таблица1[[#This Row],[Названия строк]],Котировки[[&lt;DATE&gt;]:[&lt;VOL&gt;]],6,0)</f>
        <v>102.6</v>
      </c>
      <c r="D54" s="26">
        <f>INDEX(Купоны[Дата],MATCH($A54,Купоны[Дата],1))</f>
        <v>43021</v>
      </c>
      <c r="E54" s="24">
        <f>Купоны!$C$4*(A54-D54)/365*100</f>
        <v>3.6821917808219173</v>
      </c>
      <c r="F54" s="27">
        <f>-B54*(C54+E54)*Купоны!$G$10/100</f>
        <v>-563295.61643835623</v>
      </c>
      <c r="G54" s="34">
        <f>SUM($B$2:B54)</f>
        <v>1120</v>
      </c>
      <c r="H54" s="31">
        <f>_xlfn.IFNA(VLOOKUP($A54,Купоны[[Дата]:[% от номинала]],3,0),0)*Купоны!$G$10/100*G54</f>
        <v>0</v>
      </c>
      <c r="I54" s="36">
        <f>Таблица1[[#This Row],[Денежный поток]]+Таблица1[[#This Row],[Купонный доход]]</f>
        <v>-563295.61643835623</v>
      </c>
      <c r="J54" s="31">
        <f>Таблица1[[#This Row],[Общий денежный поток]]/((1+$L$2)^((Таблица1[[#This Row],[Названия строк]]-$A$2)/365))</f>
        <v>-550786.75584211468</v>
      </c>
    </row>
    <row r="55" spans="1:10" x14ac:dyDescent="0.3">
      <c r="A55" s="23">
        <v>43193</v>
      </c>
      <c r="B55" s="24">
        <v>-430</v>
      </c>
      <c r="C55" s="24">
        <f>VLOOKUP(Таблица1[[#This Row],[Названия строк]],Котировки[[&lt;DATE&gt;]:[&lt;VOL&gt;]],6,0)</f>
        <v>102.65</v>
      </c>
      <c r="D55" s="26">
        <f>INDEX(Купоны[Дата],MATCH($A55,Купоны[Дата],1))</f>
        <v>43021</v>
      </c>
      <c r="E55" s="24">
        <f>Купоны!$C$4*(A55-D55)/365*100</f>
        <v>3.7698630136986302</v>
      </c>
      <c r="F55" s="27">
        <f>-B55*(C55+E55)*Купоны!$G$10/100</f>
        <v>457605.41095890407</v>
      </c>
      <c r="G55" s="34">
        <f>SUM($B$2:B55)</f>
        <v>690</v>
      </c>
      <c r="H55" s="31">
        <f>_xlfn.IFNA(VLOOKUP($A55,Купоны[[Дата]:[% от номинала]],3,0),0)*Купоны!$G$10/100*G55</f>
        <v>0</v>
      </c>
      <c r="I55" s="36">
        <f>Таблица1[[#This Row],[Денежный поток]]+Таблица1[[#This Row],[Купонный доход]]</f>
        <v>457605.41095890407</v>
      </c>
      <c r="J55" s="31">
        <f>Таблица1[[#This Row],[Общий денежный поток]]/((1+$L$2)^((Таблица1[[#This Row],[Названия строк]]-$A$2)/365))</f>
        <v>447204.38856771437</v>
      </c>
    </row>
    <row r="56" spans="1:10" x14ac:dyDescent="0.3">
      <c r="A56" s="23">
        <v>43196</v>
      </c>
      <c r="B56" s="24">
        <v>1280</v>
      </c>
      <c r="C56" s="24">
        <f>VLOOKUP(Таблица1[[#This Row],[Названия строк]],Котировки[[&lt;DATE&gt;]:[&lt;VOL&gt;]],6,0)</f>
        <v>102.85</v>
      </c>
      <c r="D56" s="26">
        <f>INDEX(Купоны[Дата],MATCH($A56,Купоны[Дата],1))</f>
        <v>43021</v>
      </c>
      <c r="E56" s="24">
        <f>Купоны!$C$4*(A56-D56)/365*100</f>
        <v>3.8356164383561646</v>
      </c>
      <c r="F56" s="27">
        <f>-B56*(C56+E56)*Купоны!$G$10/100</f>
        <v>-1365575.8904109588</v>
      </c>
      <c r="G56" s="34">
        <f>SUM($B$2:B56)</f>
        <v>1970</v>
      </c>
      <c r="H56" s="31">
        <f>_xlfn.IFNA(VLOOKUP($A56,Купоны[[Дата]:[% от номинала]],3,0),0)*Купоны!$G$10/100*G56</f>
        <v>0</v>
      </c>
      <c r="I56" s="36">
        <f>Таблица1[[#This Row],[Денежный поток]]+Таблица1[[#This Row],[Купонный доход]]</f>
        <v>-1365575.8904109588</v>
      </c>
      <c r="J56" s="31">
        <f>Таблица1[[#This Row],[Общий денежный поток]]/((1+$L$2)^((Таблица1[[#This Row],[Названия строк]]-$A$2)/365))</f>
        <v>-1334002.3284214402</v>
      </c>
    </row>
    <row r="57" spans="1:10" x14ac:dyDescent="0.3">
      <c r="A57" s="23">
        <v>43200</v>
      </c>
      <c r="B57" s="24">
        <v>-1680</v>
      </c>
      <c r="C57" s="24">
        <f>VLOOKUP(Таблица1[[#This Row],[Названия строк]],Котировки[[&lt;DATE&gt;]:[&lt;VOL&gt;]],6,0)</f>
        <v>102.4</v>
      </c>
      <c r="D57" s="26">
        <f>INDEX(Купоны[Дата],MATCH($A57,Купоны[Дата],1))</f>
        <v>43021</v>
      </c>
      <c r="E57" s="24">
        <f>Купоны!$C$4*(A57-D57)/365*100</f>
        <v>3.9232876712328766</v>
      </c>
      <c r="F57" s="27">
        <f>-B57*(C57+E57)*Купоны!$G$10/100</f>
        <v>1786231.2328767125</v>
      </c>
      <c r="G57" s="34">
        <f>SUM($B$2:B57)</f>
        <v>290</v>
      </c>
      <c r="H57" s="31">
        <f>_xlfn.IFNA(VLOOKUP($A57,Купоны[[Дата]:[% от номинала]],3,0),0)*Купоны!$G$10/100*G57</f>
        <v>0</v>
      </c>
      <c r="I57" s="36">
        <f>Таблица1[[#This Row],[Денежный поток]]+Таблица1[[#This Row],[Купонный доход]]</f>
        <v>1786231.2328767125</v>
      </c>
      <c r="J57" s="31">
        <f>Таблица1[[#This Row],[Общий денежный поток]]/((1+$L$2)^((Таблица1[[#This Row],[Названия строк]]-$A$2)/365))</f>
        <v>1743998.9310808042</v>
      </c>
    </row>
    <row r="58" spans="1:10" x14ac:dyDescent="0.3">
      <c r="A58" s="23">
        <v>43202</v>
      </c>
      <c r="B58" s="24">
        <v>380</v>
      </c>
      <c r="C58" s="24">
        <f>VLOOKUP(Таблица1[[#This Row],[Названия строк]],Котировки[[&lt;DATE&gt;]:[&lt;VOL&gt;]],6,0)</f>
        <v>102.58</v>
      </c>
      <c r="D58" s="26">
        <f>INDEX(Купоны[Дата],MATCH($A58,Купоны[Дата],1))</f>
        <v>43021</v>
      </c>
      <c r="E58" s="24">
        <f>Купоны!$C$4*(A58-D58)/365*100</f>
        <v>3.967123287671233</v>
      </c>
      <c r="F58" s="27">
        <f>-B58*(C58+E58)*Купоны!$G$10/100</f>
        <v>-404879.06849315064</v>
      </c>
      <c r="G58" s="34">
        <f>SUM($B$2:B58)</f>
        <v>670</v>
      </c>
      <c r="H58" s="31">
        <f>_xlfn.IFNA(VLOOKUP($A58,Купоны[[Дата]:[% от номинала]],3,0),0)*Купоны!$G$10/100*G58</f>
        <v>0</v>
      </c>
      <c r="I58" s="36">
        <f>Таблица1[[#This Row],[Денежный поток]]+Таблица1[[#This Row],[Купонный доход]]</f>
        <v>-404879.06849315064</v>
      </c>
      <c r="J58" s="31">
        <f>Таблица1[[#This Row],[Общий денежный поток]]/((1+$L$2)^((Таблица1[[#This Row],[Названия строк]]-$A$2)/365))</f>
        <v>-395200.7452570583</v>
      </c>
    </row>
    <row r="59" spans="1:10" x14ac:dyDescent="0.3">
      <c r="A59" s="23">
        <v>43203</v>
      </c>
      <c r="B59" s="24">
        <v>360</v>
      </c>
      <c r="C59" s="24">
        <f>VLOOKUP(Таблица1[[#This Row],[Названия строк]],Котировки[[&lt;DATE&gt;]:[&lt;VOL&gt;]],6,0)</f>
        <v>102</v>
      </c>
      <c r="D59" s="26">
        <f>INDEX(Купоны[Дата],MATCH($A59,Купоны[Дата],1))</f>
        <v>43203</v>
      </c>
      <c r="E59" s="24">
        <f>Купоны!$C$4*(A59-D59)/365*100</f>
        <v>0</v>
      </c>
      <c r="F59" s="27">
        <f>-B59*(C59+E59)*Купоны!$G$10/100</f>
        <v>-367200</v>
      </c>
      <c r="G59" s="34">
        <f>SUM($B$2:B59)</f>
        <v>1030</v>
      </c>
      <c r="H59" s="31">
        <f>_xlfn.IFNA(VLOOKUP($A59,Купоны[[Дата]:[% от номинала]],3,0),0)*Купоны!$G$10/100*G59</f>
        <v>41086.699999999997</v>
      </c>
      <c r="I59" s="36">
        <f>Таблица1[[#This Row],[Денежный поток]]+Таблица1[[#This Row],[Купонный доход]]</f>
        <v>-326113.3</v>
      </c>
      <c r="J59" s="31">
        <f>Таблица1[[#This Row],[Общий денежный поток]]/((1+$L$2)^((Таблица1[[#This Row],[Названия строк]]-$A$2)/365))</f>
        <v>-318275.26474372321</v>
      </c>
    </row>
    <row r="60" spans="1:10" x14ac:dyDescent="0.3">
      <c r="A60" s="23">
        <v>43213</v>
      </c>
      <c r="B60" s="24">
        <v>470</v>
      </c>
      <c r="C60" s="24">
        <f>VLOOKUP(Таблица1[[#This Row],[Названия строк]],Котировки[[&lt;DATE&gt;]:[&lt;VOL&gt;]],6,0)</f>
        <v>102.5</v>
      </c>
      <c r="D60" s="26">
        <f>INDEX(Купоны[Дата],MATCH($A60,Купоны[Дата],1))</f>
        <v>43203</v>
      </c>
      <c r="E60" s="24">
        <f>Купоны!$C$4*(A60-D60)/365*100</f>
        <v>0.21917808219178084</v>
      </c>
      <c r="F60" s="27">
        <f>-B60*(C60+E60)*Купоны!$G$10/100</f>
        <v>-482780.1369863014</v>
      </c>
      <c r="G60" s="34">
        <f>SUM($B$2:B60)</f>
        <v>1500</v>
      </c>
      <c r="H60" s="31">
        <f>_xlfn.IFNA(VLOOKUP($A60,Купоны[[Дата]:[% от номинала]],3,0),0)*Купоны!$G$10/100*G60</f>
        <v>0</v>
      </c>
      <c r="I60" s="36">
        <f>Таблица1[[#This Row],[Денежный поток]]+Таблица1[[#This Row],[Купонный доход]]</f>
        <v>-482780.1369863014</v>
      </c>
      <c r="J60" s="31">
        <f>Таблица1[[#This Row],[Общий денежный поток]]/((1+$L$2)^((Таблица1[[#This Row],[Названия строк]]-$A$2)/365))</f>
        <v>-470547.25233228283</v>
      </c>
    </row>
    <row r="61" spans="1:10" x14ac:dyDescent="0.3">
      <c r="A61" s="23">
        <v>43215</v>
      </c>
      <c r="B61" s="24">
        <v>60</v>
      </c>
      <c r="C61" s="24">
        <f>VLOOKUP(Таблица1[[#This Row],[Названия строк]],Котировки[[&lt;DATE&gt;]:[&lt;VOL&gt;]],6,0)</f>
        <v>102.6</v>
      </c>
      <c r="D61" s="26">
        <f>INDEX(Купоны[Дата],MATCH($A61,Купоны[Дата],1))</f>
        <v>43203</v>
      </c>
      <c r="E61" s="24">
        <f>Купоны!$C$4*(A61-D61)/365*100</f>
        <v>0.26301369863013702</v>
      </c>
      <c r="F61" s="27">
        <f>-B61*(C61+E61)*Купоны!$G$10/100</f>
        <v>-61717.808219178078</v>
      </c>
      <c r="G61" s="34">
        <f>SUM($B$2:B61)</f>
        <v>1560</v>
      </c>
      <c r="H61" s="31">
        <f>_xlfn.IFNA(VLOOKUP($A61,Купоны[[Дата]:[% от номинала]],3,0),0)*Купоны!$G$10/100*G61</f>
        <v>0</v>
      </c>
      <c r="I61" s="36">
        <f>Таблица1[[#This Row],[Денежный поток]]+Таблица1[[#This Row],[Купонный доход]]</f>
        <v>-61717.808219178078</v>
      </c>
      <c r="J61" s="31">
        <f>Таблица1[[#This Row],[Общий денежный поток]]/((1+$L$2)^((Таблица1[[#This Row],[Названия строк]]-$A$2)/365))</f>
        <v>-60137.897012527828</v>
      </c>
    </row>
    <row r="62" spans="1:10" x14ac:dyDescent="0.3">
      <c r="A62" s="23">
        <v>43220</v>
      </c>
      <c r="B62" s="24">
        <v>920</v>
      </c>
      <c r="C62" s="24">
        <f>VLOOKUP(Таблица1[[#This Row],[Названия строк]],Котировки[[&lt;DATE&gt;]:[&lt;VOL&gt;]],6,0)</f>
        <v>103</v>
      </c>
      <c r="D62" s="26">
        <f>INDEX(Купоны[Дата],MATCH($A62,Купоны[Дата],1))</f>
        <v>43203</v>
      </c>
      <c r="E62" s="24">
        <f>Купоны!$C$4*(A62-D62)/365*100</f>
        <v>0.37260273972602742</v>
      </c>
      <c r="F62" s="27">
        <f>-B62*(C62+E62)*Купоны!$G$10/100</f>
        <v>-951027.94520547939</v>
      </c>
      <c r="G62" s="34">
        <f>SUM($B$2:B62)</f>
        <v>2480</v>
      </c>
      <c r="H62" s="31">
        <f>_xlfn.IFNA(VLOOKUP($A62,Купоны[[Дата]:[% от номинала]],3,0),0)*Купоны!$G$10/100*G62</f>
        <v>0</v>
      </c>
      <c r="I62" s="36">
        <f>Таблица1[[#This Row],[Денежный поток]]+Таблица1[[#This Row],[Купонный доход]]</f>
        <v>-951027.94520547939</v>
      </c>
      <c r="J62" s="31">
        <f>Таблица1[[#This Row],[Общий денежный поток]]/((1+$L$2)^((Таблица1[[#This Row],[Названия строк]]-$A$2)/365))</f>
        <v>-926063.4773393512</v>
      </c>
    </row>
    <row r="63" spans="1:10" x14ac:dyDescent="0.3">
      <c r="A63" s="23">
        <v>43228</v>
      </c>
      <c r="B63" s="24">
        <v>-2130</v>
      </c>
      <c r="C63" s="24">
        <f>VLOOKUP(Таблица1[[#This Row],[Названия строк]],Котировки[[&lt;DATE&gt;]:[&lt;VOL&gt;]],6,0)</f>
        <v>103.64</v>
      </c>
      <c r="D63" s="26">
        <f>INDEX(Купоны[Дата],MATCH($A63,Купоны[Дата],1))</f>
        <v>43203</v>
      </c>
      <c r="E63" s="24">
        <f>Купоны!$C$4*(A63-D63)/365*100</f>
        <v>0.54794520547945202</v>
      </c>
      <c r="F63" s="27">
        <f>-B63*(C63+E63)*Купоны!$G$10/100</f>
        <v>2219203.2328767125</v>
      </c>
      <c r="G63" s="34">
        <f>SUM($B$2:B63)</f>
        <v>350</v>
      </c>
      <c r="H63" s="31">
        <f>_xlfn.IFNA(VLOOKUP($A63,Купоны[[Дата]:[% от номинала]],3,0),0)*Купоны!$G$10/100*G63</f>
        <v>0</v>
      </c>
      <c r="I63" s="36">
        <f>Таблица1[[#This Row],[Денежный поток]]+Таблица1[[#This Row],[Купонный доход]]</f>
        <v>2219203.2328767125</v>
      </c>
      <c r="J63" s="31">
        <f>Таблица1[[#This Row],[Общий денежный поток]]/((1+$L$2)^((Таблица1[[#This Row],[Названия строк]]-$A$2)/365))</f>
        <v>2158639.5580764641</v>
      </c>
    </row>
    <row r="64" spans="1:10" x14ac:dyDescent="0.3">
      <c r="A64" s="23">
        <v>43230</v>
      </c>
      <c r="B64" s="24">
        <v>-310</v>
      </c>
      <c r="C64" s="24">
        <f>VLOOKUP(Таблица1[[#This Row],[Названия строк]],Котировки[[&lt;DATE&gt;]:[&lt;VOL&gt;]],6,0)</f>
        <v>103.8</v>
      </c>
      <c r="D64" s="26">
        <f>INDEX(Купоны[Дата],MATCH($A64,Купоны[Дата],1))</f>
        <v>43203</v>
      </c>
      <c r="E64" s="24">
        <f>Купоны!$C$4*(A64-D64)/365*100</f>
        <v>0.59178082191780834</v>
      </c>
      <c r="F64" s="27">
        <f>-B64*(C64+E64)*Купоны!$G$10/100</f>
        <v>323614.52054794523</v>
      </c>
      <c r="G64" s="34">
        <f>SUM($B$2:B64)</f>
        <v>40</v>
      </c>
      <c r="H64" s="31">
        <f>_xlfn.IFNA(VLOOKUP($A64,Купоны[[Дата]:[% от номинала]],3,0),0)*Купоны!$G$10/100*G64</f>
        <v>0</v>
      </c>
      <c r="I64" s="36">
        <f>Таблица1[[#This Row],[Денежный поток]]+Таблица1[[#This Row],[Купонный доход]]</f>
        <v>323614.52054794523</v>
      </c>
      <c r="J64" s="31">
        <f>Таблица1[[#This Row],[Общий денежный поток]]/((1+$L$2)^((Таблица1[[#This Row],[Названия строк]]-$A$2)/365))</f>
        <v>314698.70039728971</v>
      </c>
    </row>
    <row r="65" spans="1:10" x14ac:dyDescent="0.3">
      <c r="A65" s="23">
        <v>43231</v>
      </c>
      <c r="B65" s="24">
        <v>890</v>
      </c>
      <c r="C65" s="24">
        <f>VLOOKUP(Таблица1[[#This Row],[Названия строк]],Котировки[[&lt;DATE&gt;]:[&lt;VOL&gt;]],6,0)</f>
        <v>103.29</v>
      </c>
      <c r="D65" s="26">
        <f>INDEX(Купоны[Дата],MATCH($A65,Купоны[Дата],1))</f>
        <v>43203</v>
      </c>
      <c r="E65" s="24">
        <f>Купоны!$C$4*(A65-D65)/365*100</f>
        <v>0.61369863013698633</v>
      </c>
      <c r="F65" s="27">
        <f>-B65*(C65+E65)*Купоны!$G$10/100</f>
        <v>-924742.91780821921</v>
      </c>
      <c r="G65" s="34">
        <f>SUM($B$2:B65)</f>
        <v>930</v>
      </c>
      <c r="H65" s="31">
        <f>_xlfn.IFNA(VLOOKUP($A65,Купоны[[Дата]:[% от номинала]],3,0),0)*Купоны!$G$10/100*G65</f>
        <v>0</v>
      </c>
      <c r="I65" s="36">
        <f>Таблица1[[#This Row],[Денежный поток]]+Таблица1[[#This Row],[Купонный доход]]</f>
        <v>-924742.91780821921</v>
      </c>
      <c r="J65" s="31">
        <f>Таблица1[[#This Row],[Общий денежный поток]]/((1+$L$2)^((Таблица1[[#This Row],[Названия строк]]-$A$2)/365))</f>
        <v>-899145.3659914328</v>
      </c>
    </row>
    <row r="66" spans="1:10" x14ac:dyDescent="0.3">
      <c r="A66" s="23">
        <v>43234</v>
      </c>
      <c r="B66" s="24">
        <v>90</v>
      </c>
      <c r="C66" s="24">
        <f>VLOOKUP(Таблица1[[#This Row],[Названия строк]],Котировки[[&lt;DATE&gt;]:[&lt;VOL&gt;]],6,0)</f>
        <v>103.04</v>
      </c>
      <c r="D66" s="26">
        <f>INDEX(Купоны[Дата],MATCH($A66,Купоны[Дата],1))</f>
        <v>43203</v>
      </c>
      <c r="E66" s="24">
        <f>Купоны!$C$4*(A66-D66)/365*100</f>
        <v>0.67945205479452053</v>
      </c>
      <c r="F66" s="27">
        <f>-B66*(C66+E66)*Купоны!$G$10/100</f>
        <v>-93347.506849315076</v>
      </c>
      <c r="G66" s="34">
        <f>SUM($B$2:B66)</f>
        <v>1020</v>
      </c>
      <c r="H66" s="31">
        <f>_xlfn.IFNA(VLOOKUP($A66,Купоны[[Дата]:[% от номинала]],3,0),0)*Купоны!$G$10/100*G66</f>
        <v>0</v>
      </c>
      <c r="I66" s="36">
        <f>Таблица1[[#This Row],[Денежный поток]]+Таблица1[[#This Row],[Купонный доход]]</f>
        <v>-93347.506849315076</v>
      </c>
      <c r="J66" s="31">
        <f>Таблица1[[#This Row],[Общий денежный поток]]/((1+$L$2)^((Таблица1[[#This Row],[Названия строк]]-$A$2)/365))</f>
        <v>-90727.190179346304</v>
      </c>
    </row>
    <row r="67" spans="1:10" x14ac:dyDescent="0.3">
      <c r="A67" s="23">
        <v>43238</v>
      </c>
      <c r="B67" s="24">
        <v>-380</v>
      </c>
      <c r="C67" s="24">
        <f>VLOOKUP(Таблица1[[#This Row],[Названия строк]],Котировки[[&lt;DATE&gt;]:[&lt;VOL&gt;]],6,0)</f>
        <v>103</v>
      </c>
      <c r="D67" s="26">
        <f>INDEX(Купоны[Дата],MATCH($A67,Купоны[Дата],1))</f>
        <v>43203</v>
      </c>
      <c r="E67" s="24">
        <f>Купоны!$C$4*(A67-D67)/365*100</f>
        <v>0.76712328767123295</v>
      </c>
      <c r="F67" s="27">
        <f>-B67*(C67+E67)*Купоны!$G$10/100</f>
        <v>394315.0684931507</v>
      </c>
      <c r="G67" s="34">
        <f>SUM($B$2:B67)</f>
        <v>640</v>
      </c>
      <c r="H67" s="31">
        <f>_xlfn.IFNA(VLOOKUP($A67,Купоны[[Дата]:[% от номинала]],3,0),0)*Купоны!$G$10/100*G67</f>
        <v>0</v>
      </c>
      <c r="I67" s="36">
        <f>Таблица1[[#This Row],[Денежный поток]]+Таблица1[[#This Row],[Купонный доход]]</f>
        <v>394315.0684931507</v>
      </c>
      <c r="J67" s="31">
        <f>Таблица1[[#This Row],[Общий денежный поток]]/((1+$L$2)^((Таблица1[[#This Row],[Названия строк]]-$A$2)/365))</f>
        <v>383041.5622148047</v>
      </c>
    </row>
    <row r="68" spans="1:10" x14ac:dyDescent="0.3">
      <c r="A68" s="23">
        <v>43242</v>
      </c>
      <c r="B68" s="24">
        <v>50</v>
      </c>
      <c r="C68" s="24">
        <f>VLOOKUP(Таблица1[[#This Row],[Названия строк]],Котировки[[&lt;DATE&gt;]:[&lt;VOL&gt;]],6,0)</f>
        <v>102.75</v>
      </c>
      <c r="D68" s="26">
        <f>INDEX(Купоны[Дата],MATCH($A68,Купоны[Дата],1))</f>
        <v>43203</v>
      </c>
      <c r="E68" s="24">
        <f>Купоны!$C$4*(A68-D68)/365*100</f>
        <v>0.85479452054794525</v>
      </c>
      <c r="F68" s="27">
        <f>-B68*(C68+E68)*Купоны!$G$10/100</f>
        <v>-51802.397260273974</v>
      </c>
      <c r="G68" s="34">
        <f>SUM($B$2:B68)</f>
        <v>690</v>
      </c>
      <c r="H68" s="31">
        <f>_xlfn.IFNA(VLOOKUP($A68,Купоны[[Дата]:[% от номинала]],3,0),0)*Купоны!$G$10/100*G68</f>
        <v>0</v>
      </c>
      <c r="I68" s="36">
        <f>Таблица1[[#This Row],[Денежный поток]]+Таблица1[[#This Row],[Купонный доход]]</f>
        <v>-51802.397260273974</v>
      </c>
      <c r="J68" s="31">
        <f>Таблица1[[#This Row],[Общий денежный поток]]/((1+$L$2)^((Таблица1[[#This Row],[Названия строк]]-$A$2)/365))</f>
        <v>-50294.462696213996</v>
      </c>
    </row>
    <row r="69" spans="1:10" x14ac:dyDescent="0.3">
      <c r="A69" s="23">
        <v>43244</v>
      </c>
      <c r="B69" s="24">
        <v>380</v>
      </c>
      <c r="C69" s="24">
        <f>VLOOKUP(Таблица1[[#This Row],[Названия строк]],Котировки[[&lt;DATE&gt;]:[&lt;VOL&gt;]],6,0)</f>
        <v>102.53</v>
      </c>
      <c r="D69" s="26">
        <f>INDEX(Купоны[Дата],MATCH($A69,Купоны[Дата],1))</f>
        <v>43203</v>
      </c>
      <c r="E69" s="24">
        <f>Купоны!$C$4*(A69-D69)/365*100</f>
        <v>0.89863013698630134</v>
      </c>
      <c r="F69" s="27">
        <f>-B69*(C69+E69)*Купоны!$G$10/100</f>
        <v>-393028.79452054796</v>
      </c>
      <c r="G69" s="34">
        <f>SUM($B$2:B69)</f>
        <v>1070</v>
      </c>
      <c r="H69" s="31">
        <f>_xlfn.IFNA(VLOOKUP($A69,Купоны[[Дата]:[% от номинала]],3,0),0)*Купоны!$G$10/100*G69</f>
        <v>0</v>
      </c>
      <c r="I69" s="36">
        <f>Таблица1[[#This Row],[Денежный поток]]+Таблица1[[#This Row],[Купонный доход]]</f>
        <v>-393028.79452054796</v>
      </c>
      <c r="J69" s="31">
        <f>Таблица1[[#This Row],[Общий денежный поток]]/((1+$L$2)^((Таблица1[[#This Row],[Названия строк]]-$A$2)/365))</f>
        <v>-381485.97697718698</v>
      </c>
    </row>
    <row r="70" spans="1:10" x14ac:dyDescent="0.3">
      <c r="A70" s="23">
        <v>43250</v>
      </c>
      <c r="B70" s="24">
        <v>-400</v>
      </c>
      <c r="C70" s="24">
        <f>VLOOKUP(Таблица1[[#This Row],[Названия строк]],Котировки[[&lt;DATE&gt;]:[&lt;VOL&gt;]],6,0)</f>
        <v>102.77</v>
      </c>
      <c r="D70" s="26">
        <f>INDEX(Купоны[Дата],MATCH($A70,Купоны[Дата],1))</f>
        <v>43203</v>
      </c>
      <c r="E70" s="24">
        <f>Купоны!$C$4*(A70-D70)/365*100</f>
        <v>1.0301369863013701</v>
      </c>
      <c r="F70" s="27">
        <f>-B70*(C70+E70)*Купоны!$G$10/100</f>
        <v>415200.54794520547</v>
      </c>
      <c r="G70" s="34">
        <f>SUM($B$2:B70)</f>
        <v>670</v>
      </c>
      <c r="H70" s="31">
        <f>_xlfn.IFNA(VLOOKUP($A70,Купоны[[Дата]:[% от номинала]],3,0),0)*Купоны!$G$10/100*G70</f>
        <v>0</v>
      </c>
      <c r="I70" s="36">
        <f>Таблица1[[#This Row],[Денежный поток]]+Таблица1[[#This Row],[Купонный доход]]</f>
        <v>415200.54794520547</v>
      </c>
      <c r="J70" s="31">
        <f>Таблица1[[#This Row],[Общий денежный поток]]/((1+$L$2)^((Таблица1[[#This Row],[Названия строк]]-$A$2)/365))</f>
        <v>402683.47690523707</v>
      </c>
    </row>
    <row r="71" spans="1:10" x14ac:dyDescent="0.3">
      <c r="A71" s="23">
        <v>43252</v>
      </c>
      <c r="B71" s="24">
        <v>-90</v>
      </c>
      <c r="C71" s="24">
        <f>VLOOKUP(Таблица1[[#This Row],[Названия строк]],Котировки[[&lt;DATE&gt;]:[&lt;VOL&gt;]],6,0)</f>
        <v>102.94</v>
      </c>
      <c r="D71" s="26">
        <f>INDEX(Купоны[Дата],MATCH($A71,Купоны[Дата],1))</f>
        <v>43203</v>
      </c>
      <c r="E71" s="24">
        <f>Купоны!$C$4*(A71-D71)/365*100</f>
        <v>1.0739726027397261</v>
      </c>
      <c r="F71" s="27">
        <f>-B71*(C71+E71)*Купоны!$G$10/100</f>
        <v>93612.575342465745</v>
      </c>
      <c r="G71" s="34">
        <f>SUM($B$2:B71)</f>
        <v>580</v>
      </c>
      <c r="H71" s="31">
        <f>_xlfn.IFNA(VLOOKUP($A71,Купоны[[Дата]:[% от номинала]],3,0),0)*Купоны!$G$10/100*G71</f>
        <v>0</v>
      </c>
      <c r="I71" s="36">
        <f>Таблица1[[#This Row],[Денежный поток]]+Таблица1[[#This Row],[Купонный доход]]</f>
        <v>93612.575342465745</v>
      </c>
      <c r="J71" s="31">
        <f>Таблица1[[#This Row],[Общий денежный поток]]/((1+$L$2)^((Таблица1[[#This Row],[Названия строк]]-$A$2)/365))</f>
        <v>90766.163521508002</v>
      </c>
    </row>
    <row r="72" spans="1:10" x14ac:dyDescent="0.3">
      <c r="A72" s="23">
        <v>43262</v>
      </c>
      <c r="B72" s="24">
        <v>-190</v>
      </c>
      <c r="C72" s="24">
        <f>VLOOKUP(Таблица1[[#This Row],[Названия строк]],Котировки[[&lt;DATE&gt;]:[&lt;VOL&gt;]],6,0)</f>
        <v>102.6</v>
      </c>
      <c r="D72" s="26">
        <f>INDEX(Купоны[Дата],MATCH($A72,Купоны[Дата],1))</f>
        <v>43203</v>
      </c>
      <c r="E72" s="24">
        <f>Купоны!$C$4*(A72-D72)/365*100</f>
        <v>1.2931506849315069</v>
      </c>
      <c r="F72" s="27">
        <f>-B72*(C72+E72)*Купоны!$G$10/100</f>
        <v>197396.98630136982</v>
      </c>
      <c r="G72" s="34">
        <f>SUM($B$2:B72)</f>
        <v>390</v>
      </c>
      <c r="H72" s="31">
        <f>_xlfn.IFNA(VLOOKUP($A72,Купоны[[Дата]:[% от номинала]],3,0),0)*Купоны!$G$10/100*G72</f>
        <v>0</v>
      </c>
      <c r="I72" s="36">
        <f>Таблица1[[#This Row],[Денежный поток]]+Таблица1[[#This Row],[Купонный доход]]</f>
        <v>197396.98630136982</v>
      </c>
      <c r="J72" s="31">
        <f>Таблица1[[#This Row],[Общий денежный поток]]/((1+$L$2)^((Таблица1[[#This Row],[Названия строк]]-$A$2)/365))</f>
        <v>191139.20496649001</v>
      </c>
    </row>
    <row r="73" spans="1:10" x14ac:dyDescent="0.3">
      <c r="A73" s="23">
        <v>43266</v>
      </c>
      <c r="B73" s="24">
        <v>450</v>
      </c>
      <c r="C73" s="24">
        <f>VLOOKUP(Таблица1[[#This Row],[Названия строк]],Котировки[[&lt;DATE&gt;]:[&lt;VOL&gt;]],6,0)</f>
        <v>102.79</v>
      </c>
      <c r="D73" s="26">
        <f>INDEX(Купоны[Дата],MATCH($A73,Купоны[Дата],1))</f>
        <v>43203</v>
      </c>
      <c r="E73" s="24">
        <f>Купоны!$C$4*(A73-D73)/365*100</f>
        <v>1.3808219178082191</v>
      </c>
      <c r="F73" s="27">
        <f>-B73*(C73+E73)*Купоны!$G$10/100</f>
        <v>-468768.69863013702</v>
      </c>
      <c r="G73" s="34">
        <f>SUM($B$2:B73)</f>
        <v>840</v>
      </c>
      <c r="H73" s="31">
        <f>_xlfn.IFNA(VLOOKUP($A73,Купоны[[Дата]:[% от номинала]],3,0),0)*Купоны!$G$10/100*G73</f>
        <v>0</v>
      </c>
      <c r="I73" s="36">
        <f>Таблица1[[#This Row],[Денежный поток]]+Таблица1[[#This Row],[Купонный доход]]</f>
        <v>-468768.69863013702</v>
      </c>
      <c r="J73" s="31">
        <f>Таблица1[[#This Row],[Общий денежный поток]]/((1+$L$2)^((Таблица1[[#This Row],[Названия строк]]-$A$2)/365))</f>
        <v>-453665.3921672235</v>
      </c>
    </row>
    <row r="74" spans="1:10" x14ac:dyDescent="0.3">
      <c r="A74" s="23">
        <v>43269</v>
      </c>
      <c r="B74" s="24">
        <v>310</v>
      </c>
      <c r="C74" s="24">
        <f>VLOOKUP(Таблица1[[#This Row],[Названия строк]],Котировки[[&lt;DATE&gt;]:[&lt;VOL&gt;]],6,0)</f>
        <v>102.61</v>
      </c>
      <c r="D74" s="26">
        <f>INDEX(Купоны[Дата],MATCH($A74,Купоны[Дата],1))</f>
        <v>43203</v>
      </c>
      <c r="E74" s="24">
        <f>Купоны!$C$4*(A74-D74)/365*100</f>
        <v>1.4465753424657535</v>
      </c>
      <c r="F74" s="27">
        <f>-B74*(C74+E74)*Купоны!$G$10/100</f>
        <v>-322575.38356164383</v>
      </c>
      <c r="G74" s="34">
        <f>SUM($B$2:B74)</f>
        <v>1150</v>
      </c>
      <c r="H74" s="31">
        <f>_xlfn.IFNA(VLOOKUP($A74,Купоны[[Дата]:[% от номинала]],3,0),0)*Купоны!$G$10/100*G74</f>
        <v>0</v>
      </c>
      <c r="I74" s="36">
        <f>Таблица1[[#This Row],[Денежный поток]]+Таблица1[[#This Row],[Купонный доход]]</f>
        <v>-322575.38356164383</v>
      </c>
      <c r="J74" s="31">
        <f>Таблица1[[#This Row],[Общий денежный поток]]/((1+$L$2)^((Таблица1[[#This Row],[Названия строк]]-$A$2)/365))</f>
        <v>-312057.12971259077</v>
      </c>
    </row>
    <row r="75" spans="1:10" x14ac:dyDescent="0.3">
      <c r="A75" s="23">
        <v>43270</v>
      </c>
      <c r="B75" s="24">
        <v>-1010</v>
      </c>
      <c r="C75" s="24">
        <f>VLOOKUP(Таблица1[[#This Row],[Названия строк]],Котировки[[&lt;DATE&gt;]:[&lt;VOL&gt;]],6,0)</f>
        <v>102.7</v>
      </c>
      <c r="D75" s="26">
        <f>INDEX(Купоны[Дата],MATCH($A75,Купоны[Дата],1))</f>
        <v>43203</v>
      </c>
      <c r="E75" s="24">
        <f>Купоны!$C$4*(A75-D75)/365*100</f>
        <v>1.4684931506849317</v>
      </c>
      <c r="F75" s="27">
        <f>-B75*(C75+E75)*Купоны!$G$10/100</f>
        <v>1052101.780821918</v>
      </c>
      <c r="G75" s="34">
        <f>SUM($B$2:B75)</f>
        <v>140</v>
      </c>
      <c r="H75" s="31">
        <f>_xlfn.IFNA(VLOOKUP($A75,Купоны[[Дата]:[% от номинала]],3,0),0)*Купоны!$G$10/100*G75</f>
        <v>0</v>
      </c>
      <c r="I75" s="36">
        <f>Таблица1[[#This Row],[Денежный поток]]+Таблица1[[#This Row],[Купонный доход]]</f>
        <v>1052101.780821918</v>
      </c>
      <c r="J75" s="31">
        <f>Таблица1[[#This Row],[Общий денежный поток]]/((1+$L$2)^((Таблица1[[#This Row],[Названия строк]]-$A$2)/365))</f>
        <v>1017659.731699341</v>
      </c>
    </row>
    <row r="76" spans="1:10" x14ac:dyDescent="0.3">
      <c r="A76" s="23">
        <v>43273</v>
      </c>
      <c r="B76" s="24">
        <v>1000</v>
      </c>
      <c r="C76" s="24">
        <f>VLOOKUP(Таблица1[[#This Row],[Названия строк]],Котировки[[&lt;DATE&gt;]:[&lt;VOL&gt;]],6,0)</f>
        <v>102.43</v>
      </c>
      <c r="D76" s="26">
        <f>INDEX(Купоны[Дата],MATCH($A76,Купоны[Дата],1))</f>
        <v>43203</v>
      </c>
      <c r="E76" s="24">
        <f>Купоны!$C$4*(A76-D76)/365*100</f>
        <v>1.5342465753424659</v>
      </c>
      <c r="F76" s="27">
        <f>-B76*(C76+E76)*Купоны!$G$10/100</f>
        <v>-1039642.4657534248</v>
      </c>
      <c r="G76" s="34">
        <f>SUM($B$2:B76)</f>
        <v>1140</v>
      </c>
      <c r="H76" s="31">
        <f>_xlfn.IFNA(VLOOKUP($A76,Купоны[[Дата]:[% от номинала]],3,0),0)*Купоны!$G$10/100*G76</f>
        <v>0</v>
      </c>
      <c r="I76" s="36">
        <f>Таблица1[[#This Row],[Денежный поток]]+Таблица1[[#This Row],[Купонный доход]]</f>
        <v>-1039642.4657534248</v>
      </c>
      <c r="J76" s="31">
        <f>Таблица1[[#This Row],[Общий денежный поток]]/((1+$L$2)^((Таблица1[[#This Row],[Названия строк]]-$A$2)/365))</f>
        <v>-1005205.1068314315</v>
      </c>
    </row>
    <row r="77" spans="1:10" x14ac:dyDescent="0.3">
      <c r="A77" s="23">
        <v>43276</v>
      </c>
      <c r="B77" s="24">
        <v>-170</v>
      </c>
      <c r="C77" s="24">
        <f>VLOOKUP(Таблица1[[#This Row],[Названия строк]],Котировки[[&lt;DATE&gt;]:[&lt;VOL&gt;]],6,0)</f>
        <v>101.26</v>
      </c>
      <c r="D77" s="26">
        <f>INDEX(Купоны[Дата],MATCH($A77,Купоны[Дата],1))</f>
        <v>43203</v>
      </c>
      <c r="E77" s="24">
        <f>Купоны!$C$4*(A77-D77)/365*100</f>
        <v>1.6</v>
      </c>
      <c r="F77" s="27">
        <f>-B77*(C77+E77)*Купоны!$G$10/100</f>
        <v>174862</v>
      </c>
      <c r="G77" s="34">
        <f>SUM($B$2:B77)</f>
        <v>970</v>
      </c>
      <c r="H77" s="31">
        <f>_xlfn.IFNA(VLOOKUP($A77,Купоны[[Дата]:[% от номинала]],3,0),0)*Купоны!$G$10/100*G77</f>
        <v>0</v>
      </c>
      <c r="I77" s="36">
        <f>Таблица1[[#This Row],[Денежный поток]]+Таблица1[[#This Row],[Купонный доход]]</f>
        <v>174862</v>
      </c>
      <c r="J77" s="31">
        <f>Таблица1[[#This Row],[Общий денежный поток]]/((1+$L$2)^((Таблица1[[#This Row],[Названия строк]]-$A$2)/365))</f>
        <v>169002.04447441857</v>
      </c>
    </row>
    <row r="78" spans="1:10" x14ac:dyDescent="0.3">
      <c r="A78" s="23">
        <v>43280</v>
      </c>
      <c r="B78" s="24">
        <v>-410</v>
      </c>
      <c r="C78" s="24">
        <f>VLOOKUP(Таблица1[[#This Row],[Названия строк]],Котировки[[&lt;DATE&gt;]:[&lt;VOL&gt;]],6,0)</f>
        <v>101.9</v>
      </c>
      <c r="D78" s="26">
        <f>INDEX(Купоны[Дата],MATCH($A78,Купоны[Дата],1))</f>
        <v>43203</v>
      </c>
      <c r="E78" s="24">
        <f>Купоны!$C$4*(A78-D78)/365*100</f>
        <v>1.6876712328767123</v>
      </c>
      <c r="F78" s="27">
        <f>-B78*(C78+E78)*Купоны!$G$10/100</f>
        <v>424709.45205479453</v>
      </c>
      <c r="G78" s="34">
        <f>SUM($B$2:B78)</f>
        <v>560</v>
      </c>
      <c r="H78" s="31">
        <f>_xlfn.IFNA(VLOOKUP($A78,Купоны[[Дата]:[% от номинала]],3,0),0)*Купоны!$G$10/100*G78</f>
        <v>0</v>
      </c>
      <c r="I78" s="36">
        <f>Таблица1[[#This Row],[Денежный поток]]+Таблица1[[#This Row],[Купонный доход]]</f>
        <v>424709.45205479453</v>
      </c>
      <c r="J78" s="31">
        <f>Таблица1[[#This Row],[Общий денежный поток]]/((1+$L$2)^((Таблица1[[#This Row],[Названия строк]]-$A$2)/365))</f>
        <v>410257.21928708692</v>
      </c>
    </row>
    <row r="79" spans="1:10" x14ac:dyDescent="0.3">
      <c r="A79" s="23">
        <v>43283</v>
      </c>
      <c r="B79" s="24">
        <v>-380</v>
      </c>
      <c r="C79" s="24">
        <f>VLOOKUP(Таблица1[[#This Row],[Названия строк]],Котировки[[&lt;DATE&gt;]:[&lt;VOL&gt;]],6,0)</f>
        <v>101.99</v>
      </c>
      <c r="D79" s="26">
        <f>INDEX(Купоны[Дата],MATCH($A79,Купоны[Дата],1))</f>
        <v>43203</v>
      </c>
      <c r="E79" s="24">
        <f>Купоны!$C$4*(A79-D79)/365*100</f>
        <v>1.7534246575342467</v>
      </c>
      <c r="F79" s="27">
        <f>-B79*(C79+E79)*Купоны!$G$10/100</f>
        <v>394225.01369863009</v>
      </c>
      <c r="G79" s="34">
        <f>SUM($B$2:B79)</f>
        <v>180</v>
      </c>
      <c r="H79" s="31">
        <f>_xlfn.IFNA(VLOOKUP($A79,Купоны[[Дата]:[% от номинала]],3,0),0)*Купоны!$G$10/100*G79</f>
        <v>0</v>
      </c>
      <c r="I79" s="36">
        <f>Таблица1[[#This Row],[Денежный поток]]+Таблица1[[#This Row],[Купонный доход]]</f>
        <v>394225.01369863009</v>
      </c>
      <c r="J79" s="31">
        <f>Таблица1[[#This Row],[Общий денежный поток]]/((1+$L$2)^((Таблица1[[#This Row],[Названия строк]]-$A$2)/365))</f>
        <v>380657.44118330191</v>
      </c>
    </row>
    <row r="80" spans="1:10" x14ac:dyDescent="0.3">
      <c r="A80" s="23">
        <v>43287</v>
      </c>
      <c r="B80" s="24">
        <v>440</v>
      </c>
      <c r="C80" s="24">
        <f>VLOOKUP(Таблица1[[#This Row],[Названия строк]],Котировки[[&lt;DATE&gt;]:[&lt;VOL&gt;]],6,0)</f>
        <v>102.2</v>
      </c>
      <c r="D80" s="26">
        <f>INDEX(Купоны[Дата],MATCH($A80,Купоны[Дата],1))</f>
        <v>43203</v>
      </c>
      <c r="E80" s="24">
        <f>Купоны!$C$4*(A80-D80)/365*100</f>
        <v>1.8410958904109587</v>
      </c>
      <c r="F80" s="27">
        <f>-B80*(C80+E80)*Купоны!$G$10/100</f>
        <v>-457780.82191780821</v>
      </c>
      <c r="G80" s="34">
        <f>SUM($B$2:B80)</f>
        <v>620</v>
      </c>
      <c r="H80" s="31">
        <f>_xlfn.IFNA(VLOOKUP($A80,Купоны[[Дата]:[% от номинала]],3,0),0)*Купоны!$G$10/100*G80</f>
        <v>0</v>
      </c>
      <c r="I80" s="36">
        <f>Таблица1[[#This Row],[Денежный поток]]+Таблица1[[#This Row],[Купонный доход]]</f>
        <v>-457780.82191780821</v>
      </c>
      <c r="J80" s="31">
        <f>Таблица1[[#This Row],[Общий денежный поток]]/((1+$L$2)^((Таблица1[[#This Row],[Названия строк]]-$A$2)/365))</f>
        <v>-441789.64266523154</v>
      </c>
    </row>
    <row r="81" spans="1:10" x14ac:dyDescent="0.3">
      <c r="A81" s="23">
        <v>43294</v>
      </c>
      <c r="B81" s="24">
        <v>90</v>
      </c>
      <c r="C81" s="24">
        <f>VLOOKUP(Таблица1[[#This Row],[Названия строк]],Котировки[[&lt;DATE&gt;]:[&lt;VOL&gt;]],6,0)</f>
        <v>101.97</v>
      </c>
      <c r="D81" s="26">
        <f>INDEX(Купоны[Дата],MATCH($A81,Купоны[Дата],1))</f>
        <v>43203</v>
      </c>
      <c r="E81" s="24">
        <f>Купоны!$C$4*(A81-D81)/365*100</f>
        <v>1.9945205479452055</v>
      </c>
      <c r="F81" s="27">
        <f>-B81*(C81+E81)*Купоны!$G$10/100</f>
        <v>-93568.068493150684</v>
      </c>
      <c r="G81" s="34">
        <f>SUM($B$2:B81)</f>
        <v>710</v>
      </c>
      <c r="H81" s="31">
        <f>_xlfn.IFNA(VLOOKUP($A81,Купоны[[Дата]:[% от номинала]],3,0),0)*Купоны!$G$10/100*G81</f>
        <v>0</v>
      </c>
      <c r="I81" s="36">
        <f>Таблица1[[#This Row],[Денежный поток]]+Таблица1[[#This Row],[Купонный доход]]</f>
        <v>-93568.068493150684</v>
      </c>
      <c r="J81" s="31">
        <f>Таблица1[[#This Row],[Общий денежный поток]]/((1+$L$2)^((Таблица1[[#This Row],[Названия строк]]-$A$2)/365))</f>
        <v>-90215.098963774682</v>
      </c>
    </row>
    <row r="82" spans="1:10" x14ac:dyDescent="0.3">
      <c r="A82" s="23">
        <v>43299</v>
      </c>
      <c r="B82" s="24">
        <v>170</v>
      </c>
      <c r="C82" s="24">
        <f>VLOOKUP(Таблица1[[#This Row],[Названия строк]],Котировки[[&lt;DATE&gt;]:[&lt;VOL&gt;]],6,0)</f>
        <v>101.73</v>
      </c>
      <c r="D82" s="26">
        <f>INDEX(Купоны[Дата],MATCH($A82,Купоны[Дата],1))</f>
        <v>43203</v>
      </c>
      <c r="E82" s="24">
        <f>Купоны!$C$4*(A82-D82)/365*100</f>
        <v>2.1041095890410961</v>
      </c>
      <c r="F82" s="27">
        <f>-B82*(C82+E82)*Купоны!$G$10/100</f>
        <v>-176517.98630136988</v>
      </c>
      <c r="G82" s="34">
        <f>SUM($B$2:B82)</f>
        <v>880</v>
      </c>
      <c r="H82" s="31">
        <f>_xlfn.IFNA(VLOOKUP($A82,Купоны[[Дата]:[% от номинала]],3,0),0)*Купоны!$G$10/100*G82</f>
        <v>0</v>
      </c>
      <c r="I82" s="36">
        <f>Таблица1[[#This Row],[Денежный поток]]+Таблица1[[#This Row],[Купонный доход]]</f>
        <v>-176517.98630136988</v>
      </c>
      <c r="J82" s="31">
        <f>Таблица1[[#This Row],[Общий денежный поток]]/((1+$L$2)^((Таблица1[[#This Row],[Названия строк]]-$A$2)/365))</f>
        <v>-170078.83226866779</v>
      </c>
    </row>
    <row r="83" spans="1:10" x14ac:dyDescent="0.3">
      <c r="A83" s="23">
        <v>43307</v>
      </c>
      <c r="B83" s="24">
        <v>-600</v>
      </c>
      <c r="C83" s="24">
        <f>VLOOKUP(Таблица1[[#This Row],[Названия строк]],Котировки[[&lt;DATE&gt;]:[&lt;VOL&gt;]],6,0)</f>
        <v>101.64</v>
      </c>
      <c r="D83" s="26">
        <f>INDEX(Купоны[Дата],MATCH($A83,Купоны[Дата],1))</f>
        <v>43203</v>
      </c>
      <c r="E83" s="24">
        <f>Купоны!$C$4*(A83-D83)/365*100</f>
        <v>2.2794520547945205</v>
      </c>
      <c r="F83" s="27">
        <f>-B83*(C83+E83)*Купоны!$G$10/100</f>
        <v>623516.71232876705</v>
      </c>
      <c r="G83" s="34">
        <f>SUM($B$2:B83)</f>
        <v>280</v>
      </c>
      <c r="H83" s="31">
        <f>_xlfn.IFNA(VLOOKUP($A83,Купоны[[Дата]:[% от номинала]],3,0),0)*Купоны!$G$10/100*G83</f>
        <v>0</v>
      </c>
      <c r="I83" s="36">
        <f>Таблица1[[#This Row],[Денежный поток]]+Таблица1[[#This Row],[Купонный доход]]</f>
        <v>623516.71232876705</v>
      </c>
      <c r="J83" s="31">
        <f>Таблица1[[#This Row],[Общий денежный поток]]/((1+$L$2)^((Таблица1[[#This Row],[Названия строк]]-$A$2)/365))</f>
        <v>600129.50139002199</v>
      </c>
    </row>
    <row r="84" spans="1:10" x14ac:dyDescent="0.3">
      <c r="A84" s="23">
        <v>43308</v>
      </c>
      <c r="B84" s="24">
        <v>610</v>
      </c>
      <c r="C84" s="24">
        <f>VLOOKUP(Таблица1[[#This Row],[Названия строк]],Котировки[[&lt;DATE&gt;]:[&lt;VOL&gt;]],6,0)</f>
        <v>101.5</v>
      </c>
      <c r="D84" s="26">
        <f>INDEX(Купоны[Дата],MATCH($A84,Купоны[Дата],1))</f>
        <v>43203</v>
      </c>
      <c r="E84" s="24">
        <f>Купоны!$C$4*(A84-D84)/365*100</f>
        <v>2.3013698630136985</v>
      </c>
      <c r="F84" s="27">
        <f>-B84*(C84+E84)*Купоны!$G$10/100</f>
        <v>-633188.35616438359</v>
      </c>
      <c r="G84" s="34">
        <f>SUM($B$2:B84)</f>
        <v>890</v>
      </c>
      <c r="H84" s="31">
        <f>_xlfn.IFNA(VLOOKUP($A84,Купоны[[Дата]:[% от номинала]],3,0),0)*Купоны!$G$10/100*G84</f>
        <v>0</v>
      </c>
      <c r="I84" s="36">
        <f>Таблица1[[#This Row],[Денежный поток]]+Таблица1[[#This Row],[Купонный доход]]</f>
        <v>-633188.35616438359</v>
      </c>
      <c r="J84" s="31">
        <f>Таблица1[[#This Row],[Общий денежный поток]]/((1+$L$2)^((Таблица1[[#This Row],[Названия строк]]-$A$2)/365))</f>
        <v>-609356.91663159709</v>
      </c>
    </row>
    <row r="85" spans="1:10" x14ac:dyDescent="0.3">
      <c r="A85" s="23">
        <v>43311</v>
      </c>
      <c r="B85" s="24">
        <v>-10</v>
      </c>
      <c r="C85" s="24">
        <f>VLOOKUP(Таблица1[[#This Row],[Названия строк]],Котировки[[&lt;DATE&gt;]:[&lt;VOL&gt;]],6,0)</f>
        <v>101.65</v>
      </c>
      <c r="D85" s="26">
        <f>INDEX(Купоны[Дата],MATCH($A85,Купоны[Дата],1))</f>
        <v>43203</v>
      </c>
      <c r="E85" s="24">
        <f>Купоны!$C$4*(A85-D85)/365*100</f>
        <v>2.3671232876712334</v>
      </c>
      <c r="F85" s="27">
        <f>-B85*(C85+E85)*Купоны!$G$10/100</f>
        <v>10401.712328767124</v>
      </c>
      <c r="G85" s="34">
        <f>SUM($B$2:B85)</f>
        <v>880</v>
      </c>
      <c r="H85" s="31">
        <f>_xlfn.IFNA(VLOOKUP($A85,Купоны[[Дата]:[% от номинала]],3,0),0)*Купоны!$G$10/100*G85</f>
        <v>0</v>
      </c>
      <c r="I85" s="36">
        <f>Таблица1[[#This Row],[Денежный поток]]+Таблица1[[#This Row],[Купонный доход]]</f>
        <v>10401.712328767124</v>
      </c>
      <c r="J85" s="31">
        <f>Таблица1[[#This Row],[Общий денежный поток]]/((1+$L$2)^((Таблица1[[#This Row],[Названия строк]]-$A$2)/365))</f>
        <v>10006.207512133971</v>
      </c>
    </row>
    <row r="86" spans="1:10" x14ac:dyDescent="0.3">
      <c r="A86" s="23">
        <v>43313</v>
      </c>
      <c r="B86" s="24">
        <v>900</v>
      </c>
      <c r="C86" s="24">
        <f>VLOOKUP(Таблица1[[#This Row],[Названия строк]],Котировки[[&lt;DATE&gt;]:[&lt;VOL&gt;]],6,0)</f>
        <v>101.7</v>
      </c>
      <c r="D86" s="26">
        <f>INDEX(Купоны[Дата],MATCH($A86,Купоны[Дата],1))</f>
        <v>43203</v>
      </c>
      <c r="E86" s="24">
        <f>Купоны!$C$4*(A86-D86)/365*100</f>
        <v>2.4109589041095889</v>
      </c>
      <c r="F86" s="27">
        <f>-B86*(C86+E86)*Купоны!$G$10/100</f>
        <v>-936998.63013698638</v>
      </c>
      <c r="G86" s="34">
        <f>SUM($B$2:B86)</f>
        <v>1780</v>
      </c>
      <c r="H86" s="31">
        <f>_xlfn.IFNA(VLOOKUP($A86,Купоны[[Дата]:[% от номинала]],3,0),0)*Купоны!$G$10/100*G86</f>
        <v>0</v>
      </c>
      <c r="I86" s="36">
        <f>Таблица1[[#This Row],[Денежный поток]]+Таблица1[[#This Row],[Купонный доход]]</f>
        <v>-936998.63013698638</v>
      </c>
      <c r="J86" s="31">
        <f>Таблица1[[#This Row],[Общий денежный поток]]/((1+$L$2)^((Таблица1[[#This Row],[Названия строк]]-$A$2)/365))</f>
        <v>-901130.14202327863</v>
      </c>
    </row>
    <row r="87" spans="1:10" x14ac:dyDescent="0.3">
      <c r="A87" s="23">
        <v>43314</v>
      </c>
      <c r="B87" s="24">
        <v>-680</v>
      </c>
      <c r="C87" s="24">
        <f>VLOOKUP(Таблица1[[#This Row],[Названия строк]],Котировки[[&lt;DATE&gt;]:[&lt;VOL&gt;]],6,0)</f>
        <v>101.8</v>
      </c>
      <c r="D87" s="26">
        <f>INDEX(Купоны[Дата],MATCH($A87,Купоны[Дата],1))</f>
        <v>43203</v>
      </c>
      <c r="E87" s="24">
        <f>Купоны!$C$4*(A87-D87)/365*100</f>
        <v>2.4328767123287673</v>
      </c>
      <c r="F87" s="27">
        <f>-B87*(C87+E87)*Купоны!$G$10/100</f>
        <v>708783.56164383562</v>
      </c>
      <c r="G87" s="34">
        <f>SUM($B$2:B87)</f>
        <v>1100</v>
      </c>
      <c r="H87" s="31">
        <f>_xlfn.IFNA(VLOOKUP($A87,Купоны[[Дата]:[% от номинала]],3,0),0)*Купоны!$G$10/100*G87</f>
        <v>0</v>
      </c>
      <c r="I87" s="36">
        <f>Таблица1[[#This Row],[Денежный поток]]+Таблица1[[#This Row],[Купонный доход]]</f>
        <v>708783.56164383562</v>
      </c>
      <c r="J87" s="31">
        <f>Таблица1[[#This Row],[Общий денежный поток]]/((1+$L$2)^((Таблица1[[#This Row],[Названия строк]]-$A$2)/365))</f>
        <v>681560.07895529049</v>
      </c>
    </row>
    <row r="88" spans="1:10" x14ac:dyDescent="0.3">
      <c r="A88" s="23">
        <v>43315</v>
      </c>
      <c r="B88" s="24">
        <v>-910</v>
      </c>
      <c r="C88" s="24">
        <f>VLOOKUP(Таблица1[[#This Row],[Названия строк]],Котировки[[&lt;DATE&gt;]:[&lt;VOL&gt;]],6,0)</f>
        <v>102.15</v>
      </c>
      <c r="D88" s="26">
        <f>INDEX(Купоны[Дата],MATCH($A88,Купоны[Дата],1))</f>
        <v>43203</v>
      </c>
      <c r="E88" s="24">
        <f>Купоны!$C$4*(A88-D88)/365*100</f>
        <v>2.4547945205479453</v>
      </c>
      <c r="F88" s="27">
        <f>-B88*(C88+E88)*Купоны!$G$10/100</f>
        <v>951903.63013698638</v>
      </c>
      <c r="G88" s="34">
        <f>SUM($B$2:B88)</f>
        <v>190</v>
      </c>
      <c r="H88" s="31">
        <f>_xlfn.IFNA(VLOOKUP($A88,Купоны[[Дата]:[% от номинала]],3,0),0)*Купоны!$G$10/100*G88</f>
        <v>0</v>
      </c>
      <c r="I88" s="36">
        <f>Таблица1[[#This Row],[Денежный поток]]+Таблица1[[#This Row],[Купонный доход]]</f>
        <v>951903.63013698638</v>
      </c>
      <c r="J88" s="31">
        <f>Таблица1[[#This Row],[Общий денежный поток]]/((1+$L$2)^((Таблица1[[#This Row],[Названия строк]]-$A$2)/365))</f>
        <v>915219.86508304451</v>
      </c>
    </row>
    <row r="89" spans="1:10" x14ac:dyDescent="0.3">
      <c r="A89" s="23">
        <v>43318</v>
      </c>
      <c r="B89" s="24">
        <v>60</v>
      </c>
      <c r="C89" s="24">
        <f>VLOOKUP(Таблица1[[#This Row],[Названия строк]],Котировки[[&lt;DATE&gt;]:[&lt;VOL&gt;]],6,0)</f>
        <v>101.35</v>
      </c>
      <c r="D89" s="26">
        <f>INDEX(Купоны[Дата],MATCH($A89,Купоны[Дата],1))</f>
        <v>43203</v>
      </c>
      <c r="E89" s="24">
        <f>Купоны!$C$4*(A89-D89)/365*100</f>
        <v>2.5205479452054798</v>
      </c>
      <c r="F89" s="27">
        <f>-B89*(C89+E89)*Купоны!$G$10/100</f>
        <v>-62322.328767123276</v>
      </c>
      <c r="G89" s="34">
        <f>SUM($B$2:B89)</f>
        <v>250</v>
      </c>
      <c r="H89" s="31">
        <f>_xlfn.IFNA(VLOOKUP($A89,Купоны[[Дата]:[% от номинала]],3,0),0)*Купоны!$G$10/100*G89</f>
        <v>0</v>
      </c>
      <c r="I89" s="36">
        <f>Таблица1[[#This Row],[Денежный поток]]+Таблица1[[#This Row],[Купонный доход]]</f>
        <v>-62322.328767123276</v>
      </c>
      <c r="J89" s="31">
        <f>Таблица1[[#This Row],[Общий денежный поток]]/((1+$L$2)^((Таблица1[[#This Row],[Названия строк]]-$A$2)/365))</f>
        <v>-59896.572253946884</v>
      </c>
    </row>
    <row r="90" spans="1:10" x14ac:dyDescent="0.3">
      <c r="A90" s="23">
        <v>43319</v>
      </c>
      <c r="B90" s="24">
        <v>-160</v>
      </c>
      <c r="C90" s="24">
        <f>VLOOKUP(Таблица1[[#This Row],[Названия строк]],Котировки[[&lt;DATE&gt;]:[&lt;VOL&gt;]],6,0)</f>
        <v>101.15</v>
      </c>
      <c r="D90" s="26">
        <f>INDEX(Купоны[Дата],MATCH($A90,Купоны[Дата],1))</f>
        <v>43203</v>
      </c>
      <c r="E90" s="24">
        <f>Купоны!$C$4*(A90-D90)/365*100</f>
        <v>2.5424657534246573</v>
      </c>
      <c r="F90" s="27">
        <f>-B90*(C90+E90)*Купоны!$G$10/100</f>
        <v>165907.94520547945</v>
      </c>
      <c r="G90" s="34">
        <f>SUM($B$2:B90)</f>
        <v>90</v>
      </c>
      <c r="H90" s="31">
        <f>_xlfn.IFNA(VLOOKUP($A90,Купоны[[Дата]:[% от номинала]],3,0),0)*Купоны!$G$10/100*G90</f>
        <v>0</v>
      </c>
      <c r="I90" s="36">
        <f>Таблица1[[#This Row],[Денежный поток]]+Таблица1[[#This Row],[Купонный доход]]</f>
        <v>165907.94520547945</v>
      </c>
      <c r="J90" s="31">
        <f>Таблица1[[#This Row],[Общий денежный поток]]/((1+$L$2)^((Таблица1[[#This Row],[Названия строк]]-$A$2)/365))</f>
        <v>159429.03891625925</v>
      </c>
    </row>
    <row r="91" spans="1:10" x14ac:dyDescent="0.3">
      <c r="A91" s="23">
        <v>43322</v>
      </c>
      <c r="B91" s="24">
        <v>530</v>
      </c>
      <c r="C91" s="24">
        <f>VLOOKUP(Таблица1[[#This Row],[Названия строк]],Котировки[[&lt;DATE&gt;]:[&lt;VOL&gt;]],6,0)</f>
        <v>100.49</v>
      </c>
      <c r="D91" s="26">
        <f>INDEX(Купоны[Дата],MATCH($A91,Купоны[Дата],1))</f>
        <v>43203</v>
      </c>
      <c r="E91" s="24">
        <f>Купоны!$C$4*(A91-D91)/365*100</f>
        <v>2.6082191780821917</v>
      </c>
      <c r="F91" s="27">
        <f>-B91*(C91+E91)*Купоны!$G$10/100</f>
        <v>-546420.56164383562</v>
      </c>
      <c r="G91" s="34">
        <f>SUM($B$2:B91)</f>
        <v>620</v>
      </c>
      <c r="H91" s="31">
        <f>_xlfn.IFNA(VLOOKUP($A91,Купоны[[Дата]:[% от номинала]],3,0),0)*Купоны!$G$10/100*G91</f>
        <v>0</v>
      </c>
      <c r="I91" s="36">
        <f>Таблица1[[#This Row],[Денежный поток]]+Таблица1[[#This Row],[Купонный доход]]</f>
        <v>-546420.56164383562</v>
      </c>
      <c r="J91" s="31">
        <f>Таблица1[[#This Row],[Общий денежный поток]]/((1+$L$2)^((Таблица1[[#This Row],[Названия строк]]-$A$2)/365))</f>
        <v>-524871.65297963528</v>
      </c>
    </row>
    <row r="92" spans="1:10" x14ac:dyDescent="0.3">
      <c r="A92" s="23">
        <v>43326</v>
      </c>
      <c r="B92" s="24">
        <v>610</v>
      </c>
      <c r="C92" s="24">
        <f>VLOOKUP(Таблица1[[#This Row],[Названия строк]],Котировки[[&lt;DATE&gt;]:[&lt;VOL&gt;]],6,0)</f>
        <v>100.21</v>
      </c>
      <c r="D92" s="26">
        <f>INDEX(Купоны[Дата],MATCH($A92,Купоны[Дата],1))</f>
        <v>43203</v>
      </c>
      <c r="E92" s="24">
        <f>Купоны!$C$4*(A92-D92)/365*100</f>
        <v>2.6958904109589041</v>
      </c>
      <c r="F92" s="27">
        <f>-B92*(C92+E92)*Купоны!$G$10/100</f>
        <v>-627725.93150684936</v>
      </c>
      <c r="G92" s="34">
        <f>SUM($B$2:B92)</f>
        <v>1230</v>
      </c>
      <c r="H92" s="31">
        <f>_xlfn.IFNA(VLOOKUP($A92,Купоны[[Дата]:[% от номинала]],3,0),0)*Купоны!$G$10/100*G92</f>
        <v>0</v>
      </c>
      <c r="I92" s="36">
        <f>Таблица1[[#This Row],[Денежный поток]]+Таблица1[[#This Row],[Купонный доход]]</f>
        <v>-627725.93150684936</v>
      </c>
      <c r="J92" s="31">
        <f>Таблица1[[#This Row],[Общий денежный поток]]/((1+$L$2)^((Таблица1[[#This Row],[Названия строк]]-$A$2)/365))</f>
        <v>-602648.31027368235</v>
      </c>
    </row>
    <row r="93" spans="1:10" x14ac:dyDescent="0.3">
      <c r="A93" s="23">
        <v>43327</v>
      </c>
      <c r="B93" s="24">
        <v>-1070</v>
      </c>
      <c r="C93" s="24">
        <f>VLOOKUP(Таблица1[[#This Row],[Названия строк]],Котировки[[&lt;DATE&gt;]:[&lt;VOL&gt;]],6,0)</f>
        <v>100.5</v>
      </c>
      <c r="D93" s="26">
        <f>INDEX(Купоны[Дата],MATCH($A93,Купоны[Дата],1))</f>
        <v>43203</v>
      </c>
      <c r="E93" s="24">
        <f>Купоны!$C$4*(A93-D93)/365*100</f>
        <v>2.7178082191780821</v>
      </c>
      <c r="F93" s="27">
        <f>-B93*(C93+E93)*Купоны!$G$10/100</f>
        <v>1104430.5479452054</v>
      </c>
      <c r="G93" s="34">
        <f>SUM($B$2:B93)</f>
        <v>160</v>
      </c>
      <c r="H93" s="31">
        <f>_xlfn.IFNA(VLOOKUP($A93,Купоны[[Дата]:[% от номинала]],3,0),0)*Купоны!$G$10/100*G93</f>
        <v>0</v>
      </c>
      <c r="I93" s="36">
        <f>Таблица1[[#This Row],[Денежный поток]]+Таблица1[[#This Row],[Купонный доход]]</f>
        <v>1104430.5479452054</v>
      </c>
      <c r="J93" s="31">
        <f>Таблица1[[#This Row],[Общий денежный поток]]/((1+$L$2)^((Таблица1[[#This Row],[Названия строк]]-$A$2)/365))</f>
        <v>1060166.8761009034</v>
      </c>
    </row>
    <row r="94" spans="1:10" x14ac:dyDescent="0.3">
      <c r="A94" s="23">
        <v>43328</v>
      </c>
      <c r="B94" s="24">
        <v>190</v>
      </c>
      <c r="C94" s="24">
        <f>VLOOKUP(Таблица1[[#This Row],[Названия строк]],Котировки[[&lt;DATE&gt;]:[&lt;VOL&gt;]],6,0)</f>
        <v>100.41</v>
      </c>
      <c r="D94" s="26">
        <f>INDEX(Купоны[Дата],MATCH($A94,Купоны[Дата],1))</f>
        <v>43203</v>
      </c>
      <c r="E94" s="24">
        <f>Купоны!$C$4*(A94-D94)/365*100</f>
        <v>2.7397260273972601</v>
      </c>
      <c r="F94" s="27">
        <f>-B94*(C94+E94)*Купоны!$G$10/100</f>
        <v>-195984.47945205477</v>
      </c>
      <c r="G94" s="34">
        <f>SUM($B$2:B94)</f>
        <v>350</v>
      </c>
      <c r="H94" s="31">
        <f>_xlfn.IFNA(VLOOKUP($A94,Купоны[[Дата]:[% от номинала]],3,0),0)*Купоны!$G$10/100*G94</f>
        <v>0</v>
      </c>
      <c r="I94" s="36">
        <f>Таблица1[[#This Row],[Денежный поток]]+Таблица1[[#This Row],[Купонный доход]]</f>
        <v>-195984.47945205477</v>
      </c>
      <c r="J94" s="31">
        <f>Таблица1[[#This Row],[Общий денежный поток]]/((1+$L$2)^((Таблица1[[#This Row],[Названия строк]]-$A$2)/365))</f>
        <v>-188104.61353705314</v>
      </c>
    </row>
    <row r="95" spans="1:10" x14ac:dyDescent="0.3">
      <c r="A95" s="23">
        <v>43329</v>
      </c>
      <c r="B95" s="24">
        <v>1150</v>
      </c>
      <c r="C95" s="24">
        <f>VLOOKUP(Таблица1[[#This Row],[Названия строк]],Котировки[[&lt;DATE&gt;]:[&lt;VOL&gt;]],6,0)</f>
        <v>100.44</v>
      </c>
      <c r="D95" s="26">
        <f>INDEX(Купоны[Дата],MATCH($A95,Купоны[Дата],1))</f>
        <v>43203</v>
      </c>
      <c r="E95" s="24">
        <f>Купоны!$C$4*(A95-D95)/365*100</f>
        <v>2.7616438356164381</v>
      </c>
      <c r="F95" s="27">
        <f>-B95*(C95+E95)*Купоны!$G$10/100</f>
        <v>-1186818.9041095891</v>
      </c>
      <c r="G95" s="34">
        <f>SUM($B$2:B95)</f>
        <v>1500</v>
      </c>
      <c r="H95" s="31">
        <f>_xlfn.IFNA(VLOOKUP($A95,Купоны[[Дата]:[% от номинала]],3,0),0)*Купоны!$G$10/100*G95</f>
        <v>0</v>
      </c>
      <c r="I95" s="36">
        <f>Таблица1[[#This Row],[Денежный поток]]+Таблица1[[#This Row],[Купонный доход]]</f>
        <v>-1186818.9041095891</v>
      </c>
      <c r="J95" s="31">
        <f>Таблица1[[#This Row],[Общий денежный поток]]/((1+$L$2)^((Таблица1[[#This Row],[Названия строк]]-$A$2)/365))</f>
        <v>-1138948.717934943</v>
      </c>
    </row>
    <row r="96" spans="1:10" x14ac:dyDescent="0.3">
      <c r="A96" s="23">
        <v>43332</v>
      </c>
      <c r="B96" s="24">
        <v>-1320</v>
      </c>
      <c r="C96" s="24">
        <f>VLOOKUP(Таблица1[[#This Row],[Названия строк]],Котировки[[&lt;DATE&gt;]:[&lt;VOL&gt;]],6,0)</f>
        <v>100.45</v>
      </c>
      <c r="D96" s="26">
        <f>INDEX(Купоны[Дата],MATCH($A96,Купоны[Дата],1))</f>
        <v>43203</v>
      </c>
      <c r="E96" s="24">
        <f>Купоны!$C$4*(A96-D96)/365*100</f>
        <v>2.8273972602739725</v>
      </c>
      <c r="F96" s="27">
        <f>-B96*(C96+E96)*Купоны!$G$10/100</f>
        <v>1363261.6438356163</v>
      </c>
      <c r="G96" s="34">
        <f>SUM($B$2:B96)</f>
        <v>180</v>
      </c>
      <c r="H96" s="31">
        <f>_xlfn.IFNA(VLOOKUP($A96,Купоны[[Дата]:[% от номинала]],3,0),0)*Купоны!$G$10/100*G96</f>
        <v>0</v>
      </c>
      <c r="I96" s="36">
        <f>Таблица1[[#This Row],[Денежный поток]]+Таблица1[[#This Row],[Купонный доход]]</f>
        <v>1363261.6438356163</v>
      </c>
      <c r="J96" s="31">
        <f>Таблица1[[#This Row],[Общий денежный поток]]/((1+$L$2)^((Таблица1[[#This Row],[Названия строк]]-$A$2)/365))</f>
        <v>1307750.1300502075</v>
      </c>
    </row>
    <row r="97" spans="1:10" x14ac:dyDescent="0.3">
      <c r="A97" s="23">
        <v>43333</v>
      </c>
      <c r="B97" s="24">
        <v>340</v>
      </c>
      <c r="C97" s="24">
        <f>VLOOKUP(Таблица1[[#This Row],[Названия строк]],Котировки[[&lt;DATE&gt;]:[&lt;VOL&gt;]],6,0)</f>
        <v>100.39</v>
      </c>
      <c r="D97" s="26">
        <f>INDEX(Купоны[Дата],MATCH($A97,Купоны[Дата],1))</f>
        <v>43203</v>
      </c>
      <c r="E97" s="24">
        <f>Купоны!$C$4*(A97-D97)/365*100</f>
        <v>2.849315068493151</v>
      </c>
      <c r="F97" s="27">
        <f>-B97*(C97+E97)*Купоны!$G$10/100</f>
        <v>-351013.67123287672</v>
      </c>
      <c r="G97" s="34">
        <f>SUM($B$2:B97)</f>
        <v>520</v>
      </c>
      <c r="H97" s="31">
        <f>_xlfn.IFNA(VLOOKUP($A97,Купоны[[Дата]:[% от номинала]],3,0),0)*Купоны!$G$10/100*G97</f>
        <v>0</v>
      </c>
      <c r="I97" s="36">
        <f>Таблица1[[#This Row],[Денежный поток]]+Таблица1[[#This Row],[Купонный доход]]</f>
        <v>-351013.67123287672</v>
      </c>
      <c r="J97" s="31">
        <f>Таблица1[[#This Row],[Общий денежный поток]]/((1+$L$2)^((Таблица1[[#This Row],[Названия строк]]-$A$2)/365))</f>
        <v>-336675.51638039167</v>
      </c>
    </row>
    <row r="98" spans="1:10" x14ac:dyDescent="0.3">
      <c r="A98" s="23">
        <v>43334</v>
      </c>
      <c r="B98" s="24">
        <v>-490</v>
      </c>
      <c r="C98" s="24">
        <f>VLOOKUP(Таблица1[[#This Row],[Названия строк]],Котировки[[&lt;DATE&gt;]:[&lt;VOL&gt;]],6,0)</f>
        <v>100.2</v>
      </c>
      <c r="D98" s="26">
        <f>INDEX(Купоны[Дата],MATCH($A98,Купоны[Дата],1))</f>
        <v>43203</v>
      </c>
      <c r="E98" s="24">
        <f>Купоны!$C$4*(A98-D98)/365*100</f>
        <v>2.8712328767123285</v>
      </c>
      <c r="F98" s="27">
        <f>-B98*(C98+E98)*Купоны!$G$10/100</f>
        <v>505049.0410958904</v>
      </c>
      <c r="G98" s="34">
        <f>SUM($B$2:B98)</f>
        <v>30</v>
      </c>
      <c r="H98" s="31">
        <f>_xlfn.IFNA(VLOOKUP($A98,Купоны[[Дата]:[% от номинала]],3,0),0)*Купоны!$G$10/100*G98</f>
        <v>0</v>
      </c>
      <c r="I98" s="36">
        <f>Таблица1[[#This Row],[Денежный поток]]+Таблица1[[#This Row],[Купонный доход]]</f>
        <v>505049.0410958904</v>
      </c>
      <c r="J98" s="31">
        <f>Таблица1[[#This Row],[Общий денежный поток]]/((1+$L$2)^((Таблица1[[#This Row],[Названия строк]]-$A$2)/365))</f>
        <v>484354.12333639304</v>
      </c>
    </row>
    <row r="99" spans="1:10" x14ac:dyDescent="0.3">
      <c r="A99" s="23">
        <v>43340</v>
      </c>
      <c r="B99" s="24">
        <v>310</v>
      </c>
      <c r="C99" s="24">
        <f>VLOOKUP(Таблица1[[#This Row],[Названия строк]],Котировки[[&lt;DATE&gt;]:[&lt;VOL&gt;]],6,0)</f>
        <v>100.34</v>
      </c>
      <c r="D99" s="26">
        <f>INDEX(Купоны[Дата],MATCH($A99,Купоны[Дата],1))</f>
        <v>43203</v>
      </c>
      <c r="E99" s="24">
        <f>Купоны!$C$4*(A99-D99)/365*100</f>
        <v>3.0027397260273974</v>
      </c>
      <c r="F99" s="27">
        <f>-B99*(C99+E99)*Купоны!$G$10/100</f>
        <v>-320362.49315068498</v>
      </c>
      <c r="G99" s="34">
        <f>SUM($B$2:B99)</f>
        <v>340</v>
      </c>
      <c r="H99" s="31">
        <f>_xlfn.IFNA(VLOOKUP($A99,Купоны[[Дата]:[% от номинала]],3,0),0)*Купоны!$G$10/100*G99</f>
        <v>0</v>
      </c>
      <c r="I99" s="36">
        <f>Таблица1[[#This Row],[Денежный поток]]+Таблица1[[#This Row],[Купонный доход]]</f>
        <v>-320362.49315068498</v>
      </c>
      <c r="J99" s="31">
        <f>Таблица1[[#This Row],[Общий денежный поток]]/((1+$L$2)^((Таблица1[[#This Row],[Названия строк]]-$A$2)/365))</f>
        <v>-306988.98854081513</v>
      </c>
    </row>
    <row r="100" spans="1:10" x14ac:dyDescent="0.3">
      <c r="A100" s="23">
        <v>43341</v>
      </c>
      <c r="B100" s="24">
        <v>110</v>
      </c>
      <c r="C100" s="24">
        <f>VLOOKUP(Таблица1[[#This Row],[Названия строк]],Котировки[[&lt;DATE&gt;]:[&lt;VOL&gt;]],6,0)</f>
        <v>100.05</v>
      </c>
      <c r="D100" s="26">
        <f>INDEX(Купоны[Дата],MATCH($A100,Купоны[Дата],1))</f>
        <v>43203</v>
      </c>
      <c r="E100" s="24">
        <f>Купоны!$C$4*(A100-D100)/365*100</f>
        <v>3.0246575342465754</v>
      </c>
      <c r="F100" s="27">
        <f>-B100*(C100+E100)*Купоны!$G$10/100</f>
        <v>-113382.12328767123</v>
      </c>
      <c r="G100" s="34">
        <f>SUM($B$2:B100)</f>
        <v>450</v>
      </c>
      <c r="H100" s="31">
        <f>_xlfn.IFNA(VLOOKUP($A100,Купоны[[Дата]:[% от номинала]],3,0),0)*Купоны!$G$10/100*G100</f>
        <v>0</v>
      </c>
      <c r="I100" s="36">
        <f>Таблица1[[#This Row],[Денежный поток]]+Таблица1[[#This Row],[Купонный доход]]</f>
        <v>-113382.12328767123</v>
      </c>
      <c r="J100" s="31">
        <f>Таблица1[[#This Row],[Общий денежный поток]]/((1+$L$2)^((Таблица1[[#This Row],[Названия строк]]-$A$2)/365))</f>
        <v>-108634.47401925187</v>
      </c>
    </row>
    <row r="101" spans="1:10" x14ac:dyDescent="0.3">
      <c r="A101" s="23">
        <v>43343</v>
      </c>
      <c r="B101" s="24">
        <v>-300</v>
      </c>
      <c r="C101" s="24">
        <f>VLOOKUP(Таблица1[[#This Row],[Названия строк]],Котировки[[&lt;DATE&gt;]:[&lt;VOL&gt;]],6,0)</f>
        <v>100.1</v>
      </c>
      <c r="D101" s="26">
        <f>INDEX(Купоны[Дата],MATCH($A101,Купоны[Дата],1))</f>
        <v>43203</v>
      </c>
      <c r="E101" s="24">
        <f>Купоны!$C$4*(A101-D101)/365*100</f>
        <v>3.0684931506849318</v>
      </c>
      <c r="F101" s="27">
        <f>-B101*(C101+E101)*Купоны!$G$10/100</f>
        <v>309505.47945205477</v>
      </c>
      <c r="G101" s="34">
        <f>SUM($B$2:B101)</f>
        <v>150</v>
      </c>
      <c r="H101" s="31">
        <f>_xlfn.IFNA(VLOOKUP($A101,Купоны[[Дата]:[% от номинала]],3,0),0)*Купоны!$G$10/100*G101</f>
        <v>0</v>
      </c>
      <c r="I101" s="36">
        <f>Таблица1[[#This Row],[Денежный поток]]+Таблица1[[#This Row],[Купонный доход]]</f>
        <v>309505.47945205477</v>
      </c>
      <c r="J101" s="31">
        <f>Таблица1[[#This Row],[Общий денежный поток]]/((1+$L$2)^((Таблица1[[#This Row],[Названия строк]]-$A$2)/365))</f>
        <v>296466.28865743527</v>
      </c>
    </row>
    <row r="102" spans="1:10" x14ac:dyDescent="0.3">
      <c r="A102" s="23">
        <v>43346</v>
      </c>
      <c r="B102" s="24">
        <v>700</v>
      </c>
      <c r="C102" s="24">
        <f>VLOOKUP(Таблица1[[#This Row],[Названия строк]],Котировки[[&lt;DATE&gt;]:[&lt;VOL&gt;]],6,0)</f>
        <v>100.38</v>
      </c>
      <c r="D102" s="26">
        <f>INDEX(Купоны[Дата],MATCH($A102,Купоны[Дата],1))</f>
        <v>43203</v>
      </c>
      <c r="E102" s="24">
        <f>Купоны!$C$4*(A102-D102)/365*100</f>
        <v>3.1342465753424658</v>
      </c>
      <c r="F102" s="27">
        <f>-B102*(C102+E102)*Купоны!$G$10/100</f>
        <v>-724599.72602739709</v>
      </c>
      <c r="G102" s="34">
        <f>SUM($B$2:B102)</f>
        <v>850</v>
      </c>
      <c r="H102" s="31">
        <f>_xlfn.IFNA(VLOOKUP($A102,Купоны[[Дата]:[% от номинала]],3,0),0)*Купоны!$G$10/100*G102</f>
        <v>0</v>
      </c>
      <c r="I102" s="36">
        <f>Таблица1[[#This Row],[Денежный поток]]+Таблица1[[#This Row],[Купонный доход]]</f>
        <v>-724599.72602739709</v>
      </c>
      <c r="J102" s="31">
        <f>Таблица1[[#This Row],[Общий денежный поток]]/((1+$L$2)^((Таблица1[[#This Row],[Названия строк]]-$A$2)/365))</f>
        <v>-693794.70560479444</v>
      </c>
    </row>
    <row r="103" spans="1:10" x14ac:dyDescent="0.3">
      <c r="A103" s="23">
        <v>43347</v>
      </c>
      <c r="B103" s="24">
        <v>-580</v>
      </c>
      <c r="C103" s="24">
        <f>VLOOKUP(Таблица1[[#This Row],[Названия строк]],Котировки[[&lt;DATE&gt;]:[&lt;VOL&gt;]],6,0)</f>
        <v>100.4</v>
      </c>
      <c r="D103" s="26">
        <f>INDEX(Купоны[Дата],MATCH($A103,Купоны[Дата],1))</f>
        <v>43203</v>
      </c>
      <c r="E103" s="24">
        <f>Купоны!$C$4*(A103-D103)/365*100</f>
        <v>3.1561643835616437</v>
      </c>
      <c r="F103" s="27">
        <f>-B103*(C103+E103)*Купоны!$G$10/100</f>
        <v>600625.75342465763</v>
      </c>
      <c r="G103" s="34">
        <f>SUM($B$2:B103)</f>
        <v>270</v>
      </c>
      <c r="H103" s="31">
        <f>_xlfn.IFNA(VLOOKUP($A103,Купоны[[Дата]:[% от номинала]],3,0),0)*Купоны!$G$10/100*G103</f>
        <v>0</v>
      </c>
      <c r="I103" s="36">
        <f>Таблица1[[#This Row],[Денежный поток]]+Таблица1[[#This Row],[Купонный доход]]</f>
        <v>600625.75342465763</v>
      </c>
      <c r="J103" s="31">
        <f>Таблица1[[#This Row],[Общий денежный поток]]/((1+$L$2)^((Таблица1[[#This Row],[Названия строк]]-$A$2)/365))</f>
        <v>575014.38942950324</v>
      </c>
    </row>
    <row r="104" spans="1:10" x14ac:dyDescent="0.3">
      <c r="A104" s="23">
        <v>43348</v>
      </c>
      <c r="B104" s="24">
        <v>500</v>
      </c>
      <c r="C104" s="24">
        <f>VLOOKUP(Таблица1[[#This Row],[Названия строк]],Котировки[[&lt;DATE&gt;]:[&lt;VOL&gt;]],6,0)</f>
        <v>100.07</v>
      </c>
      <c r="D104" s="26">
        <f>INDEX(Купоны[Дата],MATCH($A104,Купоны[Дата],1))</f>
        <v>43203</v>
      </c>
      <c r="E104" s="24">
        <f>Купоны!$C$4*(A104-D104)/365*100</f>
        <v>3.1780821917808217</v>
      </c>
      <c r="F104" s="27">
        <f>-B104*(C104+E104)*Купоны!$G$10/100</f>
        <v>-516240.41095890402</v>
      </c>
      <c r="G104" s="34">
        <f>SUM($B$2:B104)</f>
        <v>770</v>
      </c>
      <c r="H104" s="31">
        <f>_xlfn.IFNA(VLOOKUP($A104,Купоны[[Дата]:[% от номинала]],3,0),0)*Купоны!$G$10/100*G104</f>
        <v>0</v>
      </c>
      <c r="I104" s="36">
        <f>Таблица1[[#This Row],[Денежный поток]]+Таблица1[[#This Row],[Купонный доход]]</f>
        <v>-516240.41095890402</v>
      </c>
      <c r="J104" s="31">
        <f>Таблица1[[#This Row],[Общий денежный поток]]/((1+$L$2)^((Таблица1[[#This Row],[Названия строк]]-$A$2)/365))</f>
        <v>-494161.27398211794</v>
      </c>
    </row>
    <row r="105" spans="1:10" x14ac:dyDescent="0.3">
      <c r="A105" s="23">
        <v>43349</v>
      </c>
      <c r="B105" s="24">
        <v>0</v>
      </c>
      <c r="C105" s="24">
        <f>VLOOKUP(Таблица1[[#This Row],[Названия строк]],Котировки[[&lt;DATE&gt;]:[&lt;VOL&gt;]],6,0)</f>
        <v>100.22</v>
      </c>
      <c r="D105" s="26">
        <f>INDEX(Купоны[Дата],MATCH($A105,Купоны[Дата],1))</f>
        <v>43203</v>
      </c>
      <c r="E105" s="24">
        <f>Купоны!$C$4*(A105-D105)/365*100</f>
        <v>3.2</v>
      </c>
      <c r="F105" s="27">
        <f>-B105*(C105+E105)*Купоны!$G$10/100</f>
        <v>0</v>
      </c>
      <c r="G105" s="34">
        <f>SUM($B$2:B105)</f>
        <v>770</v>
      </c>
      <c r="H105" s="31">
        <f>_xlfn.IFNA(VLOOKUP($A105,Купоны[[Дата]:[% от номинала]],3,0),0)*Купоны!$G$10/100*G105</f>
        <v>0</v>
      </c>
      <c r="I105" s="36">
        <f>Таблица1[[#This Row],[Денежный поток]]+Таблица1[[#This Row],[Купонный доход]]</f>
        <v>0</v>
      </c>
      <c r="J105" s="31">
        <f>Таблица1[[#This Row],[Общий денежный поток]]/((1+$L$2)^((Таблица1[[#This Row],[Названия строк]]-$A$2)/365))</f>
        <v>0</v>
      </c>
    </row>
    <row r="106" spans="1:10" x14ac:dyDescent="0.3">
      <c r="A106" s="23">
        <v>43350</v>
      </c>
      <c r="B106" s="24">
        <v>80</v>
      </c>
      <c r="C106" s="24">
        <f>VLOOKUP(Таблица1[[#This Row],[Названия строк]],Котировки[[&lt;DATE&gt;]:[&lt;VOL&gt;]],6,0)</f>
        <v>99.77</v>
      </c>
      <c r="D106" s="26">
        <f>INDEX(Купоны[Дата],MATCH($A106,Купоны[Дата],1))</f>
        <v>43203</v>
      </c>
      <c r="E106" s="24">
        <f>Купоны!$C$4*(A106-D106)/365*100</f>
        <v>3.2219178082191782</v>
      </c>
      <c r="F106" s="27">
        <f>-B106*(C106+E106)*Купоны!$G$10/100</f>
        <v>-82393.534246575335</v>
      </c>
      <c r="G106" s="34">
        <f>SUM($B$2:B106)</f>
        <v>850</v>
      </c>
      <c r="H106" s="31">
        <f>_xlfn.IFNA(VLOOKUP($A106,Купоны[[Дата]:[% от номинала]],3,0),0)*Купоны!$G$10/100*G106</f>
        <v>0</v>
      </c>
      <c r="I106" s="36">
        <f>Таблица1[[#This Row],[Денежный поток]]+Таблица1[[#This Row],[Купонный доход]]</f>
        <v>-82393.534246575335</v>
      </c>
      <c r="J106" s="31">
        <f>Таблица1[[#This Row],[Общий денежный поток]]/((1+$L$2)^((Таблица1[[#This Row],[Названия строк]]-$A$2)/365))</f>
        <v>-78848.554610146835</v>
      </c>
    </row>
    <row r="107" spans="1:10" x14ac:dyDescent="0.3">
      <c r="A107" s="23">
        <v>43355</v>
      </c>
      <c r="B107" s="24">
        <v>690</v>
      </c>
      <c r="C107" s="24">
        <f>VLOOKUP(Таблица1[[#This Row],[Названия строк]],Котировки[[&lt;DATE&gt;]:[&lt;VOL&gt;]],6,0)</f>
        <v>99.7</v>
      </c>
      <c r="D107" s="26">
        <f>INDEX(Купоны[Дата],MATCH($A107,Купоны[Дата],1))</f>
        <v>43203</v>
      </c>
      <c r="E107" s="24">
        <f>Купоны!$C$4*(A107-D107)/365*100</f>
        <v>3.3315068493150681</v>
      </c>
      <c r="F107" s="27">
        <f>-B107*(C107+E107)*Купоны!$G$10/100</f>
        <v>-710917.39726027404</v>
      </c>
      <c r="G107" s="34">
        <f>SUM($B$2:B107)</f>
        <v>1540</v>
      </c>
      <c r="H107" s="31">
        <f>_xlfn.IFNA(VLOOKUP($A107,Купоны[[Дата]:[% от номинала]],3,0),0)*Купоны!$G$10/100*G107</f>
        <v>0</v>
      </c>
      <c r="I107" s="36">
        <f>Таблица1[[#This Row],[Денежный поток]]+Таблица1[[#This Row],[Купонный доход]]</f>
        <v>-710917.39726027404</v>
      </c>
      <c r="J107" s="31">
        <f>Таблица1[[#This Row],[Общий денежный поток]]/((1+$L$2)^((Таблица1[[#This Row],[Названия строк]]-$A$2)/365))</f>
        <v>-679875.64251495607</v>
      </c>
    </row>
    <row r="108" spans="1:10" x14ac:dyDescent="0.3">
      <c r="A108" s="23">
        <v>43357</v>
      </c>
      <c r="B108" s="24">
        <v>-1060</v>
      </c>
      <c r="C108" s="24">
        <f>VLOOKUP(Таблица1[[#This Row],[Названия строк]],Котировки[[&lt;DATE&gt;]:[&lt;VOL&gt;]],6,0)</f>
        <v>99.76</v>
      </c>
      <c r="D108" s="26">
        <f>INDEX(Купоны[Дата],MATCH($A108,Купоны[Дата],1))</f>
        <v>43203</v>
      </c>
      <c r="E108" s="24">
        <f>Купоны!$C$4*(A108-D108)/365*100</f>
        <v>3.3753424657534246</v>
      </c>
      <c r="F108" s="27">
        <f>-B108*(C108+E108)*Купоны!$G$10/100</f>
        <v>1093234.6301369863</v>
      </c>
      <c r="G108" s="34">
        <f>SUM($B$2:B108)</f>
        <v>480</v>
      </c>
      <c r="H108" s="31">
        <f>_xlfn.IFNA(VLOOKUP($A108,Купоны[[Дата]:[% от номинала]],3,0),0)*Купоны!$G$10/100*G108</f>
        <v>0</v>
      </c>
      <c r="I108" s="36">
        <f>Таблица1[[#This Row],[Денежный поток]]+Таблица1[[#This Row],[Купонный доход]]</f>
        <v>1093234.6301369863</v>
      </c>
      <c r="J108" s="31">
        <f>Таблица1[[#This Row],[Общий денежный поток]]/((1+$L$2)^((Таблица1[[#This Row],[Названия строк]]-$A$2)/365))</f>
        <v>1045219.767325223</v>
      </c>
    </row>
    <row r="109" spans="1:10" x14ac:dyDescent="0.3">
      <c r="A109" s="23">
        <v>43360</v>
      </c>
      <c r="B109" s="24">
        <v>0</v>
      </c>
      <c r="C109" s="24">
        <f>VLOOKUP(Таблица1[[#This Row],[Названия строк]],Котировки[[&lt;DATE&gt;]:[&lt;VOL&gt;]],6,0)</f>
        <v>99.8</v>
      </c>
      <c r="D109" s="26">
        <f>INDEX(Купоны[Дата],MATCH($A109,Купоны[Дата],1))</f>
        <v>43203</v>
      </c>
      <c r="E109" s="24">
        <f>Купоны!$C$4*(A109-D109)/365*100</f>
        <v>3.441095890410959</v>
      </c>
      <c r="F109" s="27">
        <f>-B109*(C109+E109)*Купоны!$G$10/100</f>
        <v>0</v>
      </c>
      <c r="G109" s="34">
        <f>SUM($B$2:B109)</f>
        <v>480</v>
      </c>
      <c r="H109" s="31">
        <f>_xlfn.IFNA(VLOOKUP($A109,Купоны[[Дата]:[% от номинала]],3,0),0)*Купоны!$G$10/100*G109</f>
        <v>0</v>
      </c>
      <c r="I109" s="36">
        <f>Таблица1[[#This Row],[Денежный поток]]+Таблица1[[#This Row],[Купонный доход]]</f>
        <v>0</v>
      </c>
      <c r="J109" s="31">
        <f>Таблица1[[#This Row],[Общий денежный поток]]/((1+$L$2)^((Таблица1[[#This Row],[Названия строк]]-$A$2)/365))</f>
        <v>0</v>
      </c>
    </row>
    <row r="110" spans="1:10" x14ac:dyDescent="0.3">
      <c r="A110" s="23">
        <v>43361</v>
      </c>
      <c r="B110" s="24">
        <v>400</v>
      </c>
      <c r="C110" s="24">
        <f>VLOOKUP(Таблица1[[#This Row],[Названия строк]],Котировки[[&lt;DATE&gt;]:[&lt;VOL&gt;]],6,0)</f>
        <v>99.8</v>
      </c>
      <c r="D110" s="26">
        <f>INDEX(Купоны[Дата],MATCH($A110,Купоны[Дата],1))</f>
        <v>43203</v>
      </c>
      <c r="E110" s="24">
        <f>Купоны!$C$4*(A110-D110)/365*100</f>
        <v>3.4630136986301374</v>
      </c>
      <c r="F110" s="27">
        <f>-B110*(C110+E110)*Купоны!$G$10/100</f>
        <v>-413052.05479452049</v>
      </c>
      <c r="G110" s="34">
        <f>SUM($B$2:B110)</f>
        <v>880</v>
      </c>
      <c r="H110" s="31">
        <f>_xlfn.IFNA(VLOOKUP($A110,Купоны[[Дата]:[% от номинала]],3,0),0)*Купоны!$G$10/100*G110</f>
        <v>0</v>
      </c>
      <c r="I110" s="36">
        <f>Таблица1[[#This Row],[Денежный поток]]+Таблица1[[#This Row],[Купонный доход]]</f>
        <v>-413052.05479452049</v>
      </c>
      <c r="J110" s="31">
        <f>Таблица1[[#This Row],[Общий денежный поток]]/((1+$L$2)^((Таблица1[[#This Row],[Названия строк]]-$A$2)/365))</f>
        <v>-394699.71222885029</v>
      </c>
    </row>
    <row r="111" spans="1:10" x14ac:dyDescent="0.3">
      <c r="A111" s="23">
        <v>43364</v>
      </c>
      <c r="B111" s="24">
        <v>640</v>
      </c>
      <c r="C111" s="24">
        <f>VLOOKUP(Таблица1[[#This Row],[Названия строк]],Котировки[[&lt;DATE&gt;]:[&lt;VOL&gt;]],6,0)</f>
        <v>100.15</v>
      </c>
      <c r="D111" s="26">
        <f>INDEX(Купоны[Дата],MATCH($A111,Купоны[Дата],1))</f>
        <v>43203</v>
      </c>
      <c r="E111" s="24">
        <f>Купоны!$C$4*(A111-D111)/365*100</f>
        <v>3.5287671232876718</v>
      </c>
      <c r="F111" s="27">
        <f>-B111*(C111+E111)*Купоны!$G$10/100</f>
        <v>-663544.10958904121</v>
      </c>
      <c r="G111" s="34">
        <f>SUM($B$2:B111)</f>
        <v>1520</v>
      </c>
      <c r="H111" s="31">
        <f>_xlfn.IFNA(VLOOKUP($A111,Купоны[[Дата]:[% от номинала]],3,0),0)*Купоны!$G$10/100*G111</f>
        <v>0</v>
      </c>
      <c r="I111" s="36">
        <f>Таблица1[[#This Row],[Денежный поток]]+Таблица1[[#This Row],[Купонный доход]]</f>
        <v>-663544.10958904121</v>
      </c>
      <c r="J111" s="31">
        <f>Таблица1[[#This Row],[Общий денежный поток]]/((1+$L$2)^((Таблица1[[#This Row],[Названия строк]]-$A$2)/365))</f>
        <v>-633807.92085032468</v>
      </c>
    </row>
    <row r="112" spans="1:10" x14ac:dyDescent="0.3">
      <c r="A112" s="23">
        <v>43367</v>
      </c>
      <c r="B112" s="24">
        <v>-1300</v>
      </c>
      <c r="C112" s="24">
        <f>VLOOKUP(Таблица1[[#This Row],[Названия строк]],Котировки[[&lt;DATE&gt;]:[&lt;VOL&gt;]],6,0)</f>
        <v>100.2</v>
      </c>
      <c r="D112" s="26">
        <f>INDEX(Купоны[Дата],MATCH($A112,Купоны[Дата],1))</f>
        <v>43203</v>
      </c>
      <c r="E112" s="24">
        <f>Купоны!$C$4*(A112-D112)/365*100</f>
        <v>3.5945205479452054</v>
      </c>
      <c r="F112" s="27">
        <f>-B112*(C112+E112)*Купоны!$G$10/100</f>
        <v>1349328.767123288</v>
      </c>
      <c r="G112" s="34">
        <f>SUM($B$2:B112)</f>
        <v>220</v>
      </c>
      <c r="H112" s="31">
        <f>_xlfn.IFNA(VLOOKUP($A112,Купоны[[Дата]:[% от номинала]],3,0),0)*Купоны!$G$10/100*G112</f>
        <v>0</v>
      </c>
      <c r="I112" s="36">
        <f>Таблица1[[#This Row],[Денежный поток]]+Таблица1[[#This Row],[Купонный доход]]</f>
        <v>1349328.767123288</v>
      </c>
      <c r="J112" s="31">
        <f>Таблица1[[#This Row],[Общий денежный поток]]/((1+$L$2)^((Таблица1[[#This Row],[Названия строк]]-$A$2)/365))</f>
        <v>1288342.9490925891</v>
      </c>
    </row>
    <row r="113" spans="1:10" x14ac:dyDescent="0.3">
      <c r="A113" s="23">
        <v>43368</v>
      </c>
      <c r="B113" s="24">
        <v>60</v>
      </c>
      <c r="C113" s="24">
        <f>VLOOKUP(Таблица1[[#This Row],[Названия строк]],Котировки[[&lt;DATE&gt;]:[&lt;VOL&gt;]],6,0)</f>
        <v>100.2</v>
      </c>
      <c r="D113" s="26">
        <f>INDEX(Купоны[Дата],MATCH($A113,Купоны[Дата],1))</f>
        <v>43203</v>
      </c>
      <c r="E113" s="24">
        <f>Купоны!$C$4*(A113-D113)/365*100</f>
        <v>3.6164383561643838</v>
      </c>
      <c r="F113" s="27">
        <f>-B113*(C113+E113)*Купоны!$G$10/100</f>
        <v>-62289.863013698632</v>
      </c>
      <c r="G113" s="34">
        <f>SUM($B$2:B113)</f>
        <v>280</v>
      </c>
      <c r="H113" s="31">
        <f>_xlfn.IFNA(VLOOKUP($A113,Купоны[[Дата]:[% от номинала]],3,0),0)*Купоны!$G$10/100*G113</f>
        <v>0</v>
      </c>
      <c r="I113" s="36">
        <f>Таблица1[[#This Row],[Денежный поток]]+Таблица1[[#This Row],[Купонный доход]]</f>
        <v>-62289.863013698632</v>
      </c>
      <c r="J113" s="31">
        <f>Таблица1[[#This Row],[Общий денежный поток]]/((1+$L$2)^((Таблица1[[#This Row],[Названия строк]]-$A$2)/365))</f>
        <v>-59466.589046909845</v>
      </c>
    </row>
    <row r="114" spans="1:10" x14ac:dyDescent="0.3">
      <c r="A114" s="23">
        <v>43371</v>
      </c>
      <c r="B114" s="24">
        <v>850</v>
      </c>
      <c r="C114" s="24">
        <f>VLOOKUP(Таблица1[[#This Row],[Названия строк]],Котировки[[&lt;DATE&gt;]:[&lt;VOL&gt;]],6,0)</f>
        <v>100.26</v>
      </c>
      <c r="D114" s="26">
        <f>INDEX(Купоны[Дата],MATCH($A114,Купоны[Дата],1))</f>
        <v>43203</v>
      </c>
      <c r="E114" s="24">
        <f>Купоны!$C$4*(A114-D114)/365*100</f>
        <v>3.6821917808219173</v>
      </c>
      <c r="F114" s="27">
        <f>-B114*(C114+E114)*Купоны!$G$10/100</f>
        <v>-883508.6301369865</v>
      </c>
      <c r="G114" s="34">
        <f>SUM($B$2:B114)</f>
        <v>1130</v>
      </c>
      <c r="H114" s="31">
        <f>_xlfn.IFNA(VLOOKUP($A114,Купоны[[Дата]:[% от номинала]],3,0),0)*Купоны!$G$10/100*G114</f>
        <v>0</v>
      </c>
      <c r="I114" s="36">
        <f>Таблица1[[#This Row],[Денежный поток]]+Таблица1[[#This Row],[Купонный доход]]</f>
        <v>-883508.6301369865</v>
      </c>
      <c r="J114" s="31">
        <f>Таблица1[[#This Row],[Общий денежный поток]]/((1+$L$2)^((Таблица1[[#This Row],[Названия строк]]-$A$2)/365))</f>
        <v>-843125.62723783986</v>
      </c>
    </row>
    <row r="115" spans="1:10" x14ac:dyDescent="0.3">
      <c r="A115" s="23">
        <v>43378</v>
      </c>
      <c r="B115" s="24">
        <v>-900</v>
      </c>
      <c r="C115" s="24">
        <f>VLOOKUP(Таблица1[[#This Row],[Названия строк]],Котировки[[&lt;DATE&gt;]:[&lt;VOL&gt;]],6,0)</f>
        <v>100.5</v>
      </c>
      <c r="D115" s="26">
        <f>INDEX(Купоны[Дата],MATCH($A115,Купоны[Дата],1))</f>
        <v>43203</v>
      </c>
      <c r="E115" s="24">
        <f>Купоны!$C$4*(A115-D115)/365*100</f>
        <v>3.8356164383561646</v>
      </c>
      <c r="F115" s="27">
        <f>-B115*(C115+E115)*Купоны!$G$10/100</f>
        <v>939020.54794520547</v>
      </c>
      <c r="G115" s="34">
        <f>SUM($B$2:B115)</f>
        <v>230</v>
      </c>
      <c r="H115" s="31">
        <f>_xlfn.IFNA(VLOOKUP($A115,Купоны[[Дата]:[% от номинала]],3,0),0)*Купоны!$G$10/100*G115</f>
        <v>0</v>
      </c>
      <c r="I115" s="36">
        <f>Таблица1[[#This Row],[Денежный поток]]+Таблица1[[#This Row],[Купонный доход]]</f>
        <v>939020.54794520547</v>
      </c>
      <c r="J115" s="31">
        <f>Таблица1[[#This Row],[Общий денежный поток]]/((1+$L$2)^((Таблица1[[#This Row],[Названия строк]]-$A$2)/365))</f>
        <v>895262.14162206033</v>
      </c>
    </row>
    <row r="116" spans="1:10" x14ac:dyDescent="0.3">
      <c r="A116" s="23">
        <v>43382</v>
      </c>
      <c r="B116" s="24">
        <v>50</v>
      </c>
      <c r="C116" s="24">
        <f>VLOOKUP(Таблица1[[#This Row],[Названия строк]],Котировки[[&lt;DATE&gt;]:[&lt;VOL&gt;]],6,0)</f>
        <v>100.49</v>
      </c>
      <c r="D116" s="26">
        <f>INDEX(Купоны[Дата],MATCH($A116,Купоны[Дата],1))</f>
        <v>43203</v>
      </c>
      <c r="E116" s="24">
        <f>Купоны!$C$4*(A116-D116)/365*100</f>
        <v>3.9232876712328766</v>
      </c>
      <c r="F116" s="27">
        <f>-B116*(C116+E116)*Купоны!$G$10/100</f>
        <v>-52206.643835616429</v>
      </c>
      <c r="G116" s="34">
        <f>SUM($B$2:B116)</f>
        <v>280</v>
      </c>
      <c r="H116" s="31">
        <f>_xlfn.IFNA(VLOOKUP($A116,Купоны[[Дата]:[% от номинала]],3,0),0)*Купоны!$G$10/100*G116</f>
        <v>0</v>
      </c>
      <c r="I116" s="36">
        <f>Таблица1[[#This Row],[Денежный поток]]+Таблица1[[#This Row],[Купонный доход]]</f>
        <v>-52206.643835616429</v>
      </c>
      <c r="J116" s="31">
        <f>Таблица1[[#This Row],[Общий денежный поток]]/((1+$L$2)^((Таблица1[[#This Row],[Названия строк]]-$A$2)/365))</f>
        <v>-49747.205237459115</v>
      </c>
    </row>
    <row r="117" spans="1:10" x14ac:dyDescent="0.3">
      <c r="A117" s="23">
        <v>43383</v>
      </c>
      <c r="B117" s="24">
        <v>-20</v>
      </c>
      <c r="C117" s="24">
        <f>VLOOKUP(Таблица1[[#This Row],[Названия строк]],Котировки[[&lt;DATE&gt;]:[&lt;VOL&gt;]],6,0)</f>
        <v>100.11</v>
      </c>
      <c r="D117" s="26">
        <f>INDEX(Купоны[Дата],MATCH($A117,Купоны[Дата],1))</f>
        <v>43203</v>
      </c>
      <c r="E117" s="24">
        <f>Купоны!$C$4*(A117-D117)/365*100</f>
        <v>3.9452054794520546</v>
      </c>
      <c r="F117" s="27">
        <f>-B117*(C117+E117)*Купоны!$G$10/100</f>
        <v>20811.04109589041</v>
      </c>
      <c r="G117" s="34">
        <f>SUM($B$2:B117)</f>
        <v>260</v>
      </c>
      <c r="H117" s="31">
        <f>_xlfn.IFNA(VLOOKUP($A117,Купоны[[Дата]:[% от номинала]],3,0),0)*Купоны!$G$10/100*G117</f>
        <v>0</v>
      </c>
      <c r="I117" s="36">
        <f>Таблица1[[#This Row],[Денежный поток]]+Таблица1[[#This Row],[Купонный доход]]</f>
        <v>20811.04109589041</v>
      </c>
      <c r="J117" s="31">
        <f>Таблица1[[#This Row],[Общий денежный поток]]/((1+$L$2)^((Таблица1[[#This Row],[Названия строк]]-$A$2)/365))</f>
        <v>19827.988866762982</v>
      </c>
    </row>
    <row r="118" spans="1:10" x14ac:dyDescent="0.3">
      <c r="A118" s="23">
        <v>43384</v>
      </c>
      <c r="B118" s="24">
        <v>540</v>
      </c>
      <c r="C118" s="24">
        <f>VLOOKUP(Таблица1[[#This Row],[Названия строк]],Котировки[[&lt;DATE&gt;]:[&lt;VOL&gt;]],6,0)</f>
        <v>100.2</v>
      </c>
      <c r="D118" s="26">
        <f>INDEX(Купоны[Дата],MATCH($A118,Купоны[Дата],1))</f>
        <v>43203</v>
      </c>
      <c r="E118" s="24">
        <f>Купоны!$C$4*(A118-D118)/365*100</f>
        <v>3.967123287671233</v>
      </c>
      <c r="F118" s="27">
        <f>-B118*(C118+E118)*Купоны!$G$10/100</f>
        <v>-562502.46575342456</v>
      </c>
      <c r="G118" s="34">
        <f>SUM($B$2:B118)</f>
        <v>800</v>
      </c>
      <c r="H118" s="31">
        <f>_xlfn.IFNA(VLOOKUP($A118,Купоны[[Дата]:[% от номинала]],3,0),0)*Купоны!$G$10/100*G118</f>
        <v>0</v>
      </c>
      <c r="I118" s="36">
        <f>Таблица1[[#This Row],[Денежный поток]]+Таблица1[[#This Row],[Купонный доход]]</f>
        <v>-562502.46575342456</v>
      </c>
      <c r="J118" s="31">
        <f>Таблица1[[#This Row],[Общий денежный поток]]/((1+$L$2)^((Таблица1[[#This Row],[Названия строк]]-$A$2)/365))</f>
        <v>-535859.87348488427</v>
      </c>
    </row>
    <row r="119" spans="1:10" x14ac:dyDescent="0.3">
      <c r="A119" s="23">
        <v>43385</v>
      </c>
      <c r="B119" s="24">
        <v>-20</v>
      </c>
      <c r="C119" s="24">
        <f>VLOOKUP(Таблица1[[#This Row],[Названия строк]],Котировки[[&lt;DATE&gt;]:[&lt;VOL&gt;]],6,0)</f>
        <v>99.98</v>
      </c>
      <c r="D119" s="26">
        <f>INDEX(Купоны[Дата],MATCH($A119,Купоны[Дата],1))</f>
        <v>43385</v>
      </c>
      <c r="E119" s="24">
        <f>Купоны!$C$4*(A119-D119)/365*100</f>
        <v>0</v>
      </c>
      <c r="F119" s="27">
        <f>-B119*(C119+E119)*Купоны!$G$10/100</f>
        <v>19996.000000000004</v>
      </c>
      <c r="G119" s="34">
        <f>SUM($B$2:B119)</f>
        <v>780</v>
      </c>
      <c r="H119" s="31">
        <f>_xlfn.IFNA(VLOOKUP($A119,Купоны[[Дата]:[% от номинала]],3,0),0)*Купоны!$G$10/100*G119</f>
        <v>31114.2</v>
      </c>
      <c r="I119" s="36">
        <f>Таблица1[[#This Row],[Денежный поток]]+Таблица1[[#This Row],[Купонный доход]]</f>
        <v>51110.200000000004</v>
      </c>
      <c r="J119" s="31">
        <f>Таблица1[[#This Row],[Общий денежный поток]]/((1+$L$2)^((Таблица1[[#This Row],[Названия строк]]-$A$2)/365))</f>
        <v>48682.888041025515</v>
      </c>
    </row>
    <row r="120" spans="1:10" x14ac:dyDescent="0.3">
      <c r="A120" s="23">
        <v>43388</v>
      </c>
      <c r="B120" s="24">
        <v>80</v>
      </c>
      <c r="C120" s="24">
        <f>VLOOKUP(Таблица1[[#This Row],[Названия строк]],Котировки[[&lt;DATE&gt;]:[&lt;VOL&gt;]],6,0)</f>
        <v>100.1</v>
      </c>
      <c r="D120" s="26">
        <f>INDEX(Купоны[Дата],MATCH($A120,Купоны[Дата],1))</f>
        <v>43385</v>
      </c>
      <c r="E120" s="24">
        <f>Купоны!$C$4*(A120-D120)/365*100</f>
        <v>6.5753424657534254E-2</v>
      </c>
      <c r="F120" s="27">
        <f>-B120*(C120+E120)*Купоны!$G$10/100</f>
        <v>-80132.602739726019</v>
      </c>
      <c r="G120" s="34">
        <f>SUM($B$2:B120)</f>
        <v>860</v>
      </c>
      <c r="H120" s="31">
        <f>_xlfn.IFNA(VLOOKUP($A120,Купоны[[Дата]:[% от номинала]],3,0),0)*Купоны!$G$10/100*G120</f>
        <v>0</v>
      </c>
      <c r="I120" s="36">
        <f>Таблица1[[#This Row],[Денежный поток]]+Таблица1[[#This Row],[Купонный доход]]</f>
        <v>-80132.602739726019</v>
      </c>
      <c r="J120" s="31">
        <f>Таблица1[[#This Row],[Общий денежный поток]]/((1+$L$2)^((Таблица1[[#This Row],[Названия строк]]-$A$2)/365))</f>
        <v>-76296.364460400873</v>
      </c>
    </row>
    <row r="121" spans="1:10" x14ac:dyDescent="0.3">
      <c r="A121" s="23">
        <v>43392</v>
      </c>
      <c r="B121" s="24">
        <v>-640</v>
      </c>
      <c r="C121" s="24">
        <f>VLOOKUP(Таблица1[[#This Row],[Названия строк]],Котировки[[&lt;DATE&gt;]:[&lt;VOL&gt;]],6,0)</f>
        <v>100.47</v>
      </c>
      <c r="D121" s="26">
        <f>INDEX(Купоны[Дата],MATCH($A121,Купоны[Дата],1))</f>
        <v>43385</v>
      </c>
      <c r="E121" s="24">
        <f>Купоны!$C$4*(A121-D121)/365*100</f>
        <v>0.15342465753424658</v>
      </c>
      <c r="F121" s="27">
        <f>-B121*(C121+E121)*Купоны!$G$10/100</f>
        <v>643989.91780821921</v>
      </c>
      <c r="G121" s="34">
        <f>SUM($B$2:B121)</f>
        <v>220</v>
      </c>
      <c r="H121" s="31">
        <f>_xlfn.IFNA(VLOOKUP($A121,Купоны[[Дата]:[% от номинала]],3,0),0)*Купоны!$G$10/100*G121</f>
        <v>0</v>
      </c>
      <c r="I121" s="36">
        <f>Таблица1[[#This Row],[Денежный поток]]+Таблица1[[#This Row],[Купонный доход]]</f>
        <v>643989.91780821921</v>
      </c>
      <c r="J121" s="31">
        <f>Таблица1[[#This Row],[Общий денежный поток]]/((1+$L$2)^((Таблица1[[#This Row],[Названия строк]]-$A$2)/365))</f>
        <v>612832.02436312882</v>
      </c>
    </row>
    <row r="122" spans="1:10" x14ac:dyDescent="0.3">
      <c r="A122" s="23">
        <v>43397</v>
      </c>
      <c r="B122" s="24">
        <v>370</v>
      </c>
      <c r="C122" s="24">
        <f>VLOOKUP(Таблица1[[#This Row],[Названия строк]],Котировки[[&lt;DATE&gt;]:[&lt;VOL&gt;]],6,0)</f>
        <v>100.3</v>
      </c>
      <c r="D122" s="26">
        <f>INDEX(Купоны[Дата],MATCH($A122,Купоны[Дата],1))</f>
        <v>43385</v>
      </c>
      <c r="E122" s="24">
        <f>Купоны!$C$4*(A122-D122)/365*100</f>
        <v>0.26301369863013702</v>
      </c>
      <c r="F122" s="27">
        <f>-B122*(C122+E122)*Купоны!$G$10/100</f>
        <v>-372083.15068493143</v>
      </c>
      <c r="G122" s="34">
        <f>SUM($B$2:B122)</f>
        <v>590</v>
      </c>
      <c r="H122" s="31">
        <f>_xlfn.IFNA(VLOOKUP($A122,Купоны[[Дата]:[% от номинала]],3,0),0)*Купоны!$G$10/100*G122</f>
        <v>0</v>
      </c>
      <c r="I122" s="36">
        <f>Таблица1[[#This Row],[Денежный поток]]+Таблица1[[#This Row],[Купонный доход]]</f>
        <v>-372083.15068493143</v>
      </c>
      <c r="J122" s="31">
        <f>Таблица1[[#This Row],[Общий денежный поток]]/((1+$L$2)^((Таблица1[[#This Row],[Названия строк]]-$A$2)/365))</f>
        <v>-353844.23421751178</v>
      </c>
    </row>
    <row r="123" spans="1:10" x14ac:dyDescent="0.3">
      <c r="A123" s="23">
        <v>43399</v>
      </c>
      <c r="B123" s="24">
        <v>-340</v>
      </c>
      <c r="C123" s="24">
        <f>VLOOKUP(Таблица1[[#This Row],[Названия строк]],Котировки[[&lt;DATE&gt;]:[&lt;VOL&gt;]],6,0)</f>
        <v>100.35</v>
      </c>
      <c r="D123" s="26">
        <f>INDEX(Купоны[Дата],MATCH($A123,Купоны[Дата],1))</f>
        <v>43385</v>
      </c>
      <c r="E123" s="24">
        <f>Купоны!$C$4*(A123-D123)/365*100</f>
        <v>0.30684931506849317</v>
      </c>
      <c r="F123" s="27">
        <f>-B123*(C123+E123)*Купоны!$G$10/100</f>
        <v>342233.28767123283</v>
      </c>
      <c r="G123" s="34">
        <f>SUM($B$2:B123)</f>
        <v>250</v>
      </c>
      <c r="H123" s="31">
        <f>_xlfn.IFNA(VLOOKUP($A123,Купоны[[Дата]:[% от номинала]],3,0),0)*Купоны!$G$10/100*G123</f>
        <v>0</v>
      </c>
      <c r="I123" s="36">
        <f>Таблица1[[#This Row],[Денежный поток]]+Таблица1[[#This Row],[Купонный доход]]</f>
        <v>342233.28767123283</v>
      </c>
      <c r="J123" s="31">
        <f>Таблица1[[#This Row],[Общий денежный поток]]/((1+$L$2)^((Таблица1[[#This Row],[Названия строк]]-$A$2)/365))</f>
        <v>325370.56609765504</v>
      </c>
    </row>
    <row r="124" spans="1:10" x14ac:dyDescent="0.3">
      <c r="A124" s="23">
        <v>43402</v>
      </c>
      <c r="B124" s="24">
        <v>720</v>
      </c>
      <c r="C124" s="24">
        <f>VLOOKUP(Таблица1[[#This Row],[Названия строк]],Котировки[[&lt;DATE&gt;]:[&lt;VOL&gt;]],6,0)</f>
        <v>100.24</v>
      </c>
      <c r="D124" s="26">
        <f>INDEX(Купоны[Дата],MATCH($A124,Купоны[Дата],1))</f>
        <v>43385</v>
      </c>
      <c r="E124" s="24">
        <f>Купоны!$C$4*(A124-D124)/365*100</f>
        <v>0.37260273972602742</v>
      </c>
      <c r="F124" s="27">
        <f>-B124*(C124+E124)*Купоны!$G$10/100</f>
        <v>-724410.73972602736</v>
      </c>
      <c r="G124" s="34">
        <f>SUM($B$2:B124)</f>
        <v>970</v>
      </c>
      <c r="H124" s="31">
        <f>_xlfn.IFNA(VLOOKUP($A124,Купоны[[Дата]:[% от номинала]],3,0),0)*Купоны!$G$10/100*G124</f>
        <v>0</v>
      </c>
      <c r="I124" s="36">
        <f>Таблица1[[#This Row],[Денежный поток]]+Таблица1[[#This Row],[Купонный доход]]</f>
        <v>-724410.73972602736</v>
      </c>
      <c r="J124" s="31">
        <f>Таблица1[[#This Row],[Общий денежный поток]]/((1+$L$2)^((Таблица1[[#This Row],[Названия строк]]-$A$2)/365))</f>
        <v>-688441.01344665652</v>
      </c>
    </row>
    <row r="125" spans="1:10" x14ac:dyDescent="0.3">
      <c r="A125" s="23">
        <v>43403</v>
      </c>
      <c r="B125" s="24">
        <v>-180</v>
      </c>
      <c r="C125" s="24">
        <f>VLOOKUP(Таблица1[[#This Row],[Названия строк]],Котировки[[&lt;DATE&gt;]:[&lt;VOL&gt;]],6,0)</f>
        <v>100.42</v>
      </c>
      <c r="D125" s="26">
        <f>INDEX(Купоны[Дата],MATCH($A125,Купоны[Дата],1))</f>
        <v>43385</v>
      </c>
      <c r="E125" s="24">
        <f>Купоны!$C$4*(A125-D125)/365*100</f>
        <v>0.39452054794520547</v>
      </c>
      <c r="F125" s="27">
        <f>-B125*(C125+E125)*Купоны!$G$10/100</f>
        <v>181466.1369863014</v>
      </c>
      <c r="G125" s="34">
        <f>SUM($B$2:B125)</f>
        <v>790</v>
      </c>
      <c r="H125" s="31">
        <f>_xlfn.IFNA(VLOOKUP($A125,Купоны[[Дата]:[% от номинала]],3,0),0)*Купоны!$G$10/100*G125</f>
        <v>0</v>
      </c>
      <c r="I125" s="36">
        <f>Таблица1[[#This Row],[Денежный поток]]+Таблица1[[#This Row],[Купонный доход]]</f>
        <v>181466.1369863014</v>
      </c>
      <c r="J125" s="31">
        <f>Таблица1[[#This Row],[Общий денежный поток]]/((1+$L$2)^((Таблица1[[#This Row],[Названия строк]]-$A$2)/365))</f>
        <v>172432.60775329373</v>
      </c>
    </row>
    <row r="126" spans="1:10" x14ac:dyDescent="0.3">
      <c r="A126" s="23">
        <v>43406</v>
      </c>
      <c r="B126" s="24">
        <v>410</v>
      </c>
      <c r="C126" s="24">
        <f>VLOOKUP(Таблица1[[#This Row],[Названия строк]],Котировки[[&lt;DATE&gt;]:[&lt;VOL&gt;]],6,0)</f>
        <v>100.5</v>
      </c>
      <c r="D126" s="26">
        <f>INDEX(Купоны[Дата],MATCH($A126,Купоны[Дата],1))</f>
        <v>43385</v>
      </c>
      <c r="E126" s="24">
        <f>Купоны!$C$4*(A126-D126)/365*100</f>
        <v>0.46027397260273967</v>
      </c>
      <c r="F126" s="27">
        <f>-B126*(C126+E126)*Купоны!$G$10/100</f>
        <v>-413937.12328767119</v>
      </c>
      <c r="G126" s="34">
        <f>SUM($B$2:B126)</f>
        <v>1200</v>
      </c>
      <c r="H126" s="31">
        <f>_xlfn.IFNA(VLOOKUP($A126,Купоны[[Дата]:[% от номинала]],3,0),0)*Купоны!$G$10/100*G126</f>
        <v>0</v>
      </c>
      <c r="I126" s="36">
        <f>Таблица1[[#This Row],[Денежный поток]]+Таблица1[[#This Row],[Купонный доход]]</f>
        <v>-413937.12328767119</v>
      </c>
      <c r="J126" s="31">
        <f>Таблица1[[#This Row],[Общий денежный поток]]/((1+$L$2)^((Таблица1[[#This Row],[Названия строк]]-$A$2)/365))</f>
        <v>-393173.3026573169</v>
      </c>
    </row>
    <row r="127" spans="1:10" x14ac:dyDescent="0.3">
      <c r="A127" s="23">
        <v>43410</v>
      </c>
      <c r="B127" s="24">
        <v>610</v>
      </c>
      <c r="C127" s="24">
        <f>VLOOKUP(Таблица1[[#This Row],[Названия строк]],Котировки[[&lt;DATE&gt;]:[&lt;VOL&gt;]],6,0)</f>
        <v>100.44</v>
      </c>
      <c r="D127" s="26">
        <f>INDEX(Купоны[Дата],MATCH($A127,Купоны[Дата],1))</f>
        <v>43385</v>
      </c>
      <c r="E127" s="24">
        <f>Купоны!$C$4*(A127-D127)/365*100</f>
        <v>0.54794520547945202</v>
      </c>
      <c r="F127" s="27">
        <f>-B127*(C127+E127)*Купоны!$G$10/100</f>
        <v>-616026.46575342456</v>
      </c>
      <c r="G127" s="34">
        <f>SUM($B$2:B127)</f>
        <v>1810</v>
      </c>
      <c r="H127" s="31">
        <f>_xlfn.IFNA(VLOOKUP($A127,Купоны[[Дата]:[% от номинала]],3,0),0)*Купоны!$G$10/100*G127</f>
        <v>0</v>
      </c>
      <c r="I127" s="36">
        <f>Таблица1[[#This Row],[Денежный поток]]+Таблица1[[#This Row],[Купонный доход]]</f>
        <v>-616026.46575342456</v>
      </c>
      <c r="J127" s="31">
        <f>Таблица1[[#This Row],[Общий денежный поток]]/((1+$L$2)^((Таблица1[[#This Row],[Названия строк]]-$A$2)/365))</f>
        <v>-584812.70989317435</v>
      </c>
    </row>
    <row r="128" spans="1:10" x14ac:dyDescent="0.3">
      <c r="A128" s="23">
        <v>43412</v>
      </c>
      <c r="B128" s="24">
        <v>690</v>
      </c>
      <c r="C128" s="24">
        <f>VLOOKUP(Таблица1[[#This Row],[Названия строк]],Котировки[[&lt;DATE&gt;]:[&lt;VOL&gt;]],6,0)</f>
        <v>100.3</v>
      </c>
      <c r="D128" s="26">
        <f>INDEX(Купоны[Дата],MATCH($A128,Купоны[Дата],1))</f>
        <v>43385</v>
      </c>
      <c r="E128" s="24">
        <f>Купоны!$C$4*(A128-D128)/365*100</f>
        <v>0.59178082191780834</v>
      </c>
      <c r="F128" s="27">
        <f>-B128*(C128+E128)*Купоны!$G$10/100</f>
        <v>-696153.28767123283</v>
      </c>
      <c r="G128" s="34">
        <f>SUM($B$2:B128)</f>
        <v>2500</v>
      </c>
      <c r="H128" s="31">
        <f>_xlfn.IFNA(VLOOKUP($A128,Купоны[[Дата]:[% от номинала]],3,0),0)*Купоны!$G$10/100*G128</f>
        <v>0</v>
      </c>
      <c r="I128" s="36">
        <f>Таблица1[[#This Row],[Денежный поток]]+Таблица1[[#This Row],[Купонный доход]]</f>
        <v>-696153.28767123283</v>
      </c>
      <c r="J128" s="31">
        <f>Таблица1[[#This Row],[Общий денежный поток]]/((1+$L$2)^((Таблица1[[#This Row],[Названия строк]]-$A$2)/365))</f>
        <v>-660702.88729012979</v>
      </c>
    </row>
    <row r="129" spans="1:10" x14ac:dyDescent="0.3">
      <c r="A129" s="23">
        <v>43413</v>
      </c>
      <c r="B129" s="24">
        <v>-730</v>
      </c>
      <c r="C129" s="24">
        <f>VLOOKUP(Таблица1[[#This Row],[Названия строк]],Котировки[[&lt;DATE&gt;]:[&lt;VOL&gt;]],6,0)</f>
        <v>100.45</v>
      </c>
      <c r="D129" s="26">
        <f>INDEX(Купоны[Дата],MATCH($A129,Купоны[Дата],1))</f>
        <v>43385</v>
      </c>
      <c r="E129" s="24">
        <f>Купоны!$C$4*(A129-D129)/365*100</f>
        <v>0.61369863013698633</v>
      </c>
      <c r="F129" s="27">
        <f>-B129*(C129+E129)*Купоны!$G$10/100</f>
        <v>737765</v>
      </c>
      <c r="G129" s="34">
        <f>SUM($B$2:B129)</f>
        <v>1770</v>
      </c>
      <c r="H129" s="31">
        <f>_xlfn.IFNA(VLOOKUP($A129,Купоны[[Дата]:[% от номинала]],3,0),0)*Купоны!$G$10/100*G129</f>
        <v>0</v>
      </c>
      <c r="I129" s="36">
        <f>Таблица1[[#This Row],[Денежный поток]]+Таблица1[[#This Row],[Купонный доход]]</f>
        <v>737765</v>
      </c>
      <c r="J129" s="31">
        <f>Таблица1[[#This Row],[Общий денежный поток]]/((1+$L$2)^((Таблица1[[#This Row],[Названия строк]]-$A$2)/365))</f>
        <v>700102.00517529703</v>
      </c>
    </row>
    <row r="130" spans="1:10" x14ac:dyDescent="0.3">
      <c r="A130" s="23">
        <v>43420</v>
      </c>
      <c r="B130" s="24">
        <v>-710</v>
      </c>
      <c r="C130" s="24">
        <f>VLOOKUP(Таблица1[[#This Row],[Названия строк]],Котировки[[&lt;DATE&gt;]:[&lt;VOL&gt;]],6,0)</f>
        <v>100.29</v>
      </c>
      <c r="D130" s="26">
        <f>INDEX(Купоны[Дата],MATCH($A130,Купоны[Дата],1))</f>
        <v>43385</v>
      </c>
      <c r="E130" s="24">
        <f>Купоны!$C$4*(A130-D130)/365*100</f>
        <v>0.76712328767123295</v>
      </c>
      <c r="F130" s="27">
        <f>-B130*(C130+E130)*Купоны!$G$10/100</f>
        <v>717505.57534246589</v>
      </c>
      <c r="G130" s="34">
        <f>SUM($B$2:B130)</f>
        <v>1060</v>
      </c>
      <c r="H130" s="31">
        <f>_xlfn.IFNA(VLOOKUP($A130,Купоны[[Дата]:[% от номинала]],3,0),0)*Купоны!$G$10/100*G130</f>
        <v>0</v>
      </c>
      <c r="I130" s="36">
        <f>Таблица1[[#This Row],[Денежный поток]]+Таблица1[[#This Row],[Купонный доход]]</f>
        <v>717505.57534246589</v>
      </c>
      <c r="J130" s="31">
        <f>Таблица1[[#This Row],[Общий денежный поток]]/((1+$L$2)^((Таблица1[[#This Row],[Названия строк]]-$A$2)/365))</f>
        <v>680240.02697727212</v>
      </c>
    </row>
    <row r="131" spans="1:10" x14ac:dyDescent="0.3">
      <c r="A131" s="23">
        <v>43423</v>
      </c>
      <c r="B131" s="24">
        <v>-710</v>
      </c>
      <c r="C131" s="24">
        <f>VLOOKUP(Таблица1[[#This Row],[Названия строк]],Котировки[[&lt;DATE&gt;]:[&lt;VOL&gt;]],6,0)</f>
        <v>100.23</v>
      </c>
      <c r="D131" s="26">
        <f>INDEX(Купоны[Дата],MATCH($A131,Купоны[Дата],1))</f>
        <v>43385</v>
      </c>
      <c r="E131" s="24">
        <f>Купоны!$C$4*(A131-D131)/365*100</f>
        <v>0.83287671232876703</v>
      </c>
      <c r="F131" s="27">
        <f>-B131*(C131+E131)*Купоны!$G$10/100</f>
        <v>717546.42465753423</v>
      </c>
      <c r="G131" s="34">
        <f>SUM($B$2:B131)</f>
        <v>350</v>
      </c>
      <c r="H131" s="31">
        <f>_xlfn.IFNA(VLOOKUP($A131,Купоны[[Дата]:[% от номинала]],3,0),0)*Купоны!$G$10/100*G131</f>
        <v>0</v>
      </c>
      <c r="I131" s="36">
        <f>Таблица1[[#This Row],[Денежный поток]]+Таблица1[[#This Row],[Купонный доход]]</f>
        <v>717546.42465753423</v>
      </c>
      <c r="J131" s="31">
        <f>Таблица1[[#This Row],[Общий денежный поток]]/((1+$L$2)^((Таблица1[[#This Row],[Названия строк]]-$A$2)/365))</f>
        <v>680006.00734930928</v>
      </c>
    </row>
    <row r="132" spans="1:10" x14ac:dyDescent="0.3">
      <c r="A132" s="23">
        <v>43426</v>
      </c>
      <c r="B132" s="24">
        <v>750</v>
      </c>
      <c r="C132" s="24">
        <f>VLOOKUP(Таблица1[[#This Row],[Названия строк]],Котировки[[&lt;DATE&gt;]:[&lt;VOL&gt;]],6,0)</f>
        <v>100.2</v>
      </c>
      <c r="D132" s="26">
        <f>INDEX(Купоны[Дата],MATCH($A132,Купоны[Дата],1))</f>
        <v>43385</v>
      </c>
      <c r="E132" s="24">
        <f>Купоны!$C$4*(A132-D132)/365*100</f>
        <v>0.89863013698630134</v>
      </c>
      <c r="F132" s="27">
        <f>-B132*(C132+E132)*Купоны!$G$10/100</f>
        <v>-758239.72602739721</v>
      </c>
      <c r="G132" s="34">
        <f>SUM($B$2:B132)</f>
        <v>1100</v>
      </c>
      <c r="H132" s="31">
        <f>_xlfn.IFNA(VLOOKUP($A132,Купоны[[Дата]:[% от номинала]],3,0),0)*Купоны!$G$10/100*G132</f>
        <v>0</v>
      </c>
      <c r="I132" s="36">
        <f>Таблица1[[#This Row],[Денежный поток]]+Таблица1[[#This Row],[Купонный доход]]</f>
        <v>-758239.72602739721</v>
      </c>
      <c r="J132" s="31">
        <f>Таблица1[[#This Row],[Общий денежный поток]]/((1+$L$2)^((Таблица1[[#This Row],[Названия строк]]-$A$2)/365))</f>
        <v>-718282.22684586502</v>
      </c>
    </row>
    <row r="133" spans="1:10" x14ac:dyDescent="0.3">
      <c r="A133" s="23">
        <v>43431</v>
      </c>
      <c r="B133" s="24">
        <v>170</v>
      </c>
      <c r="C133" s="24">
        <f>VLOOKUP(Таблица1[[#This Row],[Названия строк]],Котировки[[&lt;DATE&gt;]:[&lt;VOL&gt;]],6,0)</f>
        <v>100.1</v>
      </c>
      <c r="D133" s="26">
        <f>INDEX(Купоны[Дата],MATCH($A133,Купоны[Дата],1))</f>
        <v>43385</v>
      </c>
      <c r="E133" s="24">
        <f>Купоны!$C$4*(A133-D133)/365*100</f>
        <v>1.0082191780821919</v>
      </c>
      <c r="F133" s="27">
        <f>-B133*(C133+E133)*Купоны!$G$10/100</f>
        <v>-171883.9726027397</v>
      </c>
      <c r="G133" s="34">
        <f>SUM($B$2:B133)</f>
        <v>1270</v>
      </c>
      <c r="H133" s="31">
        <f>_xlfn.IFNA(VLOOKUP($A133,Купоны[[Дата]:[% от номинала]],3,0),0)*Купоны!$G$10/100*G133</f>
        <v>0</v>
      </c>
      <c r="I133" s="36">
        <f>Таблица1[[#This Row],[Денежный поток]]+Таблица1[[#This Row],[Купонный доход]]</f>
        <v>-171883.9726027397</v>
      </c>
      <c r="J133" s="31">
        <f>Таблица1[[#This Row],[Общий денежный поток]]/((1+$L$2)^((Таблица1[[#This Row],[Названия строк]]-$A$2)/365))</f>
        <v>-162717.29058862384</v>
      </c>
    </row>
    <row r="134" spans="1:10" x14ac:dyDescent="0.3">
      <c r="A134" s="23">
        <v>43433</v>
      </c>
      <c r="B134" s="24">
        <v>-120</v>
      </c>
      <c r="C134" s="24">
        <f>VLOOKUP(Таблица1[[#This Row],[Названия строк]],Котировки[[&lt;DATE&gt;]:[&lt;VOL&gt;]],6,0)</f>
        <v>100.14</v>
      </c>
      <c r="D134" s="26">
        <f>INDEX(Купоны[Дата],MATCH($A134,Купоны[Дата],1))</f>
        <v>43385</v>
      </c>
      <c r="E134" s="24">
        <f>Купоны!$C$4*(A134-D134)/365*100</f>
        <v>1.0520547945205481</v>
      </c>
      <c r="F134" s="27">
        <f>-B134*(C134+E134)*Купоны!$G$10/100</f>
        <v>121430.46575342465</v>
      </c>
      <c r="G134" s="34">
        <f>SUM($B$2:B134)</f>
        <v>1150</v>
      </c>
      <c r="H134" s="31">
        <f>_xlfn.IFNA(VLOOKUP($A134,Купоны[[Дата]:[% от номинала]],3,0),0)*Купоны!$G$10/100*G134</f>
        <v>0</v>
      </c>
      <c r="I134" s="36">
        <f>Таблица1[[#This Row],[Денежный поток]]+Таблица1[[#This Row],[Купонный доход]]</f>
        <v>121430.46575342465</v>
      </c>
      <c r="J134" s="31">
        <f>Таблица1[[#This Row],[Общий денежный поток]]/((1+$L$2)^((Таблица1[[#This Row],[Названия строк]]-$A$2)/365))</f>
        <v>114923.77326068115</v>
      </c>
    </row>
    <row r="135" spans="1:10" x14ac:dyDescent="0.3">
      <c r="A135" s="23">
        <v>43434</v>
      </c>
      <c r="B135" s="24">
        <v>90</v>
      </c>
      <c r="C135" s="24">
        <f>VLOOKUP(Таблица1[[#This Row],[Названия строк]],Котировки[[&lt;DATE&gt;]:[&lt;VOL&gt;]],6,0)</f>
        <v>100.41</v>
      </c>
      <c r="D135" s="26">
        <f>INDEX(Купоны[Дата],MATCH($A135,Купоны[Дата],1))</f>
        <v>43385</v>
      </c>
      <c r="E135" s="24">
        <f>Купоны!$C$4*(A135-D135)/365*100</f>
        <v>1.0739726027397261</v>
      </c>
      <c r="F135" s="27">
        <f>-B135*(C135+E135)*Купоны!$G$10/100</f>
        <v>-91335.575342465745</v>
      </c>
      <c r="G135" s="34">
        <f>SUM($B$2:B135)</f>
        <v>1240</v>
      </c>
      <c r="H135" s="31">
        <f>_xlfn.IFNA(VLOOKUP($A135,Купоны[[Дата]:[% от номинала]],3,0),0)*Купоны!$G$10/100*G135</f>
        <v>0</v>
      </c>
      <c r="I135" s="36">
        <f>Таблица1[[#This Row],[Денежный поток]]+Таблица1[[#This Row],[Купонный доход]]</f>
        <v>-91335.575342465745</v>
      </c>
      <c r="J135" s="31">
        <f>Таблица1[[#This Row],[Общий денежный поток]]/((1+$L$2)^((Таблица1[[#This Row],[Названия строк]]-$A$2)/365))</f>
        <v>-86429.924137177208</v>
      </c>
    </row>
    <row r="136" spans="1:10" x14ac:dyDescent="0.3">
      <c r="A136" s="23">
        <v>43438</v>
      </c>
      <c r="B136" s="24">
        <v>-1190</v>
      </c>
      <c r="C136" s="24">
        <f>VLOOKUP(Таблица1[[#This Row],[Названия строк]],Котировки[[&lt;DATE&gt;]:[&lt;VOL&gt;]],6,0)</f>
        <v>100.28</v>
      </c>
      <c r="D136" s="26">
        <f>INDEX(Купоны[Дата],MATCH($A136,Купоны[Дата],1))</f>
        <v>43385</v>
      </c>
      <c r="E136" s="24">
        <f>Купоны!$C$4*(A136-D136)/365*100</f>
        <v>1.1616438356164385</v>
      </c>
      <c r="F136" s="27">
        <f>-B136*(C136+E136)*Купоны!$G$10/100</f>
        <v>1207155.5616438359</v>
      </c>
      <c r="G136" s="34">
        <f>SUM($B$2:B136)</f>
        <v>50</v>
      </c>
      <c r="H136" s="31">
        <f>_xlfn.IFNA(VLOOKUP($A136,Купоны[[Дата]:[% от номинала]],3,0),0)*Купоны!$G$10/100*G136</f>
        <v>0</v>
      </c>
      <c r="I136" s="36">
        <f>Таблица1[[#This Row],[Денежный поток]]+Таблица1[[#This Row],[Купонный доход]]</f>
        <v>1207155.5616438359</v>
      </c>
      <c r="J136" s="31">
        <f>Таблица1[[#This Row],[Общий денежный поток]]/((1+$L$2)^((Таблица1[[#This Row],[Названия строк]]-$A$2)/365))</f>
        <v>1141708.3861933539</v>
      </c>
    </row>
    <row r="137" spans="1:10" x14ac:dyDescent="0.3">
      <c r="A137" s="23">
        <v>43440</v>
      </c>
      <c r="B137" s="24">
        <v>190</v>
      </c>
      <c r="C137" s="24">
        <f>VLOOKUP(Таблица1[[#This Row],[Названия строк]],Котировки[[&lt;DATE&gt;]:[&lt;VOL&gt;]],6,0)</f>
        <v>99.91</v>
      </c>
      <c r="D137" s="26">
        <f>INDEX(Купоны[Дата],MATCH($A137,Купоны[Дата],1))</f>
        <v>43385</v>
      </c>
      <c r="E137" s="24">
        <f>Купоны!$C$4*(A137-D137)/365*100</f>
        <v>1.2054794520547945</v>
      </c>
      <c r="F137" s="27">
        <f>-B137*(C137+E137)*Купоны!$G$10/100</f>
        <v>-192119.41095890407</v>
      </c>
      <c r="G137" s="34">
        <f>SUM($B$2:B137)</f>
        <v>240</v>
      </c>
      <c r="H137" s="31">
        <f>_xlfn.IFNA(VLOOKUP($A137,Купоны[[Дата]:[% от номинала]],3,0),0)*Купоны!$G$10/100*G137</f>
        <v>0</v>
      </c>
      <c r="I137" s="36">
        <f>Таблица1[[#This Row],[Денежный поток]]+Таблица1[[#This Row],[Купонный доход]]</f>
        <v>-192119.41095890407</v>
      </c>
      <c r="J137" s="31">
        <f>Таблица1[[#This Row],[Общий денежный поток]]/((1+$L$2)^((Таблица1[[#This Row],[Названия строк]]-$A$2)/365))</f>
        <v>-181654.88955443006</v>
      </c>
    </row>
    <row r="138" spans="1:10" x14ac:dyDescent="0.3">
      <c r="A138" s="23">
        <v>43441</v>
      </c>
      <c r="B138" s="24">
        <v>570</v>
      </c>
      <c r="C138" s="24">
        <f>VLOOKUP(Таблица1[[#This Row],[Названия строк]],Котировки[[&lt;DATE&gt;]:[&lt;VOL&gt;]],6,0)</f>
        <v>99.8</v>
      </c>
      <c r="D138" s="26">
        <f>INDEX(Купоны[Дата],MATCH($A138,Купоны[Дата],1))</f>
        <v>43385</v>
      </c>
      <c r="E138" s="24">
        <f>Купоны!$C$4*(A138-D138)/365*100</f>
        <v>1.2273972602739727</v>
      </c>
      <c r="F138" s="27">
        <f>-B138*(C138+E138)*Купоны!$G$10/100</f>
        <v>-575856.16438356158</v>
      </c>
      <c r="G138" s="34">
        <f>SUM($B$2:B138)</f>
        <v>810</v>
      </c>
      <c r="H138" s="31">
        <f>_xlfn.IFNA(VLOOKUP($A138,Купоны[[Дата]:[% от номинала]],3,0),0)*Купоны!$G$10/100*G138</f>
        <v>0</v>
      </c>
      <c r="I138" s="36">
        <f>Таблица1[[#This Row],[Денежный поток]]+Таблица1[[#This Row],[Купонный доход]]</f>
        <v>-575856.16438356158</v>
      </c>
      <c r="J138" s="31">
        <f>Таблица1[[#This Row],[Общий денежный поток]]/((1+$L$2)^((Таблица1[[#This Row],[Названия строк]]-$A$2)/365))</f>
        <v>-544417.16923527583</v>
      </c>
    </row>
    <row r="139" spans="1:10" x14ac:dyDescent="0.3">
      <c r="A139" s="23">
        <v>43445</v>
      </c>
      <c r="B139" s="24">
        <v>100</v>
      </c>
      <c r="C139" s="24">
        <f>VLOOKUP(Таблица1[[#This Row],[Названия строк]],Котировки[[&lt;DATE&gt;]:[&lt;VOL&gt;]],6,0)</f>
        <v>100.03</v>
      </c>
      <c r="D139" s="26">
        <f>INDEX(Купоны[Дата],MATCH($A139,Купоны[Дата],1))</f>
        <v>43385</v>
      </c>
      <c r="E139" s="24">
        <f>Купоны!$C$4*(A139-D139)/365*100</f>
        <v>1.3150684931506849</v>
      </c>
      <c r="F139" s="27">
        <f>-B139*(C139+E139)*Купоны!$G$10/100</f>
        <v>-101345.06849315068</v>
      </c>
      <c r="G139" s="34">
        <f>SUM($B$2:B139)</f>
        <v>910</v>
      </c>
      <c r="H139" s="31">
        <f>_xlfn.IFNA(VLOOKUP($A139,Купоны[[Дата]:[% от номинала]],3,0),0)*Купоны!$G$10/100*G139</f>
        <v>0</v>
      </c>
      <c r="I139" s="36">
        <f>Таблица1[[#This Row],[Денежный поток]]+Таблица1[[#This Row],[Купонный доход]]</f>
        <v>-101345.06849315068</v>
      </c>
      <c r="J139" s="31">
        <f>Таблица1[[#This Row],[Общий денежный поток]]/((1+$L$2)^((Таблица1[[#This Row],[Названия строк]]-$A$2)/365))</f>
        <v>-95760.896206260746</v>
      </c>
    </row>
    <row r="140" spans="1:10" x14ac:dyDescent="0.3">
      <c r="A140" s="23">
        <v>43448</v>
      </c>
      <c r="B140" s="24">
        <v>-310</v>
      </c>
      <c r="C140" s="24">
        <f>VLOOKUP(Таблица1[[#This Row],[Названия строк]],Котировки[[&lt;DATE&gt;]:[&lt;VOL&gt;]],6,0)</f>
        <v>99.9</v>
      </c>
      <c r="D140" s="26">
        <f>INDEX(Купоны[Дата],MATCH($A140,Купоны[Дата],1))</f>
        <v>43385</v>
      </c>
      <c r="E140" s="24">
        <f>Купоны!$C$4*(A140-D140)/365*100</f>
        <v>1.3808219178082191</v>
      </c>
      <c r="F140" s="27">
        <f>-B140*(C140+E140)*Купоны!$G$10/100</f>
        <v>313970.54794520547</v>
      </c>
      <c r="G140" s="34">
        <f>SUM($B$2:B140)</f>
        <v>600</v>
      </c>
      <c r="H140" s="31">
        <f>_xlfn.IFNA(VLOOKUP($A140,Купоны[[Дата]:[% от номинала]],3,0),0)*Купоны!$G$10/100*G140</f>
        <v>0</v>
      </c>
      <c r="I140" s="36">
        <f>Таблица1[[#This Row],[Денежный поток]]+Таблица1[[#This Row],[Купонный доход]]</f>
        <v>313970.54794520547</v>
      </c>
      <c r="J140" s="31">
        <f>Таблица1[[#This Row],[Общий денежный поток]]/((1+$L$2)^((Таблица1[[#This Row],[Названия строк]]-$A$2)/365))</f>
        <v>296551.64241037006</v>
      </c>
    </row>
    <row r="141" spans="1:10" x14ac:dyDescent="0.3">
      <c r="A141" s="23">
        <v>43452</v>
      </c>
      <c r="B141" s="24">
        <v>580</v>
      </c>
      <c r="C141" s="24">
        <f>VLOOKUP(Таблица1[[#This Row],[Названия строк]],Котировки[[&lt;DATE&gt;]:[&lt;VOL&gt;]],6,0)</f>
        <v>99.89</v>
      </c>
      <c r="D141" s="26">
        <f>INDEX(Купоны[Дата],MATCH($A141,Купоны[Дата],1))</f>
        <v>43385</v>
      </c>
      <c r="E141" s="24">
        <f>Купоны!$C$4*(A141-D141)/365*100</f>
        <v>1.4684931506849317</v>
      </c>
      <c r="F141" s="27">
        <f>-B141*(C141+E141)*Купоны!$G$10/100</f>
        <v>-587879.26027397264</v>
      </c>
      <c r="G141" s="34">
        <f>SUM($B$2:B141)</f>
        <v>1180</v>
      </c>
      <c r="H141" s="31">
        <f>_xlfn.IFNA(VLOOKUP($A141,Купоны[[Дата]:[% от номинала]],3,0),0)*Купоны!$G$10/100*G141</f>
        <v>0</v>
      </c>
      <c r="I141" s="36">
        <f>Таблица1[[#This Row],[Денежный поток]]+Таблица1[[#This Row],[Купонный доход]]</f>
        <v>-587879.26027397264</v>
      </c>
      <c r="J141" s="31">
        <f>Таблица1[[#This Row],[Общий денежный поток]]/((1+$L$2)^((Таблица1[[#This Row],[Названия строк]]-$A$2)/365))</f>
        <v>-554967.2438522859</v>
      </c>
    </row>
    <row r="142" spans="1:10" x14ac:dyDescent="0.3">
      <c r="A142" s="23">
        <v>43453</v>
      </c>
      <c r="B142" s="24">
        <v>720</v>
      </c>
      <c r="C142" s="24">
        <f>VLOOKUP(Таблица1[[#This Row],[Названия строк]],Котировки[[&lt;DATE&gt;]:[&lt;VOL&gt;]],6,0)</f>
        <v>99.98</v>
      </c>
      <c r="D142" s="26">
        <f>INDEX(Купоны[Дата],MATCH($A142,Купоны[Дата],1))</f>
        <v>43385</v>
      </c>
      <c r="E142" s="24">
        <f>Купоны!$C$4*(A142-D142)/365*100</f>
        <v>1.4904109589041097</v>
      </c>
      <c r="F142" s="27">
        <f>-B142*(C142+E142)*Купоны!$G$10/100</f>
        <v>-730586.95890410955</v>
      </c>
      <c r="G142" s="34">
        <f>SUM($B$2:B142)</f>
        <v>1900</v>
      </c>
      <c r="H142" s="31">
        <f>_xlfn.IFNA(VLOOKUP($A142,Купоны[[Дата]:[% от номинала]],3,0),0)*Купоны!$G$10/100*G142</f>
        <v>0</v>
      </c>
      <c r="I142" s="36">
        <f>Таблица1[[#This Row],[Денежный поток]]+Таблица1[[#This Row],[Купонный доход]]</f>
        <v>-730586.95890410955</v>
      </c>
      <c r="J142" s="31">
        <f>Таблица1[[#This Row],[Общий денежный поток]]/((1+$L$2)^((Таблица1[[#This Row],[Названия строк]]-$A$2)/365))</f>
        <v>-689593.36477050371</v>
      </c>
    </row>
    <row r="143" spans="1:10" x14ac:dyDescent="0.3">
      <c r="A143" s="23">
        <v>43455</v>
      </c>
      <c r="B143" s="24">
        <v>-230</v>
      </c>
      <c r="C143" s="24">
        <f>VLOOKUP(Таблица1[[#This Row],[Названия строк]],Котировки[[&lt;DATE&gt;]:[&lt;VOL&gt;]],6,0)</f>
        <v>100</v>
      </c>
      <c r="D143" s="26">
        <f>INDEX(Купоны[Дата],MATCH($A143,Купоны[Дата],1))</f>
        <v>43385</v>
      </c>
      <c r="E143" s="24">
        <f>Купоны!$C$4*(A143-D143)/365*100</f>
        <v>1.5342465753424659</v>
      </c>
      <c r="F143" s="27">
        <f>-B143*(C143+E143)*Купоны!$G$10/100</f>
        <v>233528.76712328766</v>
      </c>
      <c r="G143" s="34">
        <f>SUM($B$2:B143)</f>
        <v>1670</v>
      </c>
      <c r="H143" s="31">
        <f>_xlfn.IFNA(VLOOKUP($A143,Купоны[[Дата]:[% от номинала]],3,0),0)*Купоны!$G$10/100*G143</f>
        <v>0</v>
      </c>
      <c r="I143" s="36">
        <f>Таблица1[[#This Row],[Денежный поток]]+Таблица1[[#This Row],[Купонный доход]]</f>
        <v>233528.76712328766</v>
      </c>
      <c r="J143" s="31">
        <f>Таблица1[[#This Row],[Общий денежный поток]]/((1+$L$2)^((Таблица1[[#This Row],[Названия строк]]-$A$2)/365))</f>
        <v>220366.43159017569</v>
      </c>
    </row>
    <row r="144" spans="1:10" x14ac:dyDescent="0.3">
      <c r="A144" s="23">
        <v>43460</v>
      </c>
      <c r="B144" s="24">
        <v>-1560</v>
      </c>
      <c r="C144" s="24">
        <f>VLOOKUP(Таблица1[[#This Row],[Названия строк]],Котировки[[&lt;DATE&gt;]:[&lt;VOL&gt;]],6,0)</f>
        <v>100.25</v>
      </c>
      <c r="D144" s="26">
        <f>INDEX(Купоны[Дата],MATCH($A144,Купоны[Дата],1))</f>
        <v>43385</v>
      </c>
      <c r="E144" s="24">
        <f>Купоны!$C$4*(A144-D144)/365*100</f>
        <v>1.6438356164383561</v>
      </c>
      <c r="F144" s="27">
        <f>-B144*(C144+E144)*Купоны!$G$10/100</f>
        <v>1589543.8356164384</v>
      </c>
      <c r="G144" s="34">
        <f>SUM($B$2:B144)</f>
        <v>110</v>
      </c>
      <c r="H144" s="31">
        <f>_xlfn.IFNA(VLOOKUP($A144,Купоны[[Дата]:[% от номинала]],3,0),0)*Купоны!$G$10/100*G144</f>
        <v>0</v>
      </c>
      <c r="I144" s="36">
        <f>Таблица1[[#This Row],[Денежный поток]]+Таблица1[[#This Row],[Купонный доход]]</f>
        <v>1589543.8356164384</v>
      </c>
      <c r="J144" s="31">
        <f>Таблица1[[#This Row],[Общий денежный поток]]/((1+$L$2)^((Таблица1[[#This Row],[Названия строк]]-$A$2)/365))</f>
        <v>1498950.5209619508</v>
      </c>
    </row>
    <row r="145" spans="1:10" x14ac:dyDescent="0.3">
      <c r="A145" s="23">
        <v>43468</v>
      </c>
      <c r="B145" s="24">
        <v>250</v>
      </c>
      <c r="C145" s="24">
        <f>VLOOKUP(Таблица1[[#This Row],[Названия строк]],Котировки[[&lt;DATE&gt;]:[&lt;VOL&gt;]],6,0)</f>
        <v>100.4</v>
      </c>
      <c r="D145" s="26">
        <f>INDEX(Купоны[Дата],MATCH($A145,Купоны[Дата],1))</f>
        <v>43385</v>
      </c>
      <c r="E145" s="24">
        <f>Купоны!$C$4*(A145-D145)/365*100</f>
        <v>1.8191780821917809</v>
      </c>
      <c r="F145" s="27">
        <f>-B145*(C145+E145)*Купоны!$G$10/100</f>
        <v>-255547.94520547948</v>
      </c>
      <c r="G145" s="34">
        <f>SUM($B$2:B145)</f>
        <v>360</v>
      </c>
      <c r="H145" s="31">
        <f>_xlfn.IFNA(VLOOKUP($A145,Купоны[[Дата]:[% от номинала]],3,0),0)*Купоны!$G$10/100*G145</f>
        <v>0</v>
      </c>
      <c r="I145" s="36">
        <f>Таблица1[[#This Row],[Денежный поток]]+Таблица1[[#This Row],[Купонный доход]]</f>
        <v>-255547.94520547948</v>
      </c>
      <c r="J145" s="31">
        <f>Таблица1[[#This Row],[Общий денежный поток]]/((1+$L$2)^((Таблица1[[#This Row],[Названия строк]]-$A$2)/365))</f>
        <v>-240725.86642699473</v>
      </c>
    </row>
    <row r="146" spans="1:10" x14ac:dyDescent="0.3">
      <c r="A146" s="23">
        <v>43474</v>
      </c>
      <c r="B146" s="24">
        <v>50</v>
      </c>
      <c r="C146" s="24">
        <f>VLOOKUP(Таблица1[[#This Row],[Названия строк]],Котировки[[&lt;DATE&gt;]:[&lt;VOL&gt;]],6,0)</f>
        <v>100.15</v>
      </c>
      <c r="D146" s="26">
        <f>INDEX(Купоны[Дата],MATCH($A146,Купоны[Дата],1))</f>
        <v>43385</v>
      </c>
      <c r="E146" s="24">
        <f>Купоны!$C$4*(A146-D146)/365*100</f>
        <v>1.9506849315068493</v>
      </c>
      <c r="F146" s="27">
        <f>-B146*(C146+E146)*Купоны!$G$10/100</f>
        <v>-51050.342465753427</v>
      </c>
      <c r="G146" s="34">
        <f>SUM($B$2:B146)</f>
        <v>410</v>
      </c>
      <c r="H146" s="31">
        <f>_xlfn.IFNA(VLOOKUP($A146,Купоны[[Дата]:[% от номинала]],3,0),0)*Купоны!$G$10/100*G146</f>
        <v>0</v>
      </c>
      <c r="I146" s="36">
        <f>Таблица1[[#This Row],[Денежный поток]]+Таблица1[[#This Row],[Купонный доход]]</f>
        <v>-51050.342465753427</v>
      </c>
      <c r="J146" s="31">
        <f>Таблица1[[#This Row],[Общий денежный поток]]/((1+$L$2)^((Таблица1[[#This Row],[Названия строк]]-$A$2)/365))</f>
        <v>-48050.809426682012</v>
      </c>
    </row>
    <row r="147" spans="1:10" x14ac:dyDescent="0.3">
      <c r="A147" s="23">
        <v>43476</v>
      </c>
      <c r="B147" s="24">
        <v>-110</v>
      </c>
      <c r="C147" s="24">
        <f>VLOOKUP(Таблица1[[#This Row],[Названия строк]],Котировки[[&lt;DATE&gt;]:[&lt;VOL&gt;]],6,0)</f>
        <v>100.3</v>
      </c>
      <c r="D147" s="26">
        <f>INDEX(Купоны[Дата],MATCH($A147,Купоны[Дата],1))</f>
        <v>43385</v>
      </c>
      <c r="E147" s="24">
        <f>Купоны!$C$4*(A147-D147)/365*100</f>
        <v>1.9945205479452055</v>
      </c>
      <c r="F147" s="27">
        <f>-B147*(C147+E147)*Купоны!$G$10/100</f>
        <v>112523.97260273973</v>
      </c>
      <c r="G147" s="34">
        <f>SUM($B$2:B147)</f>
        <v>300</v>
      </c>
      <c r="H147" s="31">
        <f>_xlfn.IFNA(VLOOKUP($A147,Купоны[[Дата]:[% от номинала]],3,0),0)*Купоны!$G$10/100*G147</f>
        <v>0</v>
      </c>
      <c r="I147" s="36">
        <f>Таблица1[[#This Row],[Денежный поток]]+Таблица1[[#This Row],[Купонный доход]]</f>
        <v>112523.97260273973</v>
      </c>
      <c r="J147" s="31">
        <f>Таблица1[[#This Row],[Общий денежный поток]]/((1+$L$2)^((Таблица1[[#This Row],[Названия строк]]-$A$2)/365))</f>
        <v>105884.16071881111</v>
      </c>
    </row>
    <row r="148" spans="1:10" x14ac:dyDescent="0.3">
      <c r="A148" s="23">
        <v>43479</v>
      </c>
      <c r="B148" s="24">
        <v>230</v>
      </c>
      <c r="C148" s="24">
        <f>VLOOKUP(Таблица1[[#This Row],[Названия строк]],Котировки[[&lt;DATE&gt;]:[&lt;VOL&gt;]],6,0)</f>
        <v>100.2</v>
      </c>
      <c r="D148" s="26">
        <f>INDEX(Купоны[Дата],MATCH($A148,Купоны[Дата],1))</f>
        <v>43385</v>
      </c>
      <c r="E148" s="24">
        <f>Купоны!$C$4*(A148-D148)/365*100</f>
        <v>2.0602739726027401</v>
      </c>
      <c r="F148" s="27">
        <f>-B148*(C148+E148)*Купоны!$G$10/100</f>
        <v>-235198.63013698635</v>
      </c>
      <c r="G148" s="34">
        <f>SUM($B$2:B148)</f>
        <v>530</v>
      </c>
      <c r="H148" s="31">
        <f>_xlfn.IFNA(VLOOKUP($A148,Купоны[[Дата]:[% от номинала]],3,0),0)*Купоны!$G$10/100*G148</f>
        <v>0</v>
      </c>
      <c r="I148" s="36">
        <f>Таблица1[[#This Row],[Денежный поток]]+Таблица1[[#This Row],[Купонный доход]]</f>
        <v>-235198.63013698635</v>
      </c>
      <c r="J148" s="31">
        <f>Таблица1[[#This Row],[Общий денежный поток]]/((1+$L$2)^((Таблица1[[#This Row],[Названия строк]]-$A$2)/365))</f>
        <v>-221231.30012422925</v>
      </c>
    </row>
    <row r="149" spans="1:10" x14ac:dyDescent="0.3">
      <c r="A149" s="23">
        <v>43480</v>
      </c>
      <c r="B149" s="24">
        <v>-270</v>
      </c>
      <c r="C149" s="24">
        <f>VLOOKUP(Таблица1[[#This Row],[Названия строк]],Котировки[[&lt;DATE&gt;]:[&lt;VOL&gt;]],6,0)</f>
        <v>100.2</v>
      </c>
      <c r="D149" s="26">
        <f>INDEX(Купоны[Дата],MATCH($A149,Купоны[Дата],1))</f>
        <v>43385</v>
      </c>
      <c r="E149" s="24">
        <f>Купоны!$C$4*(A149-D149)/365*100</f>
        <v>2.0821917808219177</v>
      </c>
      <c r="F149" s="27">
        <f>-B149*(C149+E149)*Купоны!$G$10/100</f>
        <v>276161.91780821921</v>
      </c>
      <c r="G149" s="34">
        <f>SUM($B$2:B149)</f>
        <v>260</v>
      </c>
      <c r="H149" s="31">
        <f>_xlfn.IFNA(VLOOKUP($A149,Купоны[[Дата]:[% от номинала]],3,0),0)*Купоны!$G$10/100*G149</f>
        <v>0</v>
      </c>
      <c r="I149" s="36">
        <f>Таблица1[[#This Row],[Денежный поток]]+Таблица1[[#This Row],[Купонный доход]]</f>
        <v>276161.91780821921</v>
      </c>
      <c r="J149" s="31">
        <f>Таблица1[[#This Row],[Общий денежный поток]]/((1+$L$2)^((Таблица1[[#This Row],[Названия строк]]-$A$2)/365))</f>
        <v>259727.25211898686</v>
      </c>
    </row>
    <row r="150" spans="1:10" x14ac:dyDescent="0.3">
      <c r="A150" s="23">
        <v>43481</v>
      </c>
      <c r="B150" s="24">
        <v>910</v>
      </c>
      <c r="C150" s="24">
        <f>VLOOKUP(Таблица1[[#This Row],[Названия строк]],Котировки[[&lt;DATE&gt;]:[&lt;VOL&gt;]],6,0)</f>
        <v>100.2</v>
      </c>
      <c r="D150" s="26">
        <f>INDEX(Купоны[Дата],MATCH($A150,Купоны[Дата],1))</f>
        <v>43385</v>
      </c>
      <c r="E150" s="24">
        <f>Купоны!$C$4*(A150-D150)/365*100</f>
        <v>2.1041095890410961</v>
      </c>
      <c r="F150" s="27">
        <f>-B150*(C150+E150)*Купоны!$G$10/100</f>
        <v>-930967.39726027404</v>
      </c>
      <c r="G150" s="34">
        <f>SUM($B$2:B150)</f>
        <v>1170</v>
      </c>
      <c r="H150" s="31">
        <f>_xlfn.IFNA(VLOOKUP($A150,Купоны[[Дата]:[% от номинала]],3,0),0)*Купоны!$G$10/100*G150</f>
        <v>0</v>
      </c>
      <c r="I150" s="36">
        <f>Таблица1[[#This Row],[Денежный поток]]+Таблица1[[#This Row],[Купонный доход]]</f>
        <v>-930967.39726027404</v>
      </c>
      <c r="J150" s="31">
        <f>Таблица1[[#This Row],[Общий денежный поток]]/((1+$L$2)^((Таблица1[[#This Row],[Названия строк]]-$A$2)/365))</f>
        <v>-875447.58701390622</v>
      </c>
    </row>
    <row r="151" spans="1:10" x14ac:dyDescent="0.3">
      <c r="A151" s="23">
        <v>43482</v>
      </c>
      <c r="B151" s="24">
        <v>-1080</v>
      </c>
      <c r="C151" s="24">
        <f>VLOOKUP(Таблица1[[#This Row],[Названия строк]],Котировки[[&lt;DATE&gt;]:[&lt;VOL&gt;]],6,0)</f>
        <v>100.3</v>
      </c>
      <c r="D151" s="26">
        <f>INDEX(Купоны[Дата],MATCH($A151,Купоны[Дата],1))</f>
        <v>43385</v>
      </c>
      <c r="E151" s="24">
        <f>Купоны!$C$4*(A151-D151)/365*100</f>
        <v>2.1260273972602737</v>
      </c>
      <c r="F151" s="27">
        <f>-B151*(C151+E151)*Купоны!$G$10/100</f>
        <v>1106201.0958904109</v>
      </c>
      <c r="G151" s="34">
        <f>SUM($B$2:B151)</f>
        <v>90</v>
      </c>
      <c r="H151" s="31">
        <f>_xlfn.IFNA(VLOOKUP($A151,Купоны[[Дата]:[% от номинала]],3,0),0)*Купоны!$G$10/100*G151</f>
        <v>0</v>
      </c>
      <c r="I151" s="36">
        <f>Таблица1[[#This Row],[Денежный поток]]+Таблица1[[#This Row],[Купонный доход]]</f>
        <v>1106201.0958904109</v>
      </c>
      <c r="J151" s="31">
        <f>Таблица1[[#This Row],[Общий денежный поток]]/((1+$L$2)^((Таблица1[[#This Row],[Названия строк]]-$A$2)/365))</f>
        <v>1040091.8884755884</v>
      </c>
    </row>
    <row r="152" spans="1:10" x14ac:dyDescent="0.3">
      <c r="A152" s="23">
        <v>43483</v>
      </c>
      <c r="B152" s="24">
        <v>370</v>
      </c>
      <c r="C152" s="24">
        <f>VLOOKUP(Таблица1[[#This Row],[Названия строк]],Котировки[[&lt;DATE&gt;]:[&lt;VOL&gt;]],6,0)</f>
        <v>100.2</v>
      </c>
      <c r="D152" s="26">
        <f>INDEX(Купоны[Дата],MATCH($A152,Купоны[Дата],1))</f>
        <v>43385</v>
      </c>
      <c r="E152" s="24">
        <f>Купоны!$C$4*(A152-D152)/365*100</f>
        <v>2.1479452054794521</v>
      </c>
      <c r="F152" s="27">
        <f>-B152*(C152+E152)*Купоны!$G$10/100</f>
        <v>-378687.39726027392</v>
      </c>
      <c r="G152" s="34">
        <f>SUM($B$2:B152)</f>
        <v>460</v>
      </c>
      <c r="H152" s="31">
        <f>_xlfn.IFNA(VLOOKUP($A152,Купоны[[Дата]:[% от номинала]],3,0),0)*Купоны!$G$10/100*G152</f>
        <v>0</v>
      </c>
      <c r="I152" s="36">
        <f>Таблица1[[#This Row],[Денежный поток]]+Таблица1[[#This Row],[Купонный доход]]</f>
        <v>-378687.39726027392</v>
      </c>
      <c r="J152" s="31">
        <f>Таблица1[[#This Row],[Общий денежный поток]]/((1+$L$2)^((Таблица1[[#This Row],[Названия строк]]-$A$2)/365))</f>
        <v>-356008.54665201495</v>
      </c>
    </row>
    <row r="153" spans="1:10" x14ac:dyDescent="0.3">
      <c r="A153" s="23">
        <v>43486</v>
      </c>
      <c r="B153" s="24">
        <v>50</v>
      </c>
      <c r="C153" s="24">
        <f>VLOOKUP(Таблица1[[#This Row],[Названия строк]],Котировки[[&lt;DATE&gt;]:[&lt;VOL&gt;]],6,0)</f>
        <v>100.2</v>
      </c>
      <c r="D153" s="26">
        <f>INDEX(Купоны[Дата],MATCH($A153,Купоны[Дата],1))</f>
        <v>43385</v>
      </c>
      <c r="E153" s="24">
        <f>Купоны!$C$4*(A153-D153)/365*100</f>
        <v>2.2136986301369865</v>
      </c>
      <c r="F153" s="27">
        <f>-B153*(C153+E153)*Купоны!$G$10/100</f>
        <v>-51206.849315068488</v>
      </c>
      <c r="G153" s="34">
        <f>SUM($B$2:B153)</f>
        <v>510</v>
      </c>
      <c r="H153" s="31">
        <f>_xlfn.IFNA(VLOOKUP($A153,Купоны[[Дата]:[% от номинала]],3,0),0)*Купоны!$G$10/100*G153</f>
        <v>0</v>
      </c>
      <c r="I153" s="36">
        <f>Таблица1[[#This Row],[Денежный поток]]+Таблица1[[#This Row],[Купонный доход]]</f>
        <v>-51206.849315068488</v>
      </c>
      <c r="J153" s="31">
        <f>Таблица1[[#This Row],[Общий денежный поток]]/((1+$L$2)^((Таблица1[[#This Row],[Названия строк]]-$A$2)/365))</f>
        <v>-48120.869788492193</v>
      </c>
    </row>
    <row r="154" spans="1:10" x14ac:dyDescent="0.3">
      <c r="A154" s="23">
        <v>43489</v>
      </c>
      <c r="B154" s="24">
        <v>540</v>
      </c>
      <c r="C154" s="24">
        <f>VLOOKUP(Таблица1[[#This Row],[Названия строк]],Котировки[[&lt;DATE&gt;]:[&lt;VOL&gt;]],6,0)</f>
        <v>99.94</v>
      </c>
      <c r="D154" s="26">
        <f>INDEX(Купоны[Дата],MATCH($A154,Купоны[Дата],1))</f>
        <v>43385</v>
      </c>
      <c r="E154" s="24">
        <f>Купоны!$C$4*(A154-D154)/365*100</f>
        <v>2.2794520547945205</v>
      </c>
      <c r="F154" s="27">
        <f>-B154*(C154+E154)*Купоны!$G$10/100</f>
        <v>-551985.04109589045</v>
      </c>
      <c r="G154" s="34">
        <f>SUM($B$2:B154)</f>
        <v>1050</v>
      </c>
      <c r="H154" s="31">
        <f>_xlfn.IFNA(VLOOKUP($A154,Купоны[[Дата]:[% от номинала]],3,0),0)*Купоны!$G$10/100*G154</f>
        <v>0</v>
      </c>
      <c r="I154" s="36">
        <f>Таблица1[[#This Row],[Денежный поток]]+Таблица1[[#This Row],[Купонный доход]]</f>
        <v>-551985.04109589045</v>
      </c>
      <c r="J154" s="31">
        <f>Таблица1[[#This Row],[Общий денежный поток]]/((1+$L$2)^((Таблица1[[#This Row],[Названия строк]]-$A$2)/365))</f>
        <v>-518511.70334768231</v>
      </c>
    </row>
    <row r="155" spans="1:10" x14ac:dyDescent="0.3">
      <c r="A155" s="23">
        <v>43490</v>
      </c>
      <c r="B155" s="24">
        <v>-160</v>
      </c>
      <c r="C155" s="24">
        <f>VLOOKUP(Таблица1[[#This Row],[Названия строк]],Котировки[[&lt;DATE&gt;]:[&lt;VOL&gt;]],6,0)</f>
        <v>99.91</v>
      </c>
      <c r="D155" s="26">
        <f>INDEX(Купоны[Дата],MATCH($A155,Купоны[Дата],1))</f>
        <v>43385</v>
      </c>
      <c r="E155" s="24">
        <f>Купоны!$C$4*(A155-D155)/365*100</f>
        <v>2.3013698630136985</v>
      </c>
      <c r="F155" s="27">
        <f>-B155*(C155+E155)*Купоны!$G$10/100</f>
        <v>163538.19178082192</v>
      </c>
      <c r="G155" s="34">
        <f>SUM($B$2:B155)</f>
        <v>890</v>
      </c>
      <c r="H155" s="31">
        <f>_xlfn.IFNA(VLOOKUP($A155,Купоны[[Дата]:[% от номинала]],3,0),0)*Купоны!$G$10/100*G155</f>
        <v>0</v>
      </c>
      <c r="I155" s="36">
        <f>Таблица1[[#This Row],[Денежный поток]]+Таблица1[[#This Row],[Купонный доход]]</f>
        <v>163538.19178082192</v>
      </c>
      <c r="J155" s="31">
        <f>Таблица1[[#This Row],[Общий денежный поток]]/((1+$L$2)^((Таблица1[[#This Row],[Названия строк]]-$A$2)/365))</f>
        <v>153600.4165720559</v>
      </c>
    </row>
    <row r="156" spans="1:10" x14ac:dyDescent="0.3">
      <c r="A156" s="23">
        <v>43494</v>
      </c>
      <c r="B156" s="24">
        <v>-310</v>
      </c>
      <c r="C156" s="24">
        <f>VLOOKUP(Таблица1[[#This Row],[Названия строк]],Котировки[[&lt;DATE&gt;]:[&lt;VOL&gt;]],6,0)</f>
        <v>99.99</v>
      </c>
      <c r="D156" s="26">
        <f>INDEX(Купоны[Дата],MATCH($A156,Купоны[Дата],1))</f>
        <v>43385</v>
      </c>
      <c r="E156" s="24">
        <f>Купоны!$C$4*(A156-D156)/365*100</f>
        <v>2.3890410958904109</v>
      </c>
      <c r="F156" s="27">
        <f>-B156*(C156+E156)*Купоны!$G$10/100</f>
        <v>317375.02739726024</v>
      </c>
      <c r="G156" s="34">
        <f>SUM($B$2:B156)</f>
        <v>580</v>
      </c>
      <c r="H156" s="31">
        <f>_xlfn.IFNA(VLOOKUP($A156,Купоны[[Дата]:[% от номинала]],3,0),0)*Купоны!$G$10/100*G156</f>
        <v>0</v>
      </c>
      <c r="I156" s="36">
        <f>Таблица1[[#This Row],[Денежный поток]]+Таблица1[[#This Row],[Купонный доход]]</f>
        <v>317375.02739726024</v>
      </c>
      <c r="J156" s="31">
        <f>Таблица1[[#This Row],[Общий денежный поток]]/((1+$L$2)^((Таблица1[[#This Row],[Названия строк]]-$A$2)/365))</f>
        <v>297929.66061911901</v>
      </c>
    </row>
    <row r="157" spans="1:10" x14ac:dyDescent="0.3">
      <c r="A157" s="23">
        <v>43497</v>
      </c>
      <c r="B157" s="24">
        <v>-460</v>
      </c>
      <c r="C157" s="24">
        <f>VLOOKUP(Таблица1[[#This Row],[Названия строк]],Котировки[[&lt;DATE&gt;]:[&lt;VOL&gt;]],6,0)</f>
        <v>100</v>
      </c>
      <c r="D157" s="26">
        <f>INDEX(Купоны[Дата],MATCH($A157,Купоны[Дата],1))</f>
        <v>43385</v>
      </c>
      <c r="E157" s="24">
        <f>Купоны!$C$4*(A157-D157)/365*100</f>
        <v>2.4547945205479453</v>
      </c>
      <c r="F157" s="27">
        <f>-B157*(C157+E157)*Купоны!$G$10/100</f>
        <v>471292.05479452061</v>
      </c>
      <c r="G157" s="34">
        <f>SUM($B$2:B157)</f>
        <v>120</v>
      </c>
      <c r="H157" s="31">
        <f>_xlfn.IFNA(VLOOKUP($A157,Купоны[[Дата]:[% от номинала]],3,0),0)*Купоны!$G$10/100*G157</f>
        <v>0</v>
      </c>
      <c r="I157" s="36">
        <f>Таблица1[[#This Row],[Денежный поток]]+Таблица1[[#This Row],[Купонный доход]]</f>
        <v>471292.05479452061</v>
      </c>
      <c r="J157" s="31">
        <f>Таблица1[[#This Row],[Общий денежный поток]]/((1+$L$2)^((Таблица1[[#This Row],[Названия строк]]-$A$2)/365))</f>
        <v>442238.90927841724</v>
      </c>
    </row>
    <row r="158" spans="1:10" x14ac:dyDescent="0.3">
      <c r="A158" s="23">
        <v>43501</v>
      </c>
      <c r="B158" s="24">
        <v>560</v>
      </c>
      <c r="C158" s="24">
        <f>VLOOKUP(Таблица1[[#This Row],[Названия строк]],Котировки[[&lt;DATE&gt;]:[&lt;VOL&gt;]],6,0)</f>
        <v>99.91</v>
      </c>
      <c r="D158" s="26">
        <f>INDEX(Купоны[Дата],MATCH($A158,Купоны[Дата],1))</f>
        <v>43385</v>
      </c>
      <c r="E158" s="24">
        <f>Купоны!$C$4*(A158-D158)/365*100</f>
        <v>2.5424657534246573</v>
      </c>
      <c r="F158" s="27">
        <f>-B158*(C158+E158)*Купоны!$G$10/100</f>
        <v>-573733.808219178</v>
      </c>
      <c r="G158" s="34">
        <f>SUM($B$2:B158)</f>
        <v>680</v>
      </c>
      <c r="H158" s="31">
        <f>_xlfn.IFNA(VLOOKUP($A158,Купоны[[Дата]:[% от номинала]],3,0),0)*Купоны!$G$10/100*G158</f>
        <v>0</v>
      </c>
      <c r="I158" s="36">
        <f>Таблица1[[#This Row],[Денежный поток]]+Таблица1[[#This Row],[Купонный доход]]</f>
        <v>-573733.808219178</v>
      </c>
      <c r="J158" s="31">
        <f>Таблица1[[#This Row],[Общий денежный поток]]/((1+$L$2)^((Таблица1[[#This Row],[Названия строк]]-$A$2)/365))</f>
        <v>-538077.78545073769</v>
      </c>
    </row>
    <row r="159" spans="1:10" x14ac:dyDescent="0.3">
      <c r="A159" s="23">
        <v>43503</v>
      </c>
      <c r="B159" s="24">
        <v>-500</v>
      </c>
      <c r="C159" s="24">
        <f>VLOOKUP(Таблица1[[#This Row],[Названия строк]],Котировки[[&lt;DATE&gt;]:[&lt;VOL&gt;]],6,0)</f>
        <v>100</v>
      </c>
      <c r="D159" s="26">
        <f>INDEX(Купоны[Дата],MATCH($A159,Купоны[Дата],1))</f>
        <v>43385</v>
      </c>
      <c r="E159" s="24">
        <f>Купоны!$C$4*(A159-D159)/365*100</f>
        <v>2.5863013698630137</v>
      </c>
      <c r="F159" s="27">
        <f>-B159*(C159+E159)*Купоны!$G$10/100</f>
        <v>512931.50684931502</v>
      </c>
      <c r="G159" s="34">
        <f>SUM($B$2:B159)</f>
        <v>180</v>
      </c>
      <c r="H159" s="31">
        <f>_xlfn.IFNA(VLOOKUP($A159,Купоны[[Дата]:[% от номинала]],3,0),0)*Купоны!$G$10/100*G159</f>
        <v>0</v>
      </c>
      <c r="I159" s="36">
        <f>Таблица1[[#This Row],[Денежный поток]]+Таблица1[[#This Row],[Купонный доход]]</f>
        <v>512931.50684931502</v>
      </c>
      <c r="J159" s="31">
        <f>Таблица1[[#This Row],[Общий денежный поток]]/((1+$L$2)^((Таблица1[[#This Row],[Названия строк]]-$A$2)/365))</f>
        <v>480925.59515025816</v>
      </c>
    </row>
    <row r="160" spans="1:10" x14ac:dyDescent="0.3">
      <c r="A160" s="23">
        <v>43509</v>
      </c>
      <c r="B160" s="24">
        <v>450</v>
      </c>
      <c r="C160" s="24">
        <f>VLOOKUP(Таблица1[[#This Row],[Названия строк]],Котировки[[&lt;DATE&gt;]:[&lt;VOL&gt;]],6,0)</f>
        <v>99.99</v>
      </c>
      <c r="D160" s="26">
        <f>INDEX(Купоны[Дата],MATCH($A160,Купоны[Дата],1))</f>
        <v>43385</v>
      </c>
      <c r="E160" s="24">
        <f>Купоны!$C$4*(A160-D160)/365*100</f>
        <v>2.7178082191780821</v>
      </c>
      <c r="F160" s="27">
        <f>-B160*(C160+E160)*Купоны!$G$10/100</f>
        <v>-462185.1369863014</v>
      </c>
      <c r="G160" s="34">
        <f>SUM($B$2:B160)</f>
        <v>630</v>
      </c>
      <c r="H160" s="31">
        <f>_xlfn.IFNA(VLOOKUP($A160,Купоны[[Дата]:[% от номинала]],3,0),0)*Купоны!$G$10/100*G160</f>
        <v>0</v>
      </c>
      <c r="I160" s="36">
        <f>Таблица1[[#This Row],[Денежный поток]]+Таблица1[[#This Row],[Купонный доход]]</f>
        <v>-462185.1369863014</v>
      </c>
      <c r="J160" s="31">
        <f>Таблица1[[#This Row],[Общий денежный поток]]/((1+$L$2)^((Таблица1[[#This Row],[Названия строк]]-$A$2)/365))</f>
        <v>-432998.28146110463</v>
      </c>
    </row>
    <row r="161" spans="1:10" x14ac:dyDescent="0.3">
      <c r="A161" s="23">
        <v>43511</v>
      </c>
      <c r="B161" s="24">
        <v>-480</v>
      </c>
      <c r="C161" s="24">
        <f>VLOOKUP(Таблица1[[#This Row],[Названия строк]],Котировки[[&lt;DATE&gt;]:[&lt;VOL&gt;]],6,0)</f>
        <v>100</v>
      </c>
      <c r="D161" s="26">
        <f>INDEX(Купоны[Дата],MATCH($A161,Купоны[Дата],1))</f>
        <v>43385</v>
      </c>
      <c r="E161" s="24">
        <f>Купоны!$C$4*(A161-D161)/365*100</f>
        <v>2.7616438356164381</v>
      </c>
      <c r="F161" s="27">
        <f>-B161*(C161+E161)*Купоны!$G$10/100</f>
        <v>493255.89041095891</v>
      </c>
      <c r="G161" s="34">
        <f>SUM($B$2:B161)</f>
        <v>150</v>
      </c>
      <c r="H161" s="31">
        <f>_xlfn.IFNA(VLOOKUP($A161,Купоны[[Дата]:[% от номинала]],3,0),0)*Купоны!$G$10/100*G161</f>
        <v>0</v>
      </c>
      <c r="I161" s="36">
        <f>Таблица1[[#This Row],[Денежный поток]]+Таблица1[[#This Row],[Купонный доход]]</f>
        <v>493255.89041095891</v>
      </c>
      <c r="J161" s="31">
        <f>Таблица1[[#This Row],[Общий денежный поток]]/((1+$L$2)^((Таблица1[[#This Row],[Названия строк]]-$A$2)/365))</f>
        <v>461983.40123310598</v>
      </c>
    </row>
    <row r="162" spans="1:10" x14ac:dyDescent="0.3">
      <c r="A162" s="23">
        <v>43518</v>
      </c>
      <c r="B162" s="24">
        <v>570</v>
      </c>
      <c r="C162" s="24">
        <f>VLOOKUP(Таблица1[[#This Row],[Названия строк]],Котировки[[&lt;DATE&gt;]:[&lt;VOL&gt;]],6,0)</f>
        <v>100</v>
      </c>
      <c r="D162" s="26">
        <f>INDEX(Купоны[Дата],MATCH($A162,Купоны[Дата],1))</f>
        <v>43385</v>
      </c>
      <c r="E162" s="24">
        <f>Купоны!$C$4*(A162-D162)/365*100</f>
        <v>2.9150684931506849</v>
      </c>
      <c r="F162" s="27">
        <f>-B162*(C162+E162)*Купоны!$G$10/100</f>
        <v>-586615.89041095891</v>
      </c>
      <c r="G162" s="34">
        <f>SUM($B$2:B162)</f>
        <v>720</v>
      </c>
      <c r="H162" s="31">
        <f>_xlfn.IFNA(VLOOKUP($A162,Купоны[[Дата]:[% от номинала]],3,0),0)*Купоны!$G$10/100*G162</f>
        <v>0</v>
      </c>
      <c r="I162" s="36">
        <f>Таблица1[[#This Row],[Денежный поток]]+Таблица1[[#This Row],[Купонный доход]]</f>
        <v>-586615.89041095891</v>
      </c>
      <c r="J162" s="31">
        <f>Таблица1[[#This Row],[Общий денежный поток]]/((1+$L$2)^((Таблица1[[#This Row],[Названия строк]]-$A$2)/365))</f>
        <v>-548910.50788355526</v>
      </c>
    </row>
    <row r="163" spans="1:10" x14ac:dyDescent="0.3">
      <c r="A163" s="23">
        <v>43525</v>
      </c>
      <c r="B163" s="24">
        <v>-510</v>
      </c>
      <c r="C163" s="24">
        <f>VLOOKUP(Таблица1[[#This Row],[Названия строк]],Котировки[[&lt;DATE&gt;]:[&lt;VOL&gt;]],6,0)</f>
        <v>100</v>
      </c>
      <c r="D163" s="26">
        <f>INDEX(Купоны[Дата],MATCH($A163,Купоны[Дата],1))</f>
        <v>43385</v>
      </c>
      <c r="E163" s="24">
        <f>Купоны!$C$4*(A163-D163)/365*100</f>
        <v>3.0684931506849318</v>
      </c>
      <c r="F163" s="27">
        <f>-B163*(C163+E163)*Купоны!$G$10/100</f>
        <v>525649.31506849313</v>
      </c>
      <c r="G163" s="34">
        <f>SUM($B$2:B163)</f>
        <v>210</v>
      </c>
      <c r="H163" s="31">
        <f>_xlfn.IFNA(VLOOKUP($A163,Купоны[[Дата]:[% от номинала]],3,0),0)*Купоны!$G$10/100*G163</f>
        <v>0</v>
      </c>
      <c r="I163" s="36">
        <f>Таблица1[[#This Row],[Денежный поток]]+Таблица1[[#This Row],[Купонный доход]]</f>
        <v>525649.31506849313</v>
      </c>
      <c r="J163" s="31">
        <f>Таблица1[[#This Row],[Общий денежный поток]]/((1+$L$2)^((Таблица1[[#This Row],[Названия строк]]-$A$2)/365))</f>
        <v>491402.60484809178</v>
      </c>
    </row>
    <row r="164" spans="1:10" x14ac:dyDescent="0.3">
      <c r="A164" s="23">
        <v>43530</v>
      </c>
      <c r="B164" s="24">
        <v>650</v>
      </c>
      <c r="C164" s="24">
        <f>VLOOKUP(Таблица1[[#This Row],[Названия строк]],Котировки[[&lt;DATE&gt;]:[&lt;VOL&gt;]],6,0)</f>
        <v>99.98</v>
      </c>
      <c r="D164" s="26">
        <f>INDEX(Купоны[Дата],MATCH($A164,Купоны[Дата],1))</f>
        <v>43385</v>
      </c>
      <c r="E164" s="24">
        <f>Купоны!$C$4*(A164-D164)/365*100</f>
        <v>3.1780821917808217</v>
      </c>
      <c r="F164" s="27">
        <f>-B164*(C164+E164)*Купоны!$G$10/100</f>
        <v>-670527.53424657544</v>
      </c>
      <c r="G164" s="34">
        <f>SUM($B$2:B164)</f>
        <v>860</v>
      </c>
      <c r="H164" s="31">
        <f>_xlfn.IFNA(VLOOKUP($A164,Купоны[[Дата]:[% от номинала]],3,0),0)*Купоны!$G$10/100*G164</f>
        <v>0</v>
      </c>
      <c r="I164" s="36">
        <f>Таблица1[[#This Row],[Денежный поток]]+Таблица1[[#This Row],[Купонный доход]]</f>
        <v>-670527.53424657544</v>
      </c>
      <c r="J164" s="31">
        <f>Таблица1[[#This Row],[Общий денежный поток]]/((1+$L$2)^((Таблица1[[#This Row],[Названия строк]]-$A$2)/365))</f>
        <v>-626423.01183729258</v>
      </c>
    </row>
    <row r="165" spans="1:10" x14ac:dyDescent="0.3">
      <c r="A165" s="23">
        <v>43531</v>
      </c>
      <c r="B165" s="24">
        <v>-410</v>
      </c>
      <c r="C165" s="24">
        <f>VLOOKUP(Таблица1[[#This Row],[Названия строк]],Котировки[[&lt;DATE&gt;]:[&lt;VOL&gt;]],6,0)</f>
        <v>99.99</v>
      </c>
      <c r="D165" s="26">
        <f>INDEX(Купоны[Дата],MATCH($A165,Купоны[Дата],1))</f>
        <v>43385</v>
      </c>
      <c r="E165" s="24">
        <f>Купоны!$C$4*(A165-D165)/365*100</f>
        <v>3.2</v>
      </c>
      <c r="F165" s="27">
        <f>-B165*(C165+E165)*Купоны!$G$10/100</f>
        <v>423079</v>
      </c>
      <c r="G165" s="34">
        <f>SUM($B$2:B165)</f>
        <v>450</v>
      </c>
      <c r="H165" s="31">
        <f>_xlfn.IFNA(VLOOKUP($A165,Купоны[[Дата]:[% от номинала]],3,0),0)*Купоны!$G$10/100*G165</f>
        <v>0</v>
      </c>
      <c r="I165" s="36">
        <f>Таблица1[[#This Row],[Денежный поток]]+Таблица1[[#This Row],[Купонный доход]]</f>
        <v>423079</v>
      </c>
      <c r="J165" s="31">
        <f>Таблица1[[#This Row],[Общий денежный поток]]/((1+$L$2)^((Таблица1[[#This Row],[Названия строк]]-$A$2)/365))</f>
        <v>395197.78641576256</v>
      </c>
    </row>
    <row r="166" spans="1:10" x14ac:dyDescent="0.3">
      <c r="A166" s="23">
        <v>43538</v>
      </c>
      <c r="B166" s="24">
        <v>-350</v>
      </c>
      <c r="C166" s="24">
        <f>VLOOKUP(Таблица1[[#This Row],[Названия строк]],Котировки[[&lt;DATE&gt;]:[&lt;VOL&gt;]],6,0)</f>
        <v>100</v>
      </c>
      <c r="D166" s="26">
        <f>INDEX(Купоны[Дата],MATCH($A166,Купоны[Дата],1))</f>
        <v>43385</v>
      </c>
      <c r="E166" s="24">
        <f>Купоны!$C$4*(A166-D166)/365*100</f>
        <v>3.3534246575342466</v>
      </c>
      <c r="F166" s="27">
        <f>-B166*(C166+E166)*Купоны!$G$10/100</f>
        <v>361736.98630136979</v>
      </c>
      <c r="G166" s="34">
        <f>SUM($B$2:B166)</f>
        <v>100</v>
      </c>
      <c r="H166" s="31">
        <f>_xlfn.IFNA(VLOOKUP($A166,Купоны[[Дата]:[% от номинала]],3,0),0)*Купоны!$G$10/100*G166</f>
        <v>0</v>
      </c>
      <c r="I166" s="36">
        <f>Таблица1[[#This Row],[Денежный поток]]+Таблица1[[#This Row],[Купонный доход]]</f>
        <v>361736.98630136979</v>
      </c>
      <c r="J166" s="31">
        <f>Таблица1[[#This Row],[Общий денежный поток]]/((1+$L$2)^((Таблица1[[#This Row],[Названия строк]]-$A$2)/365))</f>
        <v>337582.23187795962</v>
      </c>
    </row>
    <row r="167" spans="1:10" x14ac:dyDescent="0.3">
      <c r="A167" s="23">
        <v>43539</v>
      </c>
      <c r="B167" s="24">
        <v>-40</v>
      </c>
      <c r="C167" s="24">
        <f>VLOOKUP(Таблица1[[#This Row],[Названия строк]],Котировки[[&lt;DATE&gt;]:[&lt;VOL&gt;]],6,0)</f>
        <v>100</v>
      </c>
      <c r="D167" s="26">
        <f>INDEX(Купоны[Дата],MATCH($A167,Купоны[Дата],1))</f>
        <v>43385</v>
      </c>
      <c r="E167" s="24">
        <f>Купоны!$C$4*(A167-D167)/365*100</f>
        <v>3.3753424657534246</v>
      </c>
      <c r="F167" s="27">
        <f>-B167*(C167+E167)*Купоны!$G$10/100</f>
        <v>41350.136986301368</v>
      </c>
      <c r="G167" s="34">
        <f>SUM($B$2:B167)</f>
        <v>60</v>
      </c>
      <c r="H167" s="31">
        <f>_xlfn.IFNA(VLOOKUP($A167,Купоны[[Дата]:[% от номинала]],3,0),0)*Купоны!$G$10/100*G167</f>
        <v>0</v>
      </c>
      <c r="I167" s="36">
        <f>Таблица1[[#This Row],[Денежный поток]]+Таблица1[[#This Row],[Купонный доход]]</f>
        <v>41350.136986301368</v>
      </c>
      <c r="J167" s="31">
        <f>Таблица1[[#This Row],[Общий денежный поток]]/((1+$L$2)^((Таблица1[[#This Row],[Названия строк]]-$A$2)/365))</f>
        <v>38583.85029169386</v>
      </c>
    </row>
    <row r="168" spans="1:10" x14ac:dyDescent="0.3">
      <c r="A168" s="23">
        <v>43542</v>
      </c>
      <c r="B168" s="24">
        <v>130</v>
      </c>
      <c r="C168" s="24">
        <f>VLOOKUP(Таблица1[[#This Row],[Названия строк]],Котировки[[&lt;DATE&gt;]:[&lt;VOL&gt;]],6,0)</f>
        <v>99.99</v>
      </c>
      <c r="D168" s="26">
        <f>INDEX(Купоны[Дата],MATCH($A168,Купоны[Дата],1))</f>
        <v>43385</v>
      </c>
      <c r="E168" s="24">
        <f>Купоны!$C$4*(A168-D168)/365*100</f>
        <v>3.441095890410959</v>
      </c>
      <c r="F168" s="27">
        <f>-B168*(C168+E168)*Купоны!$G$10/100</f>
        <v>-134460.42465753425</v>
      </c>
      <c r="G168" s="34">
        <f>SUM($B$2:B168)</f>
        <v>190</v>
      </c>
      <c r="H168" s="31">
        <f>_xlfn.IFNA(VLOOKUP($A168,Купоны[[Дата]:[% от номинала]],3,0),0)*Купоны!$G$10/100*G168</f>
        <v>0</v>
      </c>
      <c r="I168" s="36">
        <f>Таблица1[[#This Row],[Денежный поток]]+Таблица1[[#This Row],[Купонный доход]]</f>
        <v>-134460.42465753425</v>
      </c>
      <c r="J168" s="31">
        <f>Таблица1[[#This Row],[Общий денежный поток]]/((1+$L$2)^((Таблица1[[#This Row],[Названия строк]]-$A$2)/365))</f>
        <v>-125414.84076648859</v>
      </c>
    </row>
    <row r="169" spans="1:10" x14ac:dyDescent="0.3">
      <c r="A169" s="23">
        <v>43544</v>
      </c>
      <c r="B169" s="24">
        <v>300</v>
      </c>
      <c r="C169" s="24">
        <f>VLOOKUP(Таблица1[[#This Row],[Названия строк]],Котировки[[&lt;DATE&gt;]:[&lt;VOL&gt;]],6,0)</f>
        <v>99.98</v>
      </c>
      <c r="D169" s="26">
        <f>INDEX(Купоны[Дата],MATCH($A169,Купоны[Дата],1))</f>
        <v>43385</v>
      </c>
      <c r="E169" s="24">
        <f>Купоны!$C$4*(A169-D169)/365*100</f>
        <v>3.4849315068493154</v>
      </c>
      <c r="F169" s="27">
        <f>-B169*(C169+E169)*Купоны!$G$10/100</f>
        <v>-310394.79452054796</v>
      </c>
      <c r="G169" s="34">
        <f>SUM($B$2:B169)</f>
        <v>490</v>
      </c>
      <c r="H169" s="31">
        <f>_xlfn.IFNA(VLOOKUP($A169,Купоны[[Дата]:[% от номинала]],3,0),0)*Купоны!$G$10/100*G169</f>
        <v>0</v>
      </c>
      <c r="I169" s="36">
        <f>Таблица1[[#This Row],[Денежный поток]]+Таблица1[[#This Row],[Купонный доход]]</f>
        <v>-310394.79452054796</v>
      </c>
      <c r="J169" s="31">
        <f>Таблица1[[#This Row],[Общий денежный поток]]/((1+$L$2)^((Таблица1[[#This Row],[Названия строк]]-$A$2)/365))</f>
        <v>-289436.15228610265</v>
      </c>
    </row>
    <row r="170" spans="1:10" x14ac:dyDescent="0.3">
      <c r="A170" s="23">
        <v>43546</v>
      </c>
      <c r="B170" s="24">
        <v>570</v>
      </c>
      <c r="C170" s="24">
        <f>VLOOKUP(Таблица1[[#This Row],[Названия строк]],Котировки[[&lt;DATE&gt;]:[&lt;VOL&gt;]],6,0)</f>
        <v>99.98</v>
      </c>
      <c r="D170" s="26">
        <f>INDEX(Купоны[Дата],MATCH($A170,Купоны[Дата],1))</f>
        <v>43385</v>
      </c>
      <c r="E170" s="24">
        <f>Купоны!$C$4*(A170-D170)/365*100</f>
        <v>3.5287671232876718</v>
      </c>
      <c r="F170" s="27">
        <f>-B170*(C170+E170)*Купоны!$G$10/100</f>
        <v>-589999.9726027397</v>
      </c>
      <c r="G170" s="34">
        <f>SUM($B$2:B170)</f>
        <v>1060</v>
      </c>
      <c r="H170" s="31">
        <f>_xlfn.IFNA(VLOOKUP($A170,Купоны[[Дата]:[% от номинала]],3,0),0)*Купоны!$G$10/100*G170</f>
        <v>0</v>
      </c>
      <c r="I170" s="36">
        <f>Таблица1[[#This Row],[Денежный поток]]+Таблица1[[#This Row],[Купонный доход]]</f>
        <v>-589999.9726027397</v>
      </c>
      <c r="J170" s="31">
        <f>Таблица1[[#This Row],[Общий денежный поток]]/((1+$L$2)^((Таблица1[[#This Row],[Названия строк]]-$A$2)/365))</f>
        <v>-550014.61855782475</v>
      </c>
    </row>
    <row r="171" spans="1:10" x14ac:dyDescent="0.3">
      <c r="A171" s="23">
        <v>43550</v>
      </c>
      <c r="B171" s="24">
        <v>40</v>
      </c>
      <c r="C171" s="24">
        <f>VLOOKUP(Таблица1[[#This Row],[Названия строк]],Котировки[[&lt;DATE&gt;]:[&lt;VOL&gt;]],6,0)</f>
        <v>99.77</v>
      </c>
      <c r="D171" s="26">
        <f>INDEX(Купоны[Дата],MATCH($A171,Купоны[Дата],1))</f>
        <v>43385</v>
      </c>
      <c r="E171" s="24">
        <f>Купоны!$C$4*(A171-D171)/365*100</f>
        <v>3.6164383561643838</v>
      </c>
      <c r="F171" s="27">
        <f>-B171*(C171+E171)*Купоны!$G$10/100</f>
        <v>-41354.575342465752</v>
      </c>
      <c r="G171" s="34">
        <f>SUM($B$2:B171)</f>
        <v>1100</v>
      </c>
      <c r="H171" s="31">
        <f>_xlfn.IFNA(VLOOKUP($A171,Купоны[[Дата]:[% от номинала]],3,0),0)*Купоны!$G$10/100*G171</f>
        <v>0</v>
      </c>
      <c r="I171" s="36">
        <f>Таблица1[[#This Row],[Денежный поток]]+Таблица1[[#This Row],[Купонный доход]]</f>
        <v>-41354.575342465752</v>
      </c>
      <c r="J171" s="31">
        <f>Таблица1[[#This Row],[Общий денежный поток]]/((1+$L$2)^((Таблица1[[#This Row],[Названия строк]]-$A$2)/365))</f>
        <v>-38531.294080223837</v>
      </c>
    </row>
    <row r="172" spans="1:10" x14ac:dyDescent="0.3">
      <c r="A172" s="23">
        <v>43551</v>
      </c>
      <c r="B172" s="24">
        <v>-300</v>
      </c>
      <c r="C172" s="24">
        <f>VLOOKUP(Таблица1[[#This Row],[Названия строк]],Котировки[[&lt;DATE&gt;]:[&lt;VOL&gt;]],6,0)</f>
        <v>99.95</v>
      </c>
      <c r="D172" s="26">
        <f>INDEX(Купоны[Дата],MATCH($A172,Купоны[Дата],1))</f>
        <v>43385</v>
      </c>
      <c r="E172" s="24">
        <f>Купоны!$C$4*(A172-D172)/365*100</f>
        <v>3.6383561643835618</v>
      </c>
      <c r="F172" s="27">
        <f>-B172*(C172+E172)*Купоны!$G$10/100</f>
        <v>310765.06849315076</v>
      </c>
      <c r="G172" s="34">
        <f>SUM($B$2:B172)</f>
        <v>800</v>
      </c>
      <c r="H172" s="31">
        <f>_xlfn.IFNA(VLOOKUP($A172,Купоны[[Дата]:[% от номинала]],3,0),0)*Купоны!$G$10/100*G172</f>
        <v>0</v>
      </c>
      <c r="I172" s="36">
        <f>Таблица1[[#This Row],[Денежный поток]]+Таблица1[[#This Row],[Купонный доход]]</f>
        <v>310765.06849315076</v>
      </c>
      <c r="J172" s="31">
        <f>Таблица1[[#This Row],[Общий денежный поток]]/((1+$L$2)^((Таблица1[[#This Row],[Названия строк]]-$A$2)/365))</f>
        <v>289510.40224629873</v>
      </c>
    </row>
    <row r="173" spans="1:10" x14ac:dyDescent="0.3">
      <c r="A173" s="23">
        <v>43553</v>
      </c>
      <c r="B173" s="24">
        <v>-400</v>
      </c>
      <c r="C173" s="24">
        <f>VLOOKUP(Таблица1[[#This Row],[Названия строк]],Котировки[[&lt;DATE&gt;]:[&lt;VOL&gt;]],6,0)</f>
        <v>99.99</v>
      </c>
      <c r="D173" s="26">
        <f>INDEX(Купоны[Дата],MATCH($A173,Купоны[Дата],1))</f>
        <v>43385</v>
      </c>
      <c r="E173" s="24">
        <f>Купоны!$C$4*(A173-D173)/365*100</f>
        <v>3.6821917808219173</v>
      </c>
      <c r="F173" s="27">
        <f>-B173*(C173+E173)*Купоны!$G$10/100</f>
        <v>414688.76712328772</v>
      </c>
      <c r="G173" s="34">
        <f>SUM($B$2:B173)</f>
        <v>400</v>
      </c>
      <c r="H173" s="31">
        <f>_xlfn.IFNA(VLOOKUP($A173,Купоны[[Дата]:[% от номинала]],3,0),0)*Купоны!$G$10/100*G173</f>
        <v>0</v>
      </c>
      <c r="I173" s="36">
        <f>Таблица1[[#This Row],[Денежный поток]]+Таблица1[[#This Row],[Купонный доход]]</f>
        <v>414688.76712328772</v>
      </c>
      <c r="J173" s="31">
        <f>Таблица1[[#This Row],[Общий денежный поток]]/((1+$L$2)^((Таблица1[[#This Row],[Названия строк]]-$A$2)/365))</f>
        <v>386223.00853665022</v>
      </c>
    </row>
    <row r="174" spans="1:10" x14ac:dyDescent="0.3">
      <c r="A174" s="23">
        <v>43557</v>
      </c>
      <c r="B174" s="24">
        <v>220</v>
      </c>
      <c r="C174" s="24">
        <f>VLOOKUP(Таблица1[[#This Row],[Названия строк]],Котировки[[&lt;DATE&gt;]:[&lt;VOL&gt;]],6,0)</f>
        <v>100</v>
      </c>
      <c r="D174" s="26">
        <f>INDEX(Купоны[Дата],MATCH($A174,Купоны[Дата],1))</f>
        <v>43385</v>
      </c>
      <c r="E174" s="24">
        <f>Купоны!$C$4*(A174-D174)/365*100</f>
        <v>3.7698630136986302</v>
      </c>
      <c r="F174" s="27">
        <f>-B174*(C174+E174)*Купоны!$G$10/100</f>
        <v>-228293.69863013696</v>
      </c>
      <c r="G174" s="34">
        <f>SUM($B$2:B174)</f>
        <v>620</v>
      </c>
      <c r="H174" s="31">
        <f>_xlfn.IFNA(VLOOKUP($A174,Купоны[[Дата]:[% от номинала]],3,0),0)*Купоны!$G$10/100*G174</f>
        <v>0</v>
      </c>
      <c r="I174" s="36">
        <f>Таблица1[[#This Row],[Денежный поток]]+Таблица1[[#This Row],[Купонный доход]]</f>
        <v>-228293.69863013696</v>
      </c>
      <c r="J174" s="31">
        <f>Таблица1[[#This Row],[Общий денежный поток]]/((1+$L$2)^((Таблица1[[#This Row],[Названия строк]]-$A$2)/365))</f>
        <v>-212509.12528955829</v>
      </c>
    </row>
    <row r="175" spans="1:10" x14ac:dyDescent="0.3">
      <c r="A175" s="23">
        <v>43559</v>
      </c>
      <c r="B175" s="24">
        <v>-480</v>
      </c>
      <c r="C175" s="24">
        <f>VLOOKUP(Таблица1[[#This Row],[Названия строк]],Котировки[[&lt;DATE&gt;]:[&lt;VOL&gt;]],6,0)</f>
        <v>99.96</v>
      </c>
      <c r="D175" s="26">
        <f>INDEX(Купоны[Дата],MATCH($A175,Купоны[Дата],1))</f>
        <v>43385</v>
      </c>
      <c r="E175" s="24">
        <f>Купоны!$C$4*(A175-D175)/365*100</f>
        <v>3.8136986301369866</v>
      </c>
      <c r="F175" s="27">
        <f>-B175*(C175+E175)*Купоны!$G$10/100</f>
        <v>498113.75342465751</v>
      </c>
      <c r="G175" s="34">
        <f>SUM($B$2:B175)</f>
        <v>140</v>
      </c>
      <c r="H175" s="31">
        <f>_xlfn.IFNA(VLOOKUP($A175,Купоны[[Дата]:[% от номинала]],3,0),0)*Купоны!$G$10/100*G175</f>
        <v>0</v>
      </c>
      <c r="I175" s="36">
        <f>Таблица1[[#This Row],[Денежный поток]]+Таблица1[[#This Row],[Купонный доход]]</f>
        <v>498113.75342465751</v>
      </c>
      <c r="J175" s="31">
        <f>Таблица1[[#This Row],[Общий денежный поток]]/((1+$L$2)^((Таблица1[[#This Row],[Названия строк]]-$A$2)/365))</f>
        <v>463549.46791452524</v>
      </c>
    </row>
    <row r="176" spans="1:10" x14ac:dyDescent="0.3">
      <c r="A176" s="23">
        <v>43560</v>
      </c>
      <c r="B176" s="24">
        <v>-40</v>
      </c>
      <c r="C176" s="24">
        <f>VLOOKUP(Таблица1[[#This Row],[Названия строк]],Котировки[[&lt;DATE&gt;]:[&lt;VOL&gt;]],6,0)</f>
        <v>100</v>
      </c>
      <c r="D176" s="26">
        <f>INDEX(Купоны[Дата],MATCH($A176,Купоны[Дата],1))</f>
        <v>43385</v>
      </c>
      <c r="E176" s="24">
        <f>Купоны!$C$4*(A176-D176)/365*100</f>
        <v>3.8356164383561646</v>
      </c>
      <c r="F176" s="27">
        <f>-B176*(C176+E176)*Купоны!$G$10/100</f>
        <v>41534.246575342469</v>
      </c>
      <c r="G176" s="34">
        <f>SUM($B$2:B176)</f>
        <v>100</v>
      </c>
      <c r="H176" s="31">
        <f>_xlfn.IFNA(VLOOKUP($A176,Купоны[[Дата]:[% от номинала]],3,0),0)*Купоны!$G$10/100*G176</f>
        <v>0</v>
      </c>
      <c r="I176" s="36">
        <f>Таблица1[[#This Row],[Денежный поток]]+Таблица1[[#This Row],[Купонный доход]]</f>
        <v>41534.246575342469</v>
      </c>
      <c r="J176" s="31">
        <f>Таблица1[[#This Row],[Общий денежный поток]]/((1+$L$2)^((Таблица1[[#This Row],[Названия строк]]-$A$2)/365))</f>
        <v>38647.004494842615</v>
      </c>
    </row>
    <row r="177" spans="1:10" x14ac:dyDescent="0.3">
      <c r="A177" s="23">
        <v>43564</v>
      </c>
      <c r="B177" s="24">
        <v>10</v>
      </c>
      <c r="C177" s="24">
        <f>VLOOKUP(Таблица1[[#This Row],[Названия строк]],Котировки[[&lt;DATE&gt;]:[&lt;VOL&gt;]],6,0)</f>
        <v>100</v>
      </c>
      <c r="D177" s="26">
        <f>INDEX(Купоны[Дата],MATCH($A177,Купоны[Дата],1))</f>
        <v>43385</v>
      </c>
      <c r="E177" s="24">
        <f>Купоны!$C$4*(A177-D177)/365*100</f>
        <v>3.9232876712328766</v>
      </c>
      <c r="F177" s="27">
        <f>-B177*(C177+E177)*Купоны!$G$10/100</f>
        <v>-10392.328767123288</v>
      </c>
      <c r="G177" s="34">
        <f>SUM($B$2:B177)</f>
        <v>110</v>
      </c>
      <c r="H177" s="31">
        <f>_xlfn.IFNA(VLOOKUP($A177,Купоны[[Дата]:[% от номинала]],3,0),0)*Купоны!$G$10/100*G177</f>
        <v>0</v>
      </c>
      <c r="I177" s="36">
        <f>Таблица1[[#This Row],[Денежный поток]]+Таблица1[[#This Row],[Купонный доход]]</f>
        <v>-10392.328767123288</v>
      </c>
      <c r="J177" s="31">
        <f>Таблица1[[#This Row],[Общий денежный поток]]/((1+$L$2)^((Таблица1[[#This Row],[Названия строк]]-$A$2)/365))</f>
        <v>-9664.7398128548211</v>
      </c>
    </row>
    <row r="178" spans="1:10" x14ac:dyDescent="0.3">
      <c r="A178" s="23">
        <v>43565</v>
      </c>
      <c r="B178" s="24">
        <v>370</v>
      </c>
      <c r="C178" s="24">
        <f>VLOOKUP(Таблица1[[#This Row],[Названия строк]],Котировки[[&lt;DATE&gt;]:[&lt;VOL&gt;]],6,0)</f>
        <v>100</v>
      </c>
      <c r="D178" s="26">
        <f>INDEX(Купоны[Дата],MATCH($A178,Купоны[Дата],1))</f>
        <v>43385</v>
      </c>
      <c r="E178" s="24">
        <f>Купоны!$C$4*(A178-D178)/365*100</f>
        <v>3.9452054794520546</v>
      </c>
      <c r="F178" s="27">
        <f>-B178*(C178+E178)*Купоны!$G$10/100</f>
        <v>-384597.2602739727</v>
      </c>
      <c r="G178" s="34">
        <f>SUM($B$2:B178)</f>
        <v>480</v>
      </c>
      <c r="H178" s="31">
        <f>_xlfn.IFNA(VLOOKUP($A178,Купоны[[Дата]:[% от номинала]],3,0),0)*Купоны!$G$10/100*G178</f>
        <v>0</v>
      </c>
      <c r="I178" s="36">
        <f>Таблица1[[#This Row],[Денежный поток]]+Таблица1[[#This Row],[Купонный доход]]</f>
        <v>-384597.2602739727</v>
      </c>
      <c r="J178" s="31">
        <f>Таблица1[[#This Row],[Общий денежный поток]]/((1+$L$2)^((Таблица1[[#This Row],[Названия строк]]-$A$2)/365))</f>
        <v>-357622.98400974489</v>
      </c>
    </row>
    <row r="179" spans="1:10" x14ac:dyDescent="0.3">
      <c r="A179" s="23">
        <v>43567</v>
      </c>
      <c r="B179" s="24">
        <v>0</v>
      </c>
      <c r="C179" s="24">
        <f>VLOOKUP(Таблица1[[#This Row],[Названия строк]],Котировки[[&lt;DATE&gt;]:[&lt;VOL&gt;]],6,0)</f>
        <v>100.16</v>
      </c>
      <c r="D179" s="26">
        <f>INDEX(Купоны[Дата],MATCH($A179,Купоны[Дата],1))</f>
        <v>43567</v>
      </c>
      <c r="E179" s="24">
        <f>Купоны!$C$4*(A179-D179)/365*100</f>
        <v>0</v>
      </c>
      <c r="F179" s="27">
        <f>-B179*(C179+E179)*Купоны!$G$10/100</f>
        <v>0</v>
      </c>
      <c r="G179" s="34">
        <f>SUM($B$2:B179)</f>
        <v>480</v>
      </c>
      <c r="H179" s="31">
        <f>_xlfn.IFNA(VLOOKUP($A179,Купоны[[Дата]:[% от номинала]],3,0),0)*Купоны!$G$10/100*G179</f>
        <v>19147.2</v>
      </c>
      <c r="I179" s="36">
        <f>Таблица1[[#This Row],[Денежный поток]]+Таблица1[[#This Row],[Купонный доход]]</f>
        <v>19147.2</v>
      </c>
      <c r="J179" s="31">
        <f>Таблица1[[#This Row],[Общий денежный поток]]/((1+$L$2)^((Таблица1[[#This Row],[Названия строк]]-$A$2)/365))</f>
        <v>17799.524653945751</v>
      </c>
    </row>
    <row r="180" spans="1:10" x14ac:dyDescent="0.3">
      <c r="A180" s="23">
        <v>43570</v>
      </c>
      <c r="B180" s="24">
        <v>670</v>
      </c>
      <c r="C180" s="24">
        <f>VLOOKUP(Таблица1[[#This Row],[Названия строк]],Котировки[[&lt;DATE&gt;]:[&lt;VOL&gt;]],6,0)</f>
        <v>100.15</v>
      </c>
      <c r="D180" s="26">
        <f>INDEX(Купоны[Дата],MATCH($A180,Купоны[Дата],1))</f>
        <v>43567</v>
      </c>
      <c r="E180" s="24">
        <f>Купоны!$C$4*(A180-D180)/365*100</f>
        <v>6.5753424657534254E-2</v>
      </c>
      <c r="F180" s="27">
        <f>-B180*(C180+E180)*Купоны!$G$10/100</f>
        <v>-671445.54794520547</v>
      </c>
      <c r="G180" s="34">
        <f>SUM($B$2:B180)</f>
        <v>1150</v>
      </c>
      <c r="H180" s="31">
        <f>_xlfn.IFNA(VLOOKUP($A180,Купоны[[Дата]:[% от номинала]],3,0),0)*Купоны!$G$10/100*G180</f>
        <v>0</v>
      </c>
      <c r="I180" s="36">
        <f>Таблица1[[#This Row],[Денежный поток]]+Таблица1[[#This Row],[Купонный доход]]</f>
        <v>-671445.54794520547</v>
      </c>
      <c r="J180" s="31">
        <f>Таблица1[[#This Row],[Общий денежный поток]]/((1+$L$2)^((Таблица1[[#This Row],[Названия строк]]-$A$2)/365))</f>
        <v>-623935.60674073116</v>
      </c>
    </row>
    <row r="181" spans="1:10" x14ac:dyDescent="0.3">
      <c r="A181" s="23">
        <v>43572</v>
      </c>
      <c r="B181" s="24">
        <v>-1120</v>
      </c>
      <c r="C181" s="24">
        <f>VLOOKUP(Таблица1[[#This Row],[Названия строк]],Котировки[[&lt;DATE&gt;]:[&lt;VOL&gt;]],6,0)</f>
        <v>100.17</v>
      </c>
      <c r="D181" s="26">
        <f>INDEX(Купоны[Дата],MATCH($A181,Купоны[Дата],1))</f>
        <v>43567</v>
      </c>
      <c r="E181" s="24">
        <f>Купоны!$C$4*(A181-D181)/365*100</f>
        <v>0.10958904109589042</v>
      </c>
      <c r="F181" s="27">
        <f>-B181*(C181+E181)*Купоны!$G$10/100</f>
        <v>1123131.397260274</v>
      </c>
      <c r="G181" s="34">
        <f>SUM($B$2:B181)</f>
        <v>30</v>
      </c>
      <c r="H181" s="31">
        <f>_xlfn.IFNA(VLOOKUP($A181,Купоны[[Дата]:[% от номинала]],3,0),0)*Купоны!$G$10/100*G181</f>
        <v>0</v>
      </c>
      <c r="I181" s="36">
        <f>Таблица1[[#This Row],[Денежный поток]]+Таблица1[[#This Row],[Купонный доход]]</f>
        <v>1123131.397260274</v>
      </c>
      <c r="J181" s="31">
        <f>Таблица1[[#This Row],[Общий денежный поток]]/((1+$L$2)^((Таблица1[[#This Row],[Названия строк]]-$A$2)/365))</f>
        <v>1043382.2266010379</v>
      </c>
    </row>
    <row r="182" spans="1:10" x14ac:dyDescent="0.3">
      <c r="A182" s="23">
        <v>43574</v>
      </c>
      <c r="B182" s="24">
        <v>510</v>
      </c>
      <c r="C182" s="24">
        <f>VLOOKUP(Таблица1[[#This Row],[Названия строк]],Котировки[[&lt;DATE&gt;]:[&lt;VOL&gt;]],6,0)</f>
        <v>100.29</v>
      </c>
      <c r="D182" s="26">
        <f>INDEX(Купоны[Дата],MATCH($A182,Купоны[Дата],1))</f>
        <v>43567</v>
      </c>
      <c r="E182" s="24">
        <f>Купоны!$C$4*(A182-D182)/365*100</f>
        <v>0.15342465753424658</v>
      </c>
      <c r="F182" s="27">
        <f>-B182*(C182+E182)*Купоны!$G$10/100</f>
        <v>-512261.46575342468</v>
      </c>
      <c r="G182" s="34">
        <f>SUM($B$2:B182)</f>
        <v>540</v>
      </c>
      <c r="H182" s="31">
        <f>_xlfn.IFNA(VLOOKUP($A182,Купоны[[Дата]:[% от номинала]],3,0),0)*Купоны!$G$10/100*G182</f>
        <v>0</v>
      </c>
      <c r="I182" s="36">
        <f>Таблица1[[#This Row],[Денежный поток]]+Таблица1[[#This Row],[Купонный доход]]</f>
        <v>-512261.46575342468</v>
      </c>
      <c r="J182" s="31">
        <f>Таблица1[[#This Row],[Общий денежный поток]]/((1+$L$2)^((Таблица1[[#This Row],[Названия строк]]-$A$2)/365))</f>
        <v>-475760.57285430981</v>
      </c>
    </row>
    <row r="183" spans="1:10" x14ac:dyDescent="0.3">
      <c r="A183" s="23">
        <v>43578</v>
      </c>
      <c r="B183" s="24">
        <v>660</v>
      </c>
      <c r="C183" s="24">
        <f>VLOOKUP(Таблица1[[#This Row],[Названия строк]],Котировки[[&lt;DATE&gt;]:[&lt;VOL&gt;]],6,0)</f>
        <v>100.5</v>
      </c>
      <c r="D183" s="26">
        <f>INDEX(Купоны[Дата],MATCH($A183,Купоны[Дата],1))</f>
        <v>43567</v>
      </c>
      <c r="E183" s="24">
        <f>Купоны!$C$4*(A183-D183)/365*100</f>
        <v>0.24109589041095891</v>
      </c>
      <c r="F183" s="27">
        <f>-B183*(C183+E183)*Купоны!$G$10/100</f>
        <v>-664891.23287671234</v>
      </c>
      <c r="G183" s="34">
        <f>SUM($B$2:B183)</f>
        <v>1200</v>
      </c>
      <c r="H183" s="31">
        <f>_xlfn.IFNA(VLOOKUP($A183,Купоны[[Дата]:[% от номинала]],3,0),0)*Купоны!$G$10/100*G183</f>
        <v>0</v>
      </c>
      <c r="I183" s="36">
        <f>Таблица1[[#This Row],[Денежный поток]]+Таблица1[[#This Row],[Купонный доход]]</f>
        <v>-664891.23287671234</v>
      </c>
      <c r="J183" s="31">
        <f>Таблица1[[#This Row],[Общий денежный поток]]/((1+$L$2)^((Таблица1[[#This Row],[Названия строк]]-$A$2)/365))</f>
        <v>-617184.70595266367</v>
      </c>
    </row>
    <row r="184" spans="1:10" x14ac:dyDescent="0.3">
      <c r="A184" s="23">
        <v>43579</v>
      </c>
      <c r="B184" s="24">
        <v>-940</v>
      </c>
      <c r="C184" s="24">
        <f>VLOOKUP(Таблица1[[#This Row],[Названия строк]],Котировки[[&lt;DATE&gt;]:[&lt;VOL&gt;]],6,0)</f>
        <v>100.3</v>
      </c>
      <c r="D184" s="26">
        <f>INDEX(Купоны[Дата],MATCH($A184,Купоны[Дата],1))</f>
        <v>43567</v>
      </c>
      <c r="E184" s="24">
        <f>Купоны!$C$4*(A184-D184)/365*100</f>
        <v>0.26301369863013702</v>
      </c>
      <c r="F184" s="27">
        <f>-B184*(C184+E184)*Купоны!$G$10/100</f>
        <v>945292.32876712317</v>
      </c>
      <c r="G184" s="34">
        <f>SUM($B$2:B184)</f>
        <v>260</v>
      </c>
      <c r="H184" s="31">
        <f>_xlfn.IFNA(VLOOKUP($A184,Купоны[[Дата]:[% от номинала]],3,0),0)*Купоны!$G$10/100*G184</f>
        <v>0</v>
      </c>
      <c r="I184" s="36">
        <f>Таблица1[[#This Row],[Денежный поток]]+Таблица1[[#This Row],[Купонный доход]]</f>
        <v>945292.32876712317</v>
      </c>
      <c r="J184" s="31">
        <f>Таблица1[[#This Row],[Общий денежный поток]]/((1+$L$2)^((Таблица1[[#This Row],[Названия строк]]-$A$2)/365))</f>
        <v>877349.49358382472</v>
      </c>
    </row>
    <row r="185" spans="1:10" x14ac:dyDescent="0.3">
      <c r="A185" s="23">
        <v>43581</v>
      </c>
      <c r="B185" s="24">
        <v>590</v>
      </c>
      <c r="C185" s="24">
        <f>VLOOKUP(Таблица1[[#This Row],[Названия строк]],Котировки[[&lt;DATE&gt;]:[&lt;VOL&gt;]],6,0)</f>
        <v>100.2</v>
      </c>
      <c r="D185" s="26">
        <f>INDEX(Купоны[Дата],MATCH($A185,Купоны[Дата],1))</f>
        <v>43567</v>
      </c>
      <c r="E185" s="24">
        <f>Купоны!$C$4*(A185-D185)/365*100</f>
        <v>0.30684931506849317</v>
      </c>
      <c r="F185" s="27">
        <f>-B185*(C185+E185)*Купоны!$G$10/100</f>
        <v>-592990.41095890407</v>
      </c>
      <c r="G185" s="34">
        <f>SUM($B$2:B185)</f>
        <v>850</v>
      </c>
      <c r="H185" s="31">
        <f>_xlfn.IFNA(VLOOKUP($A185,Купоны[[Дата]:[% от номинала]],3,0),0)*Купоны!$G$10/100*G185</f>
        <v>0</v>
      </c>
      <c r="I185" s="36">
        <f>Таблица1[[#This Row],[Денежный поток]]+Таблица1[[#This Row],[Купонный доход]]</f>
        <v>-592990.41095890407</v>
      </c>
      <c r="J185" s="31">
        <f>Таблица1[[#This Row],[Общий денежный поток]]/((1+$L$2)^((Таблица1[[#This Row],[Названия строк]]-$A$2)/365))</f>
        <v>-550222.13922765292</v>
      </c>
    </row>
    <row r="186" spans="1:10" x14ac:dyDescent="0.3">
      <c r="A186" s="23">
        <v>43585</v>
      </c>
      <c r="B186" s="24">
        <v>-160</v>
      </c>
      <c r="C186" s="24">
        <f>VLOOKUP(Таблица1[[#This Row],[Названия строк]],Котировки[[&lt;DATE&gt;]:[&lt;VOL&gt;]],6,0)</f>
        <v>100.36</v>
      </c>
      <c r="D186" s="26">
        <f>INDEX(Купоны[Дата],MATCH($A186,Купоны[Дата],1))</f>
        <v>43567</v>
      </c>
      <c r="E186" s="24">
        <f>Купоны!$C$4*(A186-D186)/365*100</f>
        <v>0.39452054794520547</v>
      </c>
      <c r="F186" s="27">
        <f>-B186*(C186+E186)*Купоны!$G$10/100</f>
        <v>161207.23287671234</v>
      </c>
      <c r="G186" s="34">
        <f>SUM($B$2:B186)</f>
        <v>690</v>
      </c>
      <c r="H186" s="31">
        <f>_xlfn.IFNA(VLOOKUP($A186,Купоны[[Дата]:[% от номинала]],3,0),0)*Купоны!$G$10/100*G186</f>
        <v>0</v>
      </c>
      <c r="I186" s="36">
        <f>Таблица1[[#This Row],[Денежный поток]]+Таблица1[[#This Row],[Купонный доход]]</f>
        <v>161207.23287671234</v>
      </c>
      <c r="J186" s="31">
        <f>Таблица1[[#This Row],[Общий денежный поток]]/((1+$L$2)^((Таблица1[[#This Row],[Названия строк]]-$A$2)/365))</f>
        <v>149500.51968973383</v>
      </c>
    </row>
    <row r="187" spans="1:10" x14ac:dyDescent="0.3">
      <c r="A187" s="23">
        <v>43587</v>
      </c>
      <c r="B187" s="24">
        <v>220</v>
      </c>
      <c r="C187" s="24">
        <f>VLOOKUP(Таблица1[[#This Row],[Названия строк]],Котировки[[&lt;DATE&gt;]:[&lt;VOL&gt;]],6,0)</f>
        <v>100.16</v>
      </c>
      <c r="D187" s="26">
        <f>INDEX(Купоны[Дата],MATCH($A187,Купоны[Дата],1))</f>
        <v>43567</v>
      </c>
      <c r="E187" s="24">
        <f>Купоны!$C$4*(A187-D187)/365*100</f>
        <v>0.43835616438356168</v>
      </c>
      <c r="F187" s="27">
        <f>-B187*(C187+E187)*Купоны!$G$10/100</f>
        <v>-221316.3835616438</v>
      </c>
      <c r="G187" s="34">
        <f>SUM($B$2:B187)</f>
        <v>910</v>
      </c>
      <c r="H187" s="31">
        <f>_xlfn.IFNA(VLOOKUP($A187,Купоны[[Дата]:[% от номинала]],3,0),0)*Купоны!$G$10/100*G187</f>
        <v>0</v>
      </c>
      <c r="I187" s="36">
        <f>Таблица1[[#This Row],[Денежный поток]]+Таблица1[[#This Row],[Купонный доход]]</f>
        <v>-221316.3835616438</v>
      </c>
      <c r="J187" s="31">
        <f>Таблица1[[#This Row],[Общий денежный поток]]/((1+$L$2)^((Таблица1[[#This Row],[Названия строк]]-$A$2)/365))</f>
        <v>-205189.73859491589</v>
      </c>
    </row>
    <row r="188" spans="1:10" x14ac:dyDescent="0.3">
      <c r="A188" s="23">
        <v>43588</v>
      </c>
      <c r="B188" s="24">
        <v>-360</v>
      </c>
      <c r="C188" s="24">
        <f>VLOOKUP(Таблица1[[#This Row],[Названия строк]],Котировки[[&lt;DATE&gt;]:[&lt;VOL&gt;]],6,0)</f>
        <v>100.25</v>
      </c>
      <c r="D188" s="26">
        <f>INDEX(Купоны[Дата],MATCH($A188,Купоны[Дата],1))</f>
        <v>43567</v>
      </c>
      <c r="E188" s="24">
        <f>Купоны!$C$4*(A188-D188)/365*100</f>
        <v>0.46027397260273967</v>
      </c>
      <c r="F188" s="27">
        <f>-B188*(C188+E188)*Купоны!$G$10/100</f>
        <v>362556.98630136979</v>
      </c>
      <c r="G188" s="34">
        <f>SUM($B$2:B188)</f>
        <v>550</v>
      </c>
      <c r="H188" s="31">
        <f>_xlfn.IFNA(VLOOKUP($A188,Купоны[[Дата]:[% от номинала]],3,0),0)*Купоны!$G$10/100*G188</f>
        <v>0</v>
      </c>
      <c r="I188" s="36">
        <f>Таблица1[[#This Row],[Денежный поток]]+Таблица1[[#This Row],[Купонный доход]]</f>
        <v>362556.98630136979</v>
      </c>
      <c r="J188" s="31">
        <f>Таблица1[[#This Row],[Общий денежный поток]]/((1+$L$2)^((Таблица1[[#This Row],[Названия строк]]-$A$2)/365))</f>
        <v>336093.64331091504</v>
      </c>
    </row>
    <row r="189" spans="1:10" x14ac:dyDescent="0.3">
      <c r="A189" s="23">
        <v>43593</v>
      </c>
      <c r="B189" s="24">
        <v>140</v>
      </c>
      <c r="C189" s="24">
        <f>VLOOKUP(Таблица1[[#This Row],[Названия строк]],Котировки[[&lt;DATE&gt;]:[&lt;VOL&gt;]],6,0)</f>
        <v>100.15</v>
      </c>
      <c r="D189" s="26">
        <f>INDEX(Купоны[Дата],MATCH($A189,Купоны[Дата],1))</f>
        <v>43567</v>
      </c>
      <c r="E189" s="24">
        <f>Купоны!$C$4*(A189-D189)/365*100</f>
        <v>0.56986301369863013</v>
      </c>
      <c r="F189" s="27">
        <f>-B189*(C189+E189)*Купоны!$G$10/100</f>
        <v>-141007.80821917808</v>
      </c>
      <c r="G189" s="34">
        <f>SUM($B$2:B189)</f>
        <v>690</v>
      </c>
      <c r="H189" s="31">
        <f>_xlfn.IFNA(VLOOKUP($A189,Купоны[[Дата]:[% от номинала]],3,0),0)*Купоны!$G$10/100*G189</f>
        <v>0</v>
      </c>
      <c r="I189" s="36">
        <f>Таблица1[[#This Row],[Денежный поток]]+Таблица1[[#This Row],[Купонный доход]]</f>
        <v>-141007.80821917808</v>
      </c>
      <c r="J189" s="31">
        <f>Таблица1[[#This Row],[Общий денежный поток]]/((1+$L$2)^((Таблица1[[#This Row],[Названия строк]]-$A$2)/365))</f>
        <v>-130628.19265608081</v>
      </c>
    </row>
    <row r="190" spans="1:10" x14ac:dyDescent="0.3">
      <c r="A190" s="23">
        <v>43598</v>
      </c>
      <c r="B190" s="24">
        <v>140</v>
      </c>
      <c r="C190" s="24">
        <f>VLOOKUP(Таблица1[[#This Row],[Названия строк]],Котировки[[&lt;DATE&gt;]:[&lt;VOL&gt;]],6,0)</f>
        <v>100.08</v>
      </c>
      <c r="D190" s="26">
        <f>INDEX(Купоны[Дата],MATCH($A190,Купоны[Дата],1))</f>
        <v>43567</v>
      </c>
      <c r="E190" s="24">
        <f>Купоны!$C$4*(A190-D190)/365*100</f>
        <v>0.67945205479452053</v>
      </c>
      <c r="F190" s="27">
        <f>-B190*(C190+E190)*Купоны!$G$10/100</f>
        <v>-141063.23287671234</v>
      </c>
      <c r="G190" s="34">
        <f>SUM($B$2:B190)</f>
        <v>830</v>
      </c>
      <c r="H190" s="31">
        <f>_xlfn.IFNA(VLOOKUP($A190,Купоны[[Дата]:[% от номинала]],3,0),0)*Купоны!$G$10/100*G190</f>
        <v>0</v>
      </c>
      <c r="I190" s="36">
        <f>Таблица1[[#This Row],[Денежный поток]]+Таблица1[[#This Row],[Купонный доход]]</f>
        <v>-141063.23287671234</v>
      </c>
      <c r="J190" s="31">
        <f>Таблица1[[#This Row],[Общий денежный поток]]/((1+$L$2)^((Таблица1[[#This Row],[Названия строк]]-$A$2)/365))</f>
        <v>-130592.22590510824</v>
      </c>
    </row>
    <row r="191" spans="1:10" x14ac:dyDescent="0.3">
      <c r="A191" s="23">
        <v>43599</v>
      </c>
      <c r="B191" s="24">
        <v>-280</v>
      </c>
      <c r="C191" s="24">
        <f>VLOOKUP(Таблица1[[#This Row],[Названия строк]],Котировки[[&lt;DATE&gt;]:[&lt;VOL&gt;]],6,0)</f>
        <v>100.31</v>
      </c>
      <c r="D191" s="26">
        <f>INDEX(Купоны[Дата],MATCH($A191,Купоны[Дата],1))</f>
        <v>43567</v>
      </c>
      <c r="E191" s="24">
        <f>Купоны!$C$4*(A191-D191)/365*100</f>
        <v>0.70136986301369864</v>
      </c>
      <c r="F191" s="27">
        <f>-B191*(C191+E191)*Купоны!$G$10/100</f>
        <v>282831.83561643836</v>
      </c>
      <c r="G191" s="34">
        <f>SUM($B$2:B191)</f>
        <v>550</v>
      </c>
      <c r="H191" s="31">
        <f>_xlfn.IFNA(VLOOKUP($A191,Купоны[[Дата]:[% от номинала]],3,0),0)*Купоны!$G$10/100*G191</f>
        <v>0</v>
      </c>
      <c r="I191" s="36">
        <f>Таблица1[[#This Row],[Денежный поток]]+Таблица1[[#This Row],[Купонный доход]]</f>
        <v>282831.83561643836</v>
      </c>
      <c r="J191" s="31">
        <f>Таблица1[[#This Row],[Общий денежный поток]]/((1+$L$2)^((Таблица1[[#This Row],[Названия строк]]-$A$2)/365))</f>
        <v>261802.46473731933</v>
      </c>
    </row>
    <row r="192" spans="1:10" x14ac:dyDescent="0.3">
      <c r="A192" s="23">
        <v>43600</v>
      </c>
      <c r="B192" s="24">
        <v>-230</v>
      </c>
      <c r="C192" s="24">
        <f>VLOOKUP(Таблица1[[#This Row],[Названия строк]],Котировки[[&lt;DATE&gt;]:[&lt;VOL&gt;]],6,0)</f>
        <v>100.3</v>
      </c>
      <c r="D192" s="26">
        <f>INDEX(Купоны[Дата],MATCH($A192,Купоны[Дата],1))</f>
        <v>43567</v>
      </c>
      <c r="E192" s="24">
        <f>Купоны!$C$4*(A192-D192)/365*100</f>
        <v>0.72328767123287674</v>
      </c>
      <c r="F192" s="27">
        <f>-B192*(C192+E192)*Купоны!$G$10/100</f>
        <v>232353.56164383565</v>
      </c>
      <c r="G192" s="34">
        <f>SUM($B$2:B192)</f>
        <v>320</v>
      </c>
      <c r="H192" s="31">
        <f>_xlfn.IFNA(VLOOKUP($A192,Купоны[[Дата]:[% от номинала]],3,0),0)*Купоны!$G$10/100*G192</f>
        <v>0</v>
      </c>
      <c r="I192" s="36">
        <f>Таблица1[[#This Row],[Денежный поток]]+Таблица1[[#This Row],[Купонный доход]]</f>
        <v>232353.56164383565</v>
      </c>
      <c r="J192" s="31">
        <f>Таблица1[[#This Row],[Общий денежный поток]]/((1+$L$2)^((Таблица1[[#This Row],[Названия строк]]-$A$2)/365))</f>
        <v>215048.64964372176</v>
      </c>
    </row>
    <row r="193" spans="1:10" x14ac:dyDescent="0.3">
      <c r="A193" s="23">
        <v>43601</v>
      </c>
      <c r="B193" s="24">
        <v>550</v>
      </c>
      <c r="C193" s="24">
        <f>VLOOKUP(Таблица1[[#This Row],[Названия строк]],Котировки[[&lt;DATE&gt;]:[&lt;VOL&gt;]],6,0)</f>
        <v>100.31</v>
      </c>
      <c r="D193" s="26">
        <f>INDEX(Купоны[Дата],MATCH($A193,Купоны[Дата],1))</f>
        <v>43567</v>
      </c>
      <c r="E193" s="24">
        <f>Купоны!$C$4*(A193-D193)/365*100</f>
        <v>0.74520547945205484</v>
      </c>
      <c r="F193" s="27">
        <f>-B193*(C193+E193)*Купоны!$G$10/100</f>
        <v>-555803.63013698626</v>
      </c>
      <c r="G193" s="34">
        <f>SUM($B$2:B193)</f>
        <v>870</v>
      </c>
      <c r="H193" s="31">
        <f>_xlfn.IFNA(VLOOKUP($A193,Купоны[[Дата]:[% от номинала]],3,0),0)*Купоны!$G$10/100*G193</f>
        <v>0</v>
      </c>
      <c r="I193" s="36">
        <f>Таблица1[[#This Row],[Денежный поток]]+Таблица1[[#This Row],[Купонный доход]]</f>
        <v>-555803.63013698626</v>
      </c>
      <c r="J193" s="31">
        <f>Таблица1[[#This Row],[Общий денежный поток]]/((1+$L$2)^((Таблица1[[#This Row],[Названия строк]]-$A$2)/365))</f>
        <v>-514340.48725793062</v>
      </c>
    </row>
    <row r="194" spans="1:10" x14ac:dyDescent="0.3">
      <c r="A194" s="23">
        <v>43605</v>
      </c>
      <c r="B194" s="24">
        <v>-660</v>
      </c>
      <c r="C194" s="24">
        <f>VLOOKUP(Таблица1[[#This Row],[Названия строк]],Котировки[[&lt;DATE&gt;]:[&lt;VOL&gt;]],6,0)</f>
        <v>100.6</v>
      </c>
      <c r="D194" s="26">
        <f>INDEX(Купоны[Дата],MATCH($A194,Купоны[Дата],1))</f>
        <v>43567</v>
      </c>
      <c r="E194" s="24">
        <f>Купоны!$C$4*(A194-D194)/365*100</f>
        <v>0.83287671232876703</v>
      </c>
      <c r="F194" s="27">
        <f>-B194*(C194+E194)*Купоны!$G$10/100</f>
        <v>669456.98630136985</v>
      </c>
      <c r="G194" s="34">
        <f>SUM($B$2:B194)</f>
        <v>210</v>
      </c>
      <c r="H194" s="31">
        <f>_xlfn.IFNA(VLOOKUP($A194,Купоны[[Дата]:[% от номинала]],3,0),0)*Купоны!$G$10/100*G194</f>
        <v>0</v>
      </c>
      <c r="I194" s="36">
        <f>Таблица1[[#This Row],[Денежный поток]]+Таблица1[[#This Row],[Купонный доход]]</f>
        <v>669456.98630136985</v>
      </c>
      <c r="J194" s="31">
        <f>Таблица1[[#This Row],[Общий денежный поток]]/((1+$L$2)^((Таблица1[[#This Row],[Названия строк]]-$A$2)/365))</f>
        <v>619184.10572673439</v>
      </c>
    </row>
    <row r="195" spans="1:10" x14ac:dyDescent="0.3">
      <c r="A195" s="23">
        <v>43608</v>
      </c>
      <c r="B195" s="24">
        <v>330</v>
      </c>
      <c r="C195" s="24">
        <f>VLOOKUP(Таблица1[[#This Row],[Названия строк]],Котировки[[&lt;DATE&gt;]:[&lt;VOL&gt;]],6,0)</f>
        <v>100.9</v>
      </c>
      <c r="D195" s="26">
        <f>INDEX(Купоны[Дата],MATCH($A195,Купоны[Дата],1))</f>
        <v>43567</v>
      </c>
      <c r="E195" s="24">
        <f>Купоны!$C$4*(A195-D195)/365*100</f>
        <v>0.89863013698630134</v>
      </c>
      <c r="F195" s="27">
        <f>-B195*(C195+E195)*Купоны!$G$10/100</f>
        <v>-335935.47945205477</v>
      </c>
      <c r="G195" s="34">
        <f>SUM($B$2:B195)</f>
        <v>540</v>
      </c>
      <c r="H195" s="31">
        <f>_xlfn.IFNA(VLOOKUP($A195,Купоны[[Дата]:[% от номинала]],3,0),0)*Купоны!$G$10/100*G195</f>
        <v>0</v>
      </c>
      <c r="I195" s="36">
        <f>Таблица1[[#This Row],[Денежный поток]]+Таблица1[[#This Row],[Купонный доход]]</f>
        <v>-335935.47945205477</v>
      </c>
      <c r="J195" s="31">
        <f>Таблица1[[#This Row],[Общий денежный поток]]/((1+$L$2)^((Таблица1[[#This Row],[Названия строк]]-$A$2)/365))</f>
        <v>-310583.82674918312</v>
      </c>
    </row>
    <row r="196" spans="1:10" x14ac:dyDescent="0.3">
      <c r="A196" s="23">
        <v>43609</v>
      </c>
      <c r="B196" s="24">
        <v>400</v>
      </c>
      <c r="C196" s="24">
        <f>VLOOKUP(Таблица1[[#This Row],[Названия строк]],Котировки[[&lt;DATE&gt;]:[&lt;VOL&gt;]],6,0)</f>
        <v>100.68</v>
      </c>
      <c r="D196" s="26">
        <f>INDEX(Купоны[Дата],MATCH($A196,Купоны[Дата],1))</f>
        <v>43567</v>
      </c>
      <c r="E196" s="24">
        <f>Купоны!$C$4*(A196-D196)/365*100</f>
        <v>0.92054794520547933</v>
      </c>
      <c r="F196" s="27">
        <f>-B196*(C196+E196)*Купоны!$G$10/100</f>
        <v>-406402.191780822</v>
      </c>
      <c r="G196" s="34">
        <f>SUM($B$2:B196)</f>
        <v>940</v>
      </c>
      <c r="H196" s="31">
        <f>_xlfn.IFNA(VLOOKUP($A196,Купоны[[Дата]:[% от номинала]],3,0),0)*Купоны!$G$10/100*G196</f>
        <v>0</v>
      </c>
      <c r="I196" s="36">
        <f>Таблица1[[#This Row],[Денежный поток]]+Таблица1[[#This Row],[Купонный доход]]</f>
        <v>-406402.191780822</v>
      </c>
      <c r="J196" s="31">
        <f>Таблица1[[#This Row],[Общий денежный поток]]/((1+$L$2)^((Таблица1[[#This Row],[Названия строк]]-$A$2)/365))</f>
        <v>-375682.48806542781</v>
      </c>
    </row>
    <row r="197" spans="1:10" x14ac:dyDescent="0.3">
      <c r="A197" s="23">
        <v>43615</v>
      </c>
      <c r="B197" s="24">
        <v>30</v>
      </c>
      <c r="C197" s="24">
        <f>VLOOKUP(Таблица1[[#This Row],[Названия строк]],Котировки[[&lt;DATE&gt;]:[&lt;VOL&gt;]],6,0)</f>
        <v>100.39</v>
      </c>
      <c r="D197" s="26">
        <f>INDEX(Купоны[Дата],MATCH($A197,Купоны[Дата],1))</f>
        <v>43567</v>
      </c>
      <c r="E197" s="24">
        <f>Купоны!$C$4*(A197-D197)/365*100</f>
        <v>1.0520547945205481</v>
      </c>
      <c r="F197" s="27">
        <f>-B197*(C197+E197)*Купоны!$G$10/100</f>
        <v>-30432.616438356163</v>
      </c>
      <c r="G197" s="34">
        <f>SUM($B$2:B197)</f>
        <v>970</v>
      </c>
      <c r="H197" s="31">
        <f>_xlfn.IFNA(VLOOKUP($A197,Купоны[[Дата]:[% от номинала]],3,0),0)*Купоны!$G$10/100*G197</f>
        <v>0</v>
      </c>
      <c r="I197" s="36">
        <f>Таблица1[[#This Row],[Денежный поток]]+Таблица1[[#This Row],[Купонный доход]]</f>
        <v>-30432.616438356163</v>
      </c>
      <c r="J197" s="31">
        <f>Таблица1[[#This Row],[Общий денежный поток]]/((1+$L$2)^((Таблица1[[#This Row],[Названия строк]]-$A$2)/365))</f>
        <v>-28109.678929325502</v>
      </c>
    </row>
    <row r="198" spans="1:10" x14ac:dyDescent="0.3">
      <c r="A198" s="23">
        <v>43616</v>
      </c>
      <c r="B198" s="24">
        <v>-680</v>
      </c>
      <c r="C198" s="24">
        <f>VLOOKUP(Таблица1[[#This Row],[Названия строк]],Котировки[[&lt;DATE&gt;]:[&lt;VOL&gt;]],6,0)</f>
        <v>100.88</v>
      </c>
      <c r="D198" s="26">
        <f>INDEX(Купоны[Дата],MATCH($A198,Купоны[Дата],1))</f>
        <v>43567</v>
      </c>
      <c r="E198" s="24">
        <f>Купоны!$C$4*(A198-D198)/365*100</f>
        <v>1.0739726027397261</v>
      </c>
      <c r="F198" s="27">
        <f>-B198*(C198+E198)*Купоны!$G$10/100</f>
        <v>693287.01369863015</v>
      </c>
      <c r="G198" s="34">
        <f>SUM($B$2:B198)</f>
        <v>290</v>
      </c>
      <c r="H198" s="31">
        <f>_xlfn.IFNA(VLOOKUP($A198,Купоны[[Дата]:[% от номинала]],3,0),0)*Купоны!$G$10/100*G198</f>
        <v>0</v>
      </c>
      <c r="I198" s="36">
        <f>Таблица1[[#This Row],[Денежный поток]]+Таблица1[[#This Row],[Купонный доход]]</f>
        <v>693287.01369863015</v>
      </c>
      <c r="J198" s="31">
        <f>Таблица1[[#This Row],[Общий денежный поток]]/((1+$L$2)^((Таблица1[[#This Row],[Названия строк]]-$A$2)/365))</f>
        <v>640282.46045434498</v>
      </c>
    </row>
    <row r="199" spans="1:10" x14ac:dyDescent="0.3">
      <c r="A199" s="23">
        <v>43621</v>
      </c>
      <c r="B199" s="24">
        <v>680</v>
      </c>
      <c r="C199" s="24">
        <f>VLOOKUP(Таблица1[[#This Row],[Названия строк]],Котировки[[&lt;DATE&gt;]:[&lt;VOL&gt;]],6,0)</f>
        <v>100.84</v>
      </c>
      <c r="D199" s="26">
        <f>INDEX(Купоны[Дата],MATCH($A199,Купоны[Дата],1))</f>
        <v>43567</v>
      </c>
      <c r="E199" s="24">
        <f>Купоны!$C$4*(A199-D199)/365*100</f>
        <v>1.1835616438356167</v>
      </c>
      <c r="F199" s="27">
        <f>-B199*(C199+E199)*Купоны!$G$10/100</f>
        <v>-693760.21917808219</v>
      </c>
      <c r="G199" s="34">
        <f>SUM($B$2:B199)</f>
        <v>970</v>
      </c>
      <c r="H199" s="31">
        <f>_xlfn.IFNA(VLOOKUP($A199,Купоны[[Дата]:[% от номинала]],3,0),0)*Купоны!$G$10/100*G199</f>
        <v>0</v>
      </c>
      <c r="I199" s="36">
        <f>Таблица1[[#This Row],[Денежный поток]]+Таблица1[[#This Row],[Купонный доход]]</f>
        <v>-693760.21917808219</v>
      </c>
      <c r="J199" s="31">
        <f>Таблица1[[#This Row],[Общий денежный поток]]/((1+$L$2)^((Таблица1[[#This Row],[Названия строк]]-$A$2)/365))</f>
        <v>-640291.40030408581</v>
      </c>
    </row>
    <row r="200" spans="1:10" x14ac:dyDescent="0.3">
      <c r="A200" s="23">
        <v>43623</v>
      </c>
      <c r="B200" s="24">
        <v>-330</v>
      </c>
      <c r="C200" s="24">
        <f>VLOOKUP(Таблица1[[#This Row],[Названия строк]],Котировки[[&lt;DATE&gt;]:[&lt;VOL&gt;]],6,0)</f>
        <v>100.71</v>
      </c>
      <c r="D200" s="26">
        <f>INDEX(Купоны[Дата],MATCH($A200,Купоны[Дата],1))</f>
        <v>43567</v>
      </c>
      <c r="E200" s="24">
        <f>Купоны!$C$4*(A200-D200)/365*100</f>
        <v>1.2273972602739727</v>
      </c>
      <c r="F200" s="27">
        <f>-B200*(C200+E200)*Купоны!$G$10/100</f>
        <v>336393.41095890402</v>
      </c>
      <c r="G200" s="34">
        <f>SUM($B$2:B200)</f>
        <v>640</v>
      </c>
      <c r="H200" s="31">
        <f>_xlfn.IFNA(VLOOKUP($A200,Купоны[[Дата]:[% от номинала]],3,0),0)*Купоны!$G$10/100*G200</f>
        <v>0</v>
      </c>
      <c r="I200" s="36">
        <f>Таблица1[[#This Row],[Денежный поток]]+Таблица1[[#This Row],[Купонный доход]]</f>
        <v>336393.41095890402</v>
      </c>
      <c r="J200" s="31">
        <f>Таблица1[[#This Row],[Общий денежный поток]]/((1+$L$2)^((Таблица1[[#This Row],[Названия строк]]-$A$2)/365))</f>
        <v>310384.23199217726</v>
      </c>
    </row>
    <row r="201" spans="1:10" x14ac:dyDescent="0.3">
      <c r="A201" s="23">
        <v>43626</v>
      </c>
      <c r="B201" s="24">
        <v>380</v>
      </c>
      <c r="C201" s="24">
        <f>VLOOKUP(Таблица1[[#This Row],[Названия строк]],Котировки[[&lt;DATE&gt;]:[&lt;VOL&gt;]],6,0)</f>
        <v>100.85</v>
      </c>
      <c r="D201" s="26">
        <f>INDEX(Купоны[Дата],MATCH($A201,Купоны[Дата],1))</f>
        <v>43567</v>
      </c>
      <c r="E201" s="24">
        <f>Купоны!$C$4*(A201-D201)/365*100</f>
        <v>1.2931506849315069</v>
      </c>
      <c r="F201" s="27">
        <f>-B201*(C201+E201)*Купоны!$G$10/100</f>
        <v>-388143.97260273964</v>
      </c>
      <c r="G201" s="34">
        <f>SUM($B$2:B201)</f>
        <v>1020</v>
      </c>
      <c r="H201" s="31">
        <f>_xlfn.IFNA(VLOOKUP($A201,Купоны[[Дата]:[% от номинала]],3,0),0)*Купоны!$G$10/100*G201</f>
        <v>0</v>
      </c>
      <c r="I201" s="36">
        <f>Таблица1[[#This Row],[Денежный поток]]+Таблица1[[#This Row],[Купонный доход]]</f>
        <v>-388143.97260273964</v>
      </c>
      <c r="J201" s="31">
        <f>Таблица1[[#This Row],[Общий денежный поток]]/((1+$L$2)^((Таблица1[[#This Row],[Названия строк]]-$A$2)/365))</f>
        <v>-357989.96890815964</v>
      </c>
    </row>
    <row r="202" spans="1:10" x14ac:dyDescent="0.3">
      <c r="A202" s="23">
        <v>43627</v>
      </c>
      <c r="B202" s="24">
        <v>20</v>
      </c>
      <c r="C202" s="24">
        <f>VLOOKUP(Таблица1[[#This Row],[Названия строк]],Котировки[[&lt;DATE&gt;]:[&lt;VOL&gt;]],6,0)</f>
        <v>100.89</v>
      </c>
      <c r="D202" s="26">
        <f>INDEX(Купоны[Дата],MATCH($A202,Купоны[Дата],1))</f>
        <v>43567</v>
      </c>
      <c r="E202" s="24">
        <f>Купоны!$C$4*(A202-D202)/365*100</f>
        <v>1.3150684931506849</v>
      </c>
      <c r="F202" s="27">
        <f>-B202*(C202+E202)*Купоны!$G$10/100</f>
        <v>-20441.013698630137</v>
      </c>
      <c r="G202" s="34">
        <f>SUM($B$2:B202)</f>
        <v>1040</v>
      </c>
      <c r="H202" s="31">
        <f>_xlfn.IFNA(VLOOKUP($A202,Купоны[[Дата]:[% от номинала]],3,0),0)*Купоны!$G$10/100*G202</f>
        <v>0</v>
      </c>
      <c r="I202" s="36">
        <f>Таблица1[[#This Row],[Денежный поток]]+Таблица1[[#This Row],[Купонный доход]]</f>
        <v>-20441.013698630137</v>
      </c>
      <c r="J202" s="31">
        <f>Таблица1[[#This Row],[Общий денежный поток]]/((1+$L$2)^((Таблица1[[#This Row],[Названия строк]]-$A$2)/365))</f>
        <v>-18850.478878809234</v>
      </c>
    </row>
    <row r="203" spans="1:10" x14ac:dyDescent="0.3">
      <c r="A203" s="23">
        <v>43630</v>
      </c>
      <c r="B203" s="24">
        <v>-140</v>
      </c>
      <c r="C203" s="24">
        <f>VLOOKUP(Таблица1[[#This Row],[Названия строк]],Котировки[[&lt;DATE&gt;]:[&lt;VOL&gt;]],6,0)</f>
        <v>100.99</v>
      </c>
      <c r="D203" s="26">
        <f>INDEX(Купоны[Дата],MATCH($A203,Купоны[Дата],1))</f>
        <v>43567</v>
      </c>
      <c r="E203" s="24">
        <f>Купоны!$C$4*(A203-D203)/365*100</f>
        <v>1.3808219178082191</v>
      </c>
      <c r="F203" s="27">
        <f>-B203*(C203+E203)*Купоны!$G$10/100</f>
        <v>143319.15068493149</v>
      </c>
      <c r="G203" s="34">
        <f>SUM($B$2:B203)</f>
        <v>900</v>
      </c>
      <c r="H203" s="31">
        <f>_xlfn.IFNA(VLOOKUP($A203,Купоны[[Дата]:[% от номинала]],3,0),0)*Купоны!$G$10/100*G203</f>
        <v>0</v>
      </c>
      <c r="I203" s="36">
        <f>Таблица1[[#This Row],[Денежный поток]]+Таблица1[[#This Row],[Купонный доход]]</f>
        <v>143319.15068493149</v>
      </c>
      <c r="J203" s="31">
        <f>Таблица1[[#This Row],[Общий денежный поток]]/((1+$L$2)^((Таблица1[[#This Row],[Названия строк]]-$A$2)/365))</f>
        <v>132114.36007003413</v>
      </c>
    </row>
    <row r="204" spans="1:10" x14ac:dyDescent="0.3">
      <c r="A204" s="23">
        <v>43637</v>
      </c>
      <c r="B204" s="24">
        <v>750</v>
      </c>
      <c r="C204" s="24">
        <f>VLOOKUP(Таблица1[[#This Row],[Названия строк]],Котировки[[&lt;DATE&gt;]:[&lt;VOL&gt;]],6,0)</f>
        <v>101.18</v>
      </c>
      <c r="D204" s="26">
        <f>INDEX(Купоны[Дата],MATCH($A204,Купоны[Дата],1))</f>
        <v>43567</v>
      </c>
      <c r="E204" s="24">
        <f>Купоны!$C$4*(A204-D204)/365*100</f>
        <v>1.5342465753424659</v>
      </c>
      <c r="F204" s="27">
        <f>-B204*(C204+E204)*Купоны!$G$10/100</f>
        <v>-770356.84931506857</v>
      </c>
      <c r="G204" s="34">
        <f>SUM($B$2:B204)</f>
        <v>1650</v>
      </c>
      <c r="H204" s="31">
        <f>_xlfn.IFNA(VLOOKUP($A204,Купоны[[Дата]:[% от номинала]],3,0),0)*Купоны!$G$10/100*G204</f>
        <v>0</v>
      </c>
      <c r="I204" s="36">
        <f>Таблица1[[#This Row],[Денежный поток]]+Таблица1[[#This Row],[Купонный доход]]</f>
        <v>-770356.84931506857</v>
      </c>
      <c r="J204" s="31">
        <f>Таблица1[[#This Row],[Общий денежный поток]]/((1+$L$2)^((Таблица1[[#This Row],[Названия строк]]-$A$2)/365))</f>
        <v>-709465.65751561476</v>
      </c>
    </row>
    <row r="205" spans="1:10" x14ac:dyDescent="0.3">
      <c r="A205" s="23">
        <v>43641</v>
      </c>
      <c r="B205" s="24">
        <v>-1180</v>
      </c>
      <c r="C205" s="24">
        <f>VLOOKUP(Таблица1[[#This Row],[Названия строк]],Котировки[[&lt;DATE&gt;]:[&lt;VOL&gt;]],6,0)</f>
        <v>101</v>
      </c>
      <c r="D205" s="26">
        <f>INDEX(Купоны[Дата],MATCH($A205,Купоны[Дата],1))</f>
        <v>43567</v>
      </c>
      <c r="E205" s="24">
        <f>Купоны!$C$4*(A205-D205)/365*100</f>
        <v>1.6219178082191781</v>
      </c>
      <c r="F205" s="27">
        <f>-B205*(C205+E205)*Купоны!$G$10/100</f>
        <v>1210938.6301369863</v>
      </c>
      <c r="G205" s="34">
        <f>SUM($B$2:B205)</f>
        <v>470</v>
      </c>
      <c r="H205" s="31">
        <f>_xlfn.IFNA(VLOOKUP($A205,Купоны[[Дата]:[% от номинала]],3,0),0)*Купоны!$G$10/100*G205</f>
        <v>0</v>
      </c>
      <c r="I205" s="36">
        <f>Таблица1[[#This Row],[Денежный поток]]+Таблица1[[#This Row],[Купонный доход]]</f>
        <v>1210938.6301369863</v>
      </c>
      <c r="J205" s="31">
        <f>Таблица1[[#This Row],[Общий денежный поток]]/((1+$L$2)^((Таблица1[[#This Row],[Названия строк]]-$A$2)/365))</f>
        <v>1114626.4685795896</v>
      </c>
    </row>
    <row r="206" spans="1:10" x14ac:dyDescent="0.3">
      <c r="A206" s="23">
        <v>43650</v>
      </c>
      <c r="B206" s="24">
        <v>280</v>
      </c>
      <c r="C206" s="24">
        <f>VLOOKUP(Таблица1[[#This Row],[Названия строк]],Котировки[[&lt;DATE&gt;]:[&lt;VOL&gt;]],6,0)</f>
        <v>100.87</v>
      </c>
      <c r="D206" s="26">
        <f>INDEX(Купоны[Дата],MATCH($A206,Купоны[Дата],1))</f>
        <v>43567</v>
      </c>
      <c r="E206" s="24">
        <f>Купоны!$C$4*(A206-D206)/365*100</f>
        <v>1.8191780821917809</v>
      </c>
      <c r="F206" s="27">
        <f>-B206*(C206+E206)*Купоны!$G$10/100</f>
        <v>-287529.69863013702</v>
      </c>
      <c r="G206" s="34">
        <f>SUM($B$2:B206)</f>
        <v>750</v>
      </c>
      <c r="H206" s="31">
        <f>_xlfn.IFNA(VLOOKUP($A206,Купоны[[Дата]:[% от номинала]],3,0),0)*Купоны!$G$10/100*G206</f>
        <v>0</v>
      </c>
      <c r="I206" s="36">
        <f>Таблица1[[#This Row],[Денежный поток]]+Таблица1[[#This Row],[Купонный доход]]</f>
        <v>-287529.69863013702</v>
      </c>
      <c r="J206" s="31">
        <f>Таблица1[[#This Row],[Общий денежный поток]]/((1+$L$2)^((Таблица1[[#This Row],[Названия строк]]-$A$2)/365))</f>
        <v>-264342.77895895625</v>
      </c>
    </row>
    <row r="207" spans="1:10" x14ac:dyDescent="0.3">
      <c r="A207" s="23">
        <v>43654</v>
      </c>
      <c r="B207" s="24">
        <v>-80</v>
      </c>
      <c r="C207" s="24">
        <f>VLOOKUP(Таблица1[[#This Row],[Названия строк]],Котировки[[&lt;DATE&gt;]:[&lt;VOL&gt;]],6,0)</f>
        <v>100.9</v>
      </c>
      <c r="D207" s="26">
        <f>INDEX(Купоны[Дата],MATCH($A207,Купоны[Дата],1))</f>
        <v>43567</v>
      </c>
      <c r="E207" s="24">
        <f>Купоны!$C$4*(A207-D207)/365*100</f>
        <v>1.9068493150684933</v>
      </c>
      <c r="F207" s="27">
        <f>-B207*(C207+E207)*Купоны!$G$10/100</f>
        <v>82245.479452054802</v>
      </c>
      <c r="G207" s="34">
        <f>SUM($B$2:B207)</f>
        <v>670</v>
      </c>
      <c r="H207" s="31">
        <f>_xlfn.IFNA(VLOOKUP($A207,Купоны[[Дата]:[% от номинала]],3,0),0)*Купоны!$G$10/100*G207</f>
        <v>0</v>
      </c>
      <c r="I207" s="36">
        <f>Таблица1[[#This Row],[Денежный поток]]+Таблица1[[#This Row],[Купонный доход]]</f>
        <v>82245.479452054802</v>
      </c>
      <c r="J207" s="31">
        <f>Таблица1[[#This Row],[Общий денежный поток]]/((1+$L$2)^((Таблица1[[#This Row],[Названия строк]]-$A$2)/365))</f>
        <v>75572.635391908538</v>
      </c>
    </row>
    <row r="208" spans="1:10" x14ac:dyDescent="0.3">
      <c r="A208" s="23">
        <v>43655</v>
      </c>
      <c r="B208" s="24">
        <v>440</v>
      </c>
      <c r="C208" s="24">
        <f>VLOOKUP(Таблица1[[#This Row],[Названия строк]],Котировки[[&lt;DATE&gt;]:[&lt;VOL&gt;]],6,0)</f>
        <v>100.8</v>
      </c>
      <c r="D208" s="26">
        <f>INDEX(Купоны[Дата],MATCH($A208,Купоны[Дата],1))</f>
        <v>43567</v>
      </c>
      <c r="E208" s="24">
        <f>Купоны!$C$4*(A208-D208)/365*100</f>
        <v>1.9287671232876713</v>
      </c>
      <c r="F208" s="27">
        <f>-B208*(C208+E208)*Купоны!$G$10/100</f>
        <v>-452006.57534246572</v>
      </c>
      <c r="G208" s="34">
        <f>SUM($B$2:B208)</f>
        <v>1110</v>
      </c>
      <c r="H208" s="31">
        <f>_xlfn.IFNA(VLOOKUP($A208,Купоны[[Дата]:[% от номинала]],3,0),0)*Купоны!$G$10/100*G208</f>
        <v>0</v>
      </c>
      <c r="I208" s="36">
        <f>Таблица1[[#This Row],[Денежный поток]]+Таблица1[[#This Row],[Купонный доход]]</f>
        <v>-452006.57534246572</v>
      </c>
      <c r="J208" s="31">
        <f>Таблица1[[#This Row],[Общий денежный поток]]/((1+$L$2)^((Таблица1[[#This Row],[Названия строк]]-$A$2)/365))</f>
        <v>-415278.29263020575</v>
      </c>
    </row>
    <row r="209" spans="1:10" x14ac:dyDescent="0.3">
      <c r="A209" s="23">
        <v>43656</v>
      </c>
      <c r="B209" s="24">
        <v>-630</v>
      </c>
      <c r="C209" s="24">
        <f>VLOOKUP(Таблица1[[#This Row],[Названия строк]],Котировки[[&lt;DATE&gt;]:[&lt;VOL&gt;]],6,0)</f>
        <v>100.79</v>
      </c>
      <c r="D209" s="26">
        <f>INDEX(Купоны[Дата],MATCH($A209,Купоны[Дата],1))</f>
        <v>43567</v>
      </c>
      <c r="E209" s="24">
        <f>Купоны!$C$4*(A209-D209)/365*100</f>
        <v>1.9506849315068493</v>
      </c>
      <c r="F209" s="27">
        <f>-B209*(C209+E209)*Купоны!$G$10/100</f>
        <v>647266.31506849313</v>
      </c>
      <c r="G209" s="34">
        <f>SUM($B$2:B209)</f>
        <v>480</v>
      </c>
      <c r="H209" s="31">
        <f>_xlfn.IFNA(VLOOKUP($A209,Купоны[[Дата]:[% от номинала]],3,0),0)*Купоны!$G$10/100*G209</f>
        <v>0</v>
      </c>
      <c r="I209" s="36">
        <f>Таблица1[[#This Row],[Денежный поток]]+Таблица1[[#This Row],[Купонный доход]]</f>
        <v>647266.31506849313</v>
      </c>
      <c r="J209" s="31">
        <f>Таблица1[[#This Row],[Общий денежный поток]]/((1+$L$2)^((Таблица1[[#This Row],[Названия строк]]-$A$2)/365))</f>
        <v>594592.50571639964</v>
      </c>
    </row>
    <row r="210" spans="1:10" x14ac:dyDescent="0.3">
      <c r="A210" s="23">
        <v>43658</v>
      </c>
      <c r="B210" s="24">
        <v>80</v>
      </c>
      <c r="C210" s="24">
        <f>VLOOKUP(Таблица1[[#This Row],[Названия строк]],Котировки[[&lt;DATE&gt;]:[&lt;VOL&gt;]],6,0)</f>
        <v>100.86</v>
      </c>
      <c r="D210" s="26">
        <f>INDEX(Купоны[Дата],MATCH($A210,Купоны[Дата],1))</f>
        <v>43567</v>
      </c>
      <c r="E210" s="24">
        <f>Купоны!$C$4*(A210-D210)/365*100</f>
        <v>1.9945205479452055</v>
      </c>
      <c r="F210" s="27">
        <f>-B210*(C210+E210)*Купоны!$G$10/100</f>
        <v>-82283.61643835617</v>
      </c>
      <c r="G210" s="34">
        <f>SUM($B$2:B210)</f>
        <v>560</v>
      </c>
      <c r="H210" s="31">
        <f>_xlfn.IFNA(VLOOKUP($A210,Купоны[[Дата]:[% от номинала]],3,0),0)*Купоны!$G$10/100*G210</f>
        <v>0</v>
      </c>
      <c r="I210" s="36">
        <f>Таблица1[[#This Row],[Денежный поток]]+Таблица1[[#This Row],[Купонный доход]]</f>
        <v>-82283.61643835617</v>
      </c>
      <c r="J210" s="31">
        <f>Таблица1[[#This Row],[Общий денежный поток]]/((1+$L$2)^((Таблица1[[#This Row],[Названия строк]]-$A$2)/365))</f>
        <v>-75567.2625836386</v>
      </c>
    </row>
    <row r="211" spans="1:10" x14ac:dyDescent="0.3">
      <c r="A211" s="23">
        <v>43664</v>
      </c>
      <c r="B211" s="24">
        <v>580</v>
      </c>
      <c r="C211" s="24">
        <f>VLOOKUP(Таблица1[[#This Row],[Названия строк]],Котировки[[&lt;DATE&gt;]:[&lt;VOL&gt;]],6,0)</f>
        <v>100.7</v>
      </c>
      <c r="D211" s="26">
        <f>INDEX(Купоны[Дата],MATCH($A211,Купоны[Дата],1))</f>
        <v>43567</v>
      </c>
      <c r="E211" s="24">
        <f>Купоны!$C$4*(A211-D211)/365*100</f>
        <v>2.1260273972602737</v>
      </c>
      <c r="F211" s="27">
        <f>-B211*(C211+E211)*Купоны!$G$10/100</f>
        <v>-596390.95890410955</v>
      </c>
      <c r="G211" s="34">
        <f>SUM($B$2:B211)</f>
        <v>1140</v>
      </c>
      <c r="H211" s="31">
        <f>_xlfn.IFNA(VLOOKUP($A211,Купоны[[Дата]:[% от номинала]],3,0),0)*Купоны!$G$10/100*G211</f>
        <v>0</v>
      </c>
      <c r="I211" s="36">
        <f>Таблица1[[#This Row],[Денежный поток]]+Таблица1[[#This Row],[Купонный доход]]</f>
        <v>-596390.95890410955</v>
      </c>
      <c r="J211" s="31">
        <f>Таблица1[[#This Row],[Общий денежный поток]]/((1+$L$2)^((Таблица1[[#This Row],[Названия строк]]-$A$2)/365))</f>
        <v>-547271.77823343175</v>
      </c>
    </row>
    <row r="212" spans="1:10" x14ac:dyDescent="0.3">
      <c r="A212" s="23">
        <v>43665</v>
      </c>
      <c r="B212" s="24">
        <v>10</v>
      </c>
      <c r="C212" s="24">
        <f>VLOOKUP(Таблица1[[#This Row],[Названия строк]],Котировки[[&lt;DATE&gt;]:[&lt;VOL&gt;]],6,0)</f>
        <v>100.7</v>
      </c>
      <c r="D212" s="26">
        <f>INDEX(Купоны[Дата],MATCH($A212,Купоны[Дата],1))</f>
        <v>43567</v>
      </c>
      <c r="E212" s="24">
        <f>Купоны!$C$4*(A212-D212)/365*100</f>
        <v>2.1479452054794521</v>
      </c>
      <c r="F212" s="27">
        <f>-B212*(C212+E212)*Купоны!$G$10/100</f>
        <v>-10284.794520547945</v>
      </c>
      <c r="G212" s="34">
        <f>SUM($B$2:B212)</f>
        <v>1150</v>
      </c>
      <c r="H212" s="31">
        <f>_xlfn.IFNA(VLOOKUP($A212,Купоны[[Дата]:[% от номинала]],3,0),0)*Купоны!$G$10/100*G212</f>
        <v>0</v>
      </c>
      <c r="I212" s="36">
        <f>Таблица1[[#This Row],[Денежный поток]]+Таблица1[[#This Row],[Купонный доход]]</f>
        <v>-10284.794520547945</v>
      </c>
      <c r="J212" s="31">
        <f>Таблица1[[#This Row],[Общий денежный поток]]/((1+$L$2)^((Таблица1[[#This Row],[Названия строк]]-$A$2)/365))</f>
        <v>-9436.4701054275793</v>
      </c>
    </row>
    <row r="213" spans="1:10" x14ac:dyDescent="0.3">
      <c r="A213" s="23">
        <v>43669</v>
      </c>
      <c r="B213" s="24">
        <v>480</v>
      </c>
      <c r="C213" s="24">
        <f>VLOOKUP(Таблица1[[#This Row],[Названия строк]],Котировки[[&lt;DATE&gt;]:[&lt;VOL&gt;]],6,0)</f>
        <v>100.79</v>
      </c>
      <c r="D213" s="26">
        <f>INDEX(Купоны[Дата],MATCH($A213,Купоны[Дата],1))</f>
        <v>43567</v>
      </c>
      <c r="E213" s="24">
        <f>Купоны!$C$4*(A213-D213)/365*100</f>
        <v>2.2356164383561645</v>
      </c>
      <c r="F213" s="27">
        <f>-B213*(C213+E213)*Купоны!$G$10/100</f>
        <v>-494522.9589041096</v>
      </c>
      <c r="G213" s="34">
        <f>SUM($B$2:B213)</f>
        <v>1630</v>
      </c>
      <c r="H213" s="31">
        <f>_xlfn.IFNA(VLOOKUP($A213,Купоны[[Дата]:[% от номинала]],3,0),0)*Купоны!$G$10/100*G213</f>
        <v>0</v>
      </c>
      <c r="I213" s="36">
        <f>Таблица1[[#This Row],[Денежный поток]]+Таблица1[[#This Row],[Купонный доход]]</f>
        <v>-494522.9589041096</v>
      </c>
      <c r="J213" s="31">
        <f>Таблица1[[#This Row],[Общий денежный поток]]/((1+$L$2)^((Таблица1[[#This Row],[Названия строк]]-$A$2)/365))</f>
        <v>-453490.50317031768</v>
      </c>
    </row>
    <row r="214" spans="1:10" x14ac:dyDescent="0.3">
      <c r="A214" s="23">
        <v>43676</v>
      </c>
      <c r="B214" s="24">
        <v>-1330</v>
      </c>
      <c r="C214" s="24">
        <f>VLOOKUP(Таблица1[[#This Row],[Названия строк]],Котировки[[&lt;DATE&gt;]:[&lt;VOL&gt;]],6,0)</f>
        <v>100.65</v>
      </c>
      <c r="D214" s="26">
        <f>INDEX(Купоны[Дата],MATCH($A214,Купоны[Дата],1))</f>
        <v>43567</v>
      </c>
      <c r="E214" s="24">
        <f>Купоны!$C$4*(A214-D214)/365*100</f>
        <v>2.3890410958904109</v>
      </c>
      <c r="F214" s="27">
        <f>-B214*(C214+E214)*Купоны!$G$10/100</f>
        <v>1370419.2465753425</v>
      </c>
      <c r="G214" s="34">
        <f>SUM($B$2:B214)</f>
        <v>300</v>
      </c>
      <c r="H214" s="31">
        <f>_xlfn.IFNA(VLOOKUP($A214,Купоны[[Дата]:[% от номинала]],3,0),0)*Купоны!$G$10/100*G214</f>
        <v>0</v>
      </c>
      <c r="I214" s="36">
        <f>Таблица1[[#This Row],[Денежный поток]]+Таблица1[[#This Row],[Купонный доход]]</f>
        <v>1370419.2465753425</v>
      </c>
      <c r="J214" s="31">
        <f>Таблица1[[#This Row],[Общий денежный поток]]/((1+$L$2)^((Таблица1[[#This Row],[Названия строк]]-$A$2)/365))</f>
        <v>1255534.9795566264</v>
      </c>
    </row>
    <row r="215" spans="1:10" x14ac:dyDescent="0.3">
      <c r="A215" s="23">
        <v>43685</v>
      </c>
      <c r="B215" s="24">
        <v>650</v>
      </c>
      <c r="C215" s="24">
        <f>VLOOKUP(Таблица1[[#This Row],[Названия строк]],Котировки[[&lt;DATE&gt;]:[&lt;VOL&gt;]],6,0)</f>
        <v>101.01</v>
      </c>
      <c r="D215" s="26">
        <f>INDEX(Купоны[Дата],MATCH($A215,Купоны[Дата],1))</f>
        <v>43567</v>
      </c>
      <c r="E215" s="24">
        <f>Купоны!$C$4*(A215-D215)/365*100</f>
        <v>2.5863013698630137</v>
      </c>
      <c r="F215" s="27">
        <f>-B215*(C215+E215)*Купоны!$G$10/100</f>
        <v>-673375.95890410955</v>
      </c>
      <c r="G215" s="34">
        <f>SUM($B$2:B215)</f>
        <v>950</v>
      </c>
      <c r="H215" s="31">
        <f>_xlfn.IFNA(VLOOKUP($A215,Купоны[[Дата]:[% от номинала]],3,0),0)*Купоны!$G$10/100*G215</f>
        <v>0</v>
      </c>
      <c r="I215" s="36">
        <f>Таблица1[[#This Row],[Денежный поток]]+Таблица1[[#This Row],[Купонный доход]]</f>
        <v>-673375.95890410955</v>
      </c>
      <c r="J215" s="31">
        <f>Таблица1[[#This Row],[Общий денежный поток]]/((1+$L$2)^((Таблица1[[#This Row],[Названия строк]]-$A$2)/365))</f>
        <v>-616184.11554260645</v>
      </c>
    </row>
    <row r="216" spans="1:10" x14ac:dyDescent="0.3">
      <c r="A216" s="23">
        <v>43686</v>
      </c>
      <c r="B216" s="24">
        <v>40</v>
      </c>
      <c r="C216" s="24">
        <f>VLOOKUP(Таблица1[[#This Row],[Названия строк]],Котировки[[&lt;DATE&gt;]:[&lt;VOL&gt;]],6,0)</f>
        <v>101.2</v>
      </c>
      <c r="D216" s="26">
        <f>INDEX(Купоны[Дата],MATCH($A216,Купоны[Дата],1))</f>
        <v>43567</v>
      </c>
      <c r="E216" s="24">
        <f>Купоны!$C$4*(A216-D216)/365*100</f>
        <v>2.6082191780821917</v>
      </c>
      <c r="F216" s="27">
        <f>-B216*(C216+E216)*Купоны!$G$10/100</f>
        <v>-41523.287671232887</v>
      </c>
      <c r="G216" s="34">
        <f>SUM($B$2:B216)</f>
        <v>990</v>
      </c>
      <c r="H216" s="31">
        <f>_xlfn.IFNA(VLOOKUP($A216,Купоны[[Дата]:[% от номинала]],3,0),0)*Купоны!$G$10/100*G216</f>
        <v>0</v>
      </c>
      <c r="I216" s="36">
        <f>Таблица1[[#This Row],[Денежный поток]]+Таблица1[[#This Row],[Купонный доход]]</f>
        <v>-41523.287671232887</v>
      </c>
      <c r="J216" s="31">
        <f>Таблица1[[#This Row],[Общий денежный поток]]/((1+$L$2)^((Таблица1[[#This Row],[Названия строк]]-$A$2)/365))</f>
        <v>-37991.511363067853</v>
      </c>
    </row>
    <row r="217" spans="1:10" x14ac:dyDescent="0.3">
      <c r="A217" s="23">
        <v>43696</v>
      </c>
      <c r="B217" s="24">
        <v>580</v>
      </c>
      <c r="C217" s="24">
        <f>VLOOKUP(Таблица1[[#This Row],[Названия строк]],Котировки[[&lt;DATE&gt;]:[&lt;VOL&gt;]],6,0)</f>
        <v>101.11</v>
      </c>
      <c r="D217" s="26">
        <f>INDEX(Купоны[Дата],MATCH($A217,Купоны[Дата],1))</f>
        <v>43567</v>
      </c>
      <c r="E217" s="24">
        <f>Купоны!$C$4*(A217-D217)/365*100</f>
        <v>2.8273972602739725</v>
      </c>
      <c r="F217" s="27">
        <f>-B217*(C217+E217)*Купоны!$G$10/100</f>
        <v>-602836.90410958906</v>
      </c>
      <c r="G217" s="34">
        <f>SUM($B$2:B217)</f>
        <v>1570</v>
      </c>
      <c r="H217" s="31">
        <f>_xlfn.IFNA(VLOOKUP($A217,Купоны[[Дата]:[% от номинала]],3,0),0)*Купоны!$G$10/100*G217</f>
        <v>0</v>
      </c>
      <c r="I217" s="36">
        <f>Таблица1[[#This Row],[Денежный поток]]+Таблица1[[#This Row],[Купонный доход]]</f>
        <v>-602836.90410958906</v>
      </c>
      <c r="J217" s="31">
        <f>Таблица1[[#This Row],[Общий денежный поток]]/((1+$L$2)^((Таблица1[[#This Row],[Названия строк]]-$A$2)/365))</f>
        <v>-550825.63118300471</v>
      </c>
    </row>
    <row r="218" spans="1:10" x14ac:dyDescent="0.3">
      <c r="A218" s="23">
        <v>43705</v>
      </c>
      <c r="B218" s="24">
        <v>-460</v>
      </c>
      <c r="C218" s="24">
        <f>VLOOKUP(Таблица1[[#This Row],[Названия строк]],Котировки[[&lt;DATE&gt;]:[&lt;VOL&gt;]],6,0)</f>
        <v>101.23</v>
      </c>
      <c r="D218" s="26">
        <f>INDEX(Купоны[Дата],MATCH($A218,Купоны[Дата],1))</f>
        <v>43567</v>
      </c>
      <c r="E218" s="24">
        <f>Купоны!$C$4*(A218-D218)/365*100</f>
        <v>3.0246575342465754</v>
      </c>
      <c r="F218" s="27">
        <f>-B218*(C218+E218)*Купоны!$G$10/100</f>
        <v>479571.42465753423</v>
      </c>
      <c r="G218" s="34">
        <f>SUM($B$2:B218)</f>
        <v>1110</v>
      </c>
      <c r="H218" s="31">
        <f>_xlfn.IFNA(VLOOKUP($A218,Купоны[[Дата]:[% от номинала]],3,0),0)*Купоны!$G$10/100*G218</f>
        <v>0</v>
      </c>
      <c r="I218" s="36">
        <f>Таблица1[[#This Row],[Денежный поток]]+Таблица1[[#This Row],[Купонный доход]]</f>
        <v>479571.42465753423</v>
      </c>
      <c r="J218" s="31">
        <f>Таблица1[[#This Row],[Общий денежный поток]]/((1+$L$2)^((Таблица1[[#This Row],[Названия строк]]-$A$2)/365))</f>
        <v>437668.33995361323</v>
      </c>
    </row>
    <row r="219" spans="1:10" x14ac:dyDescent="0.3">
      <c r="A219" s="23">
        <v>43706</v>
      </c>
      <c r="B219" s="24">
        <v>-140</v>
      </c>
      <c r="C219" s="24">
        <f>VLOOKUP(Таблица1[[#This Row],[Названия строк]],Котировки[[&lt;DATE&gt;]:[&lt;VOL&gt;]],6,0)</f>
        <v>101.2</v>
      </c>
      <c r="D219" s="26">
        <f>INDEX(Купоны[Дата],MATCH($A219,Купоны[Дата],1))</f>
        <v>43567</v>
      </c>
      <c r="E219" s="24">
        <f>Купоны!$C$4*(A219-D219)/365*100</f>
        <v>3.0465753424657538</v>
      </c>
      <c r="F219" s="27">
        <f>-B219*(C219+E219)*Купоны!$G$10/100</f>
        <v>145945.20547945207</v>
      </c>
      <c r="G219" s="34">
        <f>SUM($B$2:B219)</f>
        <v>970</v>
      </c>
      <c r="H219" s="31">
        <f>_xlfn.IFNA(VLOOKUP($A219,Купоны[[Дата]:[% от номинала]],3,0),0)*Купоны!$G$10/100*G219</f>
        <v>0</v>
      </c>
      <c r="I219" s="36">
        <f>Таблица1[[#This Row],[Денежный поток]]+Таблица1[[#This Row],[Купонный доход]]</f>
        <v>145945.20547945207</v>
      </c>
      <c r="J219" s="31">
        <f>Таблица1[[#This Row],[Общий денежный поток]]/((1+$L$2)^((Таблица1[[#This Row],[Названия строк]]-$A$2)/365))</f>
        <v>133175.27845671703</v>
      </c>
    </row>
    <row r="220" spans="1:10" x14ac:dyDescent="0.3">
      <c r="A220" s="23">
        <v>43707</v>
      </c>
      <c r="B220" s="24">
        <v>-40</v>
      </c>
      <c r="C220" s="24">
        <f>VLOOKUP(Таблица1[[#This Row],[Названия строк]],Котировки[[&lt;DATE&gt;]:[&lt;VOL&gt;]],6,0)</f>
        <v>101.2</v>
      </c>
      <c r="D220" s="26">
        <f>INDEX(Купоны[Дата],MATCH($A220,Купоны[Дата],1))</f>
        <v>43567</v>
      </c>
      <c r="E220" s="24">
        <f>Купоны!$C$4*(A220-D220)/365*100</f>
        <v>3.0684931506849318</v>
      </c>
      <c r="F220" s="27">
        <f>-B220*(C220+E220)*Купоны!$G$10/100</f>
        <v>41707.397260273974</v>
      </c>
      <c r="G220" s="34">
        <f>SUM($B$2:B220)</f>
        <v>930</v>
      </c>
      <c r="H220" s="31">
        <f>_xlfn.IFNA(VLOOKUP($A220,Купоны[[Дата]:[% от номинала]],3,0),0)*Купоны!$G$10/100*G220</f>
        <v>0</v>
      </c>
      <c r="I220" s="36">
        <f>Таблица1[[#This Row],[Денежный поток]]+Таблица1[[#This Row],[Купонный доход]]</f>
        <v>41707.397260273974</v>
      </c>
      <c r="J220" s="31">
        <f>Таблица1[[#This Row],[Общий денежный поток]]/((1+$L$2)^((Таблица1[[#This Row],[Названия строк]]-$A$2)/365))</f>
        <v>38052.992628251719</v>
      </c>
    </row>
    <row r="221" spans="1:10" x14ac:dyDescent="0.3">
      <c r="A221" s="23">
        <v>43710</v>
      </c>
      <c r="B221" s="24">
        <v>-680</v>
      </c>
      <c r="C221" s="24">
        <f>VLOOKUP(Таблица1[[#This Row],[Названия строк]],Котировки[[&lt;DATE&gt;]:[&lt;VOL&gt;]],6,0)</f>
        <v>101.23</v>
      </c>
      <c r="D221" s="26">
        <f>INDEX(Купоны[Дата],MATCH($A221,Купоны[Дата],1))</f>
        <v>43567</v>
      </c>
      <c r="E221" s="24">
        <f>Купоны!$C$4*(A221-D221)/365*100</f>
        <v>3.1342465753424658</v>
      </c>
      <c r="F221" s="27">
        <f>-B221*(C221+E221)*Купоны!$G$10/100</f>
        <v>709676.87671232875</v>
      </c>
      <c r="G221" s="34">
        <f>SUM($B$2:B221)</f>
        <v>250</v>
      </c>
      <c r="H221" s="31">
        <f>_xlfn.IFNA(VLOOKUP($A221,Купоны[[Дата]:[% от номинала]],3,0),0)*Купоны!$G$10/100*G221</f>
        <v>0</v>
      </c>
      <c r="I221" s="36">
        <f>Таблица1[[#This Row],[Денежный поток]]+Таблица1[[#This Row],[Купонный доход]]</f>
        <v>709676.87671232875</v>
      </c>
      <c r="J221" s="31">
        <f>Таблица1[[#This Row],[Общий денежный поток]]/((1+$L$2)^((Таблица1[[#This Row],[Названия строк]]-$A$2)/365))</f>
        <v>647235.34334553755</v>
      </c>
    </row>
    <row r="222" spans="1:10" x14ac:dyDescent="0.3">
      <c r="A222" s="23">
        <v>43714</v>
      </c>
      <c r="B222" s="24">
        <v>570</v>
      </c>
      <c r="C222" s="24">
        <f>VLOOKUP(Таблица1[[#This Row],[Названия строк]],Котировки[[&lt;DATE&gt;]:[&lt;VOL&gt;]],6,0)</f>
        <v>101.41</v>
      </c>
      <c r="D222" s="26">
        <f>INDEX(Купоны[Дата],MATCH($A222,Купоны[Дата],1))</f>
        <v>43567</v>
      </c>
      <c r="E222" s="24">
        <f>Купоны!$C$4*(A222-D222)/365*100</f>
        <v>3.2219178082191782</v>
      </c>
      <c r="F222" s="27">
        <f>-B222*(C222+E222)*Купоны!$G$10/100</f>
        <v>-596401.93150684936</v>
      </c>
      <c r="G222" s="34">
        <f>SUM($B$2:B222)</f>
        <v>820</v>
      </c>
      <c r="H222" s="31">
        <f>_xlfn.IFNA(VLOOKUP($A222,Купоны[[Дата]:[% от номинала]],3,0),0)*Купоны!$G$10/100*G222</f>
        <v>0</v>
      </c>
      <c r="I222" s="36">
        <f>Таблица1[[#This Row],[Денежный поток]]+Таблица1[[#This Row],[Купонный доход]]</f>
        <v>-596401.93150684936</v>
      </c>
      <c r="J222" s="31">
        <f>Таблица1[[#This Row],[Общий денежный поток]]/((1+$L$2)^((Таблица1[[#This Row],[Названия строк]]-$A$2)/365))</f>
        <v>-543636.23928944301</v>
      </c>
    </row>
    <row r="223" spans="1:10" x14ac:dyDescent="0.3">
      <c r="A223" s="23">
        <v>43721</v>
      </c>
      <c r="B223" s="24">
        <v>-130</v>
      </c>
      <c r="C223" s="24">
        <f>VLOOKUP(Таблица1[[#This Row],[Названия строк]],Котировки[[&lt;DATE&gt;]:[&lt;VOL&gt;]],6,0)</f>
        <v>101.31</v>
      </c>
      <c r="D223" s="26">
        <f>INDEX(Купоны[Дата],MATCH($A223,Купоны[Дата],1))</f>
        <v>43567</v>
      </c>
      <c r="E223" s="24">
        <f>Купоны!$C$4*(A223-D223)/365*100</f>
        <v>3.3753424657534246</v>
      </c>
      <c r="F223" s="27">
        <f>-B223*(C223+E223)*Купоны!$G$10/100</f>
        <v>136090.94520547945</v>
      </c>
      <c r="G223" s="34">
        <f>SUM($B$2:B223)</f>
        <v>690</v>
      </c>
      <c r="H223" s="31">
        <f>_xlfn.IFNA(VLOOKUP($A223,Купоны[[Дата]:[% от номинала]],3,0),0)*Купоны!$G$10/100*G223</f>
        <v>0</v>
      </c>
      <c r="I223" s="36">
        <f>Таблица1[[#This Row],[Денежный поток]]+Таблица1[[#This Row],[Купонный доход]]</f>
        <v>136090.94520547945</v>
      </c>
      <c r="J223" s="31">
        <f>Таблица1[[#This Row],[Общий денежный поток]]/((1+$L$2)^((Таблица1[[#This Row],[Названия строк]]-$A$2)/365))</f>
        <v>123934.49986302471</v>
      </c>
    </row>
    <row r="224" spans="1:10" x14ac:dyDescent="0.3">
      <c r="A224" s="23">
        <v>43724</v>
      </c>
      <c r="B224" s="24">
        <v>1480</v>
      </c>
      <c r="C224" s="24">
        <f>VLOOKUP(Таблица1[[#This Row],[Названия строк]],Котировки[[&lt;DATE&gt;]:[&lt;VOL&gt;]],6,0)</f>
        <v>101.21</v>
      </c>
      <c r="D224" s="26">
        <f>INDEX(Купоны[Дата],MATCH($A224,Купоны[Дата],1))</f>
        <v>43567</v>
      </c>
      <c r="E224" s="24">
        <f>Купоны!$C$4*(A224-D224)/365*100</f>
        <v>3.441095890410959</v>
      </c>
      <c r="F224" s="27">
        <f>-B224*(C224+E224)*Купоны!$G$10/100</f>
        <v>-1548836.2191780824</v>
      </c>
      <c r="G224" s="34">
        <f>SUM($B$2:B224)</f>
        <v>2170</v>
      </c>
      <c r="H224" s="31">
        <f>_xlfn.IFNA(VLOOKUP($A224,Купоны[[Дата]:[% от номинала]],3,0),0)*Купоны!$G$10/100*G224</f>
        <v>0</v>
      </c>
      <c r="I224" s="36">
        <f>Таблица1[[#This Row],[Денежный поток]]+Таблица1[[#This Row],[Купонный доход]]</f>
        <v>-1548836.2191780824</v>
      </c>
      <c r="J224" s="31">
        <f>Таблица1[[#This Row],[Общий денежный поток]]/((1+$L$2)^((Таблица1[[#This Row],[Названия строк]]-$A$2)/365))</f>
        <v>-1409919.5269496867</v>
      </c>
    </row>
    <row r="225" spans="1:10" x14ac:dyDescent="0.3">
      <c r="A225" s="23">
        <v>43725</v>
      </c>
      <c r="B225" s="24">
        <v>-790</v>
      </c>
      <c r="C225" s="24">
        <f>VLOOKUP(Таблица1[[#This Row],[Названия строк]],Котировки[[&lt;DATE&gt;]:[&lt;VOL&gt;]],6,0)</f>
        <v>101.2</v>
      </c>
      <c r="D225" s="26">
        <f>INDEX(Купоны[Дата],MATCH($A225,Купоны[Дата],1))</f>
        <v>43567</v>
      </c>
      <c r="E225" s="24">
        <f>Купоны!$C$4*(A225-D225)/365*100</f>
        <v>3.4630136986301374</v>
      </c>
      <c r="F225" s="27">
        <f>-B225*(C225+E225)*Купоны!$G$10/100</f>
        <v>826837.80821917811</v>
      </c>
      <c r="G225" s="34">
        <f>SUM($B$2:B225)</f>
        <v>1380</v>
      </c>
      <c r="H225" s="31">
        <f>_xlfn.IFNA(VLOOKUP($A225,Купоны[[Дата]:[% от номинала]],3,0),0)*Купоны!$G$10/100*G225</f>
        <v>0</v>
      </c>
      <c r="I225" s="36">
        <f>Таблица1[[#This Row],[Денежный поток]]+Таблица1[[#This Row],[Купонный доход]]</f>
        <v>826837.80821917811</v>
      </c>
      <c r="J225" s="31">
        <f>Таблица1[[#This Row],[Общий денежный поток]]/((1+$L$2)^((Таблица1[[#This Row],[Названия строк]]-$A$2)/365))</f>
        <v>752577.28114493471</v>
      </c>
    </row>
    <row r="226" spans="1:10" x14ac:dyDescent="0.3">
      <c r="A226" s="23">
        <v>43733</v>
      </c>
      <c r="B226" s="24">
        <v>-1280</v>
      </c>
      <c r="C226" s="24">
        <f>VLOOKUP(Таблица1[[#This Row],[Названия строк]],Котировки[[&lt;DATE&gt;]:[&lt;VOL&gt;]],6,0)</f>
        <v>101.31</v>
      </c>
      <c r="D226" s="26">
        <f>INDEX(Купоны[Дата],MATCH($A226,Купоны[Дата],1))</f>
        <v>43567</v>
      </c>
      <c r="E226" s="24">
        <f>Купоны!$C$4*(A226-D226)/365*100</f>
        <v>3.6383561643835618</v>
      </c>
      <c r="F226" s="27">
        <f>-B226*(C226+E226)*Купоны!$G$10/100</f>
        <v>1343338.9589041097</v>
      </c>
      <c r="G226" s="34">
        <f>SUM($B$2:B226)</f>
        <v>100</v>
      </c>
      <c r="H226" s="31">
        <f>_xlfn.IFNA(VLOOKUP($A226,Купоны[[Дата]:[% от номинала]],3,0),0)*Купоны!$G$10/100*G226</f>
        <v>0</v>
      </c>
      <c r="I226" s="36">
        <f>Таблица1[[#This Row],[Денежный поток]]+Таблица1[[#This Row],[Купонный доход]]</f>
        <v>1343338.9589041097</v>
      </c>
      <c r="J226" s="31">
        <f>Таблица1[[#This Row],[Общий денежный поток]]/((1+$L$2)^((Таблица1[[#This Row],[Названия строк]]-$A$2)/365))</f>
        <v>1221383.2610641264</v>
      </c>
    </row>
    <row r="227" spans="1:10" x14ac:dyDescent="0.3">
      <c r="A227" s="23">
        <v>43734</v>
      </c>
      <c r="B227" s="24">
        <v>580</v>
      </c>
      <c r="C227" s="24">
        <f>VLOOKUP(Таблица1[[#This Row],[Названия строк]],Котировки[[&lt;DATE&gt;]:[&lt;VOL&gt;]],6,0)</f>
        <v>101.38</v>
      </c>
      <c r="D227" s="26">
        <f>INDEX(Купоны[Дата],MATCH($A227,Купоны[Дата],1))</f>
        <v>43567</v>
      </c>
      <c r="E227" s="24">
        <f>Купоны!$C$4*(A227-D227)/365*100</f>
        <v>3.6602739726027393</v>
      </c>
      <c r="F227" s="27">
        <f>-B227*(C227+E227)*Купоны!$G$10/100</f>
        <v>-609233.58904109581</v>
      </c>
      <c r="G227" s="34">
        <f>SUM($B$2:B227)</f>
        <v>680</v>
      </c>
      <c r="H227" s="31">
        <f>_xlfn.IFNA(VLOOKUP($A227,Купоны[[Дата]:[% от номинала]],3,0),0)*Купоны!$G$10/100*G227</f>
        <v>0</v>
      </c>
      <c r="I227" s="36">
        <f>Таблица1[[#This Row],[Денежный поток]]+Таблица1[[#This Row],[Купонный доход]]</f>
        <v>-609233.58904109581</v>
      </c>
      <c r="J227" s="31">
        <f>Таблица1[[#This Row],[Общий денежный поток]]/((1+$L$2)^((Таблица1[[#This Row],[Названия строк]]-$A$2)/365))</f>
        <v>-553849.97458721092</v>
      </c>
    </row>
    <row r="228" spans="1:10" x14ac:dyDescent="0.3">
      <c r="A228" s="23">
        <v>43746</v>
      </c>
      <c r="B228" s="24">
        <v>-610</v>
      </c>
      <c r="C228" s="24">
        <f>VLOOKUP(Таблица1[[#This Row],[Названия строк]],Котировки[[&lt;DATE&gt;]:[&lt;VOL&gt;]],6,0)</f>
        <v>101.48</v>
      </c>
      <c r="D228" s="26">
        <f>INDEX(Купоны[Дата],MATCH($A228,Купоны[Дата],1))</f>
        <v>43567</v>
      </c>
      <c r="E228" s="24">
        <f>Купоны!$C$4*(A228-D228)/365*100</f>
        <v>3.9232876712328766</v>
      </c>
      <c r="F228" s="27">
        <f>-B228*(C228+E228)*Купоны!$G$10/100</f>
        <v>642960.05479452049</v>
      </c>
      <c r="G228" s="34">
        <f>SUM($B$2:B228)</f>
        <v>70</v>
      </c>
      <c r="H228" s="31">
        <f>_xlfn.IFNA(VLOOKUP($A228,Купоны[[Дата]:[% от номинала]],3,0),0)*Купоны!$G$10/100*G228</f>
        <v>0</v>
      </c>
      <c r="I228" s="36">
        <f>Таблица1[[#This Row],[Денежный поток]]+Таблица1[[#This Row],[Купонный доход]]</f>
        <v>642960.05479452049</v>
      </c>
      <c r="J228" s="31">
        <f>Таблица1[[#This Row],[Общий денежный поток]]/((1+$L$2)^((Таблица1[[#This Row],[Названия строк]]-$A$2)/365))</f>
        <v>583573.6292014753</v>
      </c>
    </row>
    <row r="229" spans="1:10" x14ac:dyDescent="0.3">
      <c r="A229" s="23">
        <v>43748</v>
      </c>
      <c r="B229" s="24">
        <v>420</v>
      </c>
      <c r="C229" s="24">
        <f>VLOOKUP(Таблица1[[#This Row],[Названия строк]],Котировки[[&lt;DATE&gt;]:[&lt;VOL&gt;]],6,0)</f>
        <v>101.76</v>
      </c>
      <c r="D229" s="26">
        <f>INDEX(Купоны[Дата],MATCH($A229,Купоны[Дата],1))</f>
        <v>43567</v>
      </c>
      <c r="E229" s="24">
        <f>Купоны!$C$4*(A229-D229)/365*100</f>
        <v>3.967123287671233</v>
      </c>
      <c r="F229" s="27">
        <f>-B229*(C229+E229)*Купоны!$G$10/100</f>
        <v>-444053.91780821921</v>
      </c>
      <c r="G229" s="34">
        <f>SUM($B$2:B229)</f>
        <v>490</v>
      </c>
      <c r="H229" s="31">
        <f>_xlfn.IFNA(VLOOKUP($A229,Купоны[[Дата]:[% от номинала]],3,0),0)*Купоны!$G$10/100*G229</f>
        <v>0</v>
      </c>
      <c r="I229" s="36">
        <f>Таблица1[[#This Row],[Денежный поток]]+Таблица1[[#This Row],[Купонный доход]]</f>
        <v>-444053.91780821921</v>
      </c>
      <c r="J229" s="31">
        <f>Таблица1[[#This Row],[Общий денежный поток]]/((1+$L$2)^((Таблица1[[#This Row],[Названия строк]]-$A$2)/365))</f>
        <v>-402931.54269476573</v>
      </c>
    </row>
    <row r="230" spans="1:10" x14ac:dyDescent="0.3">
      <c r="A230" s="23">
        <v>43749</v>
      </c>
      <c r="B230" s="24">
        <v>170</v>
      </c>
      <c r="C230" s="24">
        <f>VLOOKUP(Таблица1[[#This Row],[Названия строк]],Котировки[[&lt;DATE&gt;]:[&lt;VOL&gt;]],6,0)</f>
        <v>101.28</v>
      </c>
      <c r="D230" s="26">
        <f>INDEX(Купоны[Дата],MATCH($A230,Купоны[Дата],1))</f>
        <v>43749</v>
      </c>
      <c r="E230" s="24">
        <f>Купоны!$C$4*(A230-D230)/365*100</f>
        <v>0</v>
      </c>
      <c r="F230" s="27">
        <f>-B230*(C230+E230)*Купоны!$G$10/100</f>
        <v>-172176</v>
      </c>
      <c r="G230" s="34">
        <f>SUM($B$2:B230)</f>
        <v>660</v>
      </c>
      <c r="H230" s="31">
        <f>_xlfn.IFNA(VLOOKUP($A230,Купоны[[Дата]:[% от номинала]],3,0),0)*Купоны!$G$10/100*G230</f>
        <v>26327.4</v>
      </c>
      <c r="I230" s="36">
        <f>Таблица1[[#This Row],[Денежный поток]]+Таблица1[[#This Row],[Купонный доход]]</f>
        <v>-145848.6</v>
      </c>
      <c r="J230" s="31">
        <f>Таблица1[[#This Row],[Общий денежный поток]]/((1+$L$2)^((Таблица1[[#This Row],[Названия строк]]-$A$2)/365))</f>
        <v>-132324.35090076621</v>
      </c>
    </row>
    <row r="231" spans="1:10" x14ac:dyDescent="0.3">
      <c r="A231" s="23">
        <v>43752</v>
      </c>
      <c r="B231" s="24">
        <v>630</v>
      </c>
      <c r="C231" s="24">
        <f>VLOOKUP(Таблица1[[#This Row],[Названия строк]],Котировки[[&lt;DATE&gt;]:[&lt;VOL&gt;]],6,0)</f>
        <v>101.36</v>
      </c>
      <c r="D231" s="26">
        <f>INDEX(Купоны[Дата],MATCH($A231,Купоны[Дата],1))</f>
        <v>43749</v>
      </c>
      <c r="E231" s="24">
        <f>Купоны!$C$4*(A231-D231)/365*100</f>
        <v>6.5753424657534254E-2</v>
      </c>
      <c r="F231" s="27">
        <f>-B231*(C231+E231)*Купоны!$G$10/100</f>
        <v>-638982.24657534237</v>
      </c>
      <c r="G231" s="34">
        <f>SUM($B$2:B231)</f>
        <v>1290</v>
      </c>
      <c r="H231" s="31">
        <f>_xlfn.IFNA(VLOOKUP($A231,Купоны[[Дата]:[% от номинала]],3,0),0)*Купоны!$G$10/100*G231</f>
        <v>0</v>
      </c>
      <c r="I231" s="36">
        <f>Таблица1[[#This Row],[Денежный поток]]+Таблица1[[#This Row],[Купонный доход]]</f>
        <v>-638982.24657534237</v>
      </c>
      <c r="J231" s="31">
        <f>Таблица1[[#This Row],[Общий денежный поток]]/((1+$L$2)^((Таблица1[[#This Row],[Названия строк]]-$A$2)/365))</f>
        <v>-579498.26616934803</v>
      </c>
    </row>
    <row r="232" spans="1:10" x14ac:dyDescent="0.3">
      <c r="A232" s="23">
        <v>43753</v>
      </c>
      <c r="B232" s="24">
        <v>110</v>
      </c>
      <c r="C232" s="24">
        <f>VLOOKUP(Таблица1[[#This Row],[Названия строк]],Котировки[[&lt;DATE&gt;]:[&lt;VOL&gt;]],6,0)</f>
        <v>101.5</v>
      </c>
      <c r="D232" s="26">
        <f>INDEX(Купоны[Дата],MATCH($A232,Купоны[Дата],1))</f>
        <v>43749</v>
      </c>
      <c r="E232" s="24">
        <f>Купоны!$C$4*(A232-D232)/365*100</f>
        <v>8.7671232876712329E-2</v>
      </c>
      <c r="F232" s="27">
        <f>-B232*(C232+E232)*Купоны!$G$10/100</f>
        <v>-111746.43835616438</v>
      </c>
      <c r="G232" s="34">
        <f>SUM($B$2:B232)</f>
        <v>1400</v>
      </c>
      <c r="H232" s="31">
        <f>_xlfn.IFNA(VLOOKUP($A232,Купоны[[Дата]:[% от номинала]],3,0),0)*Купоны!$G$10/100*G232</f>
        <v>0</v>
      </c>
      <c r="I232" s="36">
        <f>Таблица1[[#This Row],[Денежный поток]]+Таблица1[[#This Row],[Купонный доход]]</f>
        <v>-111746.43835616438</v>
      </c>
      <c r="J232" s="31">
        <f>Таблица1[[#This Row],[Общий денежный поток]]/((1+$L$2)^((Таблица1[[#This Row],[Названия строк]]-$A$2)/365))</f>
        <v>-101330.22011819866</v>
      </c>
    </row>
    <row r="233" spans="1:10" x14ac:dyDescent="0.3">
      <c r="A233" s="23">
        <v>43754</v>
      </c>
      <c r="B233" s="24">
        <v>310</v>
      </c>
      <c r="C233" s="24">
        <f>VLOOKUP(Таблица1[[#This Row],[Названия строк]],Котировки[[&lt;DATE&gt;]:[&lt;VOL&gt;]],6,0)</f>
        <v>101.59</v>
      </c>
      <c r="D233" s="26">
        <f>INDEX(Купоны[Дата],MATCH($A233,Купоны[Дата],1))</f>
        <v>43749</v>
      </c>
      <c r="E233" s="24">
        <f>Купоны!$C$4*(A233-D233)/365*100</f>
        <v>0.10958904109589042</v>
      </c>
      <c r="F233" s="27">
        <f>-B233*(C233+E233)*Купоны!$G$10/100</f>
        <v>-315268.72602739726</v>
      </c>
      <c r="G233" s="34">
        <f>SUM($B$2:B233)</f>
        <v>1710</v>
      </c>
      <c r="H233" s="31">
        <f>_xlfn.IFNA(VLOOKUP($A233,Купоны[[Дата]:[% от номинала]],3,0),0)*Купоны!$G$10/100*G233</f>
        <v>0</v>
      </c>
      <c r="I233" s="36">
        <f>Таблица1[[#This Row],[Денежный поток]]+Таблица1[[#This Row],[Купонный доход]]</f>
        <v>-315268.72602739726</v>
      </c>
      <c r="J233" s="31">
        <f>Таблица1[[#This Row],[Общий денежный поток]]/((1+$L$2)^((Таблица1[[#This Row],[Названия строк]]-$A$2)/365))</f>
        <v>-285843.37766021228</v>
      </c>
    </row>
    <row r="234" spans="1:10" x14ac:dyDescent="0.3">
      <c r="A234" s="23">
        <v>43756</v>
      </c>
      <c r="B234" s="24">
        <v>60</v>
      </c>
      <c r="C234" s="24">
        <f>VLOOKUP(Таблица1[[#This Row],[Названия строк]],Котировки[[&lt;DATE&gt;]:[&lt;VOL&gt;]],6,0)</f>
        <v>101.74</v>
      </c>
      <c r="D234" s="26">
        <f>INDEX(Купоны[Дата],MATCH($A234,Купоны[Дата],1))</f>
        <v>43749</v>
      </c>
      <c r="E234" s="24">
        <f>Купоны!$C$4*(A234-D234)/365*100</f>
        <v>0.15342465753424658</v>
      </c>
      <c r="F234" s="27">
        <f>-B234*(C234+E234)*Купоны!$G$10/100</f>
        <v>-61136.05479452054</v>
      </c>
      <c r="G234" s="34">
        <f>SUM($B$2:B234)</f>
        <v>1770</v>
      </c>
      <c r="H234" s="31">
        <f>_xlfn.IFNA(VLOOKUP($A234,Купоны[[Дата]:[% от номинала]],3,0),0)*Купоны!$G$10/100*G234</f>
        <v>0</v>
      </c>
      <c r="I234" s="36">
        <f>Таблица1[[#This Row],[Денежный поток]]+Таблица1[[#This Row],[Купонный доход]]</f>
        <v>-61136.05479452054</v>
      </c>
      <c r="J234" s="31">
        <f>Таблица1[[#This Row],[Общий денежный поток]]/((1+$L$2)^((Таблица1[[#This Row],[Названия строк]]-$A$2)/365))</f>
        <v>-55415.154330821642</v>
      </c>
    </row>
    <row r="235" spans="1:10" x14ac:dyDescent="0.3">
      <c r="A235" s="23">
        <v>43762</v>
      </c>
      <c r="B235" s="24">
        <v>-1520</v>
      </c>
      <c r="C235" s="24">
        <f>VLOOKUP(Таблица1[[#This Row],[Названия строк]],Котировки[[&lt;DATE&gt;]:[&lt;VOL&gt;]],6,0)</f>
        <v>101.69</v>
      </c>
      <c r="D235" s="26">
        <f>INDEX(Купоны[Дата],MATCH($A235,Купоны[Дата],1))</f>
        <v>43749</v>
      </c>
      <c r="E235" s="24">
        <f>Купоны!$C$4*(A235-D235)/365*100</f>
        <v>0.28493150684931506</v>
      </c>
      <c r="F235" s="27">
        <f>-B235*(C235+E235)*Купоны!$G$10/100</f>
        <v>1550018.9589041097</v>
      </c>
      <c r="G235" s="34">
        <f>SUM($B$2:B235)</f>
        <v>250</v>
      </c>
      <c r="H235" s="31">
        <f>_xlfn.IFNA(VLOOKUP($A235,Купоны[[Дата]:[% от номинала]],3,0),0)*Купоны!$G$10/100*G235</f>
        <v>0</v>
      </c>
      <c r="I235" s="36">
        <f>Таблица1[[#This Row],[Денежный поток]]+Таблица1[[#This Row],[Купонный доход]]</f>
        <v>1550018.9589041097</v>
      </c>
      <c r="J235" s="31">
        <f>Таблица1[[#This Row],[Общий денежный поток]]/((1+$L$2)^((Таблица1[[#This Row],[Названия строк]]-$A$2)/365))</f>
        <v>1403847.1688165439</v>
      </c>
    </row>
    <row r="236" spans="1:10" x14ac:dyDescent="0.3">
      <c r="A236" s="23">
        <v>43770</v>
      </c>
      <c r="B236" s="24">
        <v>50</v>
      </c>
      <c r="C236" s="24">
        <f>VLOOKUP(Таблица1[[#This Row],[Названия строк]],Котировки[[&lt;DATE&gt;]:[&lt;VOL&gt;]],6,0)</f>
        <v>101.76</v>
      </c>
      <c r="D236" s="26">
        <f>INDEX(Купоны[Дата],MATCH($A236,Купоны[Дата],1))</f>
        <v>43749</v>
      </c>
      <c r="E236" s="24">
        <f>Купоны!$C$4*(A236-D236)/365*100</f>
        <v>0.46027397260273967</v>
      </c>
      <c r="F236" s="27">
        <f>-B236*(C236+E236)*Купоны!$G$10/100</f>
        <v>-51110.136986301368</v>
      </c>
      <c r="G236" s="34">
        <f>SUM($B$2:B236)</f>
        <v>300</v>
      </c>
      <c r="H236" s="31">
        <f>_xlfn.IFNA(VLOOKUP($A236,Купоны[[Дата]:[% от номинала]],3,0),0)*Купоны!$G$10/100*G236</f>
        <v>0</v>
      </c>
      <c r="I236" s="36">
        <f>Таблица1[[#This Row],[Денежный поток]]+Таблица1[[#This Row],[Купонный доход]]</f>
        <v>-51110.136986301368</v>
      </c>
      <c r="J236" s="31">
        <f>Таблица1[[#This Row],[Общий денежный поток]]/((1+$L$2)^((Таблица1[[#This Row],[Названия строк]]-$A$2)/365))</f>
        <v>-46240.81097940656</v>
      </c>
    </row>
    <row r="237" spans="1:10" x14ac:dyDescent="0.3">
      <c r="A237" s="23">
        <v>43775</v>
      </c>
      <c r="B237" s="24">
        <v>-130</v>
      </c>
      <c r="C237" s="24">
        <f>VLOOKUP(Таблица1[[#This Row],[Названия строк]],Котировки[[&lt;DATE&gt;]:[&lt;VOL&gt;]],6,0)</f>
        <v>101.68</v>
      </c>
      <c r="D237" s="26">
        <f>INDEX(Купоны[Дата],MATCH($A237,Купоны[Дата],1))</f>
        <v>43749</v>
      </c>
      <c r="E237" s="24">
        <f>Купоны!$C$4*(A237-D237)/365*100</f>
        <v>0.56986301369863013</v>
      </c>
      <c r="F237" s="27">
        <f>-B237*(C237+E237)*Купоны!$G$10/100</f>
        <v>132924.82191780824</v>
      </c>
      <c r="G237" s="34">
        <f>SUM($B$2:B237)</f>
        <v>170</v>
      </c>
      <c r="H237" s="31">
        <f>_xlfn.IFNA(VLOOKUP($A237,Купоны[[Дата]:[% от номинала]],3,0),0)*Купоны!$G$10/100*G237</f>
        <v>0</v>
      </c>
      <c r="I237" s="36">
        <f>Таблица1[[#This Row],[Денежный поток]]+Таблица1[[#This Row],[Купонный доход]]</f>
        <v>132924.82191780824</v>
      </c>
      <c r="J237" s="31">
        <f>Таблица1[[#This Row],[Общий денежный поток]]/((1+$L$2)^((Таблица1[[#This Row],[Названия строк]]-$A$2)/365))</f>
        <v>120180.55908368234</v>
      </c>
    </row>
    <row r="238" spans="1:10" x14ac:dyDescent="0.3">
      <c r="A238" s="23">
        <v>43776</v>
      </c>
      <c r="B238" s="24">
        <v>690</v>
      </c>
      <c r="C238" s="24">
        <f>VLOOKUP(Таблица1[[#This Row],[Названия строк]],Котировки[[&lt;DATE&gt;]:[&lt;VOL&gt;]],6,0)</f>
        <v>101.65</v>
      </c>
      <c r="D238" s="26">
        <f>INDEX(Купоны[Дата],MATCH($A238,Купоны[Дата],1))</f>
        <v>43749</v>
      </c>
      <c r="E238" s="24">
        <f>Купоны!$C$4*(A238-D238)/365*100</f>
        <v>0.59178082191780834</v>
      </c>
      <c r="F238" s="27">
        <f>-B238*(C238+E238)*Купоны!$G$10/100</f>
        <v>-705468.28767123295</v>
      </c>
      <c r="G238" s="34">
        <f>SUM($B$2:B238)</f>
        <v>860</v>
      </c>
      <c r="H238" s="31">
        <f>_xlfn.IFNA(VLOOKUP($A238,Купоны[[Дата]:[% от номинала]],3,0),0)*Купоны!$G$10/100*G238</f>
        <v>0</v>
      </c>
      <c r="I238" s="36">
        <f>Таблица1[[#This Row],[Денежный поток]]+Таблица1[[#This Row],[Купонный доход]]</f>
        <v>-705468.28767123295</v>
      </c>
      <c r="J238" s="31">
        <f>Таблица1[[#This Row],[Общий денежный поток]]/((1+$L$2)^((Таблица1[[#This Row],[Названия строк]]-$A$2)/365))</f>
        <v>-637745.75432635914</v>
      </c>
    </row>
    <row r="239" spans="1:10" x14ac:dyDescent="0.3">
      <c r="A239" s="23">
        <v>43777</v>
      </c>
      <c r="B239" s="24">
        <v>920</v>
      </c>
      <c r="C239" s="24">
        <f>VLOOKUP(Таблица1[[#This Row],[Названия строк]],Котировки[[&lt;DATE&gt;]:[&lt;VOL&gt;]],6,0)</f>
        <v>101.76</v>
      </c>
      <c r="D239" s="26">
        <f>INDEX(Купоны[Дата],MATCH($A239,Купоны[Дата],1))</f>
        <v>43749</v>
      </c>
      <c r="E239" s="24">
        <f>Купоны!$C$4*(A239-D239)/365*100</f>
        <v>0.61369863013698633</v>
      </c>
      <c r="F239" s="27">
        <f>-B239*(C239+E239)*Купоны!$G$10/100</f>
        <v>-941838.02739726042</v>
      </c>
      <c r="G239" s="34">
        <f>SUM($B$2:B239)</f>
        <v>1780</v>
      </c>
      <c r="H239" s="31">
        <f>_xlfn.IFNA(VLOOKUP($A239,Купоны[[Дата]:[% от номинала]],3,0),0)*Купоны!$G$10/100*G239</f>
        <v>0</v>
      </c>
      <c r="I239" s="36">
        <f>Таблица1[[#This Row],[Денежный поток]]+Таблица1[[#This Row],[Купонный доход]]</f>
        <v>-941838.02739726042</v>
      </c>
      <c r="J239" s="31">
        <f>Таблица1[[#This Row],[Общий денежный поток]]/((1+$L$2)^((Таблица1[[#This Row],[Названия строк]]-$A$2)/365))</f>
        <v>-851311.00684891734</v>
      </c>
    </row>
    <row r="240" spans="1:10" x14ac:dyDescent="0.3">
      <c r="A240" s="23">
        <v>43784</v>
      </c>
      <c r="B240" s="24">
        <v>-1550</v>
      </c>
      <c r="C240" s="24">
        <f>VLOOKUP(Таблица1[[#This Row],[Названия строк]],Котировки[[&lt;DATE&gt;]:[&lt;VOL&gt;]],6,0)</f>
        <v>101.75</v>
      </c>
      <c r="D240" s="26">
        <f>INDEX(Купоны[Дата],MATCH($A240,Купоны[Дата],1))</f>
        <v>43749</v>
      </c>
      <c r="E240" s="24">
        <f>Купоны!$C$4*(A240-D240)/365*100</f>
        <v>0.76712328767123295</v>
      </c>
      <c r="F240" s="27">
        <f>-B240*(C240+E240)*Купоны!$G$10/100</f>
        <v>1589015.4109589043</v>
      </c>
      <c r="G240" s="34">
        <f>SUM($B$2:B240)</f>
        <v>230</v>
      </c>
      <c r="H240" s="31">
        <f>_xlfn.IFNA(VLOOKUP($A240,Купоны[[Дата]:[% от номинала]],3,0),0)*Купоны!$G$10/100*G240</f>
        <v>0</v>
      </c>
      <c r="I240" s="36">
        <f>Таблица1[[#This Row],[Денежный поток]]+Таблица1[[#This Row],[Купонный доход]]</f>
        <v>1589015.4109589043</v>
      </c>
      <c r="J240" s="31">
        <f>Таблица1[[#This Row],[Общий денежный поток]]/((1+$L$2)^((Таблица1[[#This Row],[Названия строк]]-$A$2)/365))</f>
        <v>1434940.0798931115</v>
      </c>
    </row>
    <row r="241" spans="1:10" x14ac:dyDescent="0.3">
      <c r="A241" s="23">
        <v>43791</v>
      </c>
      <c r="B241" s="24">
        <v>610</v>
      </c>
      <c r="C241" s="24">
        <f>VLOOKUP(Таблица1[[#This Row],[Названия строк]],Котировки[[&lt;DATE&gt;]:[&lt;VOL&gt;]],6,0)</f>
        <v>101.61</v>
      </c>
      <c r="D241" s="26">
        <f>INDEX(Купоны[Дата],MATCH($A241,Купоны[Дата],1))</f>
        <v>43749</v>
      </c>
      <c r="E241" s="24">
        <f>Купоны!$C$4*(A241-D241)/365*100</f>
        <v>0.92054794520547933</v>
      </c>
      <c r="F241" s="27">
        <f>-B241*(C241+E241)*Купоны!$G$10/100</f>
        <v>-625436.34246575343</v>
      </c>
      <c r="G241" s="34">
        <f>SUM($B$2:B241)</f>
        <v>840</v>
      </c>
      <c r="H241" s="31">
        <f>_xlfn.IFNA(VLOOKUP($A241,Купоны[[Дата]:[% от номинала]],3,0),0)*Купоны!$G$10/100*G241</f>
        <v>0</v>
      </c>
      <c r="I241" s="36">
        <f>Таблица1[[#This Row],[Денежный поток]]+Таблица1[[#This Row],[Купонный доход]]</f>
        <v>-625436.34246575343</v>
      </c>
      <c r="J241" s="31">
        <f>Таблица1[[#This Row],[Общий денежный поток]]/((1+$L$2)^((Таблица1[[#This Row],[Названия строк]]-$A$2)/365))</f>
        <v>-564264.07412048988</v>
      </c>
    </row>
    <row r="242" spans="1:10" x14ac:dyDescent="0.3">
      <c r="A242" s="23">
        <v>43796</v>
      </c>
      <c r="B242" s="24">
        <v>370</v>
      </c>
      <c r="C242" s="24">
        <f>VLOOKUP(Таблица1[[#This Row],[Названия строк]],Котировки[[&lt;DATE&gt;]:[&lt;VOL&gt;]],6,0)</f>
        <v>101.76</v>
      </c>
      <c r="D242" s="26">
        <f>INDEX(Купоны[Дата],MATCH($A242,Купоны[Дата],1))</f>
        <v>43749</v>
      </c>
      <c r="E242" s="24">
        <f>Купоны!$C$4*(A242-D242)/365*100</f>
        <v>1.0301369863013701</v>
      </c>
      <c r="F242" s="27">
        <f>-B242*(C242+E242)*Купоны!$G$10/100</f>
        <v>-380323.50684931508</v>
      </c>
      <c r="G242" s="34">
        <f>SUM($B$2:B242)</f>
        <v>1210</v>
      </c>
      <c r="H242" s="31">
        <f>_xlfn.IFNA(VLOOKUP($A242,Купоны[[Дата]:[% от номинала]],3,0),0)*Купоны!$G$10/100*G242</f>
        <v>0</v>
      </c>
      <c r="I242" s="36">
        <f>Таблица1[[#This Row],[Денежный поток]]+Таблица1[[#This Row],[Купонный доход]]</f>
        <v>-380323.50684931508</v>
      </c>
      <c r="J242" s="31">
        <f>Таблица1[[#This Row],[Общий денежный поток]]/((1+$L$2)^((Таблица1[[#This Row],[Названия строк]]-$A$2)/365))</f>
        <v>-342895.82035841898</v>
      </c>
    </row>
    <row r="243" spans="1:10" x14ac:dyDescent="0.3">
      <c r="A243" s="23">
        <v>43803</v>
      </c>
      <c r="B243" s="24">
        <v>-160</v>
      </c>
      <c r="C243" s="24">
        <f>VLOOKUP(Таблица1[[#This Row],[Названия строк]],Котировки[[&lt;DATE&gt;]:[&lt;VOL&gt;]],6,0)</f>
        <v>101.63</v>
      </c>
      <c r="D243" s="26">
        <f>INDEX(Купоны[Дата],MATCH($A243,Купоны[Дата],1))</f>
        <v>43749</v>
      </c>
      <c r="E243" s="24">
        <f>Купоны!$C$4*(A243-D243)/365*100</f>
        <v>1.1835616438356167</v>
      </c>
      <c r="F243" s="27">
        <f>-B243*(C243+E243)*Купоны!$G$10/100</f>
        <v>164501.69863013696</v>
      </c>
      <c r="G243" s="34">
        <f>SUM($B$2:B243)</f>
        <v>1050</v>
      </c>
      <c r="H243" s="31">
        <f>_xlfn.IFNA(VLOOKUP($A243,Купоны[[Дата]:[% от номинала]],3,0),0)*Купоны!$G$10/100*G243</f>
        <v>0</v>
      </c>
      <c r="I243" s="36">
        <f>Таблица1[[#This Row],[Денежный поток]]+Таблица1[[#This Row],[Купонный доход]]</f>
        <v>164501.69863013696</v>
      </c>
      <c r="J243" s="31">
        <f>Таблица1[[#This Row],[Общий денежный поток]]/((1+$L$2)^((Таблица1[[#This Row],[Названия строк]]-$A$2)/365))</f>
        <v>148174.35287085403</v>
      </c>
    </row>
    <row r="244" spans="1:10" x14ac:dyDescent="0.3">
      <c r="A244" s="23">
        <v>43805</v>
      </c>
      <c r="B244" s="24">
        <v>-110</v>
      </c>
      <c r="C244" s="24">
        <f>VLOOKUP(Таблица1[[#This Row],[Названия строк]],Котировки[[&lt;DATE&gt;]:[&lt;VOL&gt;]],6,0)</f>
        <v>101.83</v>
      </c>
      <c r="D244" s="26">
        <f>INDEX(Купоны[Дата],MATCH($A244,Купоны[Дата],1))</f>
        <v>43749</v>
      </c>
      <c r="E244" s="24">
        <f>Купоны!$C$4*(A244-D244)/365*100</f>
        <v>1.2273972602739727</v>
      </c>
      <c r="F244" s="27">
        <f>-B244*(C244+E244)*Купоны!$G$10/100</f>
        <v>113363.13698630137</v>
      </c>
      <c r="G244" s="34">
        <f>SUM($B$2:B244)</f>
        <v>940</v>
      </c>
      <c r="H244" s="31">
        <f>_xlfn.IFNA(VLOOKUP($A244,Купоны[[Дата]:[% от номинала]],3,0),0)*Купоны!$G$10/100*G244</f>
        <v>0</v>
      </c>
      <c r="I244" s="36">
        <f>Таблица1[[#This Row],[Денежный поток]]+Таблица1[[#This Row],[Купонный доход]]</f>
        <v>113363.13698630137</v>
      </c>
      <c r="J244" s="31">
        <f>Таблица1[[#This Row],[Общий денежный поток]]/((1+$L$2)^((Таблица1[[#This Row],[Названия строк]]-$A$2)/365))</f>
        <v>102084.16994909041</v>
      </c>
    </row>
    <row r="245" spans="1:10" x14ac:dyDescent="0.3">
      <c r="A245" s="23">
        <v>43808</v>
      </c>
      <c r="B245" s="24">
        <v>-450</v>
      </c>
      <c r="C245" s="24">
        <f>VLOOKUP(Таблица1[[#This Row],[Названия строк]],Котировки[[&lt;DATE&gt;]:[&lt;VOL&gt;]],6,0)</f>
        <v>101.65</v>
      </c>
      <c r="D245" s="26">
        <f>INDEX(Купоны[Дата],MATCH($A245,Купоны[Дата],1))</f>
        <v>43749</v>
      </c>
      <c r="E245" s="24">
        <f>Купоны!$C$4*(A245-D245)/365*100</f>
        <v>1.2931506849315069</v>
      </c>
      <c r="F245" s="27">
        <f>-B245*(C245+E245)*Купоны!$G$10/100</f>
        <v>463244.17808219179</v>
      </c>
      <c r="G245" s="34">
        <f>SUM($B$2:B245)</f>
        <v>490</v>
      </c>
      <c r="H245" s="31">
        <f>_xlfn.IFNA(VLOOKUP($A245,Купоны[[Дата]:[% от номинала]],3,0),0)*Купоны!$G$10/100*G245</f>
        <v>0</v>
      </c>
      <c r="I245" s="36">
        <f>Таблица1[[#This Row],[Денежный поток]]+Таблица1[[#This Row],[Купонный доход]]</f>
        <v>463244.17808219179</v>
      </c>
      <c r="J245" s="31">
        <f>Таблица1[[#This Row],[Общий денежный поток]]/((1+$L$2)^((Таблица1[[#This Row],[Названия строк]]-$A$2)/365))</f>
        <v>416986.8486474072</v>
      </c>
    </row>
    <row r="246" spans="1:10" x14ac:dyDescent="0.3">
      <c r="A246" s="23">
        <v>43811</v>
      </c>
      <c r="B246" s="24">
        <v>510</v>
      </c>
      <c r="C246" s="24">
        <f>VLOOKUP(Таблица1[[#This Row],[Названия строк]],Котировки[[&lt;DATE&gt;]:[&lt;VOL&gt;]],6,0)</f>
        <v>102.07</v>
      </c>
      <c r="D246" s="26">
        <f>INDEX(Купоны[Дата],MATCH($A246,Купоны[Дата],1))</f>
        <v>43749</v>
      </c>
      <c r="E246" s="24">
        <f>Купоны!$C$4*(A246-D246)/365*100</f>
        <v>1.3589041095890411</v>
      </c>
      <c r="F246" s="27">
        <f>-B246*(C246+E246)*Купоны!$G$10/100</f>
        <v>-527487.41095890407</v>
      </c>
      <c r="G246" s="34">
        <f>SUM($B$2:B246)</f>
        <v>1000</v>
      </c>
      <c r="H246" s="31">
        <f>_xlfn.IFNA(VLOOKUP($A246,Купоны[[Дата]:[% от номинала]],3,0),0)*Купоны!$G$10/100*G246</f>
        <v>0</v>
      </c>
      <c r="I246" s="36">
        <f>Таблица1[[#This Row],[Денежный поток]]+Таблица1[[#This Row],[Купонный доход]]</f>
        <v>-527487.41095890407</v>
      </c>
      <c r="J246" s="31">
        <f>Таблица1[[#This Row],[Общий денежный поток]]/((1+$L$2)^((Таблица1[[#This Row],[Названия строк]]-$A$2)/365))</f>
        <v>-474624.69231708522</v>
      </c>
    </row>
    <row r="247" spans="1:10" x14ac:dyDescent="0.3">
      <c r="A247" s="23">
        <v>43816</v>
      </c>
      <c r="B247" s="24">
        <v>-70</v>
      </c>
      <c r="C247" s="24">
        <f>VLOOKUP(Таблица1[[#This Row],[Названия строк]],Котировки[[&lt;DATE&gt;]:[&lt;VOL&gt;]],6,0)</f>
        <v>101.88</v>
      </c>
      <c r="D247" s="26">
        <f>INDEX(Купоны[Дата],MATCH($A247,Купоны[Дата],1))</f>
        <v>43749</v>
      </c>
      <c r="E247" s="24">
        <f>Купоны!$C$4*(A247-D247)/365*100</f>
        <v>1.4684931506849317</v>
      </c>
      <c r="F247" s="27">
        <f>-B247*(C247+E247)*Купоны!$G$10/100</f>
        <v>72343.945205479453</v>
      </c>
      <c r="G247" s="34">
        <f>SUM($B$2:B247)</f>
        <v>930</v>
      </c>
      <c r="H247" s="31">
        <f>_xlfn.IFNA(VLOOKUP($A247,Купоны[[Дата]:[% от номинала]],3,0),0)*Купоны!$G$10/100*G247</f>
        <v>0</v>
      </c>
      <c r="I247" s="36">
        <f>Таблица1[[#This Row],[Денежный поток]]+Таблица1[[#This Row],[Купонный доход]]</f>
        <v>72343.945205479453</v>
      </c>
      <c r="J247" s="31">
        <f>Таблица1[[#This Row],[Общий денежный поток]]/((1+$L$2)^((Таблица1[[#This Row],[Названия строк]]-$A$2)/365))</f>
        <v>65050.427337727459</v>
      </c>
    </row>
    <row r="248" spans="1:10" x14ac:dyDescent="0.3">
      <c r="A248" s="23">
        <v>43817</v>
      </c>
      <c r="B248" s="24">
        <v>-760</v>
      </c>
      <c r="C248" s="24">
        <f>VLOOKUP(Таблица1[[#This Row],[Названия строк]],Котировки[[&lt;DATE&gt;]:[&lt;VOL&gt;]],6,0)</f>
        <v>102.01</v>
      </c>
      <c r="D248" s="26">
        <f>INDEX(Купоны[Дата],MATCH($A248,Купоны[Дата],1))</f>
        <v>43749</v>
      </c>
      <c r="E248" s="24">
        <f>Купоны!$C$4*(A248-D248)/365*100</f>
        <v>1.4904109589041097</v>
      </c>
      <c r="F248" s="27">
        <f>-B248*(C248+E248)*Купоны!$G$10/100</f>
        <v>786603.12328767125</v>
      </c>
      <c r="G248" s="34">
        <f>SUM($B$2:B248)</f>
        <v>170</v>
      </c>
      <c r="H248" s="31">
        <f>_xlfn.IFNA(VLOOKUP($A248,Купоны[[Дата]:[% от номинала]],3,0),0)*Купоны!$G$10/100*G248</f>
        <v>0</v>
      </c>
      <c r="I248" s="36">
        <f>Таблица1[[#This Row],[Денежный поток]]+Таблица1[[#This Row],[Купонный доход]]</f>
        <v>786603.12328767125</v>
      </c>
      <c r="J248" s="31">
        <f>Таблица1[[#This Row],[Общий денежный поток]]/((1+$L$2)^((Таблица1[[#This Row],[Названия строк]]-$A$2)/365))</f>
        <v>707205.4170947182</v>
      </c>
    </row>
    <row r="249" spans="1:10" x14ac:dyDescent="0.3">
      <c r="A249" s="23">
        <v>43818</v>
      </c>
      <c r="B249" s="24">
        <v>330</v>
      </c>
      <c r="C249" s="24">
        <f>VLOOKUP(Таблица1[[#This Row],[Названия строк]],Котировки[[&lt;DATE&gt;]:[&lt;VOL&gt;]],6,0)</f>
        <v>102.03</v>
      </c>
      <c r="D249" s="26">
        <f>INDEX(Купоны[Дата],MATCH($A249,Купоны[Дата],1))</f>
        <v>43749</v>
      </c>
      <c r="E249" s="24">
        <f>Купоны!$C$4*(A249-D249)/365*100</f>
        <v>1.5123287671232877</v>
      </c>
      <c r="F249" s="27">
        <f>-B249*(C249+E249)*Купоны!$G$10/100</f>
        <v>-341689.68493150687</v>
      </c>
      <c r="G249" s="34">
        <f>SUM($B$2:B249)</f>
        <v>500</v>
      </c>
      <c r="H249" s="31">
        <f>_xlfn.IFNA(VLOOKUP($A249,Купоны[[Дата]:[% от номинала]],3,0),0)*Купоны!$G$10/100*G249</f>
        <v>0</v>
      </c>
      <c r="I249" s="36">
        <f>Таблица1[[#This Row],[Денежный поток]]+Таблица1[[#This Row],[Купонный доход]]</f>
        <v>-341689.68493150687</v>
      </c>
      <c r="J249" s="31">
        <f>Таблица1[[#This Row],[Общий денежный поток]]/((1+$L$2)^((Таблица1[[#This Row],[Названия строк]]-$A$2)/365))</f>
        <v>-307159.3413351535</v>
      </c>
    </row>
    <row r="250" spans="1:10" x14ac:dyDescent="0.3">
      <c r="A250" s="23">
        <v>43819</v>
      </c>
      <c r="B250" s="24">
        <v>540</v>
      </c>
      <c r="C250" s="24">
        <f>VLOOKUP(Таблица1[[#This Row],[Названия строк]],Котировки[[&lt;DATE&gt;]:[&lt;VOL&gt;]],6,0)</f>
        <v>102</v>
      </c>
      <c r="D250" s="26">
        <f>INDEX(Купоны[Дата],MATCH($A250,Купоны[Дата],1))</f>
        <v>43749</v>
      </c>
      <c r="E250" s="24">
        <f>Купоны!$C$4*(A250-D250)/365*100</f>
        <v>1.5342465753424659</v>
      </c>
      <c r="F250" s="27">
        <f>-B250*(C250+E250)*Купоны!$G$10/100</f>
        <v>-559084.93150684936</v>
      </c>
      <c r="G250" s="34">
        <f>SUM($B$2:B250)</f>
        <v>1040</v>
      </c>
      <c r="H250" s="31">
        <f>_xlfn.IFNA(VLOOKUP($A250,Купоны[[Дата]:[% от номинала]],3,0),0)*Купоны!$G$10/100*G250</f>
        <v>0</v>
      </c>
      <c r="I250" s="36">
        <f>Таблица1[[#This Row],[Денежный поток]]+Таблица1[[#This Row],[Купонный доход]]</f>
        <v>-559084.93150684936</v>
      </c>
      <c r="J250" s="31">
        <f>Таблица1[[#This Row],[Общий денежный поток]]/((1+$L$2)^((Таблица1[[#This Row],[Названия строк]]-$A$2)/365))</f>
        <v>-502517.96652456408</v>
      </c>
    </row>
    <row r="251" spans="1:10" x14ac:dyDescent="0.3">
      <c r="A251" s="23">
        <v>43823</v>
      </c>
      <c r="B251" s="24">
        <v>-80</v>
      </c>
      <c r="C251" s="24">
        <f>VLOOKUP(Таблица1[[#This Row],[Названия строк]],Котировки[[&lt;DATE&gt;]:[&lt;VOL&gt;]],6,0)</f>
        <v>101.9</v>
      </c>
      <c r="D251" s="26">
        <f>INDEX(Купоны[Дата],MATCH($A251,Купоны[Дата],1))</f>
        <v>43749</v>
      </c>
      <c r="E251" s="24">
        <f>Купоны!$C$4*(A251-D251)/365*100</f>
        <v>1.6219178082191781</v>
      </c>
      <c r="F251" s="27">
        <f>-B251*(C251+E251)*Купоны!$G$10/100</f>
        <v>82817.534246575335</v>
      </c>
      <c r="G251" s="34">
        <f>SUM($B$2:B251)</f>
        <v>960</v>
      </c>
      <c r="H251" s="31">
        <f>_xlfn.IFNA(VLOOKUP($A251,Купоны[[Дата]:[% от номинала]],3,0),0)*Купоны!$G$10/100*G251</f>
        <v>0</v>
      </c>
      <c r="I251" s="36">
        <f>Таблица1[[#This Row],[Денежный поток]]+Таблица1[[#This Row],[Купонный доход]]</f>
        <v>82817.534246575335</v>
      </c>
      <c r="J251" s="31">
        <f>Таблица1[[#This Row],[Общий денежный поток]]/((1+$L$2)^((Таблица1[[#This Row],[Названия строк]]-$A$2)/365))</f>
        <v>74398.450554722338</v>
      </c>
    </row>
    <row r="252" spans="1:10" x14ac:dyDescent="0.3">
      <c r="A252" s="23">
        <v>43829</v>
      </c>
      <c r="B252" s="24">
        <v>-540</v>
      </c>
      <c r="C252" s="24">
        <f>VLOOKUP(Таблица1[[#This Row],[Названия строк]],Котировки[[&lt;DATE&gt;]:[&lt;VOL&gt;]],6,0)</f>
        <v>102.1</v>
      </c>
      <c r="D252" s="26">
        <f>INDEX(Купоны[Дата],MATCH($A252,Купоны[Дата],1))</f>
        <v>43749</v>
      </c>
      <c r="E252" s="24">
        <f>Купоны!$C$4*(A252-D252)/365*100</f>
        <v>1.7534246575342467</v>
      </c>
      <c r="F252" s="27">
        <f>-B252*(C252+E252)*Купоны!$G$10/100</f>
        <v>560808.49315068498</v>
      </c>
      <c r="G252" s="34">
        <f>SUM($B$2:B252)</f>
        <v>420</v>
      </c>
      <c r="H252" s="31">
        <f>_xlfn.IFNA(VLOOKUP($A252,Купоны[[Дата]:[% от номинала]],3,0),0)*Купоны!$G$10/100*G252</f>
        <v>0</v>
      </c>
      <c r="I252" s="36">
        <f>Таблица1[[#This Row],[Денежный поток]]+Таблица1[[#This Row],[Купонный доход]]</f>
        <v>560808.49315068498</v>
      </c>
      <c r="J252" s="31">
        <f>Таблица1[[#This Row],[Общий денежный поток]]/((1+$L$2)^((Таблица1[[#This Row],[Названия строк]]-$A$2)/365))</f>
        <v>503393.79715533135</v>
      </c>
    </row>
    <row r="253" spans="1:10" x14ac:dyDescent="0.3">
      <c r="A253" s="23">
        <v>43833</v>
      </c>
      <c r="B253" s="24">
        <v>130</v>
      </c>
      <c r="C253" s="24">
        <f>VLOOKUP(Таблица1[[#This Row],[Названия строк]],Котировки[[&lt;DATE&gt;]:[&lt;VOL&gt;]],6,0)</f>
        <v>102.09</v>
      </c>
      <c r="D253" s="26">
        <f>INDEX(Купоны[Дата],MATCH($A253,Купоны[Дата],1))</f>
        <v>43749</v>
      </c>
      <c r="E253" s="24">
        <f>Купоны!$C$4*(A253-D253)/365*100</f>
        <v>1.8410958904109587</v>
      </c>
      <c r="F253" s="27">
        <f>-B253*(C253+E253)*Купоны!$G$10/100</f>
        <v>-135110.42465753425</v>
      </c>
      <c r="G253" s="34">
        <f>SUM($B$2:B253)</f>
        <v>550</v>
      </c>
      <c r="H253" s="31">
        <f>_xlfn.IFNA(VLOOKUP($A253,Купоны[[Дата]:[% от номинала]],3,0),0)*Купоны!$G$10/100*G253</f>
        <v>0</v>
      </c>
      <c r="I253" s="36">
        <f>Таблица1[[#This Row],[Денежный поток]]+Таблица1[[#This Row],[Купонный доход]]</f>
        <v>-135110.42465753425</v>
      </c>
      <c r="J253" s="31">
        <f>Таблица1[[#This Row],[Общий денежный поток]]/((1+$L$2)^((Таблица1[[#This Row],[Названия строк]]-$A$2)/365))</f>
        <v>-121213.2023763475</v>
      </c>
    </row>
    <row r="254" spans="1:10" x14ac:dyDescent="0.3">
      <c r="A254" s="23">
        <v>43836</v>
      </c>
      <c r="B254" s="24">
        <v>120</v>
      </c>
      <c r="C254" s="24">
        <f>VLOOKUP(Таблица1[[#This Row],[Названия строк]],Котировки[[&lt;DATE&gt;]:[&lt;VOL&gt;]],6,0)</f>
        <v>102.22</v>
      </c>
      <c r="D254" s="26">
        <f>INDEX(Купоны[Дата],MATCH($A254,Купоны[Дата],1))</f>
        <v>43749</v>
      </c>
      <c r="E254" s="24">
        <f>Купоны!$C$4*(A254-D254)/365*100</f>
        <v>1.9068493150684933</v>
      </c>
      <c r="F254" s="27">
        <f>-B254*(C254+E254)*Купоны!$G$10/100</f>
        <v>-124952.2191780822</v>
      </c>
      <c r="G254" s="34">
        <f>SUM($B$2:B254)</f>
        <v>670</v>
      </c>
      <c r="H254" s="31">
        <f>_xlfn.IFNA(VLOOKUP($A254,Купоны[[Дата]:[% от номинала]],3,0),0)*Купоны!$G$10/100*G254</f>
        <v>0</v>
      </c>
      <c r="I254" s="36">
        <f>Таблица1[[#This Row],[Денежный поток]]+Таблица1[[#This Row],[Купонный доход]]</f>
        <v>-124952.2191780822</v>
      </c>
      <c r="J254" s="31">
        <f>Таблица1[[#This Row],[Общий денежный поток]]/((1+$L$2)^((Таблица1[[#This Row],[Названия строк]]-$A$2)/365))</f>
        <v>-112054.90745380703</v>
      </c>
    </row>
    <row r="255" spans="1:10" x14ac:dyDescent="0.3">
      <c r="A255" s="23">
        <v>43840</v>
      </c>
      <c r="B255" s="24">
        <v>-130</v>
      </c>
      <c r="C255" s="24">
        <f>VLOOKUP(Таблица1[[#This Row],[Названия строк]],Котировки[[&lt;DATE&gt;]:[&lt;VOL&gt;]],6,0)</f>
        <v>101.93</v>
      </c>
      <c r="D255" s="26">
        <f>INDEX(Купоны[Дата],MATCH($A255,Купоны[Дата],1))</f>
        <v>43749</v>
      </c>
      <c r="E255" s="24">
        <f>Купоны!$C$4*(A255-D255)/365*100</f>
        <v>1.9945205479452055</v>
      </c>
      <c r="F255" s="27">
        <f>-B255*(C255+E255)*Купоны!$G$10/100</f>
        <v>135101.87671232878</v>
      </c>
      <c r="G255" s="34">
        <f>SUM($B$2:B255)</f>
        <v>540</v>
      </c>
      <c r="H255" s="31">
        <f>_xlfn.IFNA(VLOOKUP($A255,Купоны[[Дата]:[% от номинала]],3,0),0)*Купоны!$G$10/100*G255</f>
        <v>0</v>
      </c>
      <c r="I255" s="36">
        <f>Таблица1[[#This Row],[Денежный поток]]+Таблица1[[#This Row],[Купонный доход]]</f>
        <v>135101.87671232878</v>
      </c>
      <c r="J255" s="31">
        <f>Таблица1[[#This Row],[Общий денежный поток]]/((1+$L$2)^((Таблица1[[#This Row],[Названия строк]]-$A$2)/365))</f>
        <v>121092.17446790492</v>
      </c>
    </row>
    <row r="256" spans="1:10" x14ac:dyDescent="0.3">
      <c r="A256" s="23">
        <v>43846</v>
      </c>
      <c r="B256" s="24">
        <v>160</v>
      </c>
      <c r="C256" s="24">
        <f>VLOOKUP(Таблица1[[#This Row],[Названия строк]],Котировки[[&lt;DATE&gt;]:[&lt;VOL&gt;]],6,0)</f>
        <v>101.72</v>
      </c>
      <c r="D256" s="26">
        <f>INDEX(Купоны[Дата],MATCH($A256,Купоны[Дата],1))</f>
        <v>43749</v>
      </c>
      <c r="E256" s="24">
        <f>Купоны!$C$4*(A256-D256)/365*100</f>
        <v>2.1260273972602737</v>
      </c>
      <c r="F256" s="27">
        <f>-B256*(C256+E256)*Купоны!$G$10/100</f>
        <v>-166153.64383561641</v>
      </c>
      <c r="G256" s="34">
        <f>SUM($B$2:B256)</f>
        <v>700</v>
      </c>
      <c r="H256" s="31">
        <f>_xlfn.IFNA(VLOOKUP($A256,Купоны[[Дата]:[% от номинала]],3,0),0)*Купоны!$G$10/100*G256</f>
        <v>0</v>
      </c>
      <c r="I256" s="36">
        <f>Таблица1[[#This Row],[Денежный поток]]+Таблица1[[#This Row],[Купонный доход]]</f>
        <v>-166153.64383561641</v>
      </c>
      <c r="J256" s="31">
        <f>Таблица1[[#This Row],[Общий денежный поток]]/((1+$L$2)^((Таблица1[[#This Row],[Названия строк]]-$A$2)/365))</f>
        <v>-148804.56301746034</v>
      </c>
    </row>
    <row r="257" spans="1:10" x14ac:dyDescent="0.3">
      <c r="A257" s="23">
        <v>43852</v>
      </c>
      <c r="B257" s="24">
        <v>-150</v>
      </c>
      <c r="C257" s="24">
        <f>VLOOKUP(Таблица1[[#This Row],[Названия строк]],Котировки[[&lt;DATE&gt;]:[&lt;VOL&gt;]],6,0)</f>
        <v>101.75</v>
      </c>
      <c r="D257" s="26">
        <f>INDEX(Купоны[Дата],MATCH($A257,Купоны[Дата],1))</f>
        <v>43749</v>
      </c>
      <c r="E257" s="24">
        <f>Купоны!$C$4*(A257-D257)/365*100</f>
        <v>2.2575342465753425</v>
      </c>
      <c r="F257" s="27">
        <f>-B257*(C257+E257)*Купоны!$G$10/100</f>
        <v>156011.30136986301</v>
      </c>
      <c r="G257" s="34">
        <f>SUM($B$2:B257)</f>
        <v>550</v>
      </c>
      <c r="H257" s="31">
        <f>_xlfn.IFNA(VLOOKUP($A257,Купоны[[Дата]:[% от номинала]],3,0),0)*Купоны!$G$10/100*G257</f>
        <v>0</v>
      </c>
      <c r="I257" s="36">
        <f>Таблица1[[#This Row],[Денежный поток]]+Таблица1[[#This Row],[Купонный доход]]</f>
        <v>156011.30136986301</v>
      </c>
      <c r="J257" s="31">
        <f>Таблица1[[#This Row],[Общий денежный поток]]/((1+$L$2)^((Таблица1[[#This Row],[Названия строк]]-$A$2)/365))</f>
        <v>139609.22656504353</v>
      </c>
    </row>
    <row r="258" spans="1:10" x14ac:dyDescent="0.3">
      <c r="A258" s="23">
        <v>43853</v>
      </c>
      <c r="B258" s="24">
        <v>290</v>
      </c>
      <c r="C258" s="24">
        <f>VLOOKUP(Таблица1[[#This Row],[Названия строк]],Котировки[[&lt;DATE&gt;]:[&lt;VOL&gt;]],6,0)</f>
        <v>101.78</v>
      </c>
      <c r="D258" s="26">
        <f>INDEX(Купоны[Дата],MATCH($A258,Купоны[Дата],1))</f>
        <v>43749</v>
      </c>
      <c r="E258" s="24">
        <f>Купоны!$C$4*(A258-D258)/365*100</f>
        <v>2.2794520547945205</v>
      </c>
      <c r="F258" s="27">
        <f>-B258*(C258+E258)*Купоны!$G$10/100</f>
        <v>-301772.41095890407</v>
      </c>
      <c r="G258" s="34">
        <f>SUM($B$2:B258)</f>
        <v>840</v>
      </c>
      <c r="H258" s="31">
        <f>_xlfn.IFNA(VLOOKUP($A258,Купоны[[Дата]:[% от номинала]],3,0),0)*Купоны!$G$10/100*G258</f>
        <v>0</v>
      </c>
      <c r="I258" s="36">
        <f>Таблица1[[#This Row],[Денежный поток]]+Таблица1[[#This Row],[Купонный доход]]</f>
        <v>-301772.41095890407</v>
      </c>
      <c r="J258" s="31">
        <f>Таблица1[[#This Row],[Общий денежный поток]]/((1+$L$2)^((Таблица1[[#This Row],[Названия строк]]-$A$2)/365))</f>
        <v>-270009.80879393773</v>
      </c>
    </row>
    <row r="259" spans="1:10" x14ac:dyDescent="0.3">
      <c r="A259" s="23">
        <v>43854</v>
      </c>
      <c r="B259" s="24">
        <v>220</v>
      </c>
      <c r="C259" s="24">
        <f>VLOOKUP(Таблица1[[#This Row],[Названия строк]],Котировки[[&lt;DATE&gt;]:[&lt;VOL&gt;]],6,0)</f>
        <v>101.8</v>
      </c>
      <c r="D259" s="26">
        <f>INDEX(Купоны[Дата],MATCH($A259,Купоны[Дата],1))</f>
        <v>43749</v>
      </c>
      <c r="E259" s="24">
        <f>Купоны!$C$4*(A259-D259)/365*100</f>
        <v>2.3013698630136985</v>
      </c>
      <c r="F259" s="27">
        <f>-B259*(C259+E259)*Купоны!$G$10/100</f>
        <v>-229023.01369863015</v>
      </c>
      <c r="G259" s="34">
        <f>SUM($B$2:B259)</f>
        <v>1060</v>
      </c>
      <c r="H259" s="31">
        <f>_xlfn.IFNA(VLOOKUP($A259,Купоны[[Дата]:[% от номинала]],3,0),0)*Купоны!$G$10/100*G259</f>
        <v>0</v>
      </c>
      <c r="I259" s="36">
        <f>Таблица1[[#This Row],[Денежный поток]]+Таблица1[[#This Row],[Купонный доход]]</f>
        <v>-229023.01369863015</v>
      </c>
      <c r="J259" s="31">
        <f>Таблица1[[#This Row],[Общий денежный поток]]/((1+$L$2)^((Таблица1[[#This Row],[Названия строк]]-$A$2)/365))</f>
        <v>-204890.15030609604</v>
      </c>
    </row>
    <row r="260" spans="1:10" x14ac:dyDescent="0.3">
      <c r="A260" s="23">
        <v>43858</v>
      </c>
      <c r="B260" s="24">
        <v>-560</v>
      </c>
      <c r="C260" s="24">
        <f>VLOOKUP(Таблица1[[#This Row],[Названия строк]],Котировки[[&lt;DATE&gt;]:[&lt;VOL&gt;]],6,0)</f>
        <v>101.69</v>
      </c>
      <c r="D260" s="26">
        <f>INDEX(Купоны[Дата],MATCH($A260,Купоны[Дата],1))</f>
        <v>43749</v>
      </c>
      <c r="E260" s="24">
        <f>Купоны!$C$4*(A260-D260)/365*100</f>
        <v>2.3890410958904109</v>
      </c>
      <c r="F260" s="27">
        <f>-B260*(C260+E260)*Купоны!$G$10/100</f>
        <v>582842.63013698626</v>
      </c>
      <c r="G260" s="34">
        <f>SUM($B$2:B260)</f>
        <v>500</v>
      </c>
      <c r="H260" s="31">
        <f>_xlfn.IFNA(VLOOKUP($A260,Купоны[[Дата]:[% от номинала]],3,0),0)*Купоны!$G$10/100*G260</f>
        <v>0</v>
      </c>
      <c r="I260" s="36">
        <f>Таблица1[[#This Row],[Денежный поток]]+Таблица1[[#This Row],[Купонный доход]]</f>
        <v>582842.63013698626</v>
      </c>
      <c r="J260" s="31">
        <f>Таблица1[[#This Row],[Общий денежный поток]]/((1+$L$2)^((Таблица1[[#This Row],[Названия строк]]-$A$2)/365))</f>
        <v>521147.97387162084</v>
      </c>
    </row>
    <row r="261" spans="1:10" x14ac:dyDescent="0.3">
      <c r="A261" s="23">
        <v>43860</v>
      </c>
      <c r="B261" s="24">
        <v>-200</v>
      </c>
      <c r="C261" s="24">
        <f>VLOOKUP(Таблица1[[#This Row],[Названия строк]],Котировки[[&lt;DATE&gt;]:[&lt;VOL&gt;]],6,0)</f>
        <v>102.01</v>
      </c>
      <c r="D261" s="26">
        <f>INDEX(Купоны[Дата],MATCH($A261,Купоны[Дата],1))</f>
        <v>43749</v>
      </c>
      <c r="E261" s="24">
        <f>Купоны!$C$4*(A261-D261)/365*100</f>
        <v>2.4328767123287673</v>
      </c>
      <c r="F261" s="27">
        <f>-B261*(C261+E261)*Купоны!$G$10/100</f>
        <v>208885.75342465751</v>
      </c>
      <c r="G261" s="34">
        <f>SUM($B$2:B261)</f>
        <v>300</v>
      </c>
      <c r="H261" s="31">
        <f>_xlfn.IFNA(VLOOKUP($A261,Купоны[[Дата]:[% от номинала]],3,0),0)*Купоны!$G$10/100*G261</f>
        <v>0</v>
      </c>
      <c r="I261" s="36">
        <f>Таблица1[[#This Row],[Денежный поток]]+Таблица1[[#This Row],[Купонный доход]]</f>
        <v>208885.75342465751</v>
      </c>
      <c r="J261" s="31">
        <f>Таблица1[[#This Row],[Общий денежный поток]]/((1+$L$2)^((Таблица1[[#This Row],[Названия строк]]-$A$2)/365))</f>
        <v>186724.99629958061</v>
      </c>
    </row>
    <row r="262" spans="1:10" x14ac:dyDescent="0.3">
      <c r="A262" s="23">
        <v>43861</v>
      </c>
      <c r="B262" s="24">
        <v>160</v>
      </c>
      <c r="C262" s="24">
        <f>VLOOKUP(Таблица1[[#This Row],[Названия строк]],Котировки[[&lt;DATE&gt;]:[&lt;VOL&gt;]],6,0)</f>
        <v>101.85</v>
      </c>
      <c r="D262" s="26">
        <f>INDEX(Купоны[Дата],MATCH($A262,Купоны[Дата],1))</f>
        <v>43749</v>
      </c>
      <c r="E262" s="24">
        <f>Купоны!$C$4*(A262-D262)/365*100</f>
        <v>2.4547945205479453</v>
      </c>
      <c r="F262" s="27">
        <f>-B262*(C262+E262)*Купоны!$G$10/100</f>
        <v>-166887.67123287672</v>
      </c>
      <c r="G262" s="34">
        <f>SUM($B$2:B262)</f>
        <v>460</v>
      </c>
      <c r="H262" s="31">
        <f>_xlfn.IFNA(VLOOKUP($A262,Купоны[[Дата]:[% от номинала]],3,0),0)*Купоны!$G$10/100*G262</f>
        <v>0</v>
      </c>
      <c r="I262" s="36">
        <f>Таблица1[[#This Row],[Денежный поток]]+Таблица1[[#This Row],[Купонный доход]]</f>
        <v>-166887.67123287672</v>
      </c>
      <c r="J262" s="31">
        <f>Таблица1[[#This Row],[Общий денежный поток]]/((1+$L$2)^((Таблица1[[#This Row],[Названия строк]]-$A$2)/365))</f>
        <v>-149162.56408419917</v>
      </c>
    </row>
    <row r="263" spans="1:10" x14ac:dyDescent="0.3">
      <c r="A263" s="23">
        <v>43864</v>
      </c>
      <c r="B263" s="24">
        <v>720</v>
      </c>
      <c r="C263" s="24">
        <f>VLOOKUP(Таблица1[[#This Row],[Названия строк]],Котировки[[&lt;DATE&gt;]:[&lt;VOL&gt;]],6,0)</f>
        <v>101.92</v>
      </c>
      <c r="D263" s="26">
        <f>INDEX(Купоны[Дата],MATCH($A263,Купоны[Дата],1))</f>
        <v>43749</v>
      </c>
      <c r="E263" s="24">
        <f>Купоны!$C$4*(A263-D263)/365*100</f>
        <v>2.5205479452054798</v>
      </c>
      <c r="F263" s="27">
        <f>-B263*(C263+E263)*Купоны!$G$10/100</f>
        <v>-751971.94520547939</v>
      </c>
      <c r="G263" s="34">
        <f>SUM($B$2:B263)</f>
        <v>1180</v>
      </c>
      <c r="H263" s="31">
        <f>_xlfn.IFNA(VLOOKUP($A263,Купоны[[Дата]:[% от номинала]],3,0),0)*Купоны!$G$10/100*G263</f>
        <v>0</v>
      </c>
      <c r="I263" s="36">
        <f>Таблица1[[#This Row],[Денежный поток]]+Таблица1[[#This Row],[Купонный доход]]</f>
        <v>-751971.94520547939</v>
      </c>
      <c r="J263" s="31">
        <f>Таблица1[[#This Row],[Общий денежный поток]]/((1+$L$2)^((Таблица1[[#This Row],[Названия строк]]-$A$2)/365))</f>
        <v>-671835.68070846307</v>
      </c>
    </row>
    <row r="264" spans="1:10" x14ac:dyDescent="0.3">
      <c r="A264" s="23">
        <v>43865</v>
      </c>
      <c r="B264" s="24">
        <v>-610</v>
      </c>
      <c r="C264" s="24">
        <f>VLOOKUP(Таблица1[[#This Row],[Названия строк]],Котировки[[&lt;DATE&gt;]:[&lt;VOL&gt;]],6,0)</f>
        <v>101.84</v>
      </c>
      <c r="D264" s="26">
        <f>INDEX(Купоны[Дата],MATCH($A264,Купоны[Дата],1))</f>
        <v>43749</v>
      </c>
      <c r="E264" s="24">
        <f>Купоны!$C$4*(A264-D264)/365*100</f>
        <v>2.5424657534246573</v>
      </c>
      <c r="F264" s="27">
        <f>-B264*(C264+E264)*Купоны!$G$10/100</f>
        <v>636733.04109589045</v>
      </c>
      <c r="G264" s="34">
        <f>SUM($B$2:B264)</f>
        <v>570</v>
      </c>
      <c r="H264" s="31">
        <f>_xlfn.IFNA(VLOOKUP($A264,Купоны[[Дата]:[% от номинала]],3,0),0)*Купоны!$G$10/100*G264</f>
        <v>0</v>
      </c>
      <c r="I264" s="36">
        <f>Таблица1[[#This Row],[Денежный поток]]+Таблица1[[#This Row],[Купонный доход]]</f>
        <v>636733.04109589045</v>
      </c>
      <c r="J264" s="31">
        <f>Таблица1[[#This Row],[Общий денежный поток]]/((1+$L$2)^((Таблица1[[#This Row],[Названия строк]]-$A$2)/365))</f>
        <v>568801.53651181865</v>
      </c>
    </row>
    <row r="265" spans="1:10" x14ac:dyDescent="0.3">
      <c r="A265" s="23">
        <v>43866</v>
      </c>
      <c r="B265" s="24">
        <v>320</v>
      </c>
      <c r="C265" s="24">
        <f>VLOOKUP(Таблица1[[#This Row],[Названия строк]],Котировки[[&lt;DATE&gt;]:[&lt;VOL&gt;]],6,0)</f>
        <v>101.79</v>
      </c>
      <c r="D265" s="26">
        <f>INDEX(Купоны[Дата],MATCH($A265,Купоны[Дата],1))</f>
        <v>43749</v>
      </c>
      <c r="E265" s="24">
        <f>Купоны!$C$4*(A265-D265)/365*100</f>
        <v>2.5643835616438357</v>
      </c>
      <c r="F265" s="27">
        <f>-B265*(C265+E265)*Купоны!$G$10/100</f>
        <v>-333934.0273972603</v>
      </c>
      <c r="G265" s="34">
        <f>SUM($B$2:B265)</f>
        <v>890</v>
      </c>
      <c r="H265" s="31">
        <f>_xlfn.IFNA(VLOOKUP($A265,Купоны[[Дата]:[% от номинала]],3,0),0)*Купоны!$G$10/100*G265</f>
        <v>0</v>
      </c>
      <c r="I265" s="36">
        <f>Таблица1[[#This Row],[Денежный поток]]+Таблица1[[#This Row],[Купонный доход]]</f>
        <v>-333934.0273972603</v>
      </c>
      <c r="J265" s="31">
        <f>Таблица1[[#This Row],[Общий денежный поток]]/((1+$L$2)^((Таблица1[[#This Row],[Названия строк]]-$A$2)/365))</f>
        <v>-298267.54294906877</v>
      </c>
    </row>
    <row r="266" spans="1:10" x14ac:dyDescent="0.3">
      <c r="A266" s="23">
        <v>43868</v>
      </c>
      <c r="B266" s="24">
        <v>-520</v>
      </c>
      <c r="C266" s="24">
        <f>VLOOKUP(Таблица1[[#This Row],[Названия строк]],Котировки[[&lt;DATE&gt;]:[&lt;VOL&gt;]],6,0)</f>
        <v>101.78</v>
      </c>
      <c r="D266" s="26">
        <f>INDEX(Купоны[Дата],MATCH($A266,Купоны[Дата],1))</f>
        <v>43749</v>
      </c>
      <c r="E266" s="24">
        <f>Купоны!$C$4*(A266-D266)/365*100</f>
        <v>2.6082191780821917</v>
      </c>
      <c r="F266" s="27">
        <f>-B266*(C266+E266)*Купоны!$G$10/100</f>
        <v>542818.73972602736</v>
      </c>
      <c r="G266" s="34">
        <f>SUM($B$2:B266)</f>
        <v>370</v>
      </c>
      <c r="H266" s="31">
        <f>_xlfn.IFNA(VLOOKUP($A266,Купоны[[Дата]:[% от номинала]],3,0),0)*Купоны!$G$10/100*G266</f>
        <v>0</v>
      </c>
      <c r="I266" s="36">
        <f>Таблица1[[#This Row],[Денежный поток]]+Таблица1[[#This Row],[Купонный доход]]</f>
        <v>542818.73972602736</v>
      </c>
      <c r="J266" s="31">
        <f>Таблица1[[#This Row],[Общий денежный поток]]/((1+$L$2)^((Таблица1[[#This Row],[Названия строк]]-$A$2)/365))</f>
        <v>484712.30837888841</v>
      </c>
    </row>
    <row r="267" spans="1:10" x14ac:dyDescent="0.3">
      <c r="A267" s="23">
        <v>43871</v>
      </c>
      <c r="B267" s="24">
        <v>-290</v>
      </c>
      <c r="C267" s="24">
        <f>VLOOKUP(Таблица1[[#This Row],[Названия строк]],Котировки[[&lt;DATE&gt;]:[&lt;VOL&gt;]],6,0)</f>
        <v>101.93</v>
      </c>
      <c r="D267" s="26">
        <f>INDEX(Купоны[Дата],MATCH($A267,Купоны[Дата],1))</f>
        <v>43749</v>
      </c>
      <c r="E267" s="24">
        <f>Купоны!$C$4*(A267-D267)/365*100</f>
        <v>2.6739726027397261</v>
      </c>
      <c r="F267" s="27">
        <f>-B267*(C267+E267)*Купоны!$G$10/100</f>
        <v>303351.52054794523</v>
      </c>
      <c r="G267" s="34">
        <f>SUM($B$2:B267)</f>
        <v>80</v>
      </c>
      <c r="H267" s="31">
        <f>_xlfn.IFNA(VLOOKUP($A267,Купоны[[Дата]:[% от номинала]],3,0),0)*Купоны!$G$10/100*G267</f>
        <v>0</v>
      </c>
      <c r="I267" s="36">
        <f>Таблица1[[#This Row],[Денежный поток]]+Таблица1[[#This Row],[Купонный доход]]</f>
        <v>303351.52054794523</v>
      </c>
      <c r="J267" s="31">
        <f>Таблица1[[#This Row],[Общий денежный поток]]/((1+$L$2)^((Таблица1[[#This Row],[Названия строк]]-$A$2)/365))</f>
        <v>270770.42906316207</v>
      </c>
    </row>
    <row r="268" spans="1:10" x14ac:dyDescent="0.3">
      <c r="A268" s="23">
        <v>43874</v>
      </c>
      <c r="B268" s="24">
        <v>400</v>
      </c>
      <c r="C268" s="24">
        <f>VLOOKUP(Таблица1[[#This Row],[Названия строк]],Котировки[[&lt;DATE&gt;]:[&lt;VOL&gt;]],6,0)</f>
        <v>101.83</v>
      </c>
      <c r="D268" s="26">
        <f>INDEX(Купоны[Дата],MATCH($A268,Купоны[Дата],1))</f>
        <v>43749</v>
      </c>
      <c r="E268" s="24">
        <f>Купоны!$C$4*(A268-D268)/365*100</f>
        <v>2.7397260273972601</v>
      </c>
      <c r="F268" s="27">
        <f>-B268*(C268+E268)*Купоны!$G$10/100</f>
        <v>-418278.904109589</v>
      </c>
      <c r="G268" s="34">
        <f>SUM($B$2:B268)</f>
        <v>480</v>
      </c>
      <c r="H268" s="31">
        <f>_xlfn.IFNA(VLOOKUP($A268,Купоны[[Дата]:[% от номинала]],3,0),0)*Купоны!$G$10/100*G268</f>
        <v>0</v>
      </c>
      <c r="I268" s="36">
        <f>Таблица1[[#This Row],[Денежный поток]]+Таблица1[[#This Row],[Купонный доход]]</f>
        <v>-418278.904109589</v>
      </c>
      <c r="J268" s="31">
        <f>Таблица1[[#This Row],[Общий денежный поток]]/((1+$L$2)^((Таблица1[[#This Row],[Названия строк]]-$A$2)/365))</f>
        <v>-373204.48979312717</v>
      </c>
    </row>
    <row r="269" spans="1:10" x14ac:dyDescent="0.3">
      <c r="A269" s="23">
        <v>43875</v>
      </c>
      <c r="B269" s="24">
        <v>650</v>
      </c>
      <c r="C269" s="24">
        <f>VLOOKUP(Таблица1[[#This Row],[Названия строк]],Котировки[[&lt;DATE&gt;]:[&lt;VOL&gt;]],6,0)</f>
        <v>101.9</v>
      </c>
      <c r="D269" s="26">
        <f>INDEX(Купоны[Дата],MATCH($A269,Купоны[Дата],1))</f>
        <v>43749</v>
      </c>
      <c r="E269" s="24">
        <f>Купоны!$C$4*(A269-D269)/365*100</f>
        <v>2.7616438356164381</v>
      </c>
      <c r="F269" s="27">
        <f>-B269*(C269+E269)*Купоны!$G$10/100</f>
        <v>-680300.68493150687</v>
      </c>
      <c r="G269" s="34">
        <f>SUM($B$2:B269)</f>
        <v>1130</v>
      </c>
      <c r="H269" s="31">
        <f>_xlfn.IFNA(VLOOKUP($A269,Купоны[[Дата]:[% от номинала]],3,0),0)*Купоны!$G$10/100*G269</f>
        <v>0</v>
      </c>
      <c r="I269" s="36">
        <f>Таблица1[[#This Row],[Денежный поток]]+Таблица1[[#This Row],[Купонный доход]]</f>
        <v>-680300.68493150687</v>
      </c>
      <c r="J269" s="31">
        <f>Таблица1[[#This Row],[Общий денежный поток]]/((1+$L$2)^((Таблица1[[#This Row],[Названия строк]]-$A$2)/365))</f>
        <v>-606909.24578441086</v>
      </c>
    </row>
    <row r="270" spans="1:10" x14ac:dyDescent="0.3">
      <c r="A270" s="23">
        <v>43878</v>
      </c>
      <c r="B270" s="24">
        <v>750</v>
      </c>
      <c r="C270" s="24">
        <f>VLOOKUP(Таблица1[[#This Row],[Названия строк]],Котировки[[&lt;DATE&gt;]:[&lt;VOL&gt;]],6,0)</f>
        <v>101.87</v>
      </c>
      <c r="D270" s="26">
        <f>INDEX(Купоны[Дата],MATCH($A270,Купоны[Дата],1))</f>
        <v>43749</v>
      </c>
      <c r="E270" s="24">
        <f>Купоны!$C$4*(A270-D270)/365*100</f>
        <v>2.8273972602739725</v>
      </c>
      <c r="F270" s="27">
        <f>-B270*(C270+E270)*Купоны!$G$10/100</f>
        <v>-785230.47945205483</v>
      </c>
      <c r="G270" s="34">
        <f>SUM($B$2:B270)</f>
        <v>1880</v>
      </c>
      <c r="H270" s="31">
        <f>_xlfn.IFNA(VLOOKUP($A270,Купоны[[Дата]:[% от номинала]],3,0),0)*Купоны!$G$10/100*G270</f>
        <v>0</v>
      </c>
      <c r="I270" s="36">
        <f>Таблица1[[#This Row],[Денежный поток]]+Таблица1[[#This Row],[Купонный доход]]</f>
        <v>-785230.47945205483</v>
      </c>
      <c r="J270" s="31">
        <f>Таблица1[[#This Row],[Общий денежный поток]]/((1+$L$2)^((Таблица1[[#This Row],[Названия строк]]-$A$2)/365))</f>
        <v>-700238.25894380151</v>
      </c>
    </row>
    <row r="271" spans="1:10" x14ac:dyDescent="0.3">
      <c r="A271" s="23">
        <v>43879</v>
      </c>
      <c r="B271" s="24">
        <v>380</v>
      </c>
      <c r="C271" s="24">
        <f>VLOOKUP(Таблица1[[#This Row],[Названия строк]],Котировки[[&lt;DATE&gt;]:[&lt;VOL&gt;]],6,0)</f>
        <v>101.95</v>
      </c>
      <c r="D271" s="26">
        <f>INDEX(Купоны[Дата],MATCH($A271,Купоны[Дата],1))</f>
        <v>43749</v>
      </c>
      <c r="E271" s="24">
        <f>Купоны!$C$4*(A271-D271)/365*100</f>
        <v>2.849315068493151</v>
      </c>
      <c r="F271" s="27">
        <f>-B271*(C271+E271)*Купоны!$G$10/100</f>
        <v>-398237.39726027398</v>
      </c>
      <c r="G271" s="34">
        <f>SUM($B$2:B271)</f>
        <v>2260</v>
      </c>
      <c r="H271" s="31">
        <f>_xlfn.IFNA(VLOOKUP($A271,Купоны[[Дата]:[% от номинала]],3,0),0)*Купоны!$G$10/100*G271</f>
        <v>0</v>
      </c>
      <c r="I271" s="36">
        <f>Таблица1[[#This Row],[Денежный поток]]+Таблица1[[#This Row],[Купонный доход]]</f>
        <v>-398237.39726027398</v>
      </c>
      <c r="J271" s="31">
        <f>Таблица1[[#This Row],[Общий денежный поток]]/((1+$L$2)^((Таблица1[[#This Row],[Названия строк]]-$A$2)/365))</f>
        <v>-355085.28472088563</v>
      </c>
    </row>
    <row r="272" spans="1:10" x14ac:dyDescent="0.3">
      <c r="A272" s="23">
        <v>43881</v>
      </c>
      <c r="B272" s="24">
        <v>-2250</v>
      </c>
      <c r="C272" s="24">
        <f>VLOOKUP(Таблица1[[#This Row],[Названия строк]],Котировки[[&lt;DATE&gt;]:[&lt;VOL&gt;]],6,0)</f>
        <v>101.94</v>
      </c>
      <c r="D272" s="26">
        <f>INDEX(Купоны[Дата],MATCH($A272,Купоны[Дата],1))</f>
        <v>43749</v>
      </c>
      <c r="E272" s="24">
        <f>Купоны!$C$4*(A272-D272)/365*100</f>
        <v>2.893150684931507</v>
      </c>
      <c r="F272" s="27">
        <f>-B272*(C272+E272)*Купоны!$G$10/100</f>
        <v>2358745.8904109588</v>
      </c>
      <c r="G272" s="34">
        <f>SUM($B$2:B272)</f>
        <v>10</v>
      </c>
      <c r="H272" s="31">
        <f>_xlfn.IFNA(VLOOKUP($A272,Купоны[[Дата]:[% от номинала]],3,0),0)*Купоны!$G$10/100*G272</f>
        <v>0</v>
      </c>
      <c r="I272" s="36">
        <f>Таблица1[[#This Row],[Денежный поток]]+Таблица1[[#This Row],[Купонный доход]]</f>
        <v>2358745.8904109588</v>
      </c>
      <c r="J272" s="31">
        <f>Таблица1[[#This Row],[Общий денежный поток]]/((1+$L$2)^((Таблица1[[#This Row],[Названия строк]]-$A$2)/365))</f>
        <v>2102595.2779468345</v>
      </c>
    </row>
    <row r="273" spans="1:10" x14ac:dyDescent="0.3">
      <c r="A273" s="23">
        <v>43882</v>
      </c>
      <c r="B273" s="24">
        <v>140</v>
      </c>
      <c r="C273" s="24">
        <f>VLOOKUP(Таблица1[[#This Row],[Названия строк]],Котировки[[&lt;DATE&gt;]:[&lt;VOL&gt;]],6,0)</f>
        <v>101.96</v>
      </c>
      <c r="D273" s="26">
        <f>INDEX(Купоны[Дата],MATCH($A273,Купоны[Дата],1))</f>
        <v>43749</v>
      </c>
      <c r="E273" s="24">
        <f>Купоны!$C$4*(A273-D273)/365*100</f>
        <v>2.9150684931506849</v>
      </c>
      <c r="F273" s="27">
        <f>-B273*(C273+E273)*Купоны!$G$10/100</f>
        <v>-146825.09589041094</v>
      </c>
      <c r="G273" s="34">
        <f>SUM($B$2:B273)</f>
        <v>150</v>
      </c>
      <c r="H273" s="31">
        <f>_xlfn.IFNA(VLOOKUP($A273,Купоны[[Дата]:[% от номинала]],3,0),0)*Купоны!$G$10/100*G273</f>
        <v>0</v>
      </c>
      <c r="I273" s="36">
        <f>Таблица1[[#This Row],[Денежный поток]]+Таблица1[[#This Row],[Купонный доход]]</f>
        <v>-146825.09589041094</v>
      </c>
      <c r="J273" s="31">
        <f>Таблица1[[#This Row],[Общий денежный поток]]/((1+$L$2)^((Таблица1[[#This Row],[Названия строк]]-$A$2)/365))</f>
        <v>-130862.96876200216</v>
      </c>
    </row>
    <row r="274" spans="1:10" x14ac:dyDescent="0.3">
      <c r="A274" s="23">
        <v>43886</v>
      </c>
      <c r="B274" s="24">
        <v>-10</v>
      </c>
      <c r="C274" s="24">
        <f>VLOOKUP(Таблица1[[#This Row],[Названия строк]],Котировки[[&lt;DATE&gt;]:[&lt;VOL&gt;]],6,0)</f>
        <v>101.62</v>
      </c>
      <c r="D274" s="26">
        <f>INDEX(Купоны[Дата],MATCH($A274,Купоны[Дата],1))</f>
        <v>43749</v>
      </c>
      <c r="E274" s="24">
        <f>Купоны!$C$4*(A274-D274)/365*100</f>
        <v>3.0027397260273974</v>
      </c>
      <c r="F274" s="27">
        <f>-B274*(C274+E274)*Купоны!$G$10/100</f>
        <v>10462.273972602741</v>
      </c>
      <c r="G274" s="34">
        <f>SUM($B$2:B274)</f>
        <v>140</v>
      </c>
      <c r="H274" s="31">
        <f>_xlfn.IFNA(VLOOKUP($A274,Купоны[[Дата]:[% от номинала]],3,0),0)*Купоны!$G$10/100*G274</f>
        <v>0</v>
      </c>
      <c r="I274" s="36">
        <f>Таблица1[[#This Row],[Денежный поток]]+Таблица1[[#This Row],[Купонный доход]]</f>
        <v>10462.273972602741</v>
      </c>
      <c r="J274" s="31">
        <f>Таблица1[[#This Row],[Общий денежный поток]]/((1+$L$2)^((Таблица1[[#This Row],[Названия строк]]-$A$2)/365))</f>
        <v>9319.8806843800048</v>
      </c>
    </row>
    <row r="275" spans="1:10" x14ac:dyDescent="0.3">
      <c r="A275" s="23">
        <v>43887</v>
      </c>
      <c r="B275" s="24">
        <v>690</v>
      </c>
      <c r="C275" s="24">
        <f>VLOOKUP(Таблица1[[#This Row],[Названия строк]],Котировки[[&lt;DATE&gt;]:[&lt;VOL&gt;]],6,0)</f>
        <v>101.58</v>
      </c>
      <c r="D275" s="26">
        <f>INDEX(Купоны[Дата],MATCH($A275,Купоны[Дата],1))</f>
        <v>43749</v>
      </c>
      <c r="E275" s="24">
        <f>Купоны!$C$4*(A275-D275)/365*100</f>
        <v>3.0246575342465754</v>
      </c>
      <c r="F275" s="27">
        <f>-B275*(C275+E275)*Купоны!$G$10/100</f>
        <v>-721772.1369863014</v>
      </c>
      <c r="G275" s="34">
        <f>SUM($B$2:B275)</f>
        <v>830</v>
      </c>
      <c r="H275" s="31">
        <f>_xlfn.IFNA(VLOOKUP($A275,Купоны[[Дата]:[% от номинала]],3,0),0)*Купоны!$G$10/100*G275</f>
        <v>0</v>
      </c>
      <c r="I275" s="36">
        <f>Таблица1[[#This Row],[Денежный поток]]+Таблица1[[#This Row],[Купонный доход]]</f>
        <v>-721772.1369863014</v>
      </c>
      <c r="J275" s="31">
        <f>Таблица1[[#This Row],[Общий денежный поток]]/((1+$L$2)^((Таблица1[[#This Row],[Названия строк]]-$A$2)/365))</f>
        <v>-642874.6837464805</v>
      </c>
    </row>
    <row r="276" spans="1:10" x14ac:dyDescent="0.3">
      <c r="A276" s="23">
        <v>43889</v>
      </c>
      <c r="B276" s="24">
        <v>-560</v>
      </c>
      <c r="C276" s="24">
        <f>VLOOKUP(Таблица1[[#This Row],[Названия строк]],Котировки[[&lt;DATE&gt;]:[&lt;VOL&gt;]],6,0)</f>
        <v>101.1</v>
      </c>
      <c r="D276" s="26">
        <f>INDEX(Купоны[Дата],MATCH($A276,Купоны[Дата],1))</f>
        <v>43749</v>
      </c>
      <c r="E276" s="24">
        <f>Купоны!$C$4*(A276-D276)/365*100</f>
        <v>3.0684931506849318</v>
      </c>
      <c r="F276" s="27">
        <f>-B276*(C276+E276)*Купоны!$G$10/100</f>
        <v>583343.56164383551</v>
      </c>
      <c r="G276" s="34">
        <f>SUM($B$2:B276)</f>
        <v>270</v>
      </c>
      <c r="H276" s="31">
        <f>_xlfn.IFNA(VLOOKUP($A276,Купоны[[Дата]:[% от номинала]],3,0),0)*Купоны!$G$10/100*G276</f>
        <v>0</v>
      </c>
      <c r="I276" s="36">
        <f>Таблица1[[#This Row],[Денежный поток]]+Таблица1[[#This Row],[Купонный доход]]</f>
        <v>583343.56164383551</v>
      </c>
      <c r="J276" s="31">
        <f>Таблица1[[#This Row],[Общий денежный поток]]/((1+$L$2)^((Таблица1[[#This Row],[Названия строк]]-$A$2)/365))</f>
        <v>519438.95260051638</v>
      </c>
    </row>
    <row r="277" spans="1:10" x14ac:dyDescent="0.3">
      <c r="A277" s="23">
        <v>43896</v>
      </c>
      <c r="B277" s="24">
        <v>710</v>
      </c>
      <c r="C277" s="24">
        <f>VLOOKUP(Таблица1[[#This Row],[Названия строк]],Котировки[[&lt;DATE&gt;]:[&lt;VOL&gt;]],6,0)</f>
        <v>101.5</v>
      </c>
      <c r="D277" s="26">
        <f>INDEX(Купоны[Дата],MATCH($A277,Купоны[Дата],1))</f>
        <v>43749</v>
      </c>
      <c r="E277" s="24">
        <f>Купоны!$C$4*(A277-D277)/365*100</f>
        <v>3.2219178082191782</v>
      </c>
      <c r="F277" s="27">
        <f>-B277*(C277+E277)*Купоны!$G$10/100</f>
        <v>-743525.616438356</v>
      </c>
      <c r="G277" s="34">
        <f>SUM($B$2:B277)</f>
        <v>980</v>
      </c>
      <c r="H277" s="31">
        <f>_xlfn.IFNA(VLOOKUP($A277,Купоны[[Дата]:[% от номинала]],3,0),0)*Купоны!$G$10/100*G277</f>
        <v>0</v>
      </c>
      <c r="I277" s="36">
        <f>Таблица1[[#This Row],[Денежный поток]]+Таблица1[[#This Row],[Купонный доход]]</f>
        <v>-743525.616438356</v>
      </c>
      <c r="J277" s="31">
        <f>Таблица1[[#This Row],[Общий денежный поток]]/((1+$L$2)^((Таблица1[[#This Row],[Названия строк]]-$A$2)/365))</f>
        <v>-661454.03613093891</v>
      </c>
    </row>
    <row r="278" spans="1:10" x14ac:dyDescent="0.3">
      <c r="A278" s="23">
        <v>43901</v>
      </c>
      <c r="B278" s="24">
        <v>500</v>
      </c>
      <c r="C278" s="24">
        <f>VLOOKUP(Таблица1[[#This Row],[Названия строк]],Котировки[[&lt;DATE&gt;]:[&lt;VOL&gt;]],6,0)</f>
        <v>100.8</v>
      </c>
      <c r="D278" s="26">
        <f>INDEX(Купоны[Дата],MATCH($A278,Купоны[Дата],1))</f>
        <v>43749</v>
      </c>
      <c r="E278" s="24">
        <f>Купоны!$C$4*(A278-D278)/365*100</f>
        <v>3.3315068493150681</v>
      </c>
      <c r="F278" s="27">
        <f>-B278*(C278+E278)*Купоны!$G$10/100</f>
        <v>-520657.53424657532</v>
      </c>
      <c r="G278" s="34">
        <f>SUM($B$2:B278)</f>
        <v>1480</v>
      </c>
      <c r="H278" s="31">
        <f>_xlfn.IFNA(VLOOKUP($A278,Купоны[[Дата]:[% от номинала]],3,0),0)*Купоны!$G$10/100*G278</f>
        <v>0</v>
      </c>
      <c r="I278" s="36">
        <f>Таблица1[[#This Row],[Денежный поток]]+Таблица1[[#This Row],[Купонный доход]]</f>
        <v>-520657.53424657532</v>
      </c>
      <c r="J278" s="31">
        <f>Таблица1[[#This Row],[Общий денежный поток]]/((1+$L$2)^((Таблица1[[#This Row],[Названия строк]]-$A$2)/365))</f>
        <v>-462877.02820573817</v>
      </c>
    </row>
    <row r="279" spans="1:10" x14ac:dyDescent="0.3">
      <c r="A279" s="23">
        <v>43903</v>
      </c>
      <c r="B279" s="24">
        <v>-1140</v>
      </c>
      <c r="C279" s="24">
        <f>VLOOKUP(Таблица1[[#This Row],[Названия строк]],Котировки[[&lt;DATE&gt;]:[&lt;VOL&gt;]],6,0)</f>
        <v>100.71</v>
      </c>
      <c r="D279" s="26">
        <f>INDEX(Купоны[Дата],MATCH($A279,Купоны[Дата],1))</f>
        <v>43749</v>
      </c>
      <c r="E279" s="24">
        <f>Купоны!$C$4*(A279-D279)/365*100</f>
        <v>3.3753424657534246</v>
      </c>
      <c r="F279" s="27">
        <f>-B279*(C279+E279)*Купоны!$G$10/100</f>
        <v>1186572.9041095888</v>
      </c>
      <c r="G279" s="34">
        <f>SUM($B$2:B279)</f>
        <v>340</v>
      </c>
      <c r="H279" s="31">
        <f>_xlfn.IFNA(VLOOKUP($A279,Купоны[[Дата]:[% от номинала]],3,0),0)*Купоны!$G$10/100*G279</f>
        <v>0</v>
      </c>
      <c r="I279" s="36">
        <f>Таблица1[[#This Row],[Денежный поток]]+Таблица1[[#This Row],[Купонный доход]]</f>
        <v>1186572.9041095888</v>
      </c>
      <c r="J279" s="31">
        <f>Таблица1[[#This Row],[Общий денежный поток]]/((1+$L$2)^((Таблица1[[#This Row],[Названия строк]]-$A$2)/365))</f>
        <v>1054609.773515465</v>
      </c>
    </row>
    <row r="280" spans="1:10" x14ac:dyDescent="0.3">
      <c r="A280" s="23">
        <v>43908</v>
      </c>
      <c r="B280" s="24">
        <v>120</v>
      </c>
      <c r="C280" s="24">
        <f>VLOOKUP(Таблица1[[#This Row],[Названия строк]],Котировки[[&lt;DATE&gt;]:[&lt;VOL&gt;]],6,0)</f>
        <v>100.72</v>
      </c>
      <c r="D280" s="26">
        <f>INDEX(Купоны[Дата],MATCH($A280,Купоны[Дата],1))</f>
        <v>43749</v>
      </c>
      <c r="E280" s="24">
        <f>Купоны!$C$4*(A280-D280)/365*100</f>
        <v>3.4849315068493154</v>
      </c>
      <c r="F280" s="27">
        <f>-B280*(C280+E280)*Купоны!$G$10/100</f>
        <v>-125045.91780821918</v>
      </c>
      <c r="G280" s="34">
        <f>SUM($B$2:B280)</f>
        <v>460</v>
      </c>
      <c r="H280" s="31">
        <f>_xlfn.IFNA(VLOOKUP($A280,Купоны[[Дата]:[% от номинала]],3,0),0)*Купоны!$G$10/100*G280</f>
        <v>0</v>
      </c>
      <c r="I280" s="36">
        <f>Таблица1[[#This Row],[Денежный поток]]+Таблица1[[#This Row],[Купонный доход]]</f>
        <v>-125045.91780821918</v>
      </c>
      <c r="J280" s="31">
        <f>Таблица1[[#This Row],[Общий денежный поток]]/((1+$L$2)^((Таблица1[[#This Row],[Названия строк]]-$A$2)/365))</f>
        <v>-111064.84609610232</v>
      </c>
    </row>
    <row r="281" spans="1:10" x14ac:dyDescent="0.3">
      <c r="A281" s="23">
        <v>43910</v>
      </c>
      <c r="B281" s="24">
        <v>-360</v>
      </c>
      <c r="C281" s="24">
        <f>VLOOKUP(Таблица1[[#This Row],[Названия строк]],Котировки[[&lt;DATE&gt;]:[&lt;VOL&gt;]],6,0)</f>
        <v>100.77</v>
      </c>
      <c r="D281" s="26">
        <f>INDEX(Купоны[Дата],MATCH($A281,Купоны[Дата],1))</f>
        <v>43749</v>
      </c>
      <c r="E281" s="24">
        <f>Купоны!$C$4*(A281-D281)/365*100</f>
        <v>3.5287671232876718</v>
      </c>
      <c r="F281" s="27">
        <f>-B281*(C281+E281)*Купоны!$G$10/100</f>
        <v>375475.56164383562</v>
      </c>
      <c r="G281" s="34">
        <f>SUM($B$2:B281)</f>
        <v>100</v>
      </c>
      <c r="H281" s="31">
        <f>_xlfn.IFNA(VLOOKUP($A281,Купоны[[Дата]:[% от номинала]],3,0),0)*Купоны!$G$10/100*G281</f>
        <v>0</v>
      </c>
      <c r="I281" s="36">
        <f>Таблица1[[#This Row],[Денежный поток]]+Таблица1[[#This Row],[Купонный доход]]</f>
        <v>375475.56164383562</v>
      </c>
      <c r="J281" s="31">
        <f>Таблица1[[#This Row],[Общий денежный поток]]/((1+$L$2)^((Таблица1[[#This Row],[Названия строк]]-$A$2)/365))</f>
        <v>333405.43136857275</v>
      </c>
    </row>
    <row r="282" spans="1:10" x14ac:dyDescent="0.3">
      <c r="A282" s="23">
        <v>43914</v>
      </c>
      <c r="B282" s="24">
        <v>280</v>
      </c>
      <c r="C282" s="24">
        <f>VLOOKUP(Таблица1[[#This Row],[Названия строк]],Котировки[[&lt;DATE&gt;]:[&lt;VOL&gt;]],6,0)</f>
        <v>100.76</v>
      </c>
      <c r="D282" s="26">
        <f>INDEX(Купоны[Дата],MATCH($A282,Купоны[Дата],1))</f>
        <v>43749</v>
      </c>
      <c r="E282" s="24">
        <f>Купоны!$C$4*(A282-D282)/365*100</f>
        <v>3.6164383561643838</v>
      </c>
      <c r="F282" s="27">
        <f>-B282*(C282+E282)*Купоны!$G$10/100</f>
        <v>-292254.0273972603</v>
      </c>
      <c r="G282" s="34">
        <f>SUM($B$2:B282)</f>
        <v>380</v>
      </c>
      <c r="H282" s="31">
        <f>_xlfn.IFNA(VLOOKUP($A282,Купоны[[Дата]:[% от номинала]],3,0),0)*Купоны!$G$10/100*G282</f>
        <v>0</v>
      </c>
      <c r="I282" s="36">
        <f>Таблица1[[#This Row],[Денежный поток]]+Таблица1[[#This Row],[Купонный доход]]</f>
        <v>-292254.0273972603</v>
      </c>
      <c r="J282" s="31">
        <f>Таблица1[[#This Row],[Общий денежный поток]]/((1+$L$2)^((Таблица1[[#This Row],[Названия строк]]-$A$2)/365))</f>
        <v>-259369.72885800558</v>
      </c>
    </row>
    <row r="283" spans="1:10" x14ac:dyDescent="0.3">
      <c r="A283" s="23">
        <v>43915</v>
      </c>
      <c r="B283" s="24">
        <v>690</v>
      </c>
      <c r="C283" s="24">
        <f>VLOOKUP(Таблица1[[#This Row],[Названия строк]],Котировки[[&lt;DATE&gt;]:[&lt;VOL&gt;]],6,0)</f>
        <v>101.01</v>
      </c>
      <c r="D283" s="26">
        <f>INDEX(Купоны[Дата],MATCH($A283,Купоны[Дата],1))</f>
        <v>43749</v>
      </c>
      <c r="E283" s="24">
        <f>Купоны!$C$4*(A283-D283)/365*100</f>
        <v>3.6383561643835618</v>
      </c>
      <c r="F283" s="27">
        <f>-B283*(C283+E283)*Купоны!$G$10/100</f>
        <v>-722073.65753424657</v>
      </c>
      <c r="G283" s="34">
        <f>SUM($B$2:B283)</f>
        <v>1070</v>
      </c>
      <c r="H283" s="31">
        <f>_xlfn.IFNA(VLOOKUP($A283,Купоны[[Дата]:[% от номинала]],3,0),0)*Купоны!$G$10/100*G283</f>
        <v>0</v>
      </c>
      <c r="I283" s="36">
        <f>Таблица1[[#This Row],[Денежный поток]]+Таблица1[[#This Row],[Купонный доход]]</f>
        <v>-722073.65753424657</v>
      </c>
      <c r="J283" s="31">
        <f>Таблица1[[#This Row],[Общий денежный поток]]/((1+$L$2)^((Таблица1[[#This Row],[Названия строк]]-$A$2)/365))</f>
        <v>-640740.5828999019</v>
      </c>
    </row>
    <row r="284" spans="1:10" x14ac:dyDescent="0.3">
      <c r="A284" s="23">
        <v>43916</v>
      </c>
      <c r="B284" s="24">
        <v>-220</v>
      </c>
      <c r="C284" s="24">
        <f>VLOOKUP(Таблица1[[#This Row],[Названия строк]],Котировки[[&lt;DATE&gt;]:[&lt;VOL&gt;]],6,0)</f>
        <v>101</v>
      </c>
      <c r="D284" s="26">
        <f>INDEX(Купоны[Дата],MATCH($A284,Купоны[Дата],1))</f>
        <v>43749</v>
      </c>
      <c r="E284" s="24">
        <f>Купоны!$C$4*(A284-D284)/365*100</f>
        <v>3.6602739726027393</v>
      </c>
      <c r="F284" s="27">
        <f>-B284*(C284+E284)*Купоны!$G$10/100</f>
        <v>230252.60273972605</v>
      </c>
      <c r="G284" s="34">
        <f>SUM($B$2:B284)</f>
        <v>850</v>
      </c>
      <c r="H284" s="31">
        <f>_xlfn.IFNA(VLOOKUP($A284,Купоны[[Дата]:[% от номинала]],3,0),0)*Купоны!$G$10/100*G284</f>
        <v>0</v>
      </c>
      <c r="I284" s="36">
        <f>Таблица1[[#This Row],[Денежный поток]]+Таблица1[[#This Row],[Купонный доход]]</f>
        <v>230252.60273972605</v>
      </c>
      <c r="J284" s="31">
        <f>Таблица1[[#This Row],[Общий денежный поток]]/((1+$L$2)^((Таблица1[[#This Row],[Названия строк]]-$A$2)/365))</f>
        <v>204290.05517212066</v>
      </c>
    </row>
    <row r="285" spans="1:10" x14ac:dyDescent="0.3">
      <c r="A285" s="23">
        <v>43924</v>
      </c>
      <c r="B285" s="24">
        <v>-640</v>
      </c>
      <c r="C285" s="24">
        <f>VLOOKUP(Таблица1[[#This Row],[Названия строк]],Котировки[[&lt;DATE&gt;]:[&lt;VOL&gt;]],6,0)</f>
        <v>101.45</v>
      </c>
      <c r="D285" s="26">
        <f>INDEX(Купоны[Дата],MATCH($A285,Купоны[Дата],1))</f>
        <v>43749</v>
      </c>
      <c r="E285" s="24">
        <f>Купоны!$C$4*(A285-D285)/365*100</f>
        <v>3.8356164383561646</v>
      </c>
      <c r="F285" s="27">
        <f>-B285*(C285+E285)*Купоны!$G$10/100</f>
        <v>673827.94520547939</v>
      </c>
      <c r="G285" s="34">
        <f>SUM($B$2:B285)</f>
        <v>210</v>
      </c>
      <c r="H285" s="31">
        <f>_xlfn.IFNA(VLOOKUP($A285,Купоны[[Дата]:[% от номинала]],3,0),0)*Купоны!$G$10/100*G285</f>
        <v>0</v>
      </c>
      <c r="I285" s="36">
        <f>Таблица1[[#This Row],[Денежный поток]]+Таблица1[[#This Row],[Купонный доход]]</f>
        <v>673827.94520547939</v>
      </c>
      <c r="J285" s="31">
        <f>Таблица1[[#This Row],[Общий денежный поток]]/((1+$L$2)^((Таблица1[[#This Row],[Названия строк]]-$A$2)/365))</f>
        <v>597210.27733015199</v>
      </c>
    </row>
    <row r="286" spans="1:10" x14ac:dyDescent="0.3">
      <c r="A286" s="23">
        <v>43927</v>
      </c>
      <c r="B286" s="24">
        <v>520</v>
      </c>
      <c r="C286" s="24">
        <f>VLOOKUP(Таблица1[[#This Row],[Названия строк]],Котировки[[&lt;DATE&gt;]:[&lt;VOL&gt;]],6,0)</f>
        <v>101.35</v>
      </c>
      <c r="D286" s="26">
        <f>INDEX(Купоны[Дата],MATCH($A286,Купоны[Дата],1))</f>
        <v>43749</v>
      </c>
      <c r="E286" s="24">
        <f>Купоны!$C$4*(A286-D286)/365*100</f>
        <v>3.9013698630136986</v>
      </c>
      <c r="F286" s="27">
        <f>-B286*(C286+E286)*Купоны!$G$10/100</f>
        <v>-547307.12328767125</v>
      </c>
      <c r="G286" s="34">
        <f>SUM($B$2:B286)</f>
        <v>730</v>
      </c>
      <c r="H286" s="31">
        <f>_xlfn.IFNA(VLOOKUP($A286,Купоны[[Дата]:[% от номинала]],3,0),0)*Купоны!$G$10/100*G286</f>
        <v>0</v>
      </c>
      <c r="I286" s="36">
        <f>Таблица1[[#This Row],[Денежный поток]]+Таблица1[[#This Row],[Купонный доход]]</f>
        <v>-547307.12328767125</v>
      </c>
      <c r="J286" s="31">
        <f>Таблица1[[#This Row],[Общий денежный поток]]/((1+$L$2)^((Таблица1[[#This Row],[Названия строк]]-$A$2)/365))</f>
        <v>-484881.03340711619</v>
      </c>
    </row>
    <row r="287" spans="1:10" x14ac:dyDescent="0.3">
      <c r="A287" s="23">
        <v>43928</v>
      </c>
      <c r="B287" s="24">
        <v>300</v>
      </c>
      <c r="C287" s="24">
        <f>VLOOKUP(Таблица1[[#This Row],[Названия строк]],Котировки[[&lt;DATE&gt;]:[&lt;VOL&gt;]],6,0)</f>
        <v>101.29</v>
      </c>
      <c r="D287" s="26">
        <f>INDEX(Купоны[Дата],MATCH($A287,Купоны[Дата],1))</f>
        <v>43749</v>
      </c>
      <c r="E287" s="24">
        <f>Купоны!$C$4*(A287-D287)/365*100</f>
        <v>3.9232876712328766</v>
      </c>
      <c r="F287" s="27">
        <f>-B287*(C287+E287)*Купоны!$G$10/100</f>
        <v>-315639.86301369866</v>
      </c>
      <c r="G287" s="34">
        <f>SUM($B$2:B287)</f>
        <v>1030</v>
      </c>
      <c r="H287" s="31">
        <f>_xlfn.IFNA(VLOOKUP($A287,Купоны[[Дата]:[% от номинала]],3,0),0)*Купоны!$G$10/100*G287</f>
        <v>0</v>
      </c>
      <c r="I287" s="36">
        <f>Таблица1[[#This Row],[Денежный поток]]+Таблица1[[#This Row],[Купонный доход]]</f>
        <v>-315639.86301369866</v>
      </c>
      <c r="J287" s="31">
        <f>Таблица1[[#This Row],[Общий денежный поток]]/((1+$L$2)^((Таблица1[[#This Row],[Названия строк]]-$A$2)/365))</f>
        <v>-279600.46501118067</v>
      </c>
    </row>
    <row r="288" spans="1:10" x14ac:dyDescent="0.3">
      <c r="A288" s="23">
        <v>43929</v>
      </c>
      <c r="B288" s="24">
        <v>170</v>
      </c>
      <c r="C288" s="24">
        <f>VLOOKUP(Таблица1[[#This Row],[Названия строк]],Котировки[[&lt;DATE&gt;]:[&lt;VOL&gt;]],6,0)</f>
        <v>101.25</v>
      </c>
      <c r="D288" s="26">
        <f>INDEX(Купоны[Дата],MATCH($A288,Купоны[Дата],1))</f>
        <v>43749</v>
      </c>
      <c r="E288" s="24">
        <f>Купоны!$C$4*(A288-D288)/365*100</f>
        <v>3.9452054794520546</v>
      </c>
      <c r="F288" s="27">
        <f>-B288*(C288+E288)*Купоны!$G$10/100</f>
        <v>-178831.84931506851</v>
      </c>
      <c r="G288" s="34">
        <f>SUM($B$2:B288)</f>
        <v>1200</v>
      </c>
      <c r="H288" s="31">
        <f>_xlfn.IFNA(VLOOKUP($A288,Купоны[[Дата]:[% от номинала]],3,0),0)*Купоны!$G$10/100*G288</f>
        <v>0</v>
      </c>
      <c r="I288" s="36">
        <f>Таблица1[[#This Row],[Денежный поток]]+Таблица1[[#This Row],[Купонный доход]]</f>
        <v>-178831.84931506851</v>
      </c>
      <c r="J288" s="31">
        <f>Таблица1[[#This Row],[Общий денежный поток]]/((1+$L$2)^((Таблица1[[#This Row],[Названия строк]]-$A$2)/365))</f>
        <v>-158391.85968546616</v>
      </c>
    </row>
    <row r="289" spans="1:10" x14ac:dyDescent="0.3">
      <c r="A289" s="23">
        <v>43931</v>
      </c>
      <c r="B289" s="24">
        <v>0</v>
      </c>
      <c r="C289" s="24">
        <f>VLOOKUP(Таблица1[[#This Row],[Названия строк]],Котировки[[&lt;DATE&gt;]:[&lt;VOL&gt;]],6,0)</f>
        <v>101.23</v>
      </c>
      <c r="D289" s="26">
        <f>INDEX(Купоны[Дата],MATCH($A289,Купоны[Дата],1))</f>
        <v>43931</v>
      </c>
      <c r="E289" s="24">
        <f>Купоны!$C$4*(A289-D289)/365*100</f>
        <v>0</v>
      </c>
      <c r="F289" s="27">
        <f>-B289*(C289+E289)*Купоны!$G$10/100</f>
        <v>0</v>
      </c>
      <c r="G289" s="34">
        <f>SUM($B$2:B289)</f>
        <v>1200</v>
      </c>
      <c r="H289" s="31">
        <f>_xlfn.IFNA(VLOOKUP($A289,Купоны[[Дата]:[% от номинала]],3,0),0)*Купоны!$G$10/100*G289</f>
        <v>47868</v>
      </c>
      <c r="I289" s="36">
        <f>Таблица1[[#This Row],[Денежный поток]]+Таблица1[[#This Row],[Купонный доход]]</f>
        <v>47868</v>
      </c>
      <c r="J289" s="31">
        <f>Таблица1[[#This Row],[Общий денежный поток]]/((1+$L$2)^((Таблица1[[#This Row],[Названия строк]]-$A$2)/365))</f>
        <v>42385.485965204323</v>
      </c>
    </row>
    <row r="290" spans="1:10" x14ac:dyDescent="0.3">
      <c r="A290" s="23">
        <v>43934</v>
      </c>
      <c r="B290" s="24">
        <v>150</v>
      </c>
      <c r="C290" s="24">
        <f>VLOOKUP(Таблица1[[#This Row],[Названия строк]],Котировки[[&lt;DATE&gt;]:[&lt;VOL&gt;]],6,0)</f>
        <v>101.18</v>
      </c>
      <c r="D290" s="26">
        <f>INDEX(Купоны[Дата],MATCH($A290,Купоны[Дата],1))</f>
        <v>43931</v>
      </c>
      <c r="E290" s="24">
        <f>Купоны!$C$4*(A290-D290)/365*100</f>
        <v>6.5753424657534254E-2</v>
      </c>
      <c r="F290" s="27">
        <f>-B290*(C290+E290)*Купоны!$G$10/100</f>
        <v>-151868.63013698629</v>
      </c>
      <c r="G290" s="34">
        <f>SUM($B$2:B290)</f>
        <v>1350</v>
      </c>
      <c r="H290" s="31">
        <f>_xlfn.IFNA(VLOOKUP($A290,Купоны[[Дата]:[% от номинала]],3,0),0)*Купоны!$G$10/100*G290</f>
        <v>0</v>
      </c>
      <c r="I290" s="36">
        <f>Таблица1[[#This Row],[Денежный поток]]+Таблица1[[#This Row],[Купонный доход]]</f>
        <v>-151868.63013698629</v>
      </c>
      <c r="J290" s="31">
        <f>Таблица1[[#This Row],[Общий денежный поток]]/((1+$L$2)^((Таблица1[[#This Row],[Названия строк]]-$A$2)/365))</f>
        <v>-134420.5913046179</v>
      </c>
    </row>
    <row r="291" spans="1:10" x14ac:dyDescent="0.3">
      <c r="A291" s="23">
        <v>43936</v>
      </c>
      <c r="B291" s="24">
        <v>-970</v>
      </c>
      <c r="C291" s="24">
        <f>VLOOKUP(Таблица1[[#This Row],[Названия строк]],Котировки[[&lt;DATE&gt;]:[&lt;VOL&gt;]],6,0)</f>
        <v>101.1</v>
      </c>
      <c r="D291" s="26">
        <f>INDEX(Купоны[Дата],MATCH($A291,Купоны[Дата],1))</f>
        <v>43931</v>
      </c>
      <c r="E291" s="24">
        <f>Купоны!$C$4*(A291-D291)/365*100</f>
        <v>0.10958904109589042</v>
      </c>
      <c r="F291" s="27">
        <f>-B291*(C291+E291)*Купоны!$G$10/100</f>
        <v>981733.01369863003</v>
      </c>
      <c r="G291" s="34">
        <f>SUM($B$2:B291)</f>
        <v>380</v>
      </c>
      <c r="H291" s="31">
        <f>_xlfn.IFNA(VLOOKUP($A291,Купоны[[Дата]:[% от номинала]],3,0),0)*Купоны!$G$10/100*G291</f>
        <v>0</v>
      </c>
      <c r="I291" s="36">
        <f>Таблица1[[#This Row],[Денежный поток]]+Таблица1[[#This Row],[Купонный доход]]</f>
        <v>981733.01369863003</v>
      </c>
      <c r="J291" s="31">
        <f>Таблица1[[#This Row],[Общий денежный поток]]/((1+$L$2)^((Таблица1[[#This Row],[Названия строк]]-$A$2)/365))</f>
        <v>868710.3900167048</v>
      </c>
    </row>
    <row r="292" spans="1:10" x14ac:dyDescent="0.3">
      <c r="A292" s="23">
        <v>43938</v>
      </c>
      <c r="B292" s="24">
        <v>-130</v>
      </c>
      <c r="C292" s="24">
        <f>VLOOKUP(Таблица1[[#This Row],[Названия строк]],Котировки[[&lt;DATE&gt;]:[&lt;VOL&gt;]],6,0)</f>
        <v>101.38</v>
      </c>
      <c r="D292" s="26">
        <f>INDEX(Купоны[Дата],MATCH($A292,Купоны[Дата],1))</f>
        <v>43931</v>
      </c>
      <c r="E292" s="24">
        <f>Купоны!$C$4*(A292-D292)/365*100</f>
        <v>0.15342465753424658</v>
      </c>
      <c r="F292" s="27">
        <f>-B292*(C292+E292)*Купоны!$G$10/100</f>
        <v>131993.4520547945</v>
      </c>
      <c r="G292" s="34">
        <f>SUM($B$2:B292)</f>
        <v>250</v>
      </c>
      <c r="H292" s="31">
        <f>_xlfn.IFNA(VLOOKUP($A292,Купоны[[Дата]:[% от номинала]],3,0),0)*Купоны!$G$10/100*G292</f>
        <v>0</v>
      </c>
      <c r="I292" s="36">
        <f>Таблица1[[#This Row],[Денежный поток]]+Таблица1[[#This Row],[Купонный доход]]</f>
        <v>131993.4520547945</v>
      </c>
      <c r="J292" s="31">
        <f>Таблица1[[#This Row],[Общий денежный поток]]/((1+$L$2)^((Таблица1[[#This Row],[Названия строк]]-$A$2)/365))</f>
        <v>116766.40291203707</v>
      </c>
    </row>
    <row r="293" spans="1:10" x14ac:dyDescent="0.3">
      <c r="A293" s="23">
        <v>43942</v>
      </c>
      <c r="B293" s="24">
        <v>390</v>
      </c>
      <c r="C293" s="24">
        <f>VLOOKUP(Таблица1[[#This Row],[Названия строк]],Котировки[[&lt;DATE&gt;]:[&lt;VOL&gt;]],6,0)</f>
        <v>101.18</v>
      </c>
      <c r="D293" s="26">
        <f>INDEX(Купоны[Дата],MATCH($A293,Купоны[Дата],1))</f>
        <v>43931</v>
      </c>
      <c r="E293" s="24">
        <f>Купоны!$C$4*(A293-D293)/365*100</f>
        <v>0.24109589041095891</v>
      </c>
      <c r="F293" s="27">
        <f>-B293*(C293+E293)*Купоны!$G$10/100</f>
        <v>-395542.27397260279</v>
      </c>
      <c r="G293" s="34">
        <f>SUM($B$2:B293)</f>
        <v>640</v>
      </c>
      <c r="H293" s="31">
        <f>_xlfn.IFNA(VLOOKUP($A293,Купоны[[Дата]:[% от номинала]],3,0),0)*Купоны!$G$10/100*G293</f>
        <v>0</v>
      </c>
      <c r="I293" s="36">
        <f>Таблица1[[#This Row],[Денежный поток]]+Таблица1[[#This Row],[Купонный доход]]</f>
        <v>-395542.27397260279</v>
      </c>
      <c r="J293" s="31">
        <f>Таблица1[[#This Row],[Общий денежный поток]]/((1+$L$2)^((Таблица1[[#This Row],[Названия строк]]-$A$2)/365))</f>
        <v>-349724.62153547944</v>
      </c>
    </row>
    <row r="294" spans="1:10" x14ac:dyDescent="0.3">
      <c r="A294" s="23">
        <v>43943</v>
      </c>
      <c r="B294" s="24">
        <v>40</v>
      </c>
      <c r="C294" s="24">
        <f>VLOOKUP(Таблица1[[#This Row],[Названия строк]],Котировки[[&lt;DATE&gt;]:[&lt;VOL&gt;]],6,0)</f>
        <v>101.43</v>
      </c>
      <c r="D294" s="26">
        <f>INDEX(Купоны[Дата],MATCH($A294,Купоны[Дата],1))</f>
        <v>43931</v>
      </c>
      <c r="E294" s="24">
        <f>Купоны!$C$4*(A294-D294)/365*100</f>
        <v>0.26301369863013702</v>
      </c>
      <c r="F294" s="27">
        <f>-B294*(C294+E294)*Купоны!$G$10/100</f>
        <v>-40677.205479452059</v>
      </c>
      <c r="G294" s="34">
        <f>SUM($B$2:B294)</f>
        <v>680</v>
      </c>
      <c r="H294" s="31">
        <f>_xlfn.IFNA(VLOOKUP($A294,Купоны[[Дата]:[% от номинала]],3,0),0)*Купоны!$G$10/100*G294</f>
        <v>0</v>
      </c>
      <c r="I294" s="36">
        <f>Таблица1[[#This Row],[Денежный поток]]+Таблица1[[#This Row],[Купонный доход]]</f>
        <v>-40677.205479452059</v>
      </c>
      <c r="J294" s="31">
        <f>Таблица1[[#This Row],[Общий денежный поток]]/((1+$L$2)^((Таблица1[[#This Row],[Названия строк]]-$A$2)/365))</f>
        <v>-35960.552803417078</v>
      </c>
    </row>
    <row r="295" spans="1:10" x14ac:dyDescent="0.3">
      <c r="A295" s="23">
        <v>43944</v>
      </c>
      <c r="B295" s="24">
        <v>390</v>
      </c>
      <c r="C295" s="24">
        <f>VLOOKUP(Таблица1[[#This Row],[Названия строк]],Котировки[[&lt;DATE&gt;]:[&lt;VOL&gt;]],6,0)</f>
        <v>101.43</v>
      </c>
      <c r="D295" s="26">
        <f>INDEX(Купоны[Дата],MATCH($A295,Купоны[Дата],1))</f>
        <v>43931</v>
      </c>
      <c r="E295" s="24">
        <f>Купоны!$C$4*(A295-D295)/365*100</f>
        <v>0.28493150684931506</v>
      </c>
      <c r="F295" s="27">
        <f>-B295*(C295+E295)*Купоны!$G$10/100</f>
        <v>-396688.2328767124</v>
      </c>
      <c r="G295" s="34">
        <f>SUM($B$2:B295)</f>
        <v>1070</v>
      </c>
      <c r="H295" s="31">
        <f>_xlfn.IFNA(VLOOKUP($A295,Купоны[[Дата]:[% от номинала]],3,0),0)*Купоны!$G$10/100*G295</f>
        <v>0</v>
      </c>
      <c r="I295" s="36">
        <f>Таблица1[[#This Row],[Денежный поток]]+Таблица1[[#This Row],[Купонный доход]]</f>
        <v>-396688.2328767124</v>
      </c>
      <c r="J295" s="31">
        <f>Таблица1[[#This Row],[Общий денежный поток]]/((1+$L$2)^((Таблица1[[#This Row],[Названия строк]]-$A$2)/365))</f>
        <v>-350644.08335080039</v>
      </c>
    </row>
    <row r="296" spans="1:10" x14ac:dyDescent="0.3">
      <c r="A296" s="23">
        <v>43945</v>
      </c>
      <c r="B296" s="24">
        <v>110</v>
      </c>
      <c r="C296" s="24">
        <f>VLOOKUP(Таблица1[[#This Row],[Названия строк]],Котировки[[&lt;DATE&gt;]:[&lt;VOL&gt;]],6,0)</f>
        <v>101.55</v>
      </c>
      <c r="D296" s="26">
        <f>INDEX(Купоны[Дата],MATCH($A296,Купоны[Дата],1))</f>
        <v>43931</v>
      </c>
      <c r="E296" s="24">
        <f>Купоны!$C$4*(A296-D296)/365*100</f>
        <v>0.30684931506849317</v>
      </c>
      <c r="F296" s="27">
        <f>-B296*(C296+E296)*Купоны!$G$10/100</f>
        <v>-112042.53424657535</v>
      </c>
      <c r="G296" s="34">
        <f>SUM($B$2:B296)</f>
        <v>1180</v>
      </c>
      <c r="H296" s="31">
        <f>_xlfn.IFNA(VLOOKUP($A296,Купоны[[Дата]:[% от номинала]],3,0),0)*Купоны!$G$10/100*G296</f>
        <v>0</v>
      </c>
      <c r="I296" s="36">
        <f>Таблица1[[#This Row],[Денежный поток]]+Таблица1[[#This Row],[Купонный доход]]</f>
        <v>-112042.53424657535</v>
      </c>
      <c r="J296" s="31">
        <f>Таблица1[[#This Row],[Общий денежный поток]]/((1+$L$2)^((Таблица1[[#This Row],[Названия строк]]-$A$2)/365))</f>
        <v>-99024.365348561114</v>
      </c>
    </row>
    <row r="297" spans="1:10" x14ac:dyDescent="0.3">
      <c r="A297" s="23">
        <v>43948</v>
      </c>
      <c r="B297" s="24">
        <v>-220</v>
      </c>
      <c r="C297" s="24">
        <f>VLOOKUP(Таблица1[[#This Row],[Названия строк]],Котировки[[&lt;DATE&gt;]:[&lt;VOL&gt;]],6,0)</f>
        <v>101.5</v>
      </c>
      <c r="D297" s="26">
        <f>INDEX(Купоны[Дата],MATCH($A297,Купоны[Дата],1))</f>
        <v>43931</v>
      </c>
      <c r="E297" s="24">
        <f>Купоны!$C$4*(A297-D297)/365*100</f>
        <v>0.37260273972602742</v>
      </c>
      <c r="F297" s="27">
        <f>-B297*(C297+E297)*Купоны!$G$10/100</f>
        <v>224119.72602739726</v>
      </c>
      <c r="G297" s="34">
        <f>SUM($B$2:B297)</f>
        <v>960</v>
      </c>
      <c r="H297" s="31">
        <f>_xlfn.IFNA(VLOOKUP($A297,Купоны[[Дата]:[% от номинала]],3,0),0)*Купоны!$G$10/100*G297</f>
        <v>0</v>
      </c>
      <c r="I297" s="36">
        <f>Таблица1[[#This Row],[Денежный поток]]+Таблица1[[#This Row],[Купонный доход]]</f>
        <v>224119.72602739726</v>
      </c>
      <c r="J297" s="31">
        <f>Таблица1[[#This Row],[Общий денежный поток]]/((1+$L$2)^((Таблица1[[#This Row],[Названия строк]]-$A$2)/365))</f>
        <v>197999.94450904455</v>
      </c>
    </row>
    <row r="298" spans="1:10" x14ac:dyDescent="0.3">
      <c r="A298" s="23">
        <v>43949</v>
      </c>
      <c r="B298" s="24">
        <v>-400</v>
      </c>
      <c r="C298" s="24">
        <f>VLOOKUP(Таблица1[[#This Row],[Названия строк]],Котировки[[&lt;DATE&gt;]:[&lt;VOL&gt;]],6,0)</f>
        <v>101.5</v>
      </c>
      <c r="D298" s="26">
        <f>INDEX(Купоны[Дата],MATCH($A298,Купоны[Дата],1))</f>
        <v>43931</v>
      </c>
      <c r="E298" s="24">
        <f>Купоны!$C$4*(A298-D298)/365*100</f>
        <v>0.39452054794520547</v>
      </c>
      <c r="F298" s="27">
        <f>-B298*(C298+E298)*Купоны!$G$10/100</f>
        <v>407578.08219178091</v>
      </c>
      <c r="G298" s="34">
        <f>SUM($B$2:B298)</f>
        <v>560</v>
      </c>
      <c r="H298" s="31">
        <f>_xlfn.IFNA(VLOOKUP($A298,Купоны[[Дата]:[% от номинала]],3,0),0)*Купоны!$G$10/100*G298</f>
        <v>0</v>
      </c>
      <c r="I298" s="36">
        <f>Таблица1[[#This Row],[Денежный поток]]+Таблица1[[#This Row],[Купонный доход]]</f>
        <v>407578.08219178091</v>
      </c>
      <c r="J298" s="31">
        <f>Таблица1[[#This Row],[Общий денежный поток]]/((1+$L$2)^((Таблица1[[#This Row],[Названия строк]]-$A$2)/365))</f>
        <v>360029.22386612813</v>
      </c>
    </row>
    <row r="299" spans="1:10" x14ac:dyDescent="0.3">
      <c r="A299" s="23">
        <v>43950</v>
      </c>
      <c r="B299" s="24">
        <v>300</v>
      </c>
      <c r="C299" s="24">
        <f>VLOOKUP(Таблица1[[#This Row],[Названия строк]],Котировки[[&lt;DATE&gt;]:[&lt;VOL&gt;]],6,0)</f>
        <v>101.6</v>
      </c>
      <c r="D299" s="26">
        <f>INDEX(Купоны[Дата],MATCH($A299,Купоны[Дата],1))</f>
        <v>43931</v>
      </c>
      <c r="E299" s="24">
        <f>Купоны!$C$4*(A299-D299)/365*100</f>
        <v>0.41643835616438352</v>
      </c>
      <c r="F299" s="27">
        <f>-B299*(C299+E299)*Купоны!$G$10/100</f>
        <v>-306049.31506849313</v>
      </c>
      <c r="G299" s="34">
        <f>SUM($B$2:B299)</f>
        <v>860</v>
      </c>
      <c r="H299" s="31">
        <f>_xlfn.IFNA(VLOOKUP($A299,Купоны[[Дата]:[% от номинала]],3,0),0)*Купоны!$G$10/100*G299</f>
        <v>0</v>
      </c>
      <c r="I299" s="36">
        <f>Таблица1[[#This Row],[Денежный поток]]+Таблица1[[#This Row],[Купонный доход]]</f>
        <v>-306049.31506849313</v>
      </c>
      <c r="J299" s="31">
        <f>Таблица1[[#This Row],[Общий денежный поток]]/((1+$L$2)^((Таблица1[[#This Row],[Названия строк]]-$A$2)/365))</f>
        <v>-270308.86675637437</v>
      </c>
    </row>
    <row r="300" spans="1:10" x14ac:dyDescent="0.3">
      <c r="A300" s="23">
        <v>43951</v>
      </c>
      <c r="B300" s="24">
        <v>-650</v>
      </c>
      <c r="C300" s="24">
        <f>VLOOKUP(Таблица1[[#This Row],[Названия строк]],Котировки[[&lt;DATE&gt;]:[&lt;VOL&gt;]],6,0)</f>
        <v>101.61</v>
      </c>
      <c r="D300" s="26">
        <f>INDEX(Купоны[Дата],MATCH($A300,Купоны[Дата],1))</f>
        <v>43931</v>
      </c>
      <c r="E300" s="24">
        <f>Купоны!$C$4*(A300-D300)/365*100</f>
        <v>0.43835616438356168</v>
      </c>
      <c r="F300" s="27">
        <f>-B300*(C300+E300)*Купоны!$G$10/100</f>
        <v>663314.31506849313</v>
      </c>
      <c r="G300" s="34">
        <f>SUM($B$2:B300)</f>
        <v>210</v>
      </c>
      <c r="H300" s="31">
        <f>_xlfn.IFNA(VLOOKUP($A300,Купоны[[Дата]:[% от номинала]],3,0),0)*Купоны!$G$10/100*G300</f>
        <v>0</v>
      </c>
      <c r="I300" s="36">
        <f>Таблица1[[#This Row],[Денежный поток]]+Таблица1[[#This Row],[Купонный доход]]</f>
        <v>663314.31506849313</v>
      </c>
      <c r="J300" s="31">
        <f>Таблица1[[#This Row],[Общий денежный поток]]/((1+$L$2)^((Таблица1[[#This Row],[Названия строк]]-$A$2)/365))</f>
        <v>585774.14255304879</v>
      </c>
    </row>
    <row r="301" spans="1:10" x14ac:dyDescent="0.3">
      <c r="A301" s="23">
        <v>43955</v>
      </c>
      <c r="B301" s="24">
        <v>510</v>
      </c>
      <c r="C301" s="24">
        <f>VLOOKUP(Таблица1[[#This Row],[Названия строк]],Котировки[[&lt;DATE&gt;]:[&lt;VOL&gt;]],6,0)</f>
        <v>101.5</v>
      </c>
      <c r="D301" s="26">
        <f>INDEX(Купоны[Дата],MATCH($A301,Купоны[Дата],1))</f>
        <v>43931</v>
      </c>
      <c r="E301" s="24">
        <f>Купоны!$C$4*(A301-D301)/365*100</f>
        <v>0.52602739726027403</v>
      </c>
      <c r="F301" s="27">
        <f>-B301*(C301+E301)*Купоны!$G$10/100</f>
        <v>-520332.73972602742</v>
      </c>
      <c r="G301" s="34">
        <f>SUM($B$2:B301)</f>
        <v>720</v>
      </c>
      <c r="H301" s="31">
        <f>_xlfn.IFNA(VLOOKUP($A301,Купоны[[Дата]:[% от номинала]],3,0),0)*Купоны!$G$10/100*G301</f>
        <v>0</v>
      </c>
      <c r="I301" s="36">
        <f>Таблица1[[#This Row],[Денежный поток]]+Таблица1[[#This Row],[Купонный доход]]</f>
        <v>-520332.73972602742</v>
      </c>
      <c r="J301" s="31">
        <f>Таблица1[[#This Row],[Общий денежный поток]]/((1+$L$2)^((Таблица1[[#This Row],[Названия строк]]-$A$2)/365))</f>
        <v>-459261.21287697245</v>
      </c>
    </row>
    <row r="302" spans="1:10" x14ac:dyDescent="0.3">
      <c r="A302" s="23">
        <v>43959</v>
      </c>
      <c r="B302" s="24">
        <v>-660</v>
      </c>
      <c r="C302" s="24">
        <f>VLOOKUP(Таблица1[[#This Row],[Названия строк]],Котировки[[&lt;DATE&gt;]:[&lt;VOL&gt;]],6,0)</f>
        <v>101.63</v>
      </c>
      <c r="D302" s="26">
        <f>INDEX(Купоны[Дата],MATCH($A302,Купоны[Дата],1))</f>
        <v>43931</v>
      </c>
      <c r="E302" s="24">
        <f>Купоны!$C$4*(A302-D302)/365*100</f>
        <v>0.61369863013698633</v>
      </c>
      <c r="F302" s="27">
        <f>-B302*(C302+E302)*Купоны!$G$10/100</f>
        <v>674808.41095890407</v>
      </c>
      <c r="G302" s="34">
        <f>SUM($B$2:B302)</f>
        <v>60</v>
      </c>
      <c r="H302" s="31">
        <f>_xlfn.IFNA(VLOOKUP($A302,Купоны[[Дата]:[% от номинала]],3,0),0)*Купоны!$G$10/100*G302</f>
        <v>0</v>
      </c>
      <c r="I302" s="36">
        <f>Таблица1[[#This Row],[Денежный поток]]+Таблица1[[#This Row],[Купонный доход]]</f>
        <v>674808.41095890407</v>
      </c>
      <c r="J302" s="31">
        <f>Таблица1[[#This Row],[Общий денежный поток]]/((1+$L$2)^((Таблица1[[#This Row],[Названия строк]]-$A$2)/365))</f>
        <v>595287.67532003531</v>
      </c>
    </row>
    <row r="303" spans="1:10" x14ac:dyDescent="0.3">
      <c r="A303" s="23">
        <v>43966</v>
      </c>
      <c r="B303" s="24">
        <v>510</v>
      </c>
      <c r="C303" s="24">
        <f>VLOOKUP(Таблица1[[#This Row],[Названия строк]],Котировки[[&lt;DATE&gt;]:[&lt;VOL&gt;]],6,0)</f>
        <v>101.5</v>
      </c>
      <c r="D303" s="26">
        <f>INDEX(Купоны[Дата],MATCH($A303,Купоны[Дата],1))</f>
        <v>43931</v>
      </c>
      <c r="E303" s="24">
        <f>Купоны!$C$4*(A303-D303)/365*100</f>
        <v>0.76712328767123295</v>
      </c>
      <c r="F303" s="27">
        <f>-B303*(C303+E303)*Купоны!$G$10/100</f>
        <v>-521562.32876712328</v>
      </c>
      <c r="G303" s="34">
        <f>SUM($B$2:B303)</f>
        <v>570</v>
      </c>
      <c r="H303" s="31">
        <f>_xlfn.IFNA(VLOOKUP($A303,Купоны[[Дата]:[% от номинала]],3,0),0)*Купоны!$G$10/100*G303</f>
        <v>0</v>
      </c>
      <c r="I303" s="36">
        <f>Таблица1[[#This Row],[Денежный поток]]+Таблица1[[#This Row],[Купонный доход]]</f>
        <v>-521562.32876712328</v>
      </c>
      <c r="J303" s="31">
        <f>Таблица1[[#This Row],[Общий денежный поток]]/((1+$L$2)^((Таблица1[[#This Row],[Названия строк]]-$A$2)/365))</f>
        <v>-459670.09409822419</v>
      </c>
    </row>
    <row r="304" spans="1:10" x14ac:dyDescent="0.3">
      <c r="A304" s="23">
        <v>43969</v>
      </c>
      <c r="B304" s="24">
        <v>-390</v>
      </c>
      <c r="C304" s="24">
        <f>VLOOKUP(Таблица1[[#This Row],[Названия строк]],Котировки[[&lt;DATE&gt;]:[&lt;VOL&gt;]],6,0)</f>
        <v>101.4</v>
      </c>
      <c r="D304" s="26">
        <f>INDEX(Купоны[Дата],MATCH($A304,Купоны[Дата],1))</f>
        <v>43931</v>
      </c>
      <c r="E304" s="24">
        <f>Купоны!$C$4*(A304-D304)/365*100</f>
        <v>0.83287671232876703</v>
      </c>
      <c r="F304" s="27">
        <f>-B304*(C304+E304)*Купоны!$G$10/100</f>
        <v>398708.21917808219</v>
      </c>
      <c r="G304" s="34">
        <f>SUM($B$2:B304)</f>
        <v>180</v>
      </c>
      <c r="H304" s="31">
        <f>_xlfn.IFNA(VLOOKUP($A304,Купоны[[Дата]:[% от номинала]],3,0),0)*Купоны!$G$10/100*G304</f>
        <v>0</v>
      </c>
      <c r="I304" s="36">
        <f>Таблица1[[#This Row],[Денежный поток]]+Таблица1[[#This Row],[Купонный доход]]</f>
        <v>398708.21917808219</v>
      </c>
      <c r="J304" s="31">
        <f>Таблица1[[#This Row],[Общий денежный поток]]/((1+$L$2)^((Таблица1[[#This Row],[Названия строк]]-$A$2)/365))</f>
        <v>351253.82629695238</v>
      </c>
    </row>
    <row r="305" spans="1:10" x14ac:dyDescent="0.3">
      <c r="A305" s="23">
        <v>43972</v>
      </c>
      <c r="B305" s="24">
        <v>1120</v>
      </c>
      <c r="C305" s="24">
        <f>VLOOKUP(Таблица1[[#This Row],[Названия строк]],Котировки[[&lt;DATE&gt;]:[&lt;VOL&gt;]],6,0)</f>
        <v>101.46</v>
      </c>
      <c r="D305" s="26">
        <f>INDEX(Купоны[Дата],MATCH($A305,Купоны[Дата],1))</f>
        <v>43931</v>
      </c>
      <c r="E305" s="24">
        <f>Купоны!$C$4*(A305-D305)/365*100</f>
        <v>0.89863013698630134</v>
      </c>
      <c r="F305" s="27">
        <f>-B305*(C305+E305)*Купоны!$G$10/100</f>
        <v>-1146416.6575342463</v>
      </c>
      <c r="G305" s="34">
        <f>SUM($B$2:B305)</f>
        <v>1300</v>
      </c>
      <c r="H305" s="31">
        <f>_xlfn.IFNA(VLOOKUP($A305,Купоны[[Дата]:[% от номинала]],3,0),0)*Купоны!$G$10/100*G305</f>
        <v>0</v>
      </c>
      <c r="I305" s="36">
        <f>Таблица1[[#This Row],[Денежный поток]]+Таблица1[[#This Row],[Купонный доход]]</f>
        <v>-1146416.6575342463</v>
      </c>
      <c r="J305" s="31">
        <f>Таблица1[[#This Row],[Общий денежный поток]]/((1+$L$2)^((Таблица1[[#This Row],[Названия строк]]-$A$2)/365))</f>
        <v>-1009564.8107166801</v>
      </c>
    </row>
    <row r="306" spans="1:10" x14ac:dyDescent="0.3">
      <c r="A306" s="23">
        <v>43973</v>
      </c>
      <c r="B306" s="24">
        <v>-790</v>
      </c>
      <c r="C306" s="24">
        <f>VLOOKUP(Таблица1[[#This Row],[Названия строк]],Котировки[[&lt;DATE&gt;]:[&lt;VOL&gt;]],6,0)</f>
        <v>101.42</v>
      </c>
      <c r="D306" s="26">
        <f>INDEX(Купоны[Дата],MATCH($A306,Купоны[Дата],1))</f>
        <v>43931</v>
      </c>
      <c r="E306" s="24">
        <f>Купоны!$C$4*(A306-D306)/365*100</f>
        <v>0.92054794520547933</v>
      </c>
      <c r="F306" s="27">
        <f>-B306*(C306+E306)*Купоны!$G$10/100</f>
        <v>808490.32876712317</v>
      </c>
      <c r="G306" s="34">
        <f>SUM($B$2:B306)</f>
        <v>510</v>
      </c>
      <c r="H306" s="31">
        <f>_xlfn.IFNA(VLOOKUP($A306,Купоны[[Дата]:[% от номинала]],3,0),0)*Купоны!$G$10/100*G306</f>
        <v>0</v>
      </c>
      <c r="I306" s="36">
        <f>Таблица1[[#This Row],[Денежный поток]]+Таблица1[[#This Row],[Купонный доход]]</f>
        <v>808490.32876712317</v>
      </c>
      <c r="J306" s="31">
        <f>Таблица1[[#This Row],[Общий денежный поток]]/((1+$L$2)^((Таблица1[[#This Row],[Названия строк]]-$A$2)/365))</f>
        <v>711882.78860309359</v>
      </c>
    </row>
    <row r="307" spans="1:10" x14ac:dyDescent="0.3">
      <c r="A307" s="23">
        <v>43977</v>
      </c>
      <c r="B307" s="24">
        <v>110</v>
      </c>
      <c r="C307" s="24">
        <f>VLOOKUP(Таблица1[[#This Row],[Названия строк]],Котировки[[&lt;DATE&gt;]:[&lt;VOL&gt;]],6,0)</f>
        <v>101.45</v>
      </c>
      <c r="D307" s="26">
        <f>INDEX(Купоны[Дата],MATCH($A307,Купоны[Дата],1))</f>
        <v>43931</v>
      </c>
      <c r="E307" s="24">
        <f>Купоны!$C$4*(A307-D307)/365*100</f>
        <v>1.0082191780821919</v>
      </c>
      <c r="F307" s="27">
        <f>-B307*(C307+E307)*Купоны!$G$10/100</f>
        <v>-112704.0410958904</v>
      </c>
      <c r="G307" s="34">
        <f>SUM($B$2:B307)</f>
        <v>620</v>
      </c>
      <c r="H307" s="31">
        <f>_xlfn.IFNA(VLOOKUP($A307,Купоны[[Дата]:[% от номинала]],3,0),0)*Купоны!$G$10/100*G307</f>
        <v>0</v>
      </c>
      <c r="I307" s="36">
        <f>Таблица1[[#This Row],[Денежный поток]]+Таблица1[[#This Row],[Купонный доход]]</f>
        <v>-112704.0410958904</v>
      </c>
      <c r="J307" s="31">
        <f>Таблица1[[#This Row],[Общий денежный поток]]/((1+$L$2)^((Таблица1[[#This Row],[Названия строк]]-$A$2)/365))</f>
        <v>-99183.845067828981</v>
      </c>
    </row>
    <row r="308" spans="1:10" x14ac:dyDescent="0.3">
      <c r="A308" s="23">
        <v>43983</v>
      </c>
      <c r="B308" s="24">
        <v>-280</v>
      </c>
      <c r="C308" s="24">
        <f>VLOOKUP(Таблица1[[#This Row],[Названия строк]],Котировки[[&lt;DATE&gt;]:[&lt;VOL&gt;]],6,0)</f>
        <v>101.5</v>
      </c>
      <c r="D308" s="26">
        <f>INDEX(Купоны[Дата],MATCH($A308,Купоны[Дата],1))</f>
        <v>43931</v>
      </c>
      <c r="E308" s="24">
        <f>Купоны!$C$4*(A308-D308)/365*100</f>
        <v>1.1397260273972603</v>
      </c>
      <c r="F308" s="27">
        <f>-B308*(C308+E308)*Купоны!$G$10/100</f>
        <v>287391.23287671228</v>
      </c>
      <c r="G308" s="34">
        <f>SUM($B$2:B308)</f>
        <v>340</v>
      </c>
      <c r="H308" s="31">
        <f>_xlfn.IFNA(VLOOKUP($A308,Купоны[[Дата]:[% от номинала]],3,0),0)*Купоны!$G$10/100*G308</f>
        <v>0</v>
      </c>
      <c r="I308" s="36">
        <f>Таблица1[[#This Row],[Денежный поток]]+Таблица1[[#This Row],[Купонный доход]]</f>
        <v>287391.23287671228</v>
      </c>
      <c r="J308" s="31">
        <f>Таблица1[[#This Row],[Общий денежный поток]]/((1+$L$2)^((Таблица1[[#This Row],[Названия строк]]-$A$2)/365))</f>
        <v>252712.45718339339</v>
      </c>
    </row>
    <row r="309" spans="1:10" x14ac:dyDescent="0.3">
      <c r="A309" s="23">
        <v>43985</v>
      </c>
      <c r="B309" s="24">
        <v>-70</v>
      </c>
      <c r="C309" s="24">
        <f>VLOOKUP(Таблица1[[#This Row],[Названия строк]],Котировки[[&lt;DATE&gt;]:[&lt;VOL&gt;]],6,0)</f>
        <v>101.5</v>
      </c>
      <c r="D309" s="26">
        <f>INDEX(Купоны[Дата],MATCH($A309,Купоны[Дата],1))</f>
        <v>43931</v>
      </c>
      <c r="E309" s="24">
        <f>Купоны!$C$4*(A309-D309)/365*100</f>
        <v>1.1835616438356167</v>
      </c>
      <c r="F309" s="27">
        <f>-B309*(C309+E309)*Купоны!$G$10/100</f>
        <v>71878.493150684939</v>
      </c>
      <c r="G309" s="34">
        <f>SUM($B$2:B309)</f>
        <v>270</v>
      </c>
      <c r="H309" s="31">
        <f>_xlfn.IFNA(VLOOKUP($A309,Купоны[[Дата]:[% от номинала]],3,0),0)*Купоны!$G$10/100*G309</f>
        <v>0</v>
      </c>
      <c r="I309" s="36">
        <f>Таблица1[[#This Row],[Денежный поток]]+Таблица1[[#This Row],[Купонный доход]]</f>
        <v>71878.493150684939</v>
      </c>
      <c r="J309" s="31">
        <f>Таблица1[[#This Row],[Общий денежный поток]]/((1+$L$2)^((Таблица1[[#This Row],[Названия строк]]-$A$2)/365))</f>
        <v>63188.201349305993</v>
      </c>
    </row>
    <row r="310" spans="1:10" x14ac:dyDescent="0.3">
      <c r="A310" s="23">
        <v>43987</v>
      </c>
      <c r="B310" s="24">
        <v>-170</v>
      </c>
      <c r="C310" s="24">
        <f>VLOOKUP(Таблица1[[#This Row],[Названия строк]],Котировки[[&lt;DATE&gt;]:[&lt;VOL&gt;]],6,0)</f>
        <v>101.46</v>
      </c>
      <c r="D310" s="26">
        <f>INDEX(Купоны[Дата],MATCH($A310,Купоны[Дата],1))</f>
        <v>43931</v>
      </c>
      <c r="E310" s="24">
        <f>Купоны!$C$4*(A310-D310)/365*100</f>
        <v>1.2273972602739727</v>
      </c>
      <c r="F310" s="27">
        <f>-B310*(C310+E310)*Купоны!$G$10/100</f>
        <v>174568.57534246575</v>
      </c>
      <c r="G310" s="34">
        <f>SUM($B$2:B310)</f>
        <v>100</v>
      </c>
      <c r="H310" s="31">
        <f>_xlfn.IFNA(VLOOKUP($A310,Купоны[[Дата]:[% от номинала]],3,0),0)*Купоны!$G$10/100*G310</f>
        <v>0</v>
      </c>
      <c r="I310" s="36">
        <f>Таблица1[[#This Row],[Денежный поток]]+Таблица1[[#This Row],[Купонный доход]]</f>
        <v>174568.57534246575</v>
      </c>
      <c r="J310" s="31">
        <f>Таблица1[[#This Row],[Общий денежный поток]]/((1+$L$2)^((Таблица1[[#This Row],[Названия строк]]-$A$2)/365))</f>
        <v>153421.77084119897</v>
      </c>
    </row>
    <row r="311" spans="1:10" x14ac:dyDescent="0.3">
      <c r="A311" s="23">
        <v>43993</v>
      </c>
      <c r="B311" s="24">
        <v>190</v>
      </c>
      <c r="C311" s="24">
        <f>VLOOKUP(Таблица1[[#This Row],[Названия строк]],Котировки[[&lt;DATE&gt;]:[&lt;VOL&gt;]],6,0)</f>
        <v>101.42</v>
      </c>
      <c r="D311" s="26">
        <f>INDEX(Купоны[Дата],MATCH($A311,Купоны[Дата],1))</f>
        <v>43931</v>
      </c>
      <c r="E311" s="24">
        <f>Купоны!$C$4*(A311-D311)/365*100</f>
        <v>1.3589041095890411</v>
      </c>
      <c r="F311" s="27">
        <f>-B311*(C311+E311)*Купоны!$G$10/100</f>
        <v>-195279.91780821921</v>
      </c>
      <c r="G311" s="34">
        <f>SUM($B$2:B311)</f>
        <v>290</v>
      </c>
      <c r="H311" s="31">
        <f>_xlfn.IFNA(VLOOKUP($A311,Купоны[[Дата]:[% от номинала]],3,0),0)*Купоны!$G$10/100*G311</f>
        <v>0</v>
      </c>
      <c r="I311" s="36">
        <f>Таблица1[[#This Row],[Денежный поток]]+Таблица1[[#This Row],[Купонный доход]]</f>
        <v>-195279.91780821921</v>
      </c>
      <c r="J311" s="31">
        <f>Таблица1[[#This Row],[Общий денежный поток]]/((1+$L$2)^((Таблица1[[#This Row],[Названия строк]]-$A$2)/365))</f>
        <v>-171486.60003575022</v>
      </c>
    </row>
    <row r="312" spans="1:10" x14ac:dyDescent="0.3">
      <c r="A312" s="23">
        <v>43997</v>
      </c>
      <c r="B312" s="24">
        <v>-240</v>
      </c>
      <c r="C312" s="24">
        <f>VLOOKUP(Таблица1[[#This Row],[Названия строк]],Котировки[[&lt;DATE&gt;]:[&lt;VOL&gt;]],6,0)</f>
        <v>101.4</v>
      </c>
      <c r="D312" s="26">
        <f>INDEX(Купоны[Дата],MATCH($A312,Купоны[Дата],1))</f>
        <v>43931</v>
      </c>
      <c r="E312" s="24">
        <f>Купоны!$C$4*(A312-D312)/365*100</f>
        <v>1.4465753424657535</v>
      </c>
      <c r="F312" s="27">
        <f>-B312*(C312+E312)*Купоны!$G$10/100</f>
        <v>246831.78082191781</v>
      </c>
      <c r="G312" s="34">
        <f>SUM($B$2:B312)</f>
        <v>50</v>
      </c>
      <c r="H312" s="31">
        <f>_xlfn.IFNA(VLOOKUP($A312,Купоны[[Дата]:[% от номинала]],3,0),0)*Купоны!$G$10/100*G312</f>
        <v>0</v>
      </c>
      <c r="I312" s="36">
        <f>Таблица1[[#This Row],[Денежный поток]]+Таблица1[[#This Row],[Купонный доход]]</f>
        <v>246831.78082191781</v>
      </c>
      <c r="J312" s="31">
        <f>Таблица1[[#This Row],[Общий денежный поток]]/((1+$L$2)^((Таблица1[[#This Row],[Названия строк]]-$A$2)/365))</f>
        <v>216641.40888131908</v>
      </c>
    </row>
    <row r="313" spans="1:10" x14ac:dyDescent="0.3">
      <c r="A313" s="23">
        <v>44000</v>
      </c>
      <c r="B313" s="24">
        <v>410</v>
      </c>
      <c r="C313" s="24">
        <f>VLOOKUP(Таблица1[[#This Row],[Названия строк]],Котировки[[&lt;DATE&gt;]:[&lt;VOL&gt;]],6,0)</f>
        <v>101.46</v>
      </c>
      <c r="D313" s="26">
        <f>INDEX(Купоны[Дата],MATCH($A313,Купоны[Дата],1))</f>
        <v>43931</v>
      </c>
      <c r="E313" s="24">
        <f>Купоны!$C$4*(A313-D313)/365*100</f>
        <v>1.5123287671232877</v>
      </c>
      <c r="F313" s="27">
        <f>-B313*(C313+E313)*Купоны!$G$10/100</f>
        <v>-422186.54794520541</v>
      </c>
      <c r="G313" s="34">
        <f>SUM($B$2:B313)</f>
        <v>460</v>
      </c>
      <c r="H313" s="31">
        <f>_xlfn.IFNA(VLOOKUP($A313,Купоны[[Дата]:[% от номинала]],3,0),0)*Купоны!$G$10/100*G313</f>
        <v>0</v>
      </c>
      <c r="I313" s="36">
        <f>Таблица1[[#This Row],[Денежный поток]]+Таблица1[[#This Row],[Купонный доход]]</f>
        <v>-422186.54794520541</v>
      </c>
      <c r="J313" s="31">
        <f>Таблица1[[#This Row],[Общий денежный поток]]/((1+$L$2)^((Таблица1[[#This Row],[Названия строк]]-$A$2)/365))</f>
        <v>-370399.70109016576</v>
      </c>
    </row>
    <row r="314" spans="1:10" x14ac:dyDescent="0.3">
      <c r="A314" s="23">
        <v>44001</v>
      </c>
      <c r="B314" s="24">
        <v>630</v>
      </c>
      <c r="C314" s="24">
        <f>VLOOKUP(Таблица1[[#This Row],[Названия строк]],Котировки[[&lt;DATE&gt;]:[&lt;VOL&gt;]],6,0)</f>
        <v>101.52</v>
      </c>
      <c r="D314" s="26">
        <f>INDEX(Купоны[Дата],MATCH($A314,Купоны[Дата],1))</f>
        <v>43931</v>
      </c>
      <c r="E314" s="24">
        <f>Купоны!$C$4*(A314-D314)/365*100</f>
        <v>1.5342465753424659</v>
      </c>
      <c r="F314" s="27">
        <f>-B314*(C314+E314)*Купоны!$G$10/100</f>
        <v>-649241.75342465751</v>
      </c>
      <c r="G314" s="34">
        <f>SUM($B$2:B314)</f>
        <v>1090</v>
      </c>
      <c r="H314" s="31">
        <f>_xlfn.IFNA(VLOOKUP($A314,Купоны[[Дата]:[% от номинала]],3,0),0)*Купоны!$G$10/100*G314</f>
        <v>0</v>
      </c>
      <c r="I314" s="36">
        <f>Таблица1[[#This Row],[Денежный поток]]+Таблица1[[#This Row],[Купонный доход]]</f>
        <v>-649241.75342465751</v>
      </c>
      <c r="J314" s="31">
        <f>Таблица1[[#This Row],[Общий денежный поток]]/((1+$L$2)^((Таблица1[[#This Row],[Названия строк]]-$A$2)/365))</f>
        <v>-569527.40322089859</v>
      </c>
    </row>
    <row r="315" spans="1:10" x14ac:dyDescent="0.3">
      <c r="A315" s="23">
        <v>44004</v>
      </c>
      <c r="B315" s="24">
        <v>-550</v>
      </c>
      <c r="C315" s="24">
        <f>VLOOKUP(Таблица1[[#This Row],[Названия строк]],Котировки[[&lt;DATE&gt;]:[&lt;VOL&gt;]],6,0)</f>
        <v>101.58</v>
      </c>
      <c r="D315" s="26">
        <f>INDEX(Купоны[Дата],MATCH($A315,Купоны[Дата],1))</f>
        <v>43931</v>
      </c>
      <c r="E315" s="24">
        <f>Купоны!$C$4*(A315-D315)/365*100</f>
        <v>1.6</v>
      </c>
      <c r="F315" s="27">
        <f>-B315*(C315+E315)*Купоны!$G$10/100</f>
        <v>567489.99999999988</v>
      </c>
      <c r="G315" s="34">
        <f>SUM($B$2:B315)</f>
        <v>540</v>
      </c>
      <c r="H315" s="31">
        <f>_xlfn.IFNA(VLOOKUP($A315,Купоны[[Дата]:[% от номинала]],3,0),0)*Купоны!$G$10/100*G315</f>
        <v>0</v>
      </c>
      <c r="I315" s="36">
        <f>Таблица1[[#This Row],[Денежный поток]]+Таблица1[[#This Row],[Купонный доход]]</f>
        <v>567489.99999999988</v>
      </c>
      <c r="J315" s="31">
        <f>Таблица1[[#This Row],[Общий денежный поток]]/((1+$L$2)^((Таблица1[[#This Row],[Названия строк]]-$A$2)/365))</f>
        <v>497613.59590111312</v>
      </c>
    </row>
    <row r="316" spans="1:10" x14ac:dyDescent="0.3">
      <c r="A316" s="23">
        <v>44005</v>
      </c>
      <c r="B316" s="24">
        <v>-300</v>
      </c>
      <c r="C316" s="24">
        <f>VLOOKUP(Таблица1[[#This Row],[Названия строк]],Котировки[[&lt;DATE&gt;]:[&lt;VOL&gt;]],6,0)</f>
        <v>101.5</v>
      </c>
      <c r="D316" s="26">
        <f>INDEX(Купоны[Дата],MATCH($A316,Купоны[Дата],1))</f>
        <v>43931</v>
      </c>
      <c r="E316" s="24">
        <f>Купоны!$C$4*(A316-D316)/365*100</f>
        <v>1.6219178082191781</v>
      </c>
      <c r="F316" s="27">
        <f>-B316*(C316+E316)*Купоны!$G$10/100</f>
        <v>309365.75342465751</v>
      </c>
      <c r="G316" s="34">
        <f>SUM($B$2:B316)</f>
        <v>240</v>
      </c>
      <c r="H316" s="31">
        <f>_xlfn.IFNA(VLOOKUP($A316,Купоны[[Дата]:[% от номинала]],3,0),0)*Купоны!$G$10/100*G316</f>
        <v>0</v>
      </c>
      <c r="I316" s="36">
        <f>Таблица1[[#This Row],[Денежный поток]]+Таблица1[[#This Row],[Купонный доход]]</f>
        <v>309365.75342465751</v>
      </c>
      <c r="J316" s="31">
        <f>Таблица1[[#This Row],[Общий денежный поток]]/((1+$L$2)^((Таблица1[[#This Row],[Названия строк]]-$A$2)/365))</f>
        <v>271236.54751837451</v>
      </c>
    </row>
    <row r="317" spans="1:10" x14ac:dyDescent="0.3">
      <c r="A317" s="23">
        <v>44007</v>
      </c>
      <c r="B317" s="24">
        <v>290</v>
      </c>
      <c r="C317" s="24">
        <f>VLOOKUP(Таблица1[[#This Row],[Названия строк]],Котировки[[&lt;DATE&gt;]:[&lt;VOL&gt;]],6,0)</f>
        <v>101.53</v>
      </c>
      <c r="D317" s="26">
        <f>INDEX(Купоны[Дата],MATCH($A317,Купоны[Дата],1))</f>
        <v>43931</v>
      </c>
      <c r="E317" s="24">
        <f>Купоны!$C$4*(A317-D317)/365*100</f>
        <v>1.6657534246575341</v>
      </c>
      <c r="F317" s="27">
        <f>-B317*(C317+E317)*Купоны!$G$10/100</f>
        <v>-299267.68493150687</v>
      </c>
      <c r="G317" s="34">
        <f>SUM($B$2:B317)</f>
        <v>530</v>
      </c>
      <c r="H317" s="31">
        <f>_xlfn.IFNA(VLOOKUP($A317,Купоны[[Дата]:[% от номинала]],3,0),0)*Купоны!$G$10/100*G317</f>
        <v>0</v>
      </c>
      <c r="I317" s="36">
        <f>Таблица1[[#This Row],[Денежный поток]]+Таблица1[[#This Row],[Купонный доход]]</f>
        <v>-299267.68493150687</v>
      </c>
      <c r="J317" s="31">
        <f>Таблица1[[#This Row],[Общий денежный поток]]/((1+$L$2)^((Таблица1[[#This Row],[Названия строк]]-$A$2)/365))</f>
        <v>-262312.92495046783</v>
      </c>
    </row>
    <row r="318" spans="1:10" x14ac:dyDescent="0.3">
      <c r="A318" s="23">
        <v>44008</v>
      </c>
      <c r="B318" s="24">
        <v>450</v>
      </c>
      <c r="C318" s="24">
        <f>VLOOKUP(Таблица1[[#This Row],[Названия строк]],Котировки[[&lt;DATE&gt;]:[&lt;VOL&gt;]],6,0)</f>
        <v>101.53</v>
      </c>
      <c r="D318" s="26">
        <f>INDEX(Купоны[Дата],MATCH($A318,Купоны[Дата],1))</f>
        <v>43931</v>
      </c>
      <c r="E318" s="24">
        <f>Купоны!$C$4*(A318-D318)/365*100</f>
        <v>1.6876712328767123</v>
      </c>
      <c r="F318" s="27">
        <f>-B318*(C318+E318)*Купоны!$G$10/100</f>
        <v>-464479.52054794523</v>
      </c>
      <c r="G318" s="34">
        <f>SUM($B$2:B318)</f>
        <v>980</v>
      </c>
      <c r="H318" s="31">
        <f>_xlfn.IFNA(VLOOKUP($A318,Купоны[[Дата]:[% от номинала]],3,0),0)*Купоны!$G$10/100*G318</f>
        <v>0</v>
      </c>
      <c r="I318" s="36">
        <f>Таблица1[[#This Row],[Денежный поток]]+Таблица1[[#This Row],[Купонный доход]]</f>
        <v>-464479.52054794523</v>
      </c>
      <c r="J318" s="31">
        <f>Таблица1[[#This Row],[Общий денежный поток]]/((1+$L$2)^((Таблица1[[#This Row],[Названия строк]]-$A$2)/365))</f>
        <v>-407069.33095428126</v>
      </c>
    </row>
    <row r="319" spans="1:10" x14ac:dyDescent="0.3">
      <c r="A319" s="23">
        <v>44011</v>
      </c>
      <c r="B319" s="24">
        <v>-410</v>
      </c>
      <c r="C319" s="24">
        <f>VLOOKUP(Таблица1[[#This Row],[Названия строк]],Котировки[[&lt;DATE&gt;]:[&lt;VOL&gt;]],6,0)</f>
        <v>101.47</v>
      </c>
      <c r="D319" s="26">
        <f>INDEX(Купоны[Дата],MATCH($A319,Купоны[Дата],1))</f>
        <v>43931</v>
      </c>
      <c r="E319" s="24">
        <f>Купоны!$C$4*(A319-D319)/365*100</f>
        <v>1.7534246575342467</v>
      </c>
      <c r="F319" s="27">
        <f>-B319*(C319+E319)*Купоны!$G$10/100</f>
        <v>423216.04109589045</v>
      </c>
      <c r="G319" s="34">
        <f>SUM($B$2:B319)</f>
        <v>570</v>
      </c>
      <c r="H319" s="31">
        <f>_xlfn.IFNA(VLOOKUP($A319,Купоны[[Дата]:[% от номинала]],3,0),0)*Купоны!$G$10/100*G319</f>
        <v>0</v>
      </c>
      <c r="I319" s="36">
        <f>Таблица1[[#This Row],[Денежный поток]]+Таблица1[[#This Row],[Купонный доход]]</f>
        <v>423216.04109589045</v>
      </c>
      <c r="J319" s="31">
        <f>Таблица1[[#This Row],[Общий денежный поток]]/((1+$L$2)^((Таблица1[[#This Row],[Названия строк]]-$A$2)/365))</f>
        <v>370757.35474048118</v>
      </c>
    </row>
    <row r="320" spans="1:10" x14ac:dyDescent="0.3">
      <c r="A320" s="23">
        <v>44012</v>
      </c>
      <c r="B320" s="24">
        <v>350</v>
      </c>
      <c r="C320" s="24">
        <f>VLOOKUP(Таблица1[[#This Row],[Названия строк]],Котировки[[&lt;DATE&gt;]:[&lt;VOL&gt;]],6,0)</f>
        <v>101.43</v>
      </c>
      <c r="D320" s="26">
        <f>INDEX(Купоны[Дата],MATCH($A320,Купоны[Дата],1))</f>
        <v>43931</v>
      </c>
      <c r="E320" s="24">
        <f>Купоны!$C$4*(A320-D320)/365*100</f>
        <v>1.7753424657534247</v>
      </c>
      <c r="F320" s="27">
        <f>-B320*(C320+E320)*Купоны!$G$10/100</f>
        <v>-361218.69863013702</v>
      </c>
      <c r="G320" s="34">
        <f>SUM($B$2:B320)</f>
        <v>920</v>
      </c>
      <c r="H320" s="31">
        <f>_xlfn.IFNA(VLOOKUP($A320,Купоны[[Дата]:[% от номинала]],3,0),0)*Купоны!$G$10/100*G320</f>
        <v>0</v>
      </c>
      <c r="I320" s="36">
        <f>Таблица1[[#This Row],[Денежный поток]]+Таблица1[[#This Row],[Купонный доход]]</f>
        <v>-361218.69863013702</v>
      </c>
      <c r="J320" s="31">
        <f>Таблица1[[#This Row],[Общий денежный поток]]/((1+$L$2)^((Таблица1[[#This Row],[Названия строк]]-$A$2)/365))</f>
        <v>-316402.44099629077</v>
      </c>
    </row>
    <row r="321" spans="1:10" x14ac:dyDescent="0.3">
      <c r="A321" s="23">
        <v>44015</v>
      </c>
      <c r="B321" s="24">
        <v>570</v>
      </c>
      <c r="C321" s="24">
        <f>VLOOKUP(Таблица1[[#This Row],[Названия строк]],Котировки[[&lt;DATE&gt;]:[&lt;VOL&gt;]],6,0)</f>
        <v>101.38</v>
      </c>
      <c r="D321" s="26">
        <f>INDEX(Купоны[Дата],MATCH($A321,Купоны[Дата],1))</f>
        <v>43931</v>
      </c>
      <c r="E321" s="24">
        <f>Купоны!$C$4*(A321-D321)/365*100</f>
        <v>1.8410958904109587</v>
      </c>
      <c r="F321" s="27">
        <f>-B321*(C321+E321)*Купоны!$G$10/100</f>
        <v>-588360.24657534237</v>
      </c>
      <c r="G321" s="34">
        <f>SUM($B$2:B321)</f>
        <v>1490</v>
      </c>
      <c r="H321" s="31">
        <f>_xlfn.IFNA(VLOOKUP($A321,Купоны[[Дата]:[% от номинала]],3,0),0)*Купоны!$G$10/100*G321</f>
        <v>0</v>
      </c>
      <c r="I321" s="36">
        <f>Таблица1[[#This Row],[Денежный поток]]+Таблица1[[#This Row],[Купонный доход]]</f>
        <v>-588360.24657534237</v>
      </c>
      <c r="J321" s="31">
        <f>Таблица1[[#This Row],[Общий денежный поток]]/((1+$L$2)^((Таблица1[[#This Row],[Названия строк]]-$A$2)/365))</f>
        <v>-515156.00235112931</v>
      </c>
    </row>
    <row r="322" spans="1:10" x14ac:dyDescent="0.3">
      <c r="A322" s="23">
        <v>44018</v>
      </c>
      <c r="B322" s="24">
        <v>340</v>
      </c>
      <c r="C322" s="24">
        <f>VLOOKUP(Таблица1[[#This Row],[Названия строк]],Котировки[[&lt;DATE&gt;]:[&lt;VOL&gt;]],6,0)</f>
        <v>101.37</v>
      </c>
      <c r="D322" s="26">
        <f>INDEX(Купоны[Дата],MATCH($A322,Купоны[Дата],1))</f>
        <v>43931</v>
      </c>
      <c r="E322" s="24">
        <f>Купоны!$C$4*(A322-D322)/365*100</f>
        <v>1.9068493150684933</v>
      </c>
      <c r="F322" s="27">
        <f>-B322*(C322+E322)*Купоны!$G$10/100</f>
        <v>-351141.28767123289</v>
      </c>
      <c r="G322" s="34">
        <f>SUM($B$2:B322)</f>
        <v>1830</v>
      </c>
      <c r="H322" s="31">
        <f>_xlfn.IFNA(VLOOKUP($A322,Купоны[[Дата]:[% от номинала]],3,0),0)*Купоны!$G$10/100*G322</f>
        <v>0</v>
      </c>
      <c r="I322" s="36">
        <f>Таблица1[[#This Row],[Денежный поток]]+Таблица1[[#This Row],[Купонный доход]]</f>
        <v>-351141.28767123289</v>
      </c>
      <c r="J322" s="31">
        <f>Таблица1[[#This Row],[Общий денежный поток]]/((1+$L$2)^((Таблица1[[#This Row],[Названия строк]]-$A$2)/365))</f>
        <v>-307328.74455951137</v>
      </c>
    </row>
    <row r="323" spans="1:10" x14ac:dyDescent="0.3">
      <c r="A323" s="23">
        <v>44019</v>
      </c>
      <c r="B323" s="24">
        <v>-570</v>
      </c>
      <c r="C323" s="24">
        <f>VLOOKUP(Таблица1[[#This Row],[Названия строк]],Котировки[[&lt;DATE&gt;]:[&lt;VOL&gt;]],6,0)</f>
        <v>101.38</v>
      </c>
      <c r="D323" s="26">
        <f>INDEX(Купоны[Дата],MATCH($A323,Купоны[Дата],1))</f>
        <v>43931</v>
      </c>
      <c r="E323" s="24">
        <f>Купоны!$C$4*(A323-D323)/365*100</f>
        <v>1.9287671232876713</v>
      </c>
      <c r="F323" s="27">
        <f>-B323*(C323+E323)*Купоны!$G$10/100</f>
        <v>588859.9726027397</v>
      </c>
      <c r="G323" s="34">
        <f>SUM($B$2:B323)</f>
        <v>1260</v>
      </c>
      <c r="H323" s="31">
        <f>_xlfn.IFNA(VLOOKUP($A323,Купоны[[Дата]:[% от номинала]],3,0),0)*Купоны!$G$10/100*G323</f>
        <v>0</v>
      </c>
      <c r="I323" s="36">
        <f>Таблица1[[#This Row],[Денежный поток]]+Таблица1[[#This Row],[Купонный доход]]</f>
        <v>588859.9726027397</v>
      </c>
      <c r="J323" s="31">
        <f>Таблица1[[#This Row],[Общий денежный поток]]/((1+$L$2)^((Таблица1[[#This Row],[Названия строк]]-$A$2)/365))</f>
        <v>515317.94473117474</v>
      </c>
    </row>
    <row r="324" spans="1:10" x14ac:dyDescent="0.3">
      <c r="A324" s="23">
        <v>44022</v>
      </c>
      <c r="B324" s="24">
        <v>-500</v>
      </c>
      <c r="C324" s="24">
        <f>VLOOKUP(Таблица1[[#This Row],[Названия строк]],Котировки[[&lt;DATE&gt;]:[&lt;VOL&gt;]],6,0)</f>
        <v>101.35</v>
      </c>
      <c r="D324" s="26">
        <f>INDEX(Купоны[Дата],MATCH($A324,Купоны[Дата],1))</f>
        <v>43931</v>
      </c>
      <c r="E324" s="24">
        <f>Купоны!$C$4*(A324-D324)/365*100</f>
        <v>1.9945205479452055</v>
      </c>
      <c r="F324" s="27">
        <f>-B324*(C324+E324)*Купоны!$G$10/100</f>
        <v>516722.60273972602</v>
      </c>
      <c r="G324" s="34">
        <f>SUM($B$2:B324)</f>
        <v>760</v>
      </c>
      <c r="H324" s="31">
        <f>_xlfn.IFNA(VLOOKUP($A324,Купоны[[Дата]:[% от номинала]],3,0),0)*Купоны!$G$10/100*G324</f>
        <v>0</v>
      </c>
      <c r="I324" s="36">
        <f>Таблица1[[#This Row],[Денежный поток]]+Таблица1[[#This Row],[Купонный доход]]</f>
        <v>516722.60273972602</v>
      </c>
      <c r="J324" s="31">
        <f>Таблица1[[#This Row],[Общий денежный поток]]/((1+$L$2)^((Таблица1[[#This Row],[Названия строк]]-$A$2)/365))</f>
        <v>452008.42742938868</v>
      </c>
    </row>
    <row r="325" spans="1:10" x14ac:dyDescent="0.3">
      <c r="A325" s="23">
        <v>44025</v>
      </c>
      <c r="B325" s="24">
        <v>-540</v>
      </c>
      <c r="C325" s="24">
        <f>VLOOKUP(Таблица1[[#This Row],[Названия строк]],Котировки[[&lt;DATE&gt;]:[&lt;VOL&gt;]],6,0)</f>
        <v>101.24</v>
      </c>
      <c r="D325" s="26">
        <f>INDEX(Купоны[Дата],MATCH($A325,Купоны[Дата],1))</f>
        <v>43931</v>
      </c>
      <c r="E325" s="24">
        <f>Купоны!$C$4*(A325-D325)/365*100</f>
        <v>2.0602739726027401</v>
      </c>
      <c r="F325" s="27">
        <f>-B325*(C325+E325)*Купоны!$G$10/100</f>
        <v>557821.47945205483</v>
      </c>
      <c r="G325" s="34">
        <f>SUM($B$2:B325)</f>
        <v>220</v>
      </c>
      <c r="H325" s="31">
        <f>_xlfn.IFNA(VLOOKUP($A325,Купоны[[Дата]:[% от номинала]],3,0),0)*Купоны!$G$10/100*G325</f>
        <v>0</v>
      </c>
      <c r="I325" s="36">
        <f>Таблица1[[#This Row],[Денежный поток]]+Таблица1[[#This Row],[Купонный доход]]</f>
        <v>557821.47945205483</v>
      </c>
      <c r="J325" s="31">
        <f>Таблица1[[#This Row],[Общий денежный поток]]/((1+$L$2)^((Таблица1[[#This Row],[Названия строк]]-$A$2)/365))</f>
        <v>487764.45371273125</v>
      </c>
    </row>
    <row r="326" spans="1:10" x14ac:dyDescent="0.3">
      <c r="A326" s="23">
        <v>44027</v>
      </c>
      <c r="B326" s="24">
        <v>410</v>
      </c>
      <c r="C326" s="24">
        <f>VLOOKUP(Таблица1[[#This Row],[Названия строк]],Котировки[[&lt;DATE&gt;]:[&lt;VOL&gt;]],6,0)</f>
        <v>101.25</v>
      </c>
      <c r="D326" s="26">
        <f>INDEX(Купоны[Дата],MATCH($A326,Купоны[Дата],1))</f>
        <v>43931</v>
      </c>
      <c r="E326" s="24">
        <f>Купоны!$C$4*(A326-D326)/365*100</f>
        <v>2.1041095890410961</v>
      </c>
      <c r="F326" s="27">
        <f>-B326*(C326+E326)*Купоны!$G$10/100</f>
        <v>-423751.84931506857</v>
      </c>
      <c r="G326" s="34">
        <f>SUM($B$2:B326)</f>
        <v>630</v>
      </c>
      <c r="H326" s="31">
        <f>_xlfn.IFNA(VLOOKUP($A326,Купоны[[Дата]:[% от номинала]],3,0),0)*Купоны!$G$10/100*G326</f>
        <v>0</v>
      </c>
      <c r="I326" s="36">
        <f>Таблица1[[#This Row],[Денежный поток]]+Таблица1[[#This Row],[Купонный доход]]</f>
        <v>-423751.84931506857</v>
      </c>
      <c r="J326" s="31">
        <f>Таблица1[[#This Row],[Общий денежный поток]]/((1+$L$2)^((Таблица1[[#This Row],[Названия строк]]-$A$2)/365))</f>
        <v>-370433.63656095491</v>
      </c>
    </row>
    <row r="327" spans="1:10" x14ac:dyDescent="0.3">
      <c r="A327" s="23">
        <v>44032</v>
      </c>
      <c r="B327" s="24">
        <v>200</v>
      </c>
      <c r="C327" s="24">
        <f>VLOOKUP(Таблица1[[#This Row],[Названия строк]],Котировки[[&lt;DATE&gt;]:[&lt;VOL&gt;]],6,0)</f>
        <v>101.3</v>
      </c>
      <c r="D327" s="26">
        <f>INDEX(Купоны[Дата],MATCH($A327,Купоны[Дата],1))</f>
        <v>43931</v>
      </c>
      <c r="E327" s="24">
        <f>Купоны!$C$4*(A327-D327)/365*100</f>
        <v>2.2136986301369865</v>
      </c>
      <c r="F327" s="27">
        <f>-B327*(C327+E327)*Купоны!$G$10/100</f>
        <v>-207027.39726027395</v>
      </c>
      <c r="G327" s="34">
        <f>SUM($B$2:B327)</f>
        <v>830</v>
      </c>
      <c r="H327" s="31">
        <f>_xlfn.IFNA(VLOOKUP($A327,Купоны[[Дата]:[% от номинала]],3,0),0)*Купоны!$G$10/100*G327</f>
        <v>0</v>
      </c>
      <c r="I327" s="36">
        <f>Таблица1[[#This Row],[Денежный поток]]+Таблица1[[#This Row],[Купонный доход]]</f>
        <v>-207027.39726027395</v>
      </c>
      <c r="J327" s="31">
        <f>Таблица1[[#This Row],[Общий денежный поток]]/((1+$L$2)^((Таблица1[[#This Row],[Названия строк]]-$A$2)/365))</f>
        <v>-180857.43468986155</v>
      </c>
    </row>
    <row r="328" spans="1:10" x14ac:dyDescent="0.3">
      <c r="A328" s="23">
        <v>44043</v>
      </c>
      <c r="B328" s="24">
        <v>-180</v>
      </c>
      <c r="C328" s="24">
        <f>VLOOKUP(Таблица1[[#This Row],[Названия строк]],Котировки[[&lt;DATE&gt;]:[&lt;VOL&gt;]],6,0)</f>
        <v>101.15</v>
      </c>
      <c r="D328" s="26">
        <f>INDEX(Купоны[Дата],MATCH($A328,Купоны[Дата],1))</f>
        <v>43931</v>
      </c>
      <c r="E328" s="24">
        <f>Купоны!$C$4*(A328-D328)/365*100</f>
        <v>2.4547945205479453</v>
      </c>
      <c r="F328" s="27">
        <f>-B328*(C328+E328)*Купоны!$G$10/100</f>
        <v>186488.63013698635</v>
      </c>
      <c r="G328" s="34">
        <f>SUM($B$2:B328)</f>
        <v>650</v>
      </c>
      <c r="H328" s="31">
        <f>_xlfn.IFNA(VLOOKUP($A328,Купоны[[Дата]:[% от номинала]],3,0),0)*Купоны!$G$10/100*G328</f>
        <v>0</v>
      </c>
      <c r="I328" s="36">
        <f>Таблица1[[#This Row],[Денежный поток]]+Таблица1[[#This Row],[Купонный доход]]</f>
        <v>186488.63013698635</v>
      </c>
      <c r="J328" s="31">
        <f>Таблица1[[#This Row],[Общий денежный поток]]/((1+$L$2)^((Таблица1[[#This Row],[Названия строк]]-$A$2)/365))</f>
        <v>162675.56411835874</v>
      </c>
    </row>
    <row r="329" spans="1:10" x14ac:dyDescent="0.3">
      <c r="A329" s="23">
        <v>44053</v>
      </c>
      <c r="B329" s="24">
        <v>100</v>
      </c>
      <c r="C329" s="24">
        <f>VLOOKUP(Таблица1[[#This Row],[Названия строк]],Котировки[[&lt;DATE&gt;]:[&lt;VOL&gt;]],6,0)</f>
        <v>101.13</v>
      </c>
      <c r="D329" s="26">
        <f>INDEX(Купоны[Дата],MATCH($A329,Купоны[Дата],1))</f>
        <v>43931</v>
      </c>
      <c r="E329" s="24">
        <f>Купоны!$C$4*(A329-D329)/365*100</f>
        <v>2.6739726027397261</v>
      </c>
      <c r="F329" s="27">
        <f>-B329*(C329+E329)*Купоны!$G$10/100</f>
        <v>-103803.97260273973</v>
      </c>
      <c r="G329" s="34">
        <f>SUM($B$2:B329)</f>
        <v>750</v>
      </c>
      <c r="H329" s="31">
        <f>_xlfn.IFNA(VLOOKUP($A329,Купоны[[Дата]:[% от номинала]],3,0),0)*Купоны!$G$10/100*G329</f>
        <v>0</v>
      </c>
      <c r="I329" s="36">
        <f>Таблица1[[#This Row],[Денежный поток]]+Таблица1[[#This Row],[Купонный доход]]</f>
        <v>-103803.97260273973</v>
      </c>
      <c r="J329" s="31">
        <f>Таблица1[[#This Row],[Общий денежный поток]]/((1+$L$2)^((Таблица1[[#This Row],[Названия строк]]-$A$2)/365))</f>
        <v>-90428.100487953561</v>
      </c>
    </row>
    <row r="330" spans="1:10" x14ac:dyDescent="0.3">
      <c r="A330" s="23">
        <v>44054</v>
      </c>
      <c r="B330" s="24">
        <v>-390</v>
      </c>
      <c r="C330" s="24">
        <f>VLOOKUP(Таблица1[[#This Row],[Названия строк]],Котировки[[&lt;DATE&gt;]:[&lt;VOL&gt;]],6,0)</f>
        <v>101.12</v>
      </c>
      <c r="D330" s="26">
        <f>INDEX(Купоны[Дата],MATCH($A330,Купоны[Дата],1))</f>
        <v>43931</v>
      </c>
      <c r="E330" s="24">
        <f>Купоны!$C$4*(A330-D330)/365*100</f>
        <v>2.6958904109589041</v>
      </c>
      <c r="F330" s="27">
        <f>-B330*(C330+E330)*Купоны!$G$10/100</f>
        <v>404881.97260273976</v>
      </c>
      <c r="G330" s="34">
        <f>SUM($B$2:B330)</f>
        <v>360</v>
      </c>
      <c r="H330" s="31">
        <f>_xlfn.IFNA(VLOOKUP($A330,Купоны[[Дата]:[% от номинала]],3,0),0)*Купоны!$G$10/100*G330</f>
        <v>0</v>
      </c>
      <c r="I330" s="36">
        <f>Таблица1[[#This Row],[Денежный поток]]+Таблица1[[#This Row],[Купонный доход]]</f>
        <v>404881.97260273976</v>
      </c>
      <c r="J330" s="31">
        <f>Таблица1[[#This Row],[Общий денежный поток]]/((1+$L$2)^((Таблица1[[#This Row],[Названия строк]]-$A$2)/365))</f>
        <v>352662.93795152224</v>
      </c>
    </row>
    <row r="331" spans="1:10" x14ac:dyDescent="0.3">
      <c r="A331" s="23">
        <v>44056</v>
      </c>
      <c r="B331" s="24">
        <v>-350</v>
      </c>
      <c r="C331" s="24">
        <f>VLOOKUP(Таблица1[[#This Row],[Названия строк]],Котировки[[&lt;DATE&gt;]:[&lt;VOL&gt;]],6,0)</f>
        <v>101.13</v>
      </c>
      <c r="D331" s="26">
        <f>INDEX(Купоны[Дата],MATCH($A331,Купоны[Дата],1))</f>
        <v>43931</v>
      </c>
      <c r="E331" s="24">
        <f>Купоны!$C$4*(A331-D331)/365*100</f>
        <v>2.7397260273972601</v>
      </c>
      <c r="F331" s="27">
        <f>-B331*(C331+E331)*Купоны!$G$10/100</f>
        <v>363544.04109589034</v>
      </c>
      <c r="G331" s="34">
        <f>SUM($B$2:B331)</f>
        <v>10</v>
      </c>
      <c r="H331" s="31">
        <f>_xlfn.IFNA(VLOOKUP($A331,Купоны[[Дата]:[% от номинала]],3,0),0)*Купоны!$G$10/100*G331</f>
        <v>0</v>
      </c>
      <c r="I331" s="36">
        <f>Таблица1[[#This Row],[Денежный поток]]+Таблица1[[#This Row],[Купонный доход]]</f>
        <v>363544.04109589034</v>
      </c>
      <c r="J331" s="31">
        <f>Таблица1[[#This Row],[Общий денежный поток]]/((1+$L$2)^((Таблица1[[#This Row],[Названия строк]]-$A$2)/365))</f>
        <v>316571.85838765017</v>
      </c>
    </row>
    <row r="332" spans="1:10" x14ac:dyDescent="0.3">
      <c r="A332" s="23">
        <v>44057</v>
      </c>
      <c r="B332" s="24">
        <v>170</v>
      </c>
      <c r="C332" s="24">
        <f>VLOOKUP(Таблица1[[#This Row],[Названия строк]],Котировки[[&lt;DATE&gt;]:[&lt;VOL&gt;]],6,0)</f>
        <v>101.12</v>
      </c>
      <c r="D332" s="26">
        <f>INDEX(Купоны[Дата],MATCH($A332,Купоны[Дата],1))</f>
        <v>43931</v>
      </c>
      <c r="E332" s="24">
        <f>Купоны!$C$4*(A332-D332)/365*100</f>
        <v>2.7616438356164381</v>
      </c>
      <c r="F332" s="27">
        <f>-B332*(C332+E332)*Купоны!$G$10/100</f>
        <v>-176598.79452054796</v>
      </c>
      <c r="G332" s="34">
        <f>SUM($B$2:B332)</f>
        <v>180</v>
      </c>
      <c r="H332" s="31">
        <f>_xlfn.IFNA(VLOOKUP($A332,Купоны[[Дата]:[% от номинала]],3,0),0)*Купоны!$G$10/100*G332</f>
        <v>0</v>
      </c>
      <c r="I332" s="36">
        <f>Таблица1[[#This Row],[Денежный поток]]+Таблица1[[#This Row],[Купонный доход]]</f>
        <v>-176598.79452054796</v>
      </c>
      <c r="J332" s="31">
        <f>Таблица1[[#This Row],[Общий денежный поток]]/((1+$L$2)^((Таблица1[[#This Row],[Названия строк]]-$A$2)/365))</f>
        <v>-153760.56178602332</v>
      </c>
    </row>
    <row r="333" spans="1:10" x14ac:dyDescent="0.3">
      <c r="A333" s="23">
        <v>44060</v>
      </c>
      <c r="B333" s="24">
        <v>260</v>
      </c>
      <c r="C333" s="24">
        <f>VLOOKUP(Таблица1[[#This Row],[Названия строк]],Котировки[[&lt;DATE&gt;]:[&lt;VOL&gt;]],6,0)</f>
        <v>101.01</v>
      </c>
      <c r="D333" s="26">
        <f>INDEX(Купоны[Дата],MATCH($A333,Купоны[Дата],1))</f>
        <v>43931</v>
      </c>
      <c r="E333" s="24">
        <f>Купоны!$C$4*(A333-D333)/365*100</f>
        <v>2.8273972602739725</v>
      </c>
      <c r="F333" s="27">
        <f>-B333*(C333+E333)*Купоны!$G$10/100</f>
        <v>-269977.23287671234</v>
      </c>
      <c r="G333" s="34">
        <f>SUM($B$2:B333)</f>
        <v>440</v>
      </c>
      <c r="H333" s="31">
        <f>_xlfn.IFNA(VLOOKUP($A333,Купоны[[Дата]:[% от номинала]],3,0),0)*Купоны!$G$10/100*G333</f>
        <v>0</v>
      </c>
      <c r="I333" s="36">
        <f>Таблица1[[#This Row],[Денежный поток]]+Таблица1[[#This Row],[Купонный доход]]</f>
        <v>-269977.23287671234</v>
      </c>
      <c r="J333" s="31">
        <f>Таблица1[[#This Row],[Общий денежный поток]]/((1+$L$2)^((Таблица1[[#This Row],[Названия строк]]-$A$2)/365))</f>
        <v>-234968.80355086754</v>
      </c>
    </row>
    <row r="334" spans="1:10" x14ac:dyDescent="0.3">
      <c r="A334" s="23">
        <v>44064</v>
      </c>
      <c r="B334" s="24">
        <v>170</v>
      </c>
      <c r="C334" s="24">
        <f>VLOOKUP(Таблица1[[#This Row],[Названия строк]],Котировки[[&lt;DATE&gt;]:[&lt;VOL&gt;]],6,0)</f>
        <v>101.03</v>
      </c>
      <c r="D334" s="26">
        <f>INDEX(Купоны[Дата],MATCH($A334,Купоны[Дата],1))</f>
        <v>43931</v>
      </c>
      <c r="E334" s="24">
        <f>Купоны!$C$4*(A334-D334)/365*100</f>
        <v>2.9150684931506849</v>
      </c>
      <c r="F334" s="27">
        <f>-B334*(C334+E334)*Купоны!$G$10/100</f>
        <v>-176706.6164383562</v>
      </c>
      <c r="G334" s="34">
        <f>SUM($B$2:B334)</f>
        <v>610</v>
      </c>
      <c r="H334" s="31">
        <f>_xlfn.IFNA(VLOOKUP($A334,Купоны[[Дата]:[% от номинала]],3,0),0)*Купоны!$G$10/100*G334</f>
        <v>0</v>
      </c>
      <c r="I334" s="36">
        <f>Таблица1[[#This Row],[Денежный поток]]+Таблица1[[#This Row],[Купонный доход]]</f>
        <v>-176706.6164383562</v>
      </c>
      <c r="J334" s="31">
        <f>Таблица1[[#This Row],[Общий денежный поток]]/((1+$L$2)^((Таблица1[[#This Row],[Названия строк]]-$A$2)/365))</f>
        <v>-153710.54534106288</v>
      </c>
    </row>
    <row r="335" spans="1:10" x14ac:dyDescent="0.3">
      <c r="A335" s="23">
        <v>44069</v>
      </c>
      <c r="B335" s="24">
        <v>-500</v>
      </c>
      <c r="C335" s="24">
        <f>VLOOKUP(Таблица1[[#This Row],[Названия строк]],Котировки[[&lt;DATE&gt;]:[&lt;VOL&gt;]],6,0)</f>
        <v>100.91</v>
      </c>
      <c r="D335" s="26">
        <f>INDEX(Купоны[Дата],MATCH($A335,Купоны[Дата],1))</f>
        <v>43931</v>
      </c>
      <c r="E335" s="24">
        <f>Купоны!$C$4*(A335-D335)/365*100</f>
        <v>3.0246575342465754</v>
      </c>
      <c r="F335" s="27">
        <f>-B335*(C335+E335)*Купоны!$G$10/100</f>
        <v>519673.28767123283</v>
      </c>
      <c r="G335" s="34">
        <f>SUM($B$2:B335)</f>
        <v>110</v>
      </c>
      <c r="H335" s="31">
        <f>_xlfn.IFNA(VLOOKUP($A335,Купоны[[Дата]:[% от номинала]],3,0),0)*Купоны!$G$10/100*G335</f>
        <v>0</v>
      </c>
      <c r="I335" s="36">
        <f>Таблица1[[#This Row],[Денежный поток]]+Таблица1[[#This Row],[Купонный доход]]</f>
        <v>519673.28767123283</v>
      </c>
      <c r="J335" s="31">
        <f>Таблица1[[#This Row],[Общий денежный поток]]/((1+$L$2)^((Таблица1[[#This Row],[Названия строк]]-$A$2)/365))</f>
        <v>451742.53185767785</v>
      </c>
    </row>
    <row r="336" spans="1:10" x14ac:dyDescent="0.3">
      <c r="A336" s="23">
        <v>44071</v>
      </c>
      <c r="B336" s="24">
        <v>230</v>
      </c>
      <c r="C336" s="24">
        <f>VLOOKUP(Таблица1[[#This Row],[Названия строк]],Котировки[[&lt;DATE&gt;]:[&lt;VOL&gt;]],6,0)</f>
        <v>100.98</v>
      </c>
      <c r="D336" s="26">
        <f>INDEX(Купоны[Дата],MATCH($A336,Купоны[Дата],1))</f>
        <v>43931</v>
      </c>
      <c r="E336" s="24">
        <f>Купоны!$C$4*(A336-D336)/365*100</f>
        <v>3.0684931506849318</v>
      </c>
      <c r="F336" s="27">
        <f>-B336*(C336+E336)*Купоны!$G$10/100</f>
        <v>-239311.53424657535</v>
      </c>
      <c r="G336" s="34">
        <f>SUM($B$2:B336)</f>
        <v>340</v>
      </c>
      <c r="H336" s="31">
        <f>_xlfn.IFNA(VLOOKUP($A336,Купоны[[Дата]:[% от номинала]],3,0),0)*Купоны!$G$10/100*G336</f>
        <v>0</v>
      </c>
      <c r="I336" s="36">
        <f>Таблица1[[#This Row],[Денежный поток]]+Таблица1[[#This Row],[Купонный доход]]</f>
        <v>-239311.53424657535</v>
      </c>
      <c r="J336" s="31">
        <f>Таблица1[[#This Row],[Общий денежный поток]]/((1+$L$2)^((Таблица1[[#This Row],[Названия строк]]-$A$2)/365))</f>
        <v>-207973.55390034636</v>
      </c>
    </row>
    <row r="337" spans="1:10" x14ac:dyDescent="0.3">
      <c r="A337" s="23">
        <v>44074</v>
      </c>
      <c r="B337" s="24">
        <v>380</v>
      </c>
      <c r="C337" s="24">
        <f>VLOOKUP(Таблица1[[#This Row],[Названия строк]],Котировки[[&lt;DATE&gt;]:[&lt;VOL&gt;]],6,0)</f>
        <v>100.81</v>
      </c>
      <c r="D337" s="26">
        <f>INDEX(Купоны[Дата],MATCH($A337,Купоны[Дата],1))</f>
        <v>43931</v>
      </c>
      <c r="E337" s="24">
        <f>Купоны!$C$4*(A337-D337)/365*100</f>
        <v>3.1342465753424658</v>
      </c>
      <c r="F337" s="27">
        <f>-B337*(C337+E337)*Купоны!$G$10/100</f>
        <v>-394988.13698630134</v>
      </c>
      <c r="G337" s="34">
        <f>SUM($B$2:B337)</f>
        <v>720</v>
      </c>
      <c r="H337" s="31">
        <f>_xlfn.IFNA(VLOOKUP($A337,Купоны[[Дата]:[% от номинала]],3,0),0)*Купоны!$G$10/100*G337</f>
        <v>0</v>
      </c>
      <c r="I337" s="36">
        <f>Таблица1[[#This Row],[Денежный поток]]+Таблица1[[#This Row],[Купонный доход]]</f>
        <v>-394988.13698630134</v>
      </c>
      <c r="J337" s="31">
        <f>Таблица1[[#This Row],[Общий денежный поток]]/((1+$L$2)^((Таблица1[[#This Row],[Названия строк]]-$A$2)/365))</f>
        <v>-343126.59121276933</v>
      </c>
    </row>
    <row r="338" spans="1:10" x14ac:dyDescent="0.3">
      <c r="A338" s="23">
        <v>44075</v>
      </c>
      <c r="B338" s="24">
        <v>-60</v>
      </c>
      <c r="C338" s="24">
        <f>VLOOKUP(Таблица1[[#This Row],[Названия строк]],Котировки[[&lt;DATE&gt;]:[&lt;VOL&gt;]],6,0)</f>
        <v>100.9</v>
      </c>
      <c r="D338" s="26">
        <f>INDEX(Купоны[Дата],MATCH($A338,Купоны[Дата],1))</f>
        <v>43931</v>
      </c>
      <c r="E338" s="24">
        <f>Купоны!$C$4*(A338-D338)/365*100</f>
        <v>3.1561643835616437</v>
      </c>
      <c r="F338" s="27">
        <f>-B338*(C338+E338)*Купоны!$G$10/100</f>
        <v>62433.698630136991</v>
      </c>
      <c r="G338" s="34">
        <f>SUM($B$2:B338)</f>
        <v>660</v>
      </c>
      <c r="H338" s="31">
        <f>_xlfn.IFNA(VLOOKUP($A338,Купоны[[Дата]:[% от номинала]],3,0),0)*Купоны!$G$10/100*G338</f>
        <v>0</v>
      </c>
      <c r="I338" s="36">
        <f>Таблица1[[#This Row],[Денежный поток]]+Таблица1[[#This Row],[Купонный доход]]</f>
        <v>62433.698630136991</v>
      </c>
      <c r="J338" s="31">
        <f>Таблица1[[#This Row],[Общий денежный поток]]/((1+$L$2)^((Таблица1[[#This Row],[Названия строк]]-$A$2)/365))</f>
        <v>54228.967328677805</v>
      </c>
    </row>
    <row r="339" spans="1:10" x14ac:dyDescent="0.3">
      <c r="A339" s="23">
        <v>44076</v>
      </c>
      <c r="B339" s="24">
        <v>850</v>
      </c>
      <c r="C339" s="24">
        <f>VLOOKUP(Таблица1[[#This Row],[Названия строк]],Котировки[[&lt;DATE&gt;]:[&lt;VOL&gt;]],6,0)</f>
        <v>100.84</v>
      </c>
      <c r="D339" s="26">
        <f>INDEX(Купоны[Дата],MATCH($A339,Купоны[Дата],1))</f>
        <v>43931</v>
      </c>
      <c r="E339" s="24">
        <f>Купоны!$C$4*(A339-D339)/365*100</f>
        <v>3.1780821917808217</v>
      </c>
      <c r="F339" s="27">
        <f>-B339*(C339+E339)*Купоны!$G$10/100</f>
        <v>-884153.69863013702</v>
      </c>
      <c r="G339" s="34">
        <f>SUM($B$2:B339)</f>
        <v>1510</v>
      </c>
      <c r="H339" s="31">
        <f>_xlfn.IFNA(VLOOKUP($A339,Купоны[[Дата]:[% от номинала]],3,0),0)*Купоны!$G$10/100*G339</f>
        <v>0</v>
      </c>
      <c r="I339" s="36">
        <f>Таблица1[[#This Row],[Денежный поток]]+Таблица1[[#This Row],[Купонный доход]]</f>
        <v>-884153.69863013702</v>
      </c>
      <c r="J339" s="31">
        <f>Таблица1[[#This Row],[Общий денежный поток]]/((1+$L$2)^((Таблица1[[#This Row],[Названия строк]]-$A$2)/365))</f>
        <v>-767859.89609874587</v>
      </c>
    </row>
    <row r="340" spans="1:10" x14ac:dyDescent="0.3">
      <c r="A340" s="23">
        <v>44077</v>
      </c>
      <c r="B340" s="24">
        <v>-1400</v>
      </c>
      <c r="C340" s="24">
        <f>VLOOKUP(Таблица1[[#This Row],[Названия строк]],Котировки[[&lt;DATE&gt;]:[&lt;VOL&gt;]],6,0)</f>
        <v>100.88</v>
      </c>
      <c r="D340" s="26">
        <f>INDEX(Купоны[Дата],MATCH($A340,Купоны[Дата],1))</f>
        <v>43931</v>
      </c>
      <c r="E340" s="24">
        <f>Купоны!$C$4*(A340-D340)/365*100</f>
        <v>3.2</v>
      </c>
      <c r="F340" s="27">
        <f>-B340*(C340+E340)*Купоны!$G$10/100</f>
        <v>1457120</v>
      </c>
      <c r="G340" s="34">
        <f>SUM($B$2:B340)</f>
        <v>110</v>
      </c>
      <c r="H340" s="31">
        <f>_xlfn.IFNA(VLOOKUP($A340,Купоны[[Дата]:[% от номинала]],3,0),0)*Купоны!$G$10/100*G340</f>
        <v>0</v>
      </c>
      <c r="I340" s="36">
        <f>Таблица1[[#This Row],[Денежный поток]]+Таблица1[[#This Row],[Купонный доход]]</f>
        <v>1457120</v>
      </c>
      <c r="J340" s="31">
        <f>Таблица1[[#This Row],[Общий денежный поток]]/((1+$L$2)^((Таблица1[[#This Row],[Названия строк]]-$A$2)/365))</f>
        <v>1265294.103386227</v>
      </c>
    </row>
    <row r="341" spans="1:10" x14ac:dyDescent="0.3">
      <c r="A341" s="23">
        <v>44078</v>
      </c>
      <c r="B341" s="24">
        <v>640</v>
      </c>
      <c r="C341" s="24">
        <f>VLOOKUP(Таблица1[[#This Row],[Названия строк]],Котировки[[&lt;DATE&gt;]:[&lt;VOL&gt;]],6,0)</f>
        <v>100.93</v>
      </c>
      <c r="D341" s="26">
        <f>INDEX(Купоны[Дата],MATCH($A341,Купоны[Дата],1))</f>
        <v>43931</v>
      </c>
      <c r="E341" s="24">
        <f>Купоны!$C$4*(A341-D341)/365*100</f>
        <v>3.2219178082191782</v>
      </c>
      <c r="F341" s="27">
        <f>-B341*(C341+E341)*Купоны!$G$10/100</f>
        <v>-666572.27397260268</v>
      </c>
      <c r="G341" s="34">
        <f>SUM($B$2:B341)</f>
        <v>750</v>
      </c>
      <c r="H341" s="31">
        <f>_xlfn.IFNA(VLOOKUP($A341,Купоны[[Дата]:[% от номинала]],3,0),0)*Купоны!$G$10/100*G341</f>
        <v>0</v>
      </c>
      <c r="I341" s="36">
        <f>Таблица1[[#This Row],[Денежный поток]]+Таблица1[[#This Row],[Купонный доход]]</f>
        <v>-666572.27397260268</v>
      </c>
      <c r="J341" s="31">
        <f>Таблица1[[#This Row],[Общий денежный поток]]/((1+$L$2)^((Таблица1[[#This Row],[Названия строк]]-$A$2)/365))</f>
        <v>-578742.47504904564</v>
      </c>
    </row>
    <row r="342" spans="1:10" x14ac:dyDescent="0.3">
      <c r="A342" s="23">
        <v>44088</v>
      </c>
      <c r="B342" s="24">
        <v>380</v>
      </c>
      <c r="C342" s="24">
        <f>VLOOKUP(Таблица1[[#This Row],[Названия строк]],Котировки[[&lt;DATE&gt;]:[&lt;VOL&gt;]],6,0)</f>
        <v>100.79</v>
      </c>
      <c r="D342" s="26">
        <f>INDEX(Купоны[Дата],MATCH($A342,Купоны[Дата],1))</f>
        <v>43931</v>
      </c>
      <c r="E342" s="24">
        <f>Купоны!$C$4*(A342-D342)/365*100</f>
        <v>3.441095890410959</v>
      </c>
      <c r="F342" s="27">
        <f>-B342*(C342+E342)*Купоны!$G$10/100</f>
        <v>-396078.1643835617</v>
      </c>
      <c r="G342" s="34">
        <f>SUM($B$2:B342)</f>
        <v>1130</v>
      </c>
      <c r="H342" s="31">
        <f>_xlfn.IFNA(VLOOKUP($A342,Купоны[[Дата]:[% от номинала]],3,0),0)*Купоны!$G$10/100*G342</f>
        <v>0</v>
      </c>
      <c r="I342" s="36">
        <f>Таблица1[[#This Row],[Денежный поток]]+Таблица1[[#This Row],[Купонный доход]]</f>
        <v>-396078.1643835617</v>
      </c>
      <c r="J342" s="31">
        <f>Таблица1[[#This Row],[Общий денежный поток]]/((1+$L$2)^((Таблица1[[#This Row],[Названия строк]]-$A$2)/365))</f>
        <v>-343430.20086017618</v>
      </c>
    </row>
    <row r="343" spans="1:10" x14ac:dyDescent="0.3">
      <c r="A343" s="23">
        <v>44092</v>
      </c>
      <c r="B343" s="24">
        <v>-290</v>
      </c>
      <c r="C343" s="24">
        <f>VLOOKUP(Таблица1[[#This Row],[Названия строк]],Котировки[[&lt;DATE&gt;]:[&lt;VOL&gt;]],6,0)</f>
        <v>100.74</v>
      </c>
      <c r="D343" s="26">
        <f>INDEX(Купоны[Дата],MATCH($A343,Купоны[Дата],1))</f>
        <v>43931</v>
      </c>
      <c r="E343" s="24">
        <f>Купоны!$C$4*(A343-D343)/365*100</f>
        <v>3.5287671232876718</v>
      </c>
      <c r="F343" s="27">
        <f>-B343*(C343+E343)*Купоны!$G$10/100</f>
        <v>302379.42465753423</v>
      </c>
      <c r="G343" s="34">
        <f>SUM($B$2:B343)</f>
        <v>840</v>
      </c>
      <c r="H343" s="31">
        <f>_xlfn.IFNA(VLOOKUP($A343,Купоны[[Дата]:[% от номинала]],3,0),0)*Купоны!$G$10/100*G343</f>
        <v>0</v>
      </c>
      <c r="I343" s="36">
        <f>Таблица1[[#This Row],[Денежный поток]]+Таблица1[[#This Row],[Купонный доход]]</f>
        <v>302379.42465753423</v>
      </c>
      <c r="J343" s="31">
        <f>Таблица1[[#This Row],[Общий денежный поток]]/((1+$L$2)^((Таблица1[[#This Row],[Названия строк]]-$A$2)/365))</f>
        <v>262046.04424468958</v>
      </c>
    </row>
    <row r="344" spans="1:10" x14ac:dyDescent="0.3">
      <c r="A344" s="23">
        <v>44097</v>
      </c>
      <c r="B344" s="24">
        <v>440</v>
      </c>
      <c r="C344" s="24">
        <f>VLOOKUP(Таблица1[[#This Row],[Названия строк]],Котировки[[&lt;DATE&gt;]:[&lt;VOL&gt;]],6,0)</f>
        <v>100.82</v>
      </c>
      <c r="D344" s="26">
        <f>INDEX(Купоны[Дата],MATCH($A344,Купоны[Дата],1))</f>
        <v>43931</v>
      </c>
      <c r="E344" s="24">
        <f>Купоны!$C$4*(A344-D344)/365*100</f>
        <v>3.6383561643835618</v>
      </c>
      <c r="F344" s="27">
        <f>-B344*(C344+E344)*Купоны!$G$10/100</f>
        <v>-459616.7671232876</v>
      </c>
      <c r="G344" s="34">
        <f>SUM($B$2:B344)</f>
        <v>1280</v>
      </c>
      <c r="H344" s="31">
        <f>_xlfn.IFNA(VLOOKUP($A344,Купоны[[Дата]:[% от номинала]],3,0),0)*Купоны!$G$10/100*G344</f>
        <v>0</v>
      </c>
      <c r="I344" s="36">
        <f>Таблица1[[#This Row],[Денежный поток]]+Таблица1[[#This Row],[Купонный доход]]</f>
        <v>-459616.7671232876</v>
      </c>
      <c r="J344" s="31">
        <f>Таблица1[[#This Row],[Общий денежный поток]]/((1+$L$2)^((Таблица1[[#This Row],[Названия строк]]-$A$2)/365))</f>
        <v>-398043.89842915651</v>
      </c>
    </row>
    <row r="345" spans="1:10" x14ac:dyDescent="0.3">
      <c r="A345" s="23">
        <v>44099</v>
      </c>
      <c r="B345" s="24">
        <v>-1100</v>
      </c>
      <c r="C345" s="24">
        <f>VLOOKUP(Таблица1[[#This Row],[Названия строк]],Котировки[[&lt;DATE&gt;]:[&lt;VOL&gt;]],6,0)</f>
        <v>100.75</v>
      </c>
      <c r="D345" s="26">
        <f>INDEX(Купоны[Дата],MATCH($A345,Купоны[Дата],1))</f>
        <v>43931</v>
      </c>
      <c r="E345" s="24">
        <f>Купоны!$C$4*(A345-D345)/365*100</f>
        <v>3.6821917808219173</v>
      </c>
      <c r="F345" s="27">
        <f>-B345*(C345+E345)*Купоны!$G$10/100</f>
        <v>1148754.1095890412</v>
      </c>
      <c r="G345" s="34">
        <f>SUM($B$2:B345)</f>
        <v>180</v>
      </c>
      <c r="H345" s="31">
        <f>_xlfn.IFNA(VLOOKUP($A345,Купоны[[Дата]:[% от номинала]],3,0),0)*Купоны!$G$10/100*G345</f>
        <v>0</v>
      </c>
      <c r="I345" s="36">
        <f>Таблица1[[#This Row],[Денежный поток]]+Таблица1[[#This Row],[Купонный доход]]</f>
        <v>1148754.1095890412</v>
      </c>
      <c r="J345" s="31">
        <f>Таблица1[[#This Row],[Общий денежный поток]]/((1+$L$2)^((Таблица1[[#This Row],[Названия строк]]-$A$2)/365))</f>
        <v>994594.56047181482</v>
      </c>
    </row>
    <row r="346" spans="1:10" x14ac:dyDescent="0.3">
      <c r="A346" s="23">
        <v>44106</v>
      </c>
      <c r="B346" s="24">
        <v>-30</v>
      </c>
      <c r="C346" s="24">
        <f>VLOOKUP(Таблица1[[#This Row],[Названия строк]],Котировки[[&lt;DATE&gt;]:[&lt;VOL&gt;]],6,0)</f>
        <v>100.7</v>
      </c>
      <c r="D346" s="26">
        <f>INDEX(Купоны[Дата],MATCH($A346,Купоны[Дата],1))</f>
        <v>43931</v>
      </c>
      <c r="E346" s="24">
        <f>Купоны!$C$4*(A346-D346)/365*100</f>
        <v>3.8356164383561646</v>
      </c>
      <c r="F346" s="27">
        <f>-B346*(C346+E346)*Купоны!$G$10/100</f>
        <v>31360.684931506854</v>
      </c>
      <c r="G346" s="34">
        <f>SUM($B$2:B346)</f>
        <v>150</v>
      </c>
      <c r="H346" s="31">
        <f>_xlfn.IFNA(VLOOKUP($A346,Купоны[[Дата]:[% от номинала]],3,0),0)*Купоны!$G$10/100*G346</f>
        <v>0</v>
      </c>
      <c r="I346" s="36">
        <f>Таблица1[[#This Row],[Денежный поток]]+Таблица1[[#This Row],[Купонный доход]]</f>
        <v>31360.684931506854</v>
      </c>
      <c r="J346" s="31">
        <f>Таблица1[[#This Row],[Общий денежный поток]]/((1+$L$2)^((Таблица1[[#This Row],[Названия строк]]-$A$2)/365))</f>
        <v>27126.775352171459</v>
      </c>
    </row>
    <row r="347" spans="1:10" x14ac:dyDescent="0.3">
      <c r="A347" s="23">
        <v>44113</v>
      </c>
      <c r="B347" s="24">
        <v>0</v>
      </c>
      <c r="C347" s="24">
        <f>VLOOKUP(Таблица1[[#This Row],[Названия строк]],Котировки[[&lt;DATE&gt;]:[&lt;VOL&gt;]],6,0)</f>
        <v>100.6</v>
      </c>
      <c r="D347" s="26">
        <f>INDEX(Купоны[Дата],MATCH($A347,Купоны[Дата],1))</f>
        <v>44113</v>
      </c>
      <c r="E347" s="24">
        <f>Купоны!$C$4*(A347-D347)/365*100</f>
        <v>0</v>
      </c>
      <c r="F347" s="27">
        <f>-B347*(C347+E347)*Купоны!$G$10/100</f>
        <v>0</v>
      </c>
      <c r="G347" s="34">
        <f>SUM($B$2:B347)</f>
        <v>150</v>
      </c>
      <c r="H347" s="31">
        <f>_xlfn.IFNA(VLOOKUP($A347,Купоны[[Дата]:[% от номинала]],3,0),0)*Купоны!$G$10/100*G347</f>
        <v>5983.5</v>
      </c>
      <c r="I347" s="36">
        <f>Таблица1[[#This Row],[Денежный поток]]+Таблица1[[#This Row],[Купонный доход]]</f>
        <v>5983.5</v>
      </c>
      <c r="J347" s="31">
        <f>Таблица1[[#This Row],[Общий денежный поток]]/((1+$L$2)^((Таблица1[[#This Row],[Названия строк]]-$A$2)/365))</f>
        <v>5170.8454419318268</v>
      </c>
    </row>
    <row r="348" spans="1:10" x14ac:dyDescent="0.3">
      <c r="A348" s="23">
        <v>44118</v>
      </c>
      <c r="B348" s="24">
        <v>340</v>
      </c>
      <c r="C348" s="24">
        <f>VLOOKUP(Таблица1[[#This Row],[Названия строк]],Котировки[[&lt;DATE&gt;]:[&lt;VOL&gt;]],6,0)</f>
        <v>100.5</v>
      </c>
      <c r="D348" s="26">
        <f>INDEX(Купоны[Дата],MATCH($A348,Купоны[Дата],1))</f>
        <v>44113</v>
      </c>
      <c r="E348" s="24">
        <f>Купоны!$C$4*(A348-D348)/365*100</f>
        <v>0.10958904109589042</v>
      </c>
      <c r="F348" s="27">
        <f>-B348*(C348+E348)*Купоны!$G$10/100</f>
        <v>-342072.60273972602</v>
      </c>
      <c r="G348" s="34">
        <f>SUM($B$2:B348)</f>
        <v>490</v>
      </c>
      <c r="H348" s="31">
        <f>_xlfn.IFNA(VLOOKUP($A348,Купоны[[Дата]:[% от номинала]],3,0),0)*Купоны!$G$10/100*G348</f>
        <v>0</v>
      </c>
      <c r="I348" s="36">
        <f>Таблица1[[#This Row],[Денежный поток]]+Таблица1[[#This Row],[Купонный доход]]</f>
        <v>-342072.60273972602</v>
      </c>
      <c r="J348" s="31">
        <f>Таблица1[[#This Row],[Общий денежный поток]]/((1+$L$2)^((Таблица1[[#This Row],[Названия строк]]-$A$2)/365))</f>
        <v>-295416.18755834317</v>
      </c>
    </row>
    <row r="349" spans="1:10" x14ac:dyDescent="0.3">
      <c r="A349" s="23">
        <v>44120</v>
      </c>
      <c r="B349" s="24">
        <v>-370</v>
      </c>
      <c r="C349" s="24">
        <f>VLOOKUP(Таблица1[[#This Row],[Названия строк]],Котировки[[&lt;DATE&gt;]:[&lt;VOL&gt;]],6,0)</f>
        <v>100.48</v>
      </c>
      <c r="D349" s="26">
        <f>INDEX(Купоны[Дата],MATCH($A349,Купоны[Дата],1))</f>
        <v>44113</v>
      </c>
      <c r="E349" s="24">
        <f>Купоны!$C$4*(A349-D349)/365*100</f>
        <v>0.15342465753424658</v>
      </c>
      <c r="F349" s="27">
        <f>-B349*(C349+E349)*Купоны!$G$10/100</f>
        <v>372343.67123287672</v>
      </c>
      <c r="G349" s="34">
        <f>SUM($B$2:B349)</f>
        <v>120</v>
      </c>
      <c r="H349" s="31">
        <f>_xlfn.IFNA(VLOOKUP($A349,Купоны[[Дата]:[% от номинала]],3,0),0)*Купоны!$G$10/100*G349</f>
        <v>0</v>
      </c>
      <c r="I349" s="36">
        <f>Таблица1[[#This Row],[Денежный поток]]+Таблица1[[#This Row],[Купонный доход]]</f>
        <v>372343.67123287672</v>
      </c>
      <c r="J349" s="31">
        <f>Таблица1[[#This Row],[Общий денежный поток]]/((1+$L$2)^((Таблица1[[#This Row],[Названия строк]]-$A$2)/365))</f>
        <v>321472.5297292294</v>
      </c>
    </row>
    <row r="350" spans="1:10" x14ac:dyDescent="0.3">
      <c r="A350" s="23">
        <v>44124</v>
      </c>
      <c r="B350" s="24">
        <v>-120</v>
      </c>
      <c r="C350" s="24">
        <f>VLOOKUP(Таблица1[[#This Row],[Названия строк]],Котировки[[&lt;DATE&gt;]:[&lt;VOL&gt;]],6,0)</f>
        <v>100.43</v>
      </c>
      <c r="D350" s="26">
        <f>INDEX(Купоны[Дата],MATCH($A350,Купоны[Дата],1))</f>
        <v>44113</v>
      </c>
      <c r="E350" s="24">
        <f>Купоны!$C$4*(A350-D350)/365*100</f>
        <v>0.24109589041095891</v>
      </c>
      <c r="F350" s="27">
        <f>-B350*(C350+E350)*Купоны!$G$10/100</f>
        <v>120805.31506849318</v>
      </c>
      <c r="G350" s="34">
        <f>SUM($B$2:B350)</f>
        <v>0</v>
      </c>
      <c r="H350" s="31">
        <f>_xlfn.IFNA(VLOOKUP($A350,Купоны[[Дата]:[% от номинала]],3,0),0)*Купоны!$G$10/100*G350</f>
        <v>0</v>
      </c>
      <c r="I350" s="36">
        <f>Таблица1[[#This Row],[Денежный поток]]+Таблица1[[#This Row],[Купонный доход]]</f>
        <v>120805.31506849318</v>
      </c>
      <c r="J350" s="31">
        <f>Таблица1[[#This Row],[Общий денежный поток]]/((1+$L$2)^((Таблица1[[#This Row],[Названия строк]]-$A$2)/365))</f>
        <v>104244.63718389349</v>
      </c>
    </row>
    <row r="351" spans="1:10" ht="16.2" thickBot="1" x14ac:dyDescent="0.35">
      <c r="A351" s="23">
        <v>44173</v>
      </c>
      <c r="B351" s="24">
        <v>0</v>
      </c>
      <c r="C351" s="24">
        <v>0</v>
      </c>
      <c r="D351" s="26">
        <f>INDEX(Купоны[Дата],MATCH($A351,Купоны[Дата],1))</f>
        <v>44173</v>
      </c>
      <c r="E351" s="28">
        <f>Купоны!$C$4*(A351-D351)/365*100</f>
        <v>0</v>
      </c>
      <c r="F351" s="27">
        <f>-B351*(C351+E351)*Купоны!$G$10/100</f>
        <v>0</v>
      </c>
      <c r="G351" s="34">
        <f>SUM($B$2:B351)</f>
        <v>0</v>
      </c>
      <c r="H351" s="31">
        <f>_xlfn.IFNA(VLOOKUP($A351,Купоны[[Дата]:[% от номинала]],3,0),0)*Купоны!$G$10/100*G351</f>
        <v>0</v>
      </c>
      <c r="I351" s="36">
        <f>Таблица1[[#This Row],[Денежный поток]]+Таблица1[[#This Row],[Купонный доход]]</f>
        <v>0</v>
      </c>
      <c r="J351" s="31">
        <f>Таблица1[[#This Row],[Общий денежный поток]]/((1+$L$2)^((Таблица1[[#This Row],[Названия строк]]-$A$2)/365))</f>
        <v>0</v>
      </c>
    </row>
    <row r="352" spans="1:10" ht="16.2" thickBot="1" x14ac:dyDescent="0.35">
      <c r="A352" s="37" t="s">
        <v>40</v>
      </c>
      <c r="B352" s="28">
        <f>SUBTOTAL(109,Таблица1[Сумма по полю Количество (net)])</f>
        <v>0</v>
      </c>
      <c r="C352" s="28">
        <f>SUBTOTAL(109,Таблица1[Цена сделки])</f>
        <v>35311.310000000005</v>
      </c>
      <c r="D352" s="38" t="s">
        <v>40</v>
      </c>
      <c r="E352" s="28">
        <f>SUBTOTAL(109,Таблица1[НДК])</f>
        <v>685.17260273972579</v>
      </c>
      <c r="F352" s="29">
        <f>SUBTOTAL(109,Таблица1[Денежный поток])</f>
        <v>35065.273972602663</v>
      </c>
      <c r="G352" s="28">
        <f>SUBTOTAL(109,Таблица1[Открытая позиция])</f>
        <v>243700</v>
      </c>
      <c r="H352" s="35">
        <f>SUBTOTAL(109,Таблица1[Купонный доход])</f>
        <v>171527</v>
      </c>
      <c r="I352" s="39">
        <f>SUBTOTAL(109,Таблица1[Общий денежный поток])</f>
        <v>206592.27397260361</v>
      </c>
      <c r="J352" s="35">
        <f>SUBTOTAL(109,Таблица1[Чистая приведенная стоимость])</f>
        <v>95428.313664410103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943A-2432-4166-8DA2-632B52693F35}">
  <dimension ref="A1:L352"/>
  <sheetViews>
    <sheetView zoomScale="110" zoomScaleNormal="110" zoomScaleSheetLayoutView="50" workbookViewId="0">
      <selection activeCell="L4" sqref="L4"/>
    </sheetView>
  </sheetViews>
  <sheetFormatPr defaultRowHeight="15.6" x14ac:dyDescent="0.3"/>
  <cols>
    <col min="1" max="1" width="16.69921875" style="6" bestFit="1" customWidth="1"/>
    <col min="2" max="2" width="31.5" customWidth="1"/>
    <col min="3" max="3" width="13.69921875" customWidth="1"/>
    <col min="4" max="4" width="13.3984375" customWidth="1"/>
    <col min="5" max="5" width="6.3984375" customWidth="1"/>
    <col min="6" max="6" width="17.69921875" customWidth="1"/>
    <col min="7" max="7" width="19" customWidth="1"/>
    <col min="8" max="8" width="17.5" style="30" customWidth="1"/>
    <col min="9" max="9" width="24.5" customWidth="1"/>
    <col min="10" max="10" width="30" customWidth="1"/>
  </cols>
  <sheetData>
    <row r="1" spans="1:12" x14ac:dyDescent="0.3">
      <c r="A1" s="20" t="s">
        <v>29</v>
      </c>
      <c r="B1" s="21" t="s">
        <v>31</v>
      </c>
      <c r="C1" s="21" t="s">
        <v>32</v>
      </c>
      <c r="D1" s="21" t="s">
        <v>33</v>
      </c>
      <c r="E1" s="21" t="s">
        <v>34</v>
      </c>
      <c r="F1" s="22" t="s">
        <v>35</v>
      </c>
      <c r="G1" s="32" t="s">
        <v>36</v>
      </c>
      <c r="H1" s="33" t="s">
        <v>37</v>
      </c>
      <c r="I1" t="s">
        <v>38</v>
      </c>
      <c r="J1" s="27" t="s">
        <v>39</v>
      </c>
      <c r="L1" s="44" t="s">
        <v>21</v>
      </c>
    </row>
    <row r="2" spans="1:12" x14ac:dyDescent="0.3">
      <c r="A2" s="23">
        <v>43021</v>
      </c>
      <c r="B2" s="24">
        <v>380</v>
      </c>
      <c r="C2" s="25">
        <f>VLOOKUP(Таблица16[[#This Row],[Названия строк]],Котировки[[&lt;DATE&gt;]:[&lt;VOL&gt;]],6,0)</f>
        <v>100.45</v>
      </c>
      <c r="D2" s="26">
        <f>INDEX(Купоны[Дата],MATCH($A2,Купоны[Дата],1))</f>
        <v>43021</v>
      </c>
      <c r="E2" s="24">
        <f>Купоны!$C$4*(A2-D2)/365*100</f>
        <v>0</v>
      </c>
      <c r="F2" s="27">
        <f>-B2*(C2+E2)*Купоны!$G$10/100</f>
        <v>-381710</v>
      </c>
      <c r="G2" s="34">
        <f>SUM($B$2:B2)</f>
        <v>380</v>
      </c>
      <c r="H2" s="31">
        <f>_xlfn.IFNA(VLOOKUP($A2,Купоны[[Дата]:[% от номинала]],3,0),0)*Купоны!$G$10/100*G2</f>
        <v>0</v>
      </c>
      <c r="I2" s="30">
        <f>Таблица16[[#This Row],[Денежный поток]]+Таблица16[[#This Row],[Купонный доход]]</f>
        <v>-381710</v>
      </c>
      <c r="J2" s="31">
        <f>Таблица16[[#This Row],[Общий денежный поток]]/((1+$L$2)^((Таблица16[[#This Row],[Названия строк]]-$A$2)/365))</f>
        <v>-381710</v>
      </c>
      <c r="L2" s="43">
        <v>0.10174632888811758</v>
      </c>
    </row>
    <row r="3" spans="1:12" x14ac:dyDescent="0.3">
      <c r="A3" s="23">
        <v>43026</v>
      </c>
      <c r="B3" s="24">
        <v>380</v>
      </c>
      <c r="C3" s="24">
        <f>VLOOKUP(Таблица16[[#This Row],[Названия строк]],Котировки[[&lt;DATE&gt;]:[&lt;VOL&gt;]],6,0)</f>
        <v>100.85</v>
      </c>
      <c r="D3" s="26">
        <f>INDEX(Купоны[Дата],MATCH($A3,Купоны[Дата],1))</f>
        <v>43021</v>
      </c>
      <c r="E3" s="24">
        <f>Купоны!$C$4*(A3-D3)/365*100</f>
        <v>0.10958904109589042</v>
      </c>
      <c r="F3" s="27">
        <f>-B3*(C3+E3)*Купоны!$G$10/100</f>
        <v>-383646.43835616438</v>
      </c>
      <c r="G3" s="34">
        <f>SUM($B$2:B3)</f>
        <v>760</v>
      </c>
      <c r="H3" s="31">
        <f>_xlfn.IFNA(VLOOKUP($A3,Купоны[[Дата]:[% от номинала]],3,0),0)*Купоны!$G$10/100*G3</f>
        <v>0</v>
      </c>
      <c r="I3" s="30">
        <f>Таблица16[[#This Row],[Денежный поток]]+Таблица16[[#This Row],[Купонный доход]]</f>
        <v>-383646.43835616438</v>
      </c>
      <c r="J3" s="31">
        <f>Таблица16[[#This Row],[Общий денежный поток]]/((1+$L$2)^((Таблица16[[#This Row],[Названия строк]]-$A$2)/365))</f>
        <v>-383137.54337294825</v>
      </c>
    </row>
    <row r="4" spans="1:12" x14ac:dyDescent="0.3">
      <c r="A4" s="23">
        <v>43027</v>
      </c>
      <c r="B4" s="24">
        <v>570</v>
      </c>
      <c r="C4" s="24">
        <f>VLOOKUP(Таблица16[[#This Row],[Названия строк]],Котировки[[&lt;DATE&gt;]:[&lt;VOL&gt;]],6,0)</f>
        <v>101.05</v>
      </c>
      <c r="D4" s="26">
        <f>INDEX(Купоны[Дата],MATCH($A4,Купоны[Дата],1))</f>
        <v>43021</v>
      </c>
      <c r="E4" s="24">
        <f>Купоны!$C$4*(A4-D4)/365*100</f>
        <v>0.13150684931506851</v>
      </c>
      <c r="F4" s="27">
        <f>-B4*(C4+E4)*Купоны!$G$10/100</f>
        <v>-576734.58904109593</v>
      </c>
      <c r="G4" s="34">
        <f>SUM($B$2:B4)</f>
        <v>1330</v>
      </c>
      <c r="H4" s="31">
        <f>_xlfn.IFNA(VLOOKUP($A4,Купоны[[Дата]:[% от номинала]],3,0),0)*Купоны!$G$10/100*G4</f>
        <v>0</v>
      </c>
      <c r="I4" s="30">
        <f>Таблица16[[#This Row],[Денежный поток]]+Таблица16[[#This Row],[Купонный доход]]</f>
        <v>-576734.58904109593</v>
      </c>
      <c r="J4" s="31">
        <f>Таблица16[[#This Row],[Общий денежный поток]]/((1+$L$2)^((Таблица16[[#This Row],[Названия строк]]-$A$2)/365))</f>
        <v>-575816.68641704752</v>
      </c>
    </row>
    <row r="5" spans="1:12" x14ac:dyDescent="0.3">
      <c r="A5" s="23">
        <v>43028</v>
      </c>
      <c r="B5" s="24">
        <v>-1030</v>
      </c>
      <c r="C5" s="24">
        <f>VLOOKUP(Таблица16[[#This Row],[Названия строк]],Котировки[[&lt;DATE&gt;]:[&lt;VOL&gt;]],6,0)</f>
        <v>101.15</v>
      </c>
      <c r="D5" s="26">
        <f>INDEX(Купоны[Дата],MATCH($A5,Купоны[Дата],1))</f>
        <v>43021</v>
      </c>
      <c r="E5" s="24">
        <f>Купоны!$C$4*(A5-D5)/365*100</f>
        <v>0.15342465753424658</v>
      </c>
      <c r="F5" s="27">
        <f>-B5*(C5+E5)*Купоны!$G$10/100</f>
        <v>1043425.2739726028</v>
      </c>
      <c r="G5" s="34">
        <f>SUM($B$2:B5)</f>
        <v>300</v>
      </c>
      <c r="H5" s="31">
        <f>_xlfn.IFNA(VLOOKUP($A5,Купоны[[Дата]:[% от номинала]],3,0),0)*Купоны!$G$10/100*G5</f>
        <v>0</v>
      </c>
      <c r="I5" s="30">
        <f>Таблица16[[#This Row],[Денежный поток]]+Таблица16[[#This Row],[Купонный доход]]</f>
        <v>1043425.2739726028</v>
      </c>
      <c r="J5" s="31">
        <f>Таблица16[[#This Row],[Общий денежный поток]]/((1+$L$2)^((Таблица16[[#This Row],[Названия строк]]-$A$2)/365))</f>
        <v>1041488.088849906</v>
      </c>
    </row>
    <row r="6" spans="1:12" x14ac:dyDescent="0.3">
      <c r="A6" s="23">
        <v>43031</v>
      </c>
      <c r="B6" s="24">
        <v>230</v>
      </c>
      <c r="C6" s="24">
        <f>VLOOKUP(Таблица16[[#This Row],[Названия строк]],Котировки[[&lt;DATE&gt;]:[&lt;VOL&gt;]],6,0)</f>
        <v>101.03</v>
      </c>
      <c r="D6" s="26">
        <f>INDEX(Купоны[Дата],MATCH($A6,Купоны[Дата],1))</f>
        <v>43021</v>
      </c>
      <c r="E6" s="24">
        <f>Купоны!$C$4*(A6-D6)/365*100</f>
        <v>0.21917808219178084</v>
      </c>
      <c r="F6" s="27">
        <f>-B6*(C6+E6)*Купоны!$G$10/100</f>
        <v>-232873.10958904109</v>
      </c>
      <c r="G6" s="34">
        <f>SUM($B$2:B6)</f>
        <v>530</v>
      </c>
      <c r="H6" s="31">
        <f>_xlfn.IFNA(VLOOKUP($A6,Купоны[[Дата]:[% от номинала]],3,0),0)*Купоны!$G$10/100*G6</f>
        <v>0</v>
      </c>
      <c r="I6" s="30">
        <f>Таблица16[[#This Row],[Денежный поток]]+Таблица16[[#This Row],[Купонный доход]]</f>
        <v>-232873.10958904109</v>
      </c>
      <c r="J6" s="31">
        <f>Таблица16[[#This Row],[Общий денежный поток]]/((1+$L$2)^((Таблица16[[#This Row],[Названия строк]]-$A$2)/365))</f>
        <v>-232255.72156293722</v>
      </c>
    </row>
    <row r="7" spans="1:12" x14ac:dyDescent="0.3">
      <c r="A7" s="23">
        <v>43032</v>
      </c>
      <c r="B7" s="24">
        <v>20</v>
      </c>
      <c r="C7" s="24">
        <f>VLOOKUP(Таблица16[[#This Row],[Названия строк]],Котировки[[&lt;DATE&gt;]:[&lt;VOL&gt;]],6,0)</f>
        <v>101.09</v>
      </c>
      <c r="D7" s="26">
        <f>INDEX(Купоны[Дата],MATCH($A7,Купоны[Дата],1))</f>
        <v>43021</v>
      </c>
      <c r="E7" s="24">
        <f>Купоны!$C$4*(A7-D7)/365*100</f>
        <v>0.24109589041095891</v>
      </c>
      <c r="F7" s="27">
        <f>-B7*(C7+E7)*Купоны!$G$10/100</f>
        <v>-20266.219178082192</v>
      </c>
      <c r="G7" s="34">
        <f>SUM($B$2:B7)</f>
        <v>550</v>
      </c>
      <c r="H7" s="31">
        <f>_xlfn.IFNA(VLOOKUP($A7,Купоны[[Дата]:[% от номинала]],3,0),0)*Купоны!$G$10/100*G7</f>
        <v>0</v>
      </c>
      <c r="I7" s="30">
        <f>Таблица16[[#This Row],[Денежный поток]]+Таблица16[[#This Row],[Купонный доход]]</f>
        <v>-20266.219178082192</v>
      </c>
      <c r="J7" s="31">
        <f>Таблица16[[#This Row],[Общий денежный поток]]/((1+$L$2)^((Таблица16[[#This Row],[Названия строк]]-$A$2)/365))</f>
        <v>-20207.124732701093</v>
      </c>
    </row>
    <row r="8" spans="1:12" x14ac:dyDescent="0.3">
      <c r="A8" s="23">
        <v>43035</v>
      </c>
      <c r="B8" s="24">
        <v>-10</v>
      </c>
      <c r="C8" s="24">
        <f>VLOOKUP(Таблица16[[#This Row],[Названия строк]],Котировки[[&lt;DATE&gt;]:[&lt;VOL&gt;]],6,0)</f>
        <v>101.08</v>
      </c>
      <c r="D8" s="26">
        <f>INDEX(Купоны[Дата],MATCH($A8,Купоны[Дата],1))</f>
        <v>43021</v>
      </c>
      <c r="E8" s="24">
        <f>Купоны!$C$4*(A8-D8)/365*100</f>
        <v>0.30684931506849317</v>
      </c>
      <c r="F8" s="27">
        <f>-B8*(C8+E8)*Купоны!$G$10/100</f>
        <v>10138.684931506848</v>
      </c>
      <c r="G8" s="34">
        <f>SUM($B$2:B8)</f>
        <v>540</v>
      </c>
      <c r="H8" s="31">
        <f>_xlfn.IFNA(VLOOKUP($A8,Купоны[[Дата]:[% от номинала]],3,0),0)*Купоны!$G$10/100*G8</f>
        <v>0</v>
      </c>
      <c r="I8" s="30">
        <f>Таблица16[[#This Row],[Денежный поток]]+Таблица16[[#This Row],[Купонный доход]]</f>
        <v>10138.684931506848</v>
      </c>
      <c r="J8" s="31">
        <f>Таблица16[[#This Row],[Общий денежный поток]]/((1+$L$2)^((Таблица16[[#This Row],[Названия строк]]-$A$2)/365))</f>
        <v>10101.073656071379</v>
      </c>
    </row>
    <row r="9" spans="1:12" x14ac:dyDescent="0.3">
      <c r="A9" s="23">
        <v>43041</v>
      </c>
      <c r="B9" s="24">
        <v>700</v>
      </c>
      <c r="C9" s="24">
        <f>VLOOKUP(Таблица16[[#This Row],[Названия строк]],Котировки[[&lt;DATE&gt;]:[&lt;VOL&gt;]],6,0)</f>
        <v>101.1</v>
      </c>
      <c r="D9" s="26">
        <f>INDEX(Купоны[Дата],MATCH($A9,Купоны[Дата],1))</f>
        <v>43021</v>
      </c>
      <c r="E9" s="24">
        <f>Купоны!$C$4*(A9-D9)/365*100</f>
        <v>0.43835616438356168</v>
      </c>
      <c r="F9" s="27">
        <f>-B9*(C9+E9)*Купоны!$G$10/100</f>
        <v>-710768.49315068498</v>
      </c>
      <c r="G9" s="34">
        <f>SUM($B$2:B9)</f>
        <v>1240</v>
      </c>
      <c r="H9" s="31">
        <f>_xlfn.IFNA(VLOOKUP($A9,Купоны[[Дата]:[% от номинала]],3,0),0)*Купоны!$G$10/100*G9</f>
        <v>0</v>
      </c>
      <c r="I9" s="30">
        <f>Таблица16[[#This Row],[Денежный поток]]+Таблица16[[#This Row],[Купонный доход]]</f>
        <v>-710768.49315068498</v>
      </c>
      <c r="J9" s="31">
        <f>Таблица16[[#This Row],[Общий денежный поток]]/((1+$L$2)^((Таблица16[[#This Row],[Названия строк]]-$A$2)/365))</f>
        <v>-707004.74161316198</v>
      </c>
    </row>
    <row r="10" spans="1:12" x14ac:dyDescent="0.3">
      <c r="A10" s="23">
        <v>43042</v>
      </c>
      <c r="B10" s="24">
        <v>-800</v>
      </c>
      <c r="C10" s="24">
        <f>VLOOKUP(Таблица16[[#This Row],[Названия строк]],Котировки[[&lt;DATE&gt;]:[&lt;VOL&gt;]],6,0)</f>
        <v>101.24</v>
      </c>
      <c r="D10" s="26">
        <f>INDEX(Купоны[Дата],MATCH($A10,Купоны[Дата],1))</f>
        <v>43021</v>
      </c>
      <c r="E10" s="24">
        <f>Купоны!$C$4*(A10-D10)/365*100</f>
        <v>0.46027397260273967</v>
      </c>
      <c r="F10" s="27">
        <f>-B10*(C10+E10)*Купоны!$G$10/100</f>
        <v>813602.19178082189</v>
      </c>
      <c r="G10" s="34">
        <f>SUM($B$2:B10)</f>
        <v>440</v>
      </c>
      <c r="H10" s="31">
        <f>_xlfn.IFNA(VLOOKUP($A10,Купоны[[Дата]:[% от номинала]],3,0),0)*Купоны!$G$10/100*G10</f>
        <v>0</v>
      </c>
      <c r="I10" s="30">
        <f>Таблица16[[#This Row],[Денежный поток]]+Таблица16[[#This Row],[Купонный доход]]</f>
        <v>813602.19178082189</v>
      </c>
      <c r="J10" s="31">
        <f>Таблица16[[#This Row],[Общий денежный поток]]/((1+$L$2)^((Таблица16[[#This Row],[Названия строк]]-$A$2)/365))</f>
        <v>809079.08757997339</v>
      </c>
    </row>
    <row r="11" spans="1:12" x14ac:dyDescent="0.3">
      <c r="A11" s="23">
        <v>43046</v>
      </c>
      <c r="B11" s="24">
        <v>240</v>
      </c>
      <c r="C11" s="24">
        <f>VLOOKUP(Таблица16[[#This Row],[Названия строк]],Котировки[[&lt;DATE&gt;]:[&lt;VOL&gt;]],6,0)</f>
        <v>101.15</v>
      </c>
      <c r="D11" s="26">
        <f>INDEX(Купоны[Дата],MATCH($A11,Купоны[Дата],1))</f>
        <v>43021</v>
      </c>
      <c r="E11" s="24">
        <f>Купоны!$C$4*(A11-D11)/365*100</f>
        <v>0.54794520547945202</v>
      </c>
      <c r="F11" s="27">
        <f>-B11*(C11+E11)*Купоны!$G$10/100</f>
        <v>-244075.0684931507</v>
      </c>
      <c r="G11" s="34">
        <f>SUM($B$2:B11)</f>
        <v>680</v>
      </c>
      <c r="H11" s="31">
        <f>_xlfn.IFNA(VLOOKUP($A11,Купоны[[Дата]:[% от номинала]],3,0),0)*Купоны!$G$10/100*G11</f>
        <v>0</v>
      </c>
      <c r="I11" s="30">
        <f>Таблица16[[#This Row],[Денежный поток]]+Таблица16[[#This Row],[Купонный доход]]</f>
        <v>-244075.0684931507</v>
      </c>
      <c r="J11" s="31">
        <f>Таблица16[[#This Row],[Общий денежный поток]]/((1+$L$2)^((Таблица16[[#This Row],[Названия строк]]-$A$2)/365))</f>
        <v>-242460.56768292221</v>
      </c>
    </row>
    <row r="12" spans="1:12" x14ac:dyDescent="0.3">
      <c r="A12" s="23">
        <v>43049</v>
      </c>
      <c r="B12" s="24">
        <v>980</v>
      </c>
      <c r="C12" s="24">
        <f>VLOOKUP(Таблица16[[#This Row],[Названия строк]],Котировки[[&lt;DATE&gt;]:[&lt;VOL&gt;]],6,0)</f>
        <v>101.16</v>
      </c>
      <c r="D12" s="26">
        <f>INDEX(Купоны[Дата],MATCH($A12,Купоны[Дата],1))</f>
        <v>43021</v>
      </c>
      <c r="E12" s="24">
        <f>Купоны!$C$4*(A12-D12)/365*100</f>
        <v>0.61369863013698633</v>
      </c>
      <c r="F12" s="27">
        <f>-B12*(C12+E12)*Купоны!$G$10/100</f>
        <v>-997382.24657534237</v>
      </c>
      <c r="G12" s="34">
        <f>SUM($B$2:B12)</f>
        <v>1660</v>
      </c>
      <c r="H12" s="31">
        <f>_xlfn.IFNA(VLOOKUP($A12,Купоны[[Дата]:[% от номинала]],3,0),0)*Купоны!$G$10/100*G12</f>
        <v>0</v>
      </c>
      <c r="I12" s="45">
        <f>Таблица16[[#This Row],[Денежный поток]]+Таблица16[[#This Row],[Купонный доход]]</f>
        <v>-997382.24657534237</v>
      </c>
      <c r="J12" s="31">
        <f>Таблица16[[#This Row],[Общий денежный поток]]/((1+$L$2)^((Таблица16[[#This Row],[Названия строк]]-$A$2)/365))</f>
        <v>-989996.03458243562</v>
      </c>
    </row>
    <row r="13" spans="1:12" x14ac:dyDescent="0.3">
      <c r="A13" s="23">
        <v>43053</v>
      </c>
      <c r="B13" s="24">
        <v>-620</v>
      </c>
      <c r="C13" s="24">
        <f>VLOOKUP(Таблица16[[#This Row],[Названия строк]],Котировки[[&lt;DATE&gt;]:[&lt;VOL&gt;]],6,0)</f>
        <v>101.09</v>
      </c>
      <c r="D13" s="26">
        <f>INDEX(Купоны[Дата],MATCH($A13,Купоны[Дата],1))</f>
        <v>43021</v>
      </c>
      <c r="E13" s="24">
        <f>Купоны!$C$4*(A13-D13)/365*100</f>
        <v>0.70136986301369864</v>
      </c>
      <c r="F13" s="27">
        <f>-B13*(C13+E13)*Купоны!$G$10/100</f>
        <v>631106.49315068487</v>
      </c>
      <c r="G13" s="34">
        <f>SUM($B$2:B13)</f>
        <v>1040</v>
      </c>
      <c r="H13" s="31">
        <f>_xlfn.IFNA(VLOOKUP($A13,Купоны[[Дата]:[% от номинала]],3,0),0)*Купоны!$G$10/100*G13</f>
        <v>0</v>
      </c>
      <c r="I13" s="36">
        <f>Таблица16[[#This Row],[Денежный поток]]+Таблица16[[#This Row],[Купонный доход]]</f>
        <v>631106.49315068487</v>
      </c>
      <c r="J13" s="31">
        <f>Таблица16[[#This Row],[Общий денежный поток]]/((1+$L$2)^((Таблица16[[#This Row],[Названия строк]]-$A$2)/365))</f>
        <v>625767.92916856345</v>
      </c>
    </row>
    <row r="14" spans="1:12" x14ac:dyDescent="0.3">
      <c r="A14" s="23">
        <v>43055</v>
      </c>
      <c r="B14" s="24">
        <v>-920</v>
      </c>
      <c r="C14" s="24">
        <f>VLOOKUP(Таблица16[[#This Row],[Названия строк]],Котировки[[&lt;DATE&gt;]:[&lt;VOL&gt;]],6,0)</f>
        <v>101.09</v>
      </c>
      <c r="D14" s="26">
        <f>INDEX(Купоны[Дата],MATCH($A14,Купоны[Дата],1))</f>
        <v>43021</v>
      </c>
      <c r="E14" s="24">
        <f>Купоны!$C$4*(A14-D14)/365*100</f>
        <v>0.74520547945205484</v>
      </c>
      <c r="F14" s="27">
        <f>-B14*(C14+E14)*Купоны!$G$10/100</f>
        <v>936883.89041095902</v>
      </c>
      <c r="G14" s="34">
        <f>SUM($B$2:B14)</f>
        <v>120</v>
      </c>
      <c r="H14" s="31">
        <f>_xlfn.IFNA(VLOOKUP($A14,Купоны[[Дата]:[% от номинала]],3,0),0)*Купоны!$G$10/100*G14</f>
        <v>0</v>
      </c>
      <c r="I14" s="36">
        <f>Таблица16[[#This Row],[Денежный поток]]+Таблица16[[#This Row],[Купонный доход]]</f>
        <v>936883.89041095902</v>
      </c>
      <c r="J14" s="31">
        <f>Таблица16[[#This Row],[Общий денежный поток]]/((1+$L$2)^((Таблица16[[#This Row],[Названия строк]]-$A$2)/365))</f>
        <v>928465.64872741373</v>
      </c>
    </row>
    <row r="15" spans="1:12" x14ac:dyDescent="0.3">
      <c r="A15" s="23">
        <v>43056</v>
      </c>
      <c r="B15" s="24">
        <v>250</v>
      </c>
      <c r="C15" s="24">
        <f>VLOOKUP(Таблица16[[#This Row],[Названия строк]],Котировки[[&lt;DATE&gt;]:[&lt;VOL&gt;]],6,0)</f>
        <v>101.07</v>
      </c>
      <c r="D15" s="26">
        <f>INDEX(Купоны[Дата],MATCH($A15,Купоны[Дата],1))</f>
        <v>43021</v>
      </c>
      <c r="E15" s="24">
        <f>Купоны!$C$4*(A15-D15)/365*100</f>
        <v>0.76712328767123295</v>
      </c>
      <c r="F15" s="27">
        <f>-B15*(C15+E15)*Купоны!$G$10/100</f>
        <v>-254592.80821917808</v>
      </c>
      <c r="G15" s="34">
        <f>SUM($B$2:B15)</f>
        <v>370</v>
      </c>
      <c r="H15" s="31">
        <f>_xlfn.IFNA(VLOOKUP($A15,Купоны[[Дата]:[% от номинала]],3,0),0)*Купоны!$G$10/100*G15</f>
        <v>0</v>
      </c>
      <c r="I15" s="36">
        <f>Таблица16[[#This Row],[Денежный поток]]+Таблица16[[#This Row],[Купонный доход]]</f>
        <v>-254592.80821917808</v>
      </c>
      <c r="J15" s="31">
        <f>Таблица16[[#This Row],[Общий денежный поток]]/((1+$L$2)^((Таблица16[[#This Row],[Названия строк]]-$A$2)/365))</f>
        <v>-252238.22893185032</v>
      </c>
    </row>
    <row r="16" spans="1:12" x14ac:dyDescent="0.3">
      <c r="A16" s="23">
        <v>43061</v>
      </c>
      <c r="B16" s="24">
        <v>550</v>
      </c>
      <c r="C16" s="24">
        <f>VLOOKUP(Таблица16[[#This Row],[Названия строк]],Котировки[[&lt;DATE&gt;]:[&lt;VOL&gt;]],6,0)</f>
        <v>101.04</v>
      </c>
      <c r="D16" s="26">
        <f>INDEX(Купоны[Дата],MATCH($A16,Купоны[Дата],1))</f>
        <v>43021</v>
      </c>
      <c r="E16" s="24">
        <f>Купоны!$C$4*(A16-D16)/365*100</f>
        <v>0.87671232876712335</v>
      </c>
      <c r="F16" s="27">
        <f>-B16*(C16+E16)*Купоны!$G$10/100</f>
        <v>-560541.91780821921</v>
      </c>
      <c r="G16" s="34">
        <f>SUM($B$2:B16)</f>
        <v>920</v>
      </c>
      <c r="H16" s="31">
        <f>_xlfn.IFNA(VLOOKUP($A16,Купоны[[Дата]:[% от номинала]],3,0),0)*Купоны!$G$10/100*G16</f>
        <v>0</v>
      </c>
      <c r="I16" s="36">
        <f>Таблица16[[#This Row],[Денежный поток]]+Таблица16[[#This Row],[Купонный доход]]</f>
        <v>-560541.91780821921</v>
      </c>
      <c r="J16" s="31">
        <f>Таблица16[[#This Row],[Общий денежный поток]]/((1+$L$2)^((Таблица16[[#This Row],[Названия строк]]-$A$2)/365))</f>
        <v>-554621.13025945902</v>
      </c>
    </row>
    <row r="17" spans="1:10" x14ac:dyDescent="0.3">
      <c r="A17" s="23">
        <v>43069</v>
      </c>
      <c r="B17" s="24">
        <v>740</v>
      </c>
      <c r="C17" s="24">
        <f>VLOOKUP(Таблица16[[#This Row],[Названия строк]],Котировки[[&lt;DATE&gt;]:[&lt;VOL&gt;]],6,0)</f>
        <v>100.99</v>
      </c>
      <c r="D17" s="26">
        <f>INDEX(Купоны[Дата],MATCH($A17,Купоны[Дата],1))</f>
        <v>43021</v>
      </c>
      <c r="E17" s="24">
        <f>Купоны!$C$4*(A17-D17)/365*100</f>
        <v>1.0520547945205481</v>
      </c>
      <c r="F17" s="27">
        <f>-B17*(C17+E17)*Купоны!$G$10/100</f>
        <v>-755111.20547945204</v>
      </c>
      <c r="G17" s="34">
        <f>SUM($B$2:B17)</f>
        <v>1660</v>
      </c>
      <c r="H17" s="31">
        <f>_xlfn.IFNA(VLOOKUP($A17,Купоны[[Дата]:[% от номинала]],3,0),0)*Купоны!$G$10/100*G17</f>
        <v>0</v>
      </c>
      <c r="I17" s="36">
        <f>Таблица16[[#This Row],[Денежный поток]]+Таблица16[[#This Row],[Купонный доход]]</f>
        <v>-755111.20547945204</v>
      </c>
      <c r="J17" s="31">
        <f>Таблица16[[#This Row],[Общий денежный поток]]/((1+$L$2)^((Таблица16[[#This Row],[Названия строк]]-$A$2)/365))</f>
        <v>-745550.20646663569</v>
      </c>
    </row>
    <row r="18" spans="1:10" x14ac:dyDescent="0.3">
      <c r="A18" s="23">
        <v>43070</v>
      </c>
      <c r="B18" s="24">
        <v>-1110</v>
      </c>
      <c r="C18" s="24">
        <f>VLOOKUP(Таблица16[[#This Row],[Названия строк]],Котировки[[&lt;DATE&gt;]:[&lt;VOL&gt;]],6,0)</f>
        <v>101</v>
      </c>
      <c r="D18" s="26">
        <f>INDEX(Купоны[Дата],MATCH($A18,Купоны[Дата],1))</f>
        <v>43021</v>
      </c>
      <c r="E18" s="24">
        <f>Купоны!$C$4*(A18-D18)/365*100</f>
        <v>1.0739726027397261</v>
      </c>
      <c r="F18" s="27">
        <f>-B18*(C18+E18)*Купоны!$G$10/100</f>
        <v>1133021.0958904109</v>
      </c>
      <c r="G18" s="34">
        <f>SUM($B$2:B18)</f>
        <v>550</v>
      </c>
      <c r="H18" s="31">
        <f>_xlfn.IFNA(VLOOKUP($A18,Купоны[[Дата]:[% от номинала]],3,0),0)*Купоны!$G$10/100*G18</f>
        <v>0</v>
      </c>
      <c r="I18" s="36">
        <f>Таблица16[[#This Row],[Денежный поток]]+Таблица16[[#This Row],[Купонный доход]]</f>
        <v>1133021.0958904109</v>
      </c>
      <c r="J18" s="31">
        <f>Таблица16[[#This Row],[Общий денежный поток]]/((1+$L$2)^((Таблица16[[#This Row],[Названия строк]]-$A$2)/365))</f>
        <v>1118378.1763927687</v>
      </c>
    </row>
    <row r="19" spans="1:10" x14ac:dyDescent="0.3">
      <c r="A19" s="23">
        <v>43073</v>
      </c>
      <c r="B19" s="24">
        <v>-520</v>
      </c>
      <c r="C19" s="24">
        <f>VLOOKUP(Таблица16[[#This Row],[Названия строк]],Котировки[[&lt;DATE&gt;]:[&lt;VOL&gt;]],6,0)</f>
        <v>101.02</v>
      </c>
      <c r="D19" s="26">
        <f>INDEX(Купоны[Дата],MATCH($A19,Купоны[Дата],1))</f>
        <v>43021</v>
      </c>
      <c r="E19" s="24">
        <f>Купоны!$C$4*(A19-D19)/365*100</f>
        <v>1.1397260273972603</v>
      </c>
      <c r="F19" s="27">
        <f>-B19*(C19+E19)*Купоны!$G$10/100</f>
        <v>531230.57534246566</v>
      </c>
      <c r="G19" s="34">
        <f>SUM($B$2:B19)</f>
        <v>30</v>
      </c>
      <c r="H19" s="31">
        <f>_xlfn.IFNA(VLOOKUP($A19,Купоны[[Дата]:[% от номинала]],3,0),0)*Купоны!$G$10/100*G19</f>
        <v>0</v>
      </c>
      <c r="I19" s="36">
        <f>Таблица16[[#This Row],[Денежный поток]]+Таблица16[[#This Row],[Купонный доход]]</f>
        <v>531230.57534246566</v>
      </c>
      <c r="J19" s="31">
        <f>Таблица16[[#This Row],[Общий денежный поток]]/((1+$L$2)^((Таблица16[[#This Row],[Названия строк]]-$A$2)/365))</f>
        <v>523947.62324076495</v>
      </c>
    </row>
    <row r="20" spans="1:10" x14ac:dyDescent="0.3">
      <c r="A20" s="23">
        <v>43077</v>
      </c>
      <c r="B20" s="24">
        <v>690</v>
      </c>
      <c r="C20" s="24">
        <f>VLOOKUP(Таблица16[[#This Row],[Названия строк]],Котировки[[&lt;DATE&gt;]:[&lt;VOL&gt;]],6,0)</f>
        <v>101.3</v>
      </c>
      <c r="D20" s="26">
        <f>INDEX(Купоны[Дата],MATCH($A20,Купоны[Дата],1))</f>
        <v>43021</v>
      </c>
      <c r="E20" s="24">
        <f>Купоны!$C$4*(A20-D20)/365*100</f>
        <v>1.2273972602739727</v>
      </c>
      <c r="F20" s="27">
        <f>-B20*(C20+E20)*Купоны!$G$10/100</f>
        <v>-707439.04109589045</v>
      </c>
      <c r="G20" s="34">
        <f>SUM($B$2:B20)</f>
        <v>720</v>
      </c>
      <c r="H20" s="31">
        <f>_xlfn.IFNA(VLOOKUP($A20,Купоны[[Дата]:[% от номинала]],3,0),0)*Купоны!$G$10/100*G20</f>
        <v>0</v>
      </c>
      <c r="I20" s="36">
        <f>Таблица16[[#This Row],[Денежный поток]]+Таблица16[[#This Row],[Купонный доход]]</f>
        <v>-707439.04109589045</v>
      </c>
      <c r="J20" s="31">
        <f>Таблица16[[#This Row],[Общий денежный поток]]/((1+$L$2)^((Таблица16[[#This Row],[Названия строк]]-$A$2)/365))</f>
        <v>-696999.8207642471</v>
      </c>
    </row>
    <row r="21" spans="1:10" x14ac:dyDescent="0.3">
      <c r="A21" s="23">
        <v>43080</v>
      </c>
      <c r="B21" s="24">
        <v>60</v>
      </c>
      <c r="C21" s="24">
        <f>VLOOKUP(Таблица16[[#This Row],[Названия строк]],Котировки[[&lt;DATE&gt;]:[&lt;VOL&gt;]],6,0)</f>
        <v>101.2</v>
      </c>
      <c r="D21" s="26">
        <f>INDEX(Купоны[Дата],MATCH($A21,Купоны[Дата],1))</f>
        <v>43021</v>
      </c>
      <c r="E21" s="24">
        <f>Купоны!$C$4*(A21-D21)/365*100</f>
        <v>1.2931506849315069</v>
      </c>
      <c r="F21" s="27">
        <f>-B21*(C21+E21)*Купоны!$G$10/100</f>
        <v>-61495.890410958898</v>
      </c>
      <c r="G21" s="34">
        <f>SUM($B$2:B21)</f>
        <v>780</v>
      </c>
      <c r="H21" s="31">
        <f>_xlfn.IFNA(VLOOKUP($A21,Купоны[[Дата]:[% от номинала]],3,0),0)*Купоны!$G$10/100*G21</f>
        <v>0</v>
      </c>
      <c r="I21" s="36">
        <f>Таблица16[[#This Row],[Денежный поток]]+Таблица16[[#This Row],[Купонный доход]]</f>
        <v>-61495.890410958898</v>
      </c>
      <c r="J21" s="31">
        <f>Таблица16[[#This Row],[Общий денежный поток]]/((1+$L$2)^((Таблица16[[#This Row],[Названия строк]]-$A$2)/365))</f>
        <v>-60540.201336313861</v>
      </c>
    </row>
    <row r="22" spans="1:10" x14ac:dyDescent="0.3">
      <c r="A22" s="23">
        <v>43081</v>
      </c>
      <c r="B22" s="24">
        <v>-320</v>
      </c>
      <c r="C22" s="24">
        <f>VLOOKUP(Таблица16[[#This Row],[Названия строк]],Котировки[[&lt;DATE&gt;]:[&lt;VOL&gt;]],6,0)</f>
        <v>101.2</v>
      </c>
      <c r="D22" s="26">
        <f>INDEX(Купоны[Дата],MATCH($A22,Купоны[Дата],1))</f>
        <v>43021</v>
      </c>
      <c r="E22" s="24">
        <f>Купоны!$C$4*(A22-D22)/365*100</f>
        <v>1.3150684931506849</v>
      </c>
      <c r="F22" s="27">
        <f>-B22*(C22+E22)*Купоны!$G$10/100</f>
        <v>328048.21917808225</v>
      </c>
      <c r="G22" s="34">
        <f>SUM($B$2:B22)</f>
        <v>460</v>
      </c>
      <c r="H22" s="31">
        <f>_xlfn.IFNA(VLOOKUP($A22,Купоны[[Дата]:[% от номинала]],3,0),0)*Купоны!$G$10/100*G22</f>
        <v>0</v>
      </c>
      <c r="I22" s="36">
        <f>Таблица16[[#This Row],[Денежный поток]]+Таблица16[[#This Row],[Купонный доход]]</f>
        <v>328048.21917808225</v>
      </c>
      <c r="J22" s="31">
        <f>Таблица16[[#This Row],[Общий денежный поток]]/((1+$L$2)^((Таблица16[[#This Row],[Названия строк]]-$A$2)/365))</f>
        <v>322864.39866322599</v>
      </c>
    </row>
    <row r="23" spans="1:10" x14ac:dyDescent="0.3">
      <c r="A23" s="23">
        <v>43083</v>
      </c>
      <c r="B23" s="24">
        <v>410</v>
      </c>
      <c r="C23" s="24">
        <f>VLOOKUP(Таблица16[[#This Row],[Названия строк]],Котировки[[&lt;DATE&gt;]:[&lt;VOL&gt;]],6,0)</f>
        <v>101.35</v>
      </c>
      <c r="D23" s="26">
        <f>INDEX(Купоны[Дата],MATCH($A23,Купоны[Дата],1))</f>
        <v>43021</v>
      </c>
      <c r="E23" s="24">
        <f>Купоны!$C$4*(A23-D23)/365*100</f>
        <v>1.3589041095890411</v>
      </c>
      <c r="F23" s="27">
        <f>-B23*(C23+E23)*Купоны!$G$10/100</f>
        <v>-421106.50684931502</v>
      </c>
      <c r="G23" s="34">
        <f>SUM($B$2:B23)</f>
        <v>870</v>
      </c>
      <c r="H23" s="31">
        <f>_xlfn.IFNA(VLOOKUP($A23,Купоны[[Дата]:[% от номинала]],3,0),0)*Купоны!$G$10/100*G23</f>
        <v>0</v>
      </c>
      <c r="I23" s="36">
        <f>Таблица16[[#This Row],[Денежный поток]]+Таблица16[[#This Row],[Купонный доход]]</f>
        <v>-421106.50684931502</v>
      </c>
      <c r="J23" s="31">
        <f>Таблица16[[#This Row],[Общий денежный поток]]/((1+$L$2)^((Таблица16[[#This Row],[Названия строк]]-$A$2)/365))</f>
        <v>-414232.18784438219</v>
      </c>
    </row>
    <row r="24" spans="1:10" x14ac:dyDescent="0.3">
      <c r="A24" s="23">
        <v>43084</v>
      </c>
      <c r="B24" s="24">
        <v>-640</v>
      </c>
      <c r="C24" s="24">
        <f>VLOOKUP(Таблица16[[#This Row],[Названия строк]],Котировки[[&lt;DATE&gt;]:[&lt;VOL&gt;]],6,0)</f>
        <v>101.4</v>
      </c>
      <c r="D24" s="26">
        <f>INDEX(Купоны[Дата],MATCH($A24,Купоны[Дата],1))</f>
        <v>43021</v>
      </c>
      <c r="E24" s="24">
        <f>Купоны!$C$4*(A24-D24)/365*100</f>
        <v>1.3808219178082191</v>
      </c>
      <c r="F24" s="27">
        <f>-B24*(C24+E24)*Купоны!$G$10/100</f>
        <v>657797.26027397264</v>
      </c>
      <c r="G24" s="34">
        <f>SUM($B$2:B24)</f>
        <v>230</v>
      </c>
      <c r="H24" s="31">
        <f>_xlfn.IFNA(VLOOKUP($A24,Купоны[[Дата]:[% от номинала]],3,0),0)*Купоны!$G$10/100*G24</f>
        <v>0</v>
      </c>
      <c r="I24" s="36">
        <f>Таблица16[[#This Row],[Денежный поток]]+Таблица16[[#This Row],[Купонный доход]]</f>
        <v>657797.26027397264</v>
      </c>
      <c r="J24" s="31">
        <f>Таблица16[[#This Row],[Общий денежный поток]]/((1+$L$2)^((Таблица16[[#This Row],[Названия строк]]-$A$2)/365))</f>
        <v>646887.35038871819</v>
      </c>
    </row>
    <row r="25" spans="1:10" x14ac:dyDescent="0.3">
      <c r="A25" s="23">
        <v>43091</v>
      </c>
      <c r="B25" s="24">
        <v>510</v>
      </c>
      <c r="C25" s="24">
        <f>VLOOKUP(Таблица16[[#This Row],[Названия строк]],Котировки[[&lt;DATE&gt;]:[&lt;VOL&gt;]],6,0)</f>
        <v>101.85</v>
      </c>
      <c r="D25" s="26">
        <f>INDEX(Купоны[Дата],MATCH($A25,Купоны[Дата],1))</f>
        <v>43021</v>
      </c>
      <c r="E25" s="24">
        <f>Купоны!$C$4*(A25-D25)/365*100</f>
        <v>1.5342465753424659</v>
      </c>
      <c r="F25" s="27">
        <f>-B25*(C25+E25)*Купоны!$G$10/100</f>
        <v>-527259.65753424657</v>
      </c>
      <c r="G25" s="34">
        <f>SUM($B$2:B25)</f>
        <v>740</v>
      </c>
      <c r="H25" s="31">
        <f>_xlfn.IFNA(VLOOKUP($A25,Купоны[[Дата]:[% от номинала]],3,0),0)*Купоны!$G$10/100*G25</f>
        <v>0</v>
      </c>
      <c r="I25" s="36">
        <f>Таблица16[[#This Row],[Денежный поток]]+Таблица16[[#This Row],[Купонный доход]]</f>
        <v>-527259.65753424657</v>
      </c>
      <c r="J25" s="31">
        <f>Таблица16[[#This Row],[Общий денежный поток]]/((1+$L$2)^((Таблица16[[#This Row],[Названия строк]]-$A$2)/365))</f>
        <v>-517552.12618290616</v>
      </c>
    </row>
    <row r="26" spans="1:10" x14ac:dyDescent="0.3">
      <c r="A26" s="23">
        <v>43095</v>
      </c>
      <c r="B26" s="24">
        <v>40</v>
      </c>
      <c r="C26" s="24">
        <f>VLOOKUP(Таблица16[[#This Row],[Названия строк]],Котировки[[&lt;DATE&gt;]:[&lt;VOL&gt;]],6,0)</f>
        <v>101.87</v>
      </c>
      <c r="D26" s="26">
        <f>INDEX(Купоны[Дата],MATCH($A26,Купоны[Дата],1))</f>
        <v>43021</v>
      </c>
      <c r="E26" s="24">
        <f>Купоны!$C$4*(A26-D26)/365*100</f>
        <v>1.6219178082191781</v>
      </c>
      <c r="F26" s="27">
        <f>-B26*(C26+E26)*Купоны!$G$10/100</f>
        <v>-41396.767123287675</v>
      </c>
      <c r="G26" s="34">
        <f>SUM($B$2:B26)</f>
        <v>780</v>
      </c>
      <c r="H26" s="31">
        <f>_xlfn.IFNA(VLOOKUP($A26,Купоны[[Дата]:[% от номинала]],3,0),0)*Купоны!$G$10/100*G26</f>
        <v>0</v>
      </c>
      <c r="I26" s="36">
        <f>Таблица16[[#This Row],[Денежный поток]]+Таблица16[[#This Row],[Купонный доход]]</f>
        <v>-41396.767123287675</v>
      </c>
      <c r="J26" s="31">
        <f>Таблица16[[#This Row],[Общий денежный поток]]/((1+$L$2)^((Таблица16[[#This Row],[Названия строк]]-$A$2)/365))</f>
        <v>-40591.473027549953</v>
      </c>
    </row>
    <row r="27" spans="1:10" x14ac:dyDescent="0.3">
      <c r="A27" s="23">
        <v>43098</v>
      </c>
      <c r="B27" s="24">
        <v>-700</v>
      </c>
      <c r="C27" s="24">
        <f>VLOOKUP(Таблица16[[#This Row],[Названия строк]],Котировки[[&lt;DATE&gt;]:[&lt;VOL&gt;]],6,0)</f>
        <v>101.99</v>
      </c>
      <c r="D27" s="26">
        <f>INDEX(Купоны[Дата],MATCH($A27,Купоны[Дата],1))</f>
        <v>43021</v>
      </c>
      <c r="E27" s="24">
        <f>Купоны!$C$4*(A27-D27)/365*100</f>
        <v>1.6876712328767123</v>
      </c>
      <c r="F27" s="27">
        <f>-B27*(C27+E27)*Купоны!$G$10/100</f>
        <v>725743.69863013702</v>
      </c>
      <c r="G27" s="34">
        <f>SUM($B$2:B27)</f>
        <v>80</v>
      </c>
      <c r="H27" s="31">
        <f>_xlfn.IFNA(VLOOKUP($A27,Купоны[[Дата]:[% от номинала]],3,0),0)*Купоны!$G$10/100*G27</f>
        <v>0</v>
      </c>
      <c r="I27" s="36">
        <f>Таблица16[[#This Row],[Денежный поток]]+Таблица16[[#This Row],[Купонный доход]]</f>
        <v>725743.69863013702</v>
      </c>
      <c r="J27" s="31">
        <f>Таблица16[[#This Row],[Общий денежный поток]]/((1+$L$2)^((Таблица16[[#This Row],[Названия строк]]-$A$2)/365))</f>
        <v>711059.23772427114</v>
      </c>
    </row>
    <row r="28" spans="1:10" x14ac:dyDescent="0.3">
      <c r="A28" s="23">
        <v>43103</v>
      </c>
      <c r="B28" s="24">
        <v>540</v>
      </c>
      <c r="C28" s="24">
        <f>VLOOKUP(Таблица16[[#This Row],[Названия строк]],Котировки[[&lt;DATE&gt;]:[&lt;VOL&gt;]],6,0)</f>
        <v>101.93</v>
      </c>
      <c r="D28" s="26">
        <f>INDEX(Купоны[Дата],MATCH($A28,Купоны[Дата],1))</f>
        <v>43021</v>
      </c>
      <c r="E28" s="24">
        <f>Купоны!$C$4*(A28-D28)/365*100</f>
        <v>1.7972602739726027</v>
      </c>
      <c r="F28" s="27">
        <f>-B28*(C28+E28)*Купоны!$G$10/100</f>
        <v>-560127.20547945204</v>
      </c>
      <c r="G28" s="34">
        <f>SUM($B$2:B28)</f>
        <v>620</v>
      </c>
      <c r="H28" s="31">
        <f>_xlfn.IFNA(VLOOKUP($A28,Купоны[[Дата]:[% от номинала]],3,0),0)*Купоны!$G$10/100*G28</f>
        <v>0</v>
      </c>
      <c r="I28" s="36">
        <f>Таблица16[[#This Row],[Денежный поток]]+Таблица16[[#This Row],[Купонный доход]]</f>
        <v>-560127.20547945204</v>
      </c>
      <c r="J28" s="31">
        <f>Таблица16[[#This Row],[Общий денежный поток]]/((1+$L$2)^((Таблица16[[#This Row],[Названия строк]]-$A$2)/365))</f>
        <v>-548065.81683928159</v>
      </c>
    </row>
    <row r="29" spans="1:10" x14ac:dyDescent="0.3">
      <c r="A29" s="23">
        <v>43105</v>
      </c>
      <c r="B29" s="24">
        <v>-620</v>
      </c>
      <c r="C29" s="24">
        <f>VLOOKUP(Таблица16[[#This Row],[Названия строк]],Котировки[[&lt;DATE&gt;]:[&lt;VOL&gt;]],6,0)</f>
        <v>102.18</v>
      </c>
      <c r="D29" s="26">
        <f>INDEX(Купоны[Дата],MATCH($A29,Купоны[Дата],1))</f>
        <v>43021</v>
      </c>
      <c r="E29" s="24">
        <f>Купоны!$C$4*(A29-D29)/365*100</f>
        <v>1.8410958904109587</v>
      </c>
      <c r="F29" s="27">
        <f>-B29*(C29+E29)*Купоны!$G$10/100</f>
        <v>644930.79452054796</v>
      </c>
      <c r="G29" s="34">
        <f>SUM($B$2:B29)</f>
        <v>0</v>
      </c>
      <c r="H29" s="31">
        <f>_xlfn.IFNA(VLOOKUP($A29,Купоны[[Дата]:[% от номинала]],3,0),0)*Купоны!$G$10/100*G29</f>
        <v>0</v>
      </c>
      <c r="I29" s="36">
        <f>Таблица16[[#This Row],[Денежный поток]]+Таблица16[[#This Row],[Купонный доход]]</f>
        <v>644930.79452054796</v>
      </c>
      <c r="J29" s="31">
        <f>Таблица16[[#This Row],[Общий денежный поток]]/((1+$L$2)^((Таблица16[[#This Row],[Названия строк]]-$A$2)/365))</f>
        <v>630708.34752644342</v>
      </c>
    </row>
    <row r="30" spans="1:10" x14ac:dyDescent="0.3">
      <c r="A30" s="23">
        <v>43112</v>
      </c>
      <c r="B30" s="24">
        <v>460</v>
      </c>
      <c r="C30" s="24">
        <f>VLOOKUP(Таблица16[[#This Row],[Названия строк]],Котировки[[&lt;DATE&gt;]:[&lt;VOL&gt;]],6,0)</f>
        <v>101.99</v>
      </c>
      <c r="D30" s="26">
        <f>INDEX(Купоны[Дата],MATCH($A30,Купоны[Дата],1))</f>
        <v>43021</v>
      </c>
      <c r="E30" s="24">
        <f>Купоны!$C$4*(A30-D30)/365*100</f>
        <v>1.9945205479452055</v>
      </c>
      <c r="F30" s="27">
        <f>-B30*(C30+E30)*Купоны!$G$10/100</f>
        <v>-478328.7945205479</v>
      </c>
      <c r="G30" s="34">
        <f>SUM($B$2:B30)</f>
        <v>460</v>
      </c>
      <c r="H30" s="31">
        <f>_xlfn.IFNA(VLOOKUP($A30,Купоны[[Дата]:[% от номинала]],3,0),0)*Купоны!$G$10/100*G30</f>
        <v>0</v>
      </c>
      <c r="I30" s="36">
        <f>Таблица16[[#This Row],[Денежный поток]]+Таблица16[[#This Row],[Купонный доход]]</f>
        <v>-478328.7945205479</v>
      </c>
      <c r="J30" s="31">
        <f>Таблица16[[#This Row],[Общий денежный поток]]/((1+$L$2)^((Таблица16[[#This Row],[Названия строк]]-$A$2)/365))</f>
        <v>-466911.90282966598</v>
      </c>
    </row>
    <row r="31" spans="1:10" x14ac:dyDescent="0.3">
      <c r="A31" s="23">
        <v>43123</v>
      </c>
      <c r="B31" s="24">
        <v>-290</v>
      </c>
      <c r="C31" s="24">
        <f>VLOOKUP(Таблица16[[#This Row],[Названия строк]],Котировки[[&lt;DATE&gt;]:[&lt;VOL&gt;]],6,0)</f>
        <v>101.97</v>
      </c>
      <c r="D31" s="26">
        <f>INDEX(Купоны[Дата],MATCH($A31,Купоны[Дата],1))</f>
        <v>43021</v>
      </c>
      <c r="E31" s="24">
        <f>Купоны!$C$4*(A31-D31)/365*100</f>
        <v>2.2356164383561645</v>
      </c>
      <c r="F31" s="27">
        <f>-B31*(C31+E31)*Купоны!$G$10/100</f>
        <v>302196.28767123283</v>
      </c>
      <c r="G31" s="34">
        <f>SUM($B$2:B31)</f>
        <v>170</v>
      </c>
      <c r="H31" s="31">
        <f>_xlfn.IFNA(VLOOKUP($A31,Купоны[[Дата]:[% от номинала]],3,0),0)*Купоны!$G$10/100*G31</f>
        <v>0</v>
      </c>
      <c r="I31" s="36">
        <f>Таблица16[[#This Row],[Денежный поток]]+Таблица16[[#This Row],[Купонный доход]]</f>
        <v>302196.28767123283</v>
      </c>
      <c r="J31" s="31">
        <f>Таблица16[[#This Row],[Общий денежный поток]]/((1+$L$2)^((Таблица16[[#This Row],[Названия строк]]-$A$2)/365))</f>
        <v>294123.2336067711</v>
      </c>
    </row>
    <row r="32" spans="1:10" x14ac:dyDescent="0.3">
      <c r="A32" s="23">
        <v>43124</v>
      </c>
      <c r="B32" s="24">
        <v>390</v>
      </c>
      <c r="C32" s="24">
        <f>VLOOKUP(Таблица16[[#This Row],[Названия строк]],Котировки[[&lt;DATE&gt;]:[&lt;VOL&gt;]],6,0)</f>
        <v>102</v>
      </c>
      <c r="D32" s="26">
        <f>INDEX(Купоны[Дата],MATCH($A32,Купоны[Дата],1))</f>
        <v>43021</v>
      </c>
      <c r="E32" s="24">
        <f>Купоны!$C$4*(A32-D32)/365*100</f>
        <v>2.2575342465753425</v>
      </c>
      <c r="F32" s="27">
        <f>-B32*(C32+E32)*Купоны!$G$10/100</f>
        <v>-406604.38356164383</v>
      </c>
      <c r="G32" s="34">
        <f>SUM($B$2:B32)</f>
        <v>560</v>
      </c>
      <c r="H32" s="31">
        <f>_xlfn.IFNA(VLOOKUP($A32,Купоны[[Дата]:[% от номинала]],3,0),0)*Купоны!$G$10/100*G32</f>
        <v>0</v>
      </c>
      <c r="I32" s="36">
        <f>Таблица16[[#This Row],[Денежный поток]]+Таблица16[[#This Row],[Купонный доход]]</f>
        <v>-406604.38356164383</v>
      </c>
      <c r="J32" s="31">
        <f>Таблица16[[#This Row],[Общий денежный поток]]/((1+$L$2)^((Таблица16[[#This Row],[Названия строк]]-$A$2)/365))</f>
        <v>-395637.06494067528</v>
      </c>
    </row>
    <row r="33" spans="1:10" x14ac:dyDescent="0.3">
      <c r="A33" s="23">
        <v>43125</v>
      </c>
      <c r="B33" s="24">
        <v>200</v>
      </c>
      <c r="C33" s="24">
        <f>VLOOKUP(Таблица16[[#This Row],[Названия строк]],Котировки[[&lt;DATE&gt;]:[&lt;VOL&gt;]],6,0)</f>
        <v>102</v>
      </c>
      <c r="D33" s="26">
        <f>INDEX(Купоны[Дата],MATCH($A33,Купоны[Дата],1))</f>
        <v>43021</v>
      </c>
      <c r="E33" s="24">
        <f>Купоны!$C$4*(A33-D33)/365*100</f>
        <v>2.2794520547945205</v>
      </c>
      <c r="F33" s="27">
        <f>-B33*(C33+E33)*Купоны!$G$10/100</f>
        <v>-208558.904109589</v>
      </c>
      <c r="G33" s="34">
        <f>SUM($B$2:B33)</f>
        <v>760</v>
      </c>
      <c r="H33" s="31">
        <f>_xlfn.IFNA(VLOOKUP($A33,Купоны[[Дата]:[% от номинала]],3,0),0)*Купоны!$G$10/100*G33</f>
        <v>0</v>
      </c>
      <c r="I33" s="36">
        <f>Таблица16[[#This Row],[Денежный поток]]+Таблица16[[#This Row],[Купонный доход]]</f>
        <v>-208558.904109589</v>
      </c>
      <c r="J33" s="31">
        <f>Таблица16[[#This Row],[Общий денежный поток]]/((1+$L$2)^((Таблица16[[#This Row],[Названия строк]]-$A$2)/365))</f>
        <v>-202879.59021187725</v>
      </c>
    </row>
    <row r="34" spans="1:10" x14ac:dyDescent="0.3">
      <c r="A34" s="23">
        <v>43126</v>
      </c>
      <c r="B34" s="24">
        <v>-750</v>
      </c>
      <c r="C34" s="24">
        <f>VLOOKUP(Таблица16[[#This Row],[Названия строк]],Котировки[[&lt;DATE&gt;]:[&lt;VOL&gt;]],6,0)</f>
        <v>101.99</v>
      </c>
      <c r="D34" s="26">
        <f>INDEX(Купоны[Дата],MATCH($A34,Купоны[Дата],1))</f>
        <v>43021</v>
      </c>
      <c r="E34" s="24">
        <f>Купоны!$C$4*(A34-D34)/365*100</f>
        <v>2.3013698630136985</v>
      </c>
      <c r="F34" s="27">
        <f>-B34*(C34+E34)*Купоны!$G$10/100</f>
        <v>782185.27397260279</v>
      </c>
      <c r="G34" s="34">
        <f>SUM($B$2:B34)</f>
        <v>10</v>
      </c>
      <c r="H34" s="31">
        <f>_xlfn.IFNA(VLOOKUP($A34,Купоны[[Дата]:[% от номинала]],3,0),0)*Купоны!$G$10/100*G34</f>
        <v>0</v>
      </c>
      <c r="I34" s="36">
        <f>Таблица16[[#This Row],[Денежный поток]]+Таблица16[[#This Row],[Купонный доход]]</f>
        <v>782185.27397260279</v>
      </c>
      <c r="J34" s="31">
        <f>Таблица16[[#This Row],[Общий денежный поток]]/((1+$L$2)^((Таблица16[[#This Row],[Названия строк]]-$A$2)/365))</f>
        <v>760683.44751056191</v>
      </c>
    </row>
    <row r="35" spans="1:10" x14ac:dyDescent="0.3">
      <c r="A35" s="23">
        <v>43132</v>
      </c>
      <c r="B35" s="24">
        <v>450</v>
      </c>
      <c r="C35" s="24">
        <f>VLOOKUP(Таблица16[[#This Row],[Названия строк]],Котировки[[&lt;DATE&gt;]:[&lt;VOL&gt;]],6,0)</f>
        <v>102.5</v>
      </c>
      <c r="D35" s="26">
        <f>INDEX(Купоны[Дата],MATCH($A35,Купоны[Дата],1))</f>
        <v>43021</v>
      </c>
      <c r="E35" s="24">
        <f>Купоны!$C$4*(A35-D35)/365*100</f>
        <v>2.4328767123287673</v>
      </c>
      <c r="F35" s="27">
        <f>-B35*(C35+E35)*Купоны!$G$10/100</f>
        <v>-472197.94520547939</v>
      </c>
      <c r="G35" s="34">
        <f>SUM($B$2:B35)</f>
        <v>460</v>
      </c>
      <c r="H35" s="31">
        <f>_xlfn.IFNA(VLOOKUP($A35,Купоны[[Дата]:[% от номинала]],3,0),0)*Купоны!$G$10/100*G35</f>
        <v>0</v>
      </c>
      <c r="I35" s="36">
        <f>Таблица16[[#This Row],[Денежный поток]]+Таблица16[[#This Row],[Купонный доход]]</f>
        <v>-472197.94520547939</v>
      </c>
      <c r="J35" s="31">
        <f>Таблица16[[#This Row],[Общий денежный поток]]/((1+$L$2)^((Таблица16[[#This Row],[Названия строк]]-$A$2)/365))</f>
        <v>-458486.62522207806</v>
      </c>
    </row>
    <row r="36" spans="1:10" x14ac:dyDescent="0.3">
      <c r="A36" s="23">
        <v>43140</v>
      </c>
      <c r="B36" s="24">
        <v>-40</v>
      </c>
      <c r="C36" s="24">
        <f>VLOOKUP(Таблица16[[#This Row],[Названия строк]],Котировки[[&lt;DATE&gt;]:[&lt;VOL&gt;]],6,0)</f>
        <v>102.7</v>
      </c>
      <c r="D36" s="26">
        <f>INDEX(Купоны[Дата],MATCH($A36,Купоны[Дата],1))</f>
        <v>43021</v>
      </c>
      <c r="E36" s="24">
        <f>Купоны!$C$4*(A36-D36)/365*100</f>
        <v>2.6082191780821917</v>
      </c>
      <c r="F36" s="27">
        <f>-B36*(C36+E36)*Купоны!$G$10/100</f>
        <v>42123.287671232887</v>
      </c>
      <c r="G36" s="34">
        <f>SUM($B$2:B36)</f>
        <v>420</v>
      </c>
      <c r="H36" s="31">
        <f>_xlfn.IFNA(VLOOKUP($A36,Купоны[[Дата]:[% от номинала]],3,0),0)*Купоны!$G$10/100*G36</f>
        <v>0</v>
      </c>
      <c r="I36" s="36">
        <f>Таблица16[[#This Row],[Денежный поток]]+Таблица16[[#This Row],[Купонный доход]]</f>
        <v>42123.287671232887</v>
      </c>
      <c r="J36" s="31">
        <f>Таблица16[[#This Row],[Общий денежный поток]]/((1+$L$2)^((Таблица16[[#This Row],[Названия строк]]-$A$2)/365))</f>
        <v>40813.374243709113</v>
      </c>
    </row>
    <row r="37" spans="1:10" x14ac:dyDescent="0.3">
      <c r="A37" s="23">
        <v>43146</v>
      </c>
      <c r="B37" s="24">
        <v>-220</v>
      </c>
      <c r="C37" s="24">
        <f>VLOOKUP(Таблица16[[#This Row],[Названия строк]],Котировки[[&lt;DATE&gt;]:[&lt;VOL&gt;]],6,0)</f>
        <v>102.78</v>
      </c>
      <c r="D37" s="26">
        <f>INDEX(Купоны[Дата],MATCH($A37,Купоны[Дата],1))</f>
        <v>43021</v>
      </c>
      <c r="E37" s="24">
        <f>Купоны!$C$4*(A37-D37)/365*100</f>
        <v>2.7397260273972601</v>
      </c>
      <c r="F37" s="27">
        <f>-B37*(C37+E37)*Купоны!$G$10/100</f>
        <v>232143.39726027395</v>
      </c>
      <c r="G37" s="34">
        <f>SUM($B$2:B37)</f>
        <v>200</v>
      </c>
      <c r="H37" s="31">
        <f>_xlfn.IFNA(VLOOKUP($A37,Купоны[[Дата]:[% от номинала]],3,0),0)*Купоны!$G$10/100*G37</f>
        <v>0</v>
      </c>
      <c r="I37" s="36">
        <f>Таблица16[[#This Row],[Денежный поток]]+Таблица16[[#This Row],[Купонный доход]]</f>
        <v>232143.39726027395</v>
      </c>
      <c r="J37" s="31">
        <f>Таблица16[[#This Row],[Общий денежный поток]]/((1+$L$2)^((Таблица16[[#This Row],[Названия строк]]-$A$2)/365))</f>
        <v>224566.42474193554</v>
      </c>
    </row>
    <row r="38" spans="1:10" x14ac:dyDescent="0.3">
      <c r="A38" s="23">
        <v>43147</v>
      </c>
      <c r="B38" s="24">
        <v>30</v>
      </c>
      <c r="C38" s="24">
        <f>VLOOKUP(Таблица16[[#This Row],[Названия строк]],Котировки[[&lt;DATE&gt;]:[&lt;VOL&gt;]],6,0)</f>
        <v>103</v>
      </c>
      <c r="D38" s="26">
        <f>INDEX(Купоны[Дата],MATCH($A38,Купоны[Дата],1))</f>
        <v>43021</v>
      </c>
      <c r="E38" s="24">
        <f>Купоны!$C$4*(A38-D38)/365*100</f>
        <v>2.7616438356164381</v>
      </c>
      <c r="F38" s="27">
        <f>-B38*(C38+E38)*Купоны!$G$10/100</f>
        <v>-31728.493150684932</v>
      </c>
      <c r="G38" s="34">
        <f>SUM($B$2:B38)</f>
        <v>230</v>
      </c>
      <c r="H38" s="31">
        <f>_xlfn.IFNA(VLOOKUP($A38,Купоны[[Дата]:[% от номинала]],3,0),0)*Купоны!$G$10/100*G38</f>
        <v>0</v>
      </c>
      <c r="I38" s="36">
        <f>Таблица16[[#This Row],[Денежный поток]]+Таблица16[[#This Row],[Купонный доход]]</f>
        <v>-31728.493150684932</v>
      </c>
      <c r="J38" s="31">
        <f>Таблица16[[#This Row],[Общий денежный поток]]/((1+$L$2)^((Таблица16[[#This Row],[Названия строк]]-$A$2)/365))</f>
        <v>-30684.753866916995</v>
      </c>
    </row>
    <row r="39" spans="1:10" x14ac:dyDescent="0.3">
      <c r="A39" s="23">
        <v>43152</v>
      </c>
      <c r="B39" s="24">
        <v>80</v>
      </c>
      <c r="C39" s="24">
        <f>VLOOKUP(Таблица16[[#This Row],[Названия строк]],Котировки[[&lt;DATE&gt;]:[&lt;VOL&gt;]],6,0)</f>
        <v>102.85</v>
      </c>
      <c r="D39" s="26">
        <f>INDEX(Купоны[Дата],MATCH($A39,Купоны[Дата],1))</f>
        <v>43021</v>
      </c>
      <c r="E39" s="24">
        <f>Купоны!$C$4*(A39-D39)/365*100</f>
        <v>2.8712328767123285</v>
      </c>
      <c r="F39" s="27">
        <f>-B39*(C39+E39)*Купоны!$G$10/100</f>
        <v>-84576.986301369849</v>
      </c>
      <c r="G39" s="34">
        <f>SUM($B$2:B39)</f>
        <v>310</v>
      </c>
      <c r="H39" s="31">
        <f>_xlfn.IFNA(VLOOKUP($A39,Купоны[[Дата]:[% от номинала]],3,0),0)*Купоны!$G$10/100*G39</f>
        <v>0</v>
      </c>
      <c r="I39" s="36">
        <f>Таблица16[[#This Row],[Денежный поток]]+Таблица16[[#This Row],[Купонный доход]]</f>
        <v>-84576.986301369849</v>
      </c>
      <c r="J39" s="31">
        <f>Таблица16[[#This Row],[Общий денежный поток]]/((1+$L$2)^((Таблица16[[#This Row],[Названия строк]]-$A$2)/365))</f>
        <v>-81686.246863367531</v>
      </c>
    </row>
    <row r="40" spans="1:10" x14ac:dyDescent="0.3">
      <c r="A40" s="23">
        <v>43153</v>
      </c>
      <c r="B40" s="24">
        <v>-90</v>
      </c>
      <c r="C40" s="24">
        <f>VLOOKUP(Таблица16[[#This Row],[Названия строк]],Котировки[[&lt;DATE&gt;]:[&lt;VOL&gt;]],6,0)</f>
        <v>102.89</v>
      </c>
      <c r="D40" s="26">
        <f>INDEX(Купоны[Дата],MATCH($A40,Купоны[Дата],1))</f>
        <v>43021</v>
      </c>
      <c r="E40" s="24">
        <f>Купоны!$C$4*(A40-D40)/365*100</f>
        <v>2.893150684931507</v>
      </c>
      <c r="F40" s="27">
        <f>-B40*(C40+E40)*Купоны!$G$10/100</f>
        <v>95204.835616438359</v>
      </c>
      <c r="G40" s="34">
        <f>SUM($B$2:B40)</f>
        <v>220</v>
      </c>
      <c r="H40" s="31">
        <f>_xlfn.IFNA(VLOOKUP($A40,Купоны[[Дата]:[% от номинала]],3,0),0)*Купоны!$G$10/100*G40</f>
        <v>0</v>
      </c>
      <c r="I40" s="36">
        <f>Таблица16[[#This Row],[Денежный поток]]+Таблица16[[#This Row],[Купонный доход]]</f>
        <v>95204.835616438359</v>
      </c>
      <c r="J40" s="31">
        <f>Таблица16[[#This Row],[Общий денежный поток]]/((1+$L$2)^((Таблица16[[#This Row],[Названия строк]]-$A$2)/365))</f>
        <v>91926.442162575055</v>
      </c>
    </row>
    <row r="41" spans="1:10" x14ac:dyDescent="0.3">
      <c r="A41" s="23">
        <v>43161</v>
      </c>
      <c r="B41" s="24">
        <v>960</v>
      </c>
      <c r="C41" s="24">
        <f>VLOOKUP(Таблица16[[#This Row],[Названия строк]],Котировки[[&lt;DATE&gt;]:[&lt;VOL&gt;]],6,0)</f>
        <v>103</v>
      </c>
      <c r="D41" s="26">
        <f>INDEX(Купоны[Дата],MATCH($A41,Купоны[Дата],1))</f>
        <v>43021</v>
      </c>
      <c r="E41" s="24">
        <f>Купоны!$C$4*(A41-D41)/365*100</f>
        <v>3.0684931506849318</v>
      </c>
      <c r="F41" s="27">
        <f>-B41*(C41+E41)*Купоны!$G$10/100</f>
        <v>-1018257.5342465754</v>
      </c>
      <c r="G41" s="34">
        <f>SUM($B$2:B41)</f>
        <v>1180</v>
      </c>
      <c r="H41" s="31">
        <f>_xlfn.IFNA(VLOOKUP($A41,Купоны[[Дата]:[% от номинала]],3,0),0)*Купоны!$G$10/100*G41</f>
        <v>0</v>
      </c>
      <c r="I41" s="36">
        <f>Таблица16[[#This Row],[Денежный поток]]+Таблица16[[#This Row],[Купонный доход]]</f>
        <v>-1018257.5342465754</v>
      </c>
      <c r="J41" s="31">
        <f>Таблица16[[#This Row],[Общий денежный поток]]/((1+$L$2)^((Таблица16[[#This Row],[Названия строк]]-$A$2)/365))</f>
        <v>-981107.82581050531</v>
      </c>
    </row>
    <row r="42" spans="1:10" x14ac:dyDescent="0.3">
      <c r="A42" s="23">
        <v>43164</v>
      </c>
      <c r="B42" s="24">
        <v>-430</v>
      </c>
      <c r="C42" s="24">
        <f>VLOOKUP(Таблица16[[#This Row],[Названия строк]],Котировки[[&lt;DATE&gt;]:[&lt;VOL&gt;]],6,0)</f>
        <v>102.75</v>
      </c>
      <c r="D42" s="26">
        <f>INDEX(Купоны[Дата],MATCH($A42,Купоны[Дата],1))</f>
        <v>43021</v>
      </c>
      <c r="E42" s="24">
        <f>Купоны!$C$4*(A42-D42)/365*100</f>
        <v>3.1342465753424658</v>
      </c>
      <c r="F42" s="27">
        <f>-B42*(C42+E42)*Купоны!$G$10/100</f>
        <v>455302.26027397258</v>
      </c>
      <c r="G42" s="34">
        <f>SUM($B$2:B42)</f>
        <v>750</v>
      </c>
      <c r="H42" s="31">
        <f>_xlfn.IFNA(VLOOKUP($A42,Купоны[[Дата]:[% от номинала]],3,0),0)*Купоны!$G$10/100*G42</f>
        <v>0</v>
      </c>
      <c r="I42" s="36">
        <f>Таблица16[[#This Row],[Денежный поток]]+Таблица16[[#This Row],[Купонный доход]]</f>
        <v>455302.26027397258</v>
      </c>
      <c r="J42" s="31">
        <f>Таблица16[[#This Row],[Общий денежный поток]]/((1+$L$2)^((Таблица16[[#This Row],[Названия строк]]-$A$2)/365))</f>
        <v>438341.95245884208</v>
      </c>
    </row>
    <row r="43" spans="1:10" x14ac:dyDescent="0.3">
      <c r="A43" s="23">
        <v>43166</v>
      </c>
      <c r="B43" s="24">
        <v>-230</v>
      </c>
      <c r="C43" s="24">
        <f>VLOOKUP(Таблица16[[#This Row],[Названия строк]],Котировки[[&lt;DATE&gt;]:[&lt;VOL&gt;]],6,0)</f>
        <v>102.8</v>
      </c>
      <c r="D43" s="26">
        <f>INDEX(Купоны[Дата],MATCH($A43,Купоны[Дата],1))</f>
        <v>43021</v>
      </c>
      <c r="E43" s="24">
        <f>Купоны!$C$4*(A43-D43)/365*100</f>
        <v>3.1780821917808217</v>
      </c>
      <c r="F43" s="27">
        <f>-B43*(C43+E43)*Купоны!$G$10/100</f>
        <v>243749.58904109587</v>
      </c>
      <c r="G43" s="34">
        <f>SUM($B$2:B43)</f>
        <v>520</v>
      </c>
      <c r="H43" s="31">
        <f>_xlfn.IFNA(VLOOKUP($A43,Купоны[[Дата]:[% от номинала]],3,0),0)*Купоны!$G$10/100*G43</f>
        <v>0</v>
      </c>
      <c r="I43" s="36">
        <f>Таблица16[[#This Row],[Денежный поток]]+Таблица16[[#This Row],[Купонный доход]]</f>
        <v>243749.58904109587</v>
      </c>
      <c r="J43" s="31">
        <f>Таблица16[[#This Row],[Общий денежный поток]]/((1+$L$2)^((Таблица16[[#This Row],[Названия строк]]-$A$2)/365))</f>
        <v>234545.19456427681</v>
      </c>
    </row>
    <row r="44" spans="1:10" x14ac:dyDescent="0.3">
      <c r="A44" s="23">
        <v>43168</v>
      </c>
      <c r="B44" s="24">
        <v>200</v>
      </c>
      <c r="C44" s="24">
        <f>VLOOKUP(Таблица16[[#This Row],[Названия строк]],Котировки[[&lt;DATE&gt;]:[&lt;VOL&gt;]],6,0)</f>
        <v>102.99</v>
      </c>
      <c r="D44" s="26">
        <f>INDEX(Купоны[Дата],MATCH($A44,Купоны[Дата],1))</f>
        <v>43021</v>
      </c>
      <c r="E44" s="24">
        <f>Купоны!$C$4*(A44-D44)/365*100</f>
        <v>3.2219178082191782</v>
      </c>
      <c r="F44" s="27">
        <f>-B44*(C44+E44)*Купоны!$G$10/100</f>
        <v>-212423.83561643836</v>
      </c>
      <c r="G44" s="34">
        <f>SUM($B$2:B44)</f>
        <v>720</v>
      </c>
      <c r="H44" s="31">
        <f>_xlfn.IFNA(VLOOKUP($A44,Купоны[[Дата]:[% от номинала]],3,0),0)*Купоны!$G$10/100*G44</f>
        <v>0</v>
      </c>
      <c r="I44" s="36">
        <f>Таблица16[[#This Row],[Денежный поток]]+Таблица16[[#This Row],[Купонный доход]]</f>
        <v>-212423.83561643836</v>
      </c>
      <c r="J44" s="31">
        <f>Таблица16[[#This Row],[Общий денежный поток]]/((1+$L$2)^((Таблица16[[#This Row],[Названия строк]]-$A$2)/365))</f>
        <v>-204293.85776319745</v>
      </c>
    </row>
    <row r="45" spans="1:10" x14ac:dyDescent="0.3">
      <c r="A45" s="23">
        <v>43172</v>
      </c>
      <c r="B45" s="24">
        <v>-500</v>
      </c>
      <c r="C45" s="24">
        <f>VLOOKUP(Таблица16[[#This Row],[Названия строк]],Котировки[[&lt;DATE&gt;]:[&lt;VOL&gt;]],6,0)</f>
        <v>102.75</v>
      </c>
      <c r="D45" s="26">
        <f>INDEX(Купоны[Дата],MATCH($A45,Купоны[Дата],1))</f>
        <v>43021</v>
      </c>
      <c r="E45" s="24">
        <f>Купоны!$C$4*(A45-D45)/365*100</f>
        <v>3.3095890410958901</v>
      </c>
      <c r="F45" s="27">
        <f>-B45*(C45+E45)*Купоны!$G$10/100</f>
        <v>530297.94520547951</v>
      </c>
      <c r="G45" s="34">
        <f>SUM($B$2:B45)</f>
        <v>220</v>
      </c>
      <c r="H45" s="31">
        <f>_xlfn.IFNA(VLOOKUP($A45,Купоны[[Дата]:[% от номинала]],3,0),0)*Купоны!$G$10/100*G45</f>
        <v>0</v>
      </c>
      <c r="I45" s="36">
        <f>Таблица16[[#This Row],[Денежный поток]]+Таблица16[[#This Row],[Купонный доход]]</f>
        <v>530297.94520547951</v>
      </c>
      <c r="J45" s="31">
        <f>Таблица16[[#This Row],[Общий денежный поток]]/((1+$L$2)^((Таблица16[[#This Row],[Названия строк]]-$A$2)/365))</f>
        <v>509460.8772092571</v>
      </c>
    </row>
    <row r="46" spans="1:10" x14ac:dyDescent="0.3">
      <c r="A46" s="23">
        <v>43173</v>
      </c>
      <c r="B46" s="24">
        <v>500</v>
      </c>
      <c r="C46" s="24">
        <f>VLOOKUP(Таблица16[[#This Row],[Названия строк]],Котировки[[&lt;DATE&gt;]:[&lt;VOL&gt;]],6,0)</f>
        <v>102.75</v>
      </c>
      <c r="D46" s="26">
        <f>INDEX(Купоны[Дата],MATCH($A46,Купоны[Дата],1))</f>
        <v>43021</v>
      </c>
      <c r="E46" s="24">
        <f>Купоны!$C$4*(A46-D46)/365*100</f>
        <v>3.3315068493150681</v>
      </c>
      <c r="F46" s="27">
        <f>-B46*(C46+E46)*Купоны!$G$10/100</f>
        <v>-530407.53424657532</v>
      </c>
      <c r="G46" s="34">
        <f>SUM($B$2:B46)</f>
        <v>720</v>
      </c>
      <c r="H46" s="31">
        <f>_xlfn.IFNA(VLOOKUP($A46,Купоны[[Дата]:[% от номинала]],3,0),0)*Купоны!$G$10/100*G46</f>
        <v>0</v>
      </c>
      <c r="I46" s="36">
        <f>Таблица16[[#This Row],[Денежный поток]]+Таблица16[[#This Row],[Купонный доход]]</f>
        <v>-530407.53424657532</v>
      </c>
      <c r="J46" s="31">
        <f>Таблица16[[#This Row],[Общий денежный поток]]/((1+$L$2)^((Таблица16[[#This Row],[Названия строк]]-$A$2)/365))</f>
        <v>-509430.90365909052</v>
      </c>
    </row>
    <row r="47" spans="1:10" x14ac:dyDescent="0.3">
      <c r="A47" s="23">
        <v>43174</v>
      </c>
      <c r="B47" s="24">
        <v>-160</v>
      </c>
      <c r="C47" s="24">
        <f>VLOOKUP(Таблица16[[#This Row],[Названия строк]],Котировки[[&lt;DATE&gt;]:[&lt;VOL&gt;]],6,0)</f>
        <v>102.73</v>
      </c>
      <c r="D47" s="26">
        <f>INDEX(Купоны[Дата],MATCH($A47,Купоны[Дата],1))</f>
        <v>43021</v>
      </c>
      <c r="E47" s="24">
        <f>Купоны!$C$4*(A47-D47)/365*100</f>
        <v>3.3534246575342466</v>
      </c>
      <c r="F47" s="27">
        <f>-B47*(C47+E47)*Купоны!$G$10/100</f>
        <v>169733.4794520548</v>
      </c>
      <c r="G47" s="34">
        <f>SUM($B$2:B47)</f>
        <v>560</v>
      </c>
      <c r="H47" s="31">
        <f>_xlfn.IFNA(VLOOKUP($A47,Купоны[[Дата]:[% от номинала]],3,0),0)*Купоны!$G$10/100*G47</f>
        <v>0</v>
      </c>
      <c r="I47" s="36">
        <f>Таблица16[[#This Row],[Денежный поток]]+Таблица16[[#This Row],[Купонный доход]]</f>
        <v>169733.4794520548</v>
      </c>
      <c r="J47" s="31">
        <f>Таблица16[[#This Row],[Общий денежный поток]]/((1+$L$2)^((Таблица16[[#This Row],[Названия строк]]-$A$2)/365))</f>
        <v>162977.56493893807</v>
      </c>
    </row>
    <row r="48" spans="1:10" x14ac:dyDescent="0.3">
      <c r="A48" s="23">
        <v>43175</v>
      </c>
      <c r="B48" s="24">
        <v>290</v>
      </c>
      <c r="C48" s="24">
        <f>VLOOKUP(Таблица16[[#This Row],[Названия строк]],Котировки[[&lt;DATE&gt;]:[&lt;VOL&gt;]],6,0)</f>
        <v>102.8</v>
      </c>
      <c r="D48" s="26">
        <f>INDEX(Купоны[Дата],MATCH($A48,Купоны[Дата],1))</f>
        <v>43021</v>
      </c>
      <c r="E48" s="24">
        <f>Купоны!$C$4*(A48-D48)/365*100</f>
        <v>3.3753424657534246</v>
      </c>
      <c r="F48" s="27">
        <f>-B48*(C48+E48)*Купоны!$G$10/100</f>
        <v>-307908.49315068492</v>
      </c>
      <c r="G48" s="34">
        <f>SUM($B$2:B48)</f>
        <v>850</v>
      </c>
      <c r="H48" s="31">
        <f>_xlfn.IFNA(VLOOKUP($A48,Купоны[[Дата]:[% от номинала]],3,0),0)*Купоны!$G$10/100*G48</f>
        <v>0</v>
      </c>
      <c r="I48" s="36">
        <f>Таблица16[[#This Row],[Денежный поток]]+Таблица16[[#This Row],[Купонный доход]]</f>
        <v>-307908.49315068492</v>
      </c>
      <c r="J48" s="31">
        <f>Таблица16[[#This Row],[Общий денежный поток]]/((1+$L$2)^((Таблица16[[#This Row],[Названия строк]]-$A$2)/365))</f>
        <v>-295574.31164021412</v>
      </c>
    </row>
    <row r="49" spans="1:10" x14ac:dyDescent="0.3">
      <c r="A49" s="23">
        <v>43178</v>
      </c>
      <c r="B49" s="24">
        <v>-290</v>
      </c>
      <c r="C49" s="24">
        <f>VLOOKUP(Таблица16[[#This Row],[Названия строк]],Котировки[[&lt;DATE&gt;]:[&lt;VOL&gt;]],6,0)</f>
        <v>102.9</v>
      </c>
      <c r="D49" s="26">
        <f>INDEX(Купоны[Дата],MATCH($A49,Купоны[Дата],1))</f>
        <v>43021</v>
      </c>
      <c r="E49" s="24">
        <f>Купоны!$C$4*(A49-D49)/365*100</f>
        <v>3.441095890410959</v>
      </c>
      <c r="F49" s="27">
        <f>-B49*(C49+E49)*Купоны!$G$10/100</f>
        <v>308389.17808219179</v>
      </c>
      <c r="G49" s="34">
        <f>SUM($B$2:B49)</f>
        <v>560</v>
      </c>
      <c r="H49" s="31">
        <f>_xlfn.IFNA(VLOOKUP($A49,Купоны[[Дата]:[% от номинала]],3,0),0)*Купоны!$G$10/100*G49</f>
        <v>0</v>
      </c>
      <c r="I49" s="36">
        <f>Таблица16[[#This Row],[Денежный поток]]+Таблица16[[#This Row],[Купонный доход]]</f>
        <v>308389.17808219179</v>
      </c>
      <c r="J49" s="31">
        <f>Таблица16[[#This Row],[Общий денежный поток]]/((1+$L$2)^((Таблица16[[#This Row],[Названия строк]]-$A$2)/365))</f>
        <v>295800.06949400151</v>
      </c>
    </row>
    <row r="50" spans="1:10" x14ac:dyDescent="0.3">
      <c r="A50" s="23">
        <v>43179</v>
      </c>
      <c r="B50" s="24">
        <v>-380</v>
      </c>
      <c r="C50" s="24">
        <f>VLOOKUP(Таблица16[[#This Row],[Названия строк]],Котировки[[&lt;DATE&gt;]:[&lt;VOL&gt;]],6,0)</f>
        <v>103</v>
      </c>
      <c r="D50" s="26">
        <f>INDEX(Купоны[Дата],MATCH($A50,Купоны[Дата],1))</f>
        <v>43021</v>
      </c>
      <c r="E50" s="24">
        <f>Купоны!$C$4*(A50-D50)/365*100</f>
        <v>3.4630136986301374</v>
      </c>
      <c r="F50" s="27">
        <f>-B50*(C50+E50)*Купоны!$G$10/100</f>
        <v>404559.45205479453</v>
      </c>
      <c r="G50" s="34">
        <f>SUM($B$2:B50)</f>
        <v>180</v>
      </c>
      <c r="H50" s="31">
        <f>_xlfn.IFNA(VLOOKUP($A50,Купоны[[Дата]:[% от номинала]],3,0),0)*Купоны!$G$10/100*G50</f>
        <v>0</v>
      </c>
      <c r="I50" s="36">
        <f>Таблица16[[#This Row],[Денежный поток]]+Таблица16[[#This Row],[Купонный доход]]</f>
        <v>404559.45205479453</v>
      </c>
      <c r="J50" s="31">
        <f>Таблица16[[#This Row],[Общий денежный поток]]/((1+$L$2)^((Таблица16[[#This Row],[Названия строк]]-$A$2)/365))</f>
        <v>387941.46590341884</v>
      </c>
    </row>
    <row r="51" spans="1:10" x14ac:dyDescent="0.3">
      <c r="A51" s="23">
        <v>43182</v>
      </c>
      <c r="B51" s="24">
        <v>770</v>
      </c>
      <c r="C51" s="24">
        <f>VLOOKUP(Таблица16[[#This Row],[Названия строк]],Котировки[[&lt;DATE&gt;]:[&lt;VOL&gt;]],6,0)</f>
        <v>103.85</v>
      </c>
      <c r="D51" s="26">
        <f>INDEX(Купоны[Дата],MATCH($A51,Купоны[Дата],1))</f>
        <v>43021</v>
      </c>
      <c r="E51" s="24">
        <f>Купоны!$C$4*(A51-D51)/365*100</f>
        <v>3.5287671232876718</v>
      </c>
      <c r="F51" s="27">
        <f>-B51*(C51+E51)*Купоны!$G$10/100</f>
        <v>-826816.50684931502</v>
      </c>
      <c r="G51" s="34">
        <f>SUM($B$2:B51)</f>
        <v>950</v>
      </c>
      <c r="H51" s="31">
        <f>_xlfn.IFNA(VLOOKUP($A51,Купоны[[Дата]:[% от номинала]],3,0),0)*Купоны!$G$10/100*G51</f>
        <v>0</v>
      </c>
      <c r="I51" s="36">
        <f>Таблица16[[#This Row],[Денежный поток]]+Таблица16[[#This Row],[Купонный доход]]</f>
        <v>-826816.50684931502</v>
      </c>
      <c r="J51" s="31">
        <f>Таблица16[[#This Row],[Общий денежный поток]]/((1+$L$2)^((Таблица16[[#This Row],[Названия строк]]-$A$2)/365))</f>
        <v>-792222.38983345497</v>
      </c>
    </row>
    <row r="52" spans="1:10" x14ac:dyDescent="0.3">
      <c r="A52" s="23">
        <v>43187</v>
      </c>
      <c r="B52" s="24">
        <v>-320</v>
      </c>
      <c r="C52" s="24">
        <f>VLOOKUP(Таблица16[[#This Row],[Названия строк]],Котировки[[&lt;DATE&gt;]:[&lt;VOL&gt;]],6,0)</f>
        <v>102.6</v>
      </c>
      <c r="D52" s="26">
        <f>INDEX(Купоны[Дата],MATCH($A52,Купоны[Дата],1))</f>
        <v>43021</v>
      </c>
      <c r="E52" s="24">
        <f>Купоны!$C$4*(A52-D52)/365*100</f>
        <v>3.6383561643835618</v>
      </c>
      <c r="F52" s="27">
        <f>-B52*(C52+E52)*Купоны!$G$10/100</f>
        <v>339962.7397260273</v>
      </c>
      <c r="G52" s="34">
        <f>SUM($B$2:B52)</f>
        <v>630</v>
      </c>
      <c r="H52" s="31">
        <f>_xlfn.IFNA(VLOOKUP($A52,Купоны[[Дата]:[% от номинала]],3,0),0)*Купоны!$G$10/100*G52</f>
        <v>0</v>
      </c>
      <c r="I52" s="36">
        <f>Таблица16[[#This Row],[Денежный поток]]+Таблица16[[#This Row],[Купонный доход]]</f>
        <v>339962.7397260273</v>
      </c>
      <c r="J52" s="31">
        <f>Таблица16[[#This Row],[Общий денежный поток]]/((1+$L$2)^((Таблица16[[#This Row],[Названия строк]]-$A$2)/365))</f>
        <v>325306.56955251959</v>
      </c>
    </row>
    <row r="53" spans="1:10" x14ac:dyDescent="0.3">
      <c r="A53" s="23">
        <v>43188</v>
      </c>
      <c r="B53" s="24">
        <v>-40</v>
      </c>
      <c r="C53" s="24">
        <f>VLOOKUP(Таблица16[[#This Row],[Названия строк]],Котировки[[&lt;DATE&gt;]:[&lt;VOL&gt;]],6,0)</f>
        <v>102.75</v>
      </c>
      <c r="D53" s="26">
        <f>INDEX(Купоны[Дата],MATCH($A53,Купоны[Дата],1))</f>
        <v>43021</v>
      </c>
      <c r="E53" s="24">
        <f>Купоны!$C$4*(A53-D53)/365*100</f>
        <v>3.6602739726027393</v>
      </c>
      <c r="F53" s="27">
        <f>-B53*(C53+E53)*Купоны!$G$10/100</f>
        <v>42564.109589041087</v>
      </c>
      <c r="G53" s="34">
        <f>SUM($B$2:B53)</f>
        <v>590</v>
      </c>
      <c r="H53" s="31">
        <f>_xlfn.IFNA(VLOOKUP($A53,Купоны[[Дата]:[% от номинала]],3,0),0)*Купоны!$G$10/100*G53</f>
        <v>0</v>
      </c>
      <c r="I53" s="36">
        <f>Таблица16[[#This Row],[Денежный поток]]+Таблица16[[#This Row],[Купонный доход]]</f>
        <v>42564.109589041087</v>
      </c>
      <c r="J53" s="31">
        <f>Таблица16[[#This Row],[Общий денежный поток]]/((1+$L$2)^((Таблица16[[#This Row],[Названия строк]]-$A$2)/365))</f>
        <v>40718.312771499288</v>
      </c>
    </row>
    <row r="54" spans="1:10" x14ac:dyDescent="0.3">
      <c r="A54" s="23">
        <v>43189</v>
      </c>
      <c r="B54" s="24">
        <v>530</v>
      </c>
      <c r="C54" s="24">
        <f>VLOOKUP(Таблица16[[#This Row],[Названия строк]],Котировки[[&lt;DATE&gt;]:[&lt;VOL&gt;]],6,0)</f>
        <v>102.6</v>
      </c>
      <c r="D54" s="26">
        <f>INDEX(Купоны[Дата],MATCH($A54,Купоны[Дата],1))</f>
        <v>43021</v>
      </c>
      <c r="E54" s="24">
        <f>Купоны!$C$4*(A54-D54)/365*100</f>
        <v>3.6821917808219173</v>
      </c>
      <c r="F54" s="27">
        <f>-B54*(C54+E54)*Купоны!$G$10/100</f>
        <v>-563295.61643835623</v>
      </c>
      <c r="G54" s="34">
        <f>SUM($B$2:B54)</f>
        <v>1120</v>
      </c>
      <c r="H54" s="31">
        <f>_xlfn.IFNA(VLOOKUP($A54,Купоны[[Дата]:[% от номинала]],3,0),0)*Купоны!$G$10/100*G54</f>
        <v>0</v>
      </c>
      <c r="I54" s="36">
        <f>Таблица16[[#This Row],[Денежный поток]]+Таблица16[[#This Row],[Купонный доход]]</f>
        <v>-563295.61643835623</v>
      </c>
      <c r="J54" s="31">
        <f>Таблица16[[#This Row],[Общий денежный поток]]/((1+$L$2)^((Таблица16[[#This Row],[Названия строк]]-$A$2)/365))</f>
        <v>-538725.21209727169</v>
      </c>
    </row>
    <row r="55" spans="1:10" x14ac:dyDescent="0.3">
      <c r="A55" s="23">
        <v>43193</v>
      </c>
      <c r="B55" s="24">
        <v>-430</v>
      </c>
      <c r="C55" s="24">
        <f>VLOOKUP(Таблица16[[#This Row],[Названия строк]],Котировки[[&lt;DATE&gt;]:[&lt;VOL&gt;]],6,0)</f>
        <v>102.65</v>
      </c>
      <c r="D55" s="26">
        <f>INDEX(Купоны[Дата],MATCH($A55,Купоны[Дата],1))</f>
        <v>43021</v>
      </c>
      <c r="E55" s="24">
        <f>Купоны!$C$4*(A55-D55)/365*100</f>
        <v>3.7698630136986302</v>
      </c>
      <c r="F55" s="27">
        <f>-B55*(C55+E55)*Купоны!$G$10/100</f>
        <v>457605.41095890407</v>
      </c>
      <c r="G55" s="34">
        <f>SUM($B$2:B55)</f>
        <v>690</v>
      </c>
      <c r="H55" s="31">
        <f>_xlfn.IFNA(VLOOKUP($A55,Купоны[[Дата]:[% от номинала]],3,0),0)*Купоны!$G$10/100*G55</f>
        <v>0</v>
      </c>
      <c r="I55" s="36">
        <f>Таблица16[[#This Row],[Денежный поток]]+Таблица16[[#This Row],[Купонный доход]]</f>
        <v>457605.41095890407</v>
      </c>
      <c r="J55" s="31">
        <f>Таблица16[[#This Row],[Общий денежный поток]]/((1+$L$2)^((Таблица16[[#This Row],[Названия строк]]-$A$2)/365))</f>
        <v>437180.63044103235</v>
      </c>
    </row>
    <row r="56" spans="1:10" x14ac:dyDescent="0.3">
      <c r="A56" s="23">
        <v>43196</v>
      </c>
      <c r="B56" s="24">
        <v>1280</v>
      </c>
      <c r="C56" s="24">
        <f>VLOOKUP(Таблица16[[#This Row],[Названия строк]],Котировки[[&lt;DATE&gt;]:[&lt;VOL&gt;]],6,0)</f>
        <v>102.85</v>
      </c>
      <c r="D56" s="26">
        <f>INDEX(Купоны[Дата],MATCH($A56,Купоны[Дата],1))</f>
        <v>43021</v>
      </c>
      <c r="E56" s="24">
        <f>Купоны!$C$4*(A56-D56)/365*100</f>
        <v>3.8356164383561646</v>
      </c>
      <c r="F56" s="27">
        <f>-B56*(C56+E56)*Купоны!$G$10/100</f>
        <v>-1365575.8904109588</v>
      </c>
      <c r="G56" s="34">
        <f>SUM($B$2:B56)</f>
        <v>1970</v>
      </c>
      <c r="H56" s="31">
        <f>_xlfn.IFNA(VLOOKUP($A56,Купоны[[Дата]:[% от номинала]],3,0),0)*Купоны!$G$10/100*G56</f>
        <v>0</v>
      </c>
      <c r="I56" s="36">
        <f>Таблица16[[#This Row],[Денежный поток]]+Таблица16[[#This Row],[Купонный доход]]</f>
        <v>-1365575.8904109588</v>
      </c>
      <c r="J56" s="31">
        <f>Таблица16[[#This Row],[Общий денежный поток]]/((1+$L$2)^((Таблица16[[#This Row],[Названия строк]]-$A$2)/365))</f>
        <v>-1303586.1127059746</v>
      </c>
    </row>
    <row r="57" spans="1:10" x14ac:dyDescent="0.3">
      <c r="A57" s="23">
        <v>43200</v>
      </c>
      <c r="B57" s="24">
        <v>-1680</v>
      </c>
      <c r="C57" s="24">
        <f>VLOOKUP(Таблица16[[#This Row],[Названия строк]],Котировки[[&lt;DATE&gt;]:[&lt;VOL&gt;]],6,0)</f>
        <v>102.4</v>
      </c>
      <c r="D57" s="26">
        <f>INDEX(Купоны[Дата],MATCH($A57,Купоны[Дата],1))</f>
        <v>43021</v>
      </c>
      <c r="E57" s="24">
        <f>Купоны!$C$4*(A57-D57)/365*100</f>
        <v>3.9232876712328766</v>
      </c>
      <c r="F57" s="27">
        <f>-B57*(C57+E57)*Купоны!$G$10/100</f>
        <v>1786231.2328767125</v>
      </c>
      <c r="G57" s="34">
        <f>SUM($B$2:B57)</f>
        <v>290</v>
      </c>
      <c r="H57" s="31">
        <f>_xlfn.IFNA(VLOOKUP($A57,Купоны[[Дата]:[% от номинала]],3,0),0)*Купоны!$G$10/100*G57</f>
        <v>0</v>
      </c>
      <c r="I57" s="36">
        <f>Таблица16[[#This Row],[Денежный поток]]+Таблица16[[#This Row],[Купонный доход]]</f>
        <v>1786231.2328767125</v>
      </c>
      <c r="J57" s="31">
        <f>Таблица16[[#This Row],[Общий денежный поток]]/((1+$L$2)^((Таблица16[[#This Row],[Названия строк]]-$A$2)/365))</f>
        <v>1703336.2738714216</v>
      </c>
    </row>
    <row r="58" spans="1:10" x14ac:dyDescent="0.3">
      <c r="A58" s="23">
        <v>43202</v>
      </c>
      <c r="B58" s="24">
        <v>380</v>
      </c>
      <c r="C58" s="24">
        <f>VLOOKUP(Таблица16[[#This Row],[Названия строк]],Котировки[[&lt;DATE&gt;]:[&lt;VOL&gt;]],6,0)</f>
        <v>102.58</v>
      </c>
      <c r="D58" s="26">
        <f>INDEX(Купоны[Дата],MATCH($A58,Купоны[Дата],1))</f>
        <v>43021</v>
      </c>
      <c r="E58" s="24">
        <f>Купоны!$C$4*(A58-D58)/365*100</f>
        <v>3.967123287671233</v>
      </c>
      <c r="F58" s="27">
        <f>-B58*(C58+E58)*Купоны!$G$10/100</f>
        <v>-404879.06849315064</v>
      </c>
      <c r="G58" s="34">
        <f>SUM($B$2:B58)</f>
        <v>670</v>
      </c>
      <c r="H58" s="31">
        <f>_xlfn.IFNA(VLOOKUP($A58,Купоны[[Дата]:[% от номинала]],3,0),0)*Купоны!$G$10/100*G58</f>
        <v>0</v>
      </c>
      <c r="I58" s="36">
        <f>Таблица16[[#This Row],[Денежный поток]]+Таблица16[[#This Row],[Купонный доход]]</f>
        <v>-404879.06849315064</v>
      </c>
      <c r="J58" s="31">
        <f>Таблица16[[#This Row],[Общий денежный поток]]/((1+$L$2)^((Таблица16[[#This Row],[Названия строк]]-$A$2)/365))</f>
        <v>-385884.60910793493</v>
      </c>
    </row>
    <row r="59" spans="1:10" x14ac:dyDescent="0.3">
      <c r="A59" s="23">
        <v>43203</v>
      </c>
      <c r="B59" s="24">
        <v>360</v>
      </c>
      <c r="C59" s="24">
        <f>VLOOKUP(Таблица16[[#This Row],[Названия строк]],Котировки[[&lt;DATE&gt;]:[&lt;VOL&gt;]],6,0)</f>
        <v>102</v>
      </c>
      <c r="D59" s="26">
        <f>INDEX(Купоны[Дата],MATCH($A59,Купоны[Дата],1))</f>
        <v>43203</v>
      </c>
      <c r="E59" s="24">
        <f>Купоны!$C$4*(A59-D59)/365*100</f>
        <v>0</v>
      </c>
      <c r="F59" s="27">
        <f>-B59*(C59+E59)*Купоны!$G$10/100</f>
        <v>-367200</v>
      </c>
      <c r="G59" s="34">
        <f>SUM($B$2:B59)</f>
        <v>1030</v>
      </c>
      <c r="H59" s="31">
        <f>_xlfn.IFNA(VLOOKUP($A59,Купоны[[Дата]:[% от номинала]],3,0),0)*Купоны!$G$10/100*G59</f>
        <v>41086.699999999997</v>
      </c>
      <c r="I59" s="36">
        <f>Таблица16[[#This Row],[Денежный поток]]+Таблица16[[#This Row],[Купонный доход]]</f>
        <v>-326113.3</v>
      </c>
      <c r="J59" s="31">
        <f>Таблица16[[#This Row],[Общий денежный поток]]/((1+$L$2)^((Таблица16[[#This Row],[Названия строк]]-$A$2)/365))</f>
        <v>-310731.54982832831</v>
      </c>
    </row>
    <row r="60" spans="1:10" x14ac:dyDescent="0.3">
      <c r="A60" s="23">
        <v>43213</v>
      </c>
      <c r="B60" s="24">
        <v>470</v>
      </c>
      <c r="C60" s="24">
        <f>VLOOKUP(Таблица16[[#This Row],[Названия строк]],Котировки[[&lt;DATE&gt;]:[&lt;VOL&gt;]],6,0)</f>
        <v>102.5</v>
      </c>
      <c r="D60" s="26">
        <f>INDEX(Купоны[Дата],MATCH($A60,Купоны[Дата],1))</f>
        <v>43203</v>
      </c>
      <c r="E60" s="24">
        <f>Купоны!$C$4*(A60-D60)/365*100</f>
        <v>0.21917808219178084</v>
      </c>
      <c r="F60" s="27">
        <f>-B60*(C60+E60)*Купоны!$G$10/100</f>
        <v>-482780.1369863014</v>
      </c>
      <c r="G60" s="34">
        <f>SUM($B$2:B60)</f>
        <v>1500</v>
      </c>
      <c r="H60" s="31">
        <f>_xlfn.IFNA(VLOOKUP($A60,Купоны[[Дата]:[% от номинала]],3,0),0)*Купоны!$G$10/100*G60</f>
        <v>0</v>
      </c>
      <c r="I60" s="36">
        <f>Таблица16[[#This Row],[Денежный поток]]+Таблица16[[#This Row],[Купонный доход]]</f>
        <v>-482780.1369863014</v>
      </c>
      <c r="J60" s="31">
        <f>Таблица16[[#This Row],[Общий денежный поток]]/((1+$L$2)^((Таблица16[[#This Row],[Названия строк]]-$A$2)/365))</f>
        <v>-458789.33393976063</v>
      </c>
    </row>
    <row r="61" spans="1:10" x14ac:dyDescent="0.3">
      <c r="A61" s="23">
        <v>43215</v>
      </c>
      <c r="B61" s="24">
        <v>60</v>
      </c>
      <c r="C61" s="24">
        <f>VLOOKUP(Таблица16[[#This Row],[Названия строк]],Котировки[[&lt;DATE&gt;]:[&lt;VOL&gt;]],6,0)</f>
        <v>102.6</v>
      </c>
      <c r="D61" s="26">
        <f>INDEX(Купоны[Дата],MATCH($A61,Купоны[Дата],1))</f>
        <v>43203</v>
      </c>
      <c r="E61" s="24">
        <f>Купоны!$C$4*(A61-D61)/365*100</f>
        <v>0.26301369863013702</v>
      </c>
      <c r="F61" s="27">
        <f>-B61*(C61+E61)*Купоны!$G$10/100</f>
        <v>-61717.808219178078</v>
      </c>
      <c r="G61" s="34">
        <f>SUM($B$2:B61)</f>
        <v>1560</v>
      </c>
      <c r="H61" s="31">
        <f>_xlfn.IFNA(VLOOKUP($A61,Купоны[[Дата]:[% от номинала]],3,0),0)*Купоны!$G$10/100*G61</f>
        <v>0</v>
      </c>
      <c r="I61" s="36">
        <f>Таблица16[[#This Row],[Денежный поток]]+Таблица16[[#This Row],[Купонный доход]]</f>
        <v>-61717.808219178078</v>
      </c>
      <c r="J61" s="31">
        <f>Таблица16[[#This Row],[Общий денежный поток]]/((1+$L$2)^((Таблица16[[#This Row],[Названия строк]]-$A$2)/365))</f>
        <v>-58619.732129419019</v>
      </c>
    </row>
    <row r="62" spans="1:10" x14ac:dyDescent="0.3">
      <c r="A62" s="23">
        <v>43220</v>
      </c>
      <c r="B62" s="24">
        <v>920</v>
      </c>
      <c r="C62" s="24">
        <f>VLOOKUP(Таблица16[[#This Row],[Названия строк]],Котировки[[&lt;DATE&gt;]:[&lt;VOL&gt;]],6,0)</f>
        <v>103</v>
      </c>
      <c r="D62" s="26">
        <f>INDEX(Купоны[Дата],MATCH($A62,Купоны[Дата],1))</f>
        <v>43203</v>
      </c>
      <c r="E62" s="24">
        <f>Купоны!$C$4*(A62-D62)/365*100</f>
        <v>0.37260273972602742</v>
      </c>
      <c r="F62" s="27">
        <f>-B62*(C62+E62)*Купоны!$G$10/100</f>
        <v>-951027.94520547939</v>
      </c>
      <c r="G62" s="34">
        <f>SUM($B$2:B62)</f>
        <v>2480</v>
      </c>
      <c r="H62" s="31">
        <f>_xlfn.IFNA(VLOOKUP($A62,Купоны[[Дата]:[% от номинала]],3,0),0)*Купоны!$G$10/100*G62</f>
        <v>0</v>
      </c>
      <c r="I62" s="36">
        <f>Таблица16[[#This Row],[Денежный поток]]+Таблица16[[#This Row],[Купонный доход]]</f>
        <v>-951027.94520547939</v>
      </c>
      <c r="J62" s="31">
        <f>Таблица16[[#This Row],[Общий денежный поток]]/((1+$L$2)^((Таблица16[[#This Row],[Названия строк]]-$A$2)/365))</f>
        <v>-902090.59095366474</v>
      </c>
    </row>
    <row r="63" spans="1:10" x14ac:dyDescent="0.3">
      <c r="A63" s="23">
        <v>43228</v>
      </c>
      <c r="B63" s="24">
        <v>-2130</v>
      </c>
      <c r="C63" s="24">
        <f>VLOOKUP(Таблица16[[#This Row],[Названия строк]],Котировки[[&lt;DATE&gt;]:[&lt;VOL&gt;]],6,0)</f>
        <v>103.64</v>
      </c>
      <c r="D63" s="26">
        <f>INDEX(Купоны[Дата],MATCH($A63,Купоны[Дата],1))</f>
        <v>43203</v>
      </c>
      <c r="E63" s="24">
        <f>Купоны!$C$4*(A63-D63)/365*100</f>
        <v>0.54794520547945202</v>
      </c>
      <c r="F63" s="27">
        <f>-B63*(C63+E63)*Купоны!$G$10/100</f>
        <v>2219203.2328767125</v>
      </c>
      <c r="G63" s="34">
        <f>SUM($B$2:B63)</f>
        <v>350</v>
      </c>
      <c r="H63" s="31">
        <f>_xlfn.IFNA(VLOOKUP($A63,Купоны[[Дата]:[% от номинала]],3,0),0)*Купоны!$G$10/100*G63</f>
        <v>0</v>
      </c>
      <c r="I63" s="36">
        <f>Таблица16[[#This Row],[Денежный поток]]+Таблица16[[#This Row],[Купонный доход]]</f>
        <v>2219203.2328767125</v>
      </c>
      <c r="J63" s="31">
        <f>Таблица16[[#This Row],[Общий денежный поток]]/((1+$L$2)^((Таблица16[[#This Row],[Названия строк]]-$A$2)/365))</f>
        <v>2100543.183035593</v>
      </c>
    </row>
    <row r="64" spans="1:10" x14ac:dyDescent="0.3">
      <c r="A64" s="23">
        <v>43230</v>
      </c>
      <c r="B64" s="24">
        <v>-310</v>
      </c>
      <c r="C64" s="24">
        <f>VLOOKUP(Таблица16[[#This Row],[Названия строк]],Котировки[[&lt;DATE&gt;]:[&lt;VOL&gt;]],6,0)</f>
        <v>103.8</v>
      </c>
      <c r="D64" s="26">
        <f>INDEX(Купоны[Дата],MATCH($A64,Купоны[Дата],1))</f>
        <v>43203</v>
      </c>
      <c r="E64" s="24">
        <f>Купоны!$C$4*(A64-D64)/365*100</f>
        <v>0.59178082191780834</v>
      </c>
      <c r="F64" s="27">
        <f>-B64*(C64+E64)*Купоны!$G$10/100</f>
        <v>323614.52054794523</v>
      </c>
      <c r="G64" s="34">
        <f>SUM($B$2:B64)</f>
        <v>40</v>
      </c>
      <c r="H64" s="31">
        <f>_xlfn.IFNA(VLOOKUP($A64,Купоны[[Дата]:[% от номинала]],3,0),0)*Купоны!$G$10/100*G64</f>
        <v>0</v>
      </c>
      <c r="I64" s="36">
        <f>Таблица16[[#This Row],[Денежный поток]]+Таблица16[[#This Row],[Купонный доход]]</f>
        <v>323614.52054794523</v>
      </c>
      <c r="J64" s="31">
        <f>Таблица16[[#This Row],[Общий денежный поток]]/((1+$L$2)^((Таблица16[[#This Row],[Названия строк]]-$A$2)/365))</f>
        <v>306148.37158928026</v>
      </c>
    </row>
    <row r="65" spans="1:10" x14ac:dyDescent="0.3">
      <c r="A65" s="23">
        <v>43231</v>
      </c>
      <c r="B65" s="24">
        <v>890</v>
      </c>
      <c r="C65" s="24">
        <f>VLOOKUP(Таблица16[[#This Row],[Названия строк]],Котировки[[&lt;DATE&gt;]:[&lt;VOL&gt;]],6,0)</f>
        <v>103.29</v>
      </c>
      <c r="D65" s="26">
        <f>INDEX(Купоны[Дата],MATCH($A65,Купоны[Дата],1))</f>
        <v>43203</v>
      </c>
      <c r="E65" s="24">
        <f>Купоны!$C$4*(A65-D65)/365*100</f>
        <v>0.61369863013698633</v>
      </c>
      <c r="F65" s="27">
        <f>-B65*(C65+E65)*Купоны!$G$10/100</f>
        <v>-924742.91780821921</v>
      </c>
      <c r="G65" s="34">
        <f>SUM($B$2:B65)</f>
        <v>930</v>
      </c>
      <c r="H65" s="31">
        <f>_xlfn.IFNA(VLOOKUP($A65,Купоны[[Дата]:[% от номинала]],3,0),0)*Купоны!$G$10/100*G65</f>
        <v>0</v>
      </c>
      <c r="I65" s="36">
        <f>Таблица16[[#This Row],[Денежный поток]]+Таблица16[[#This Row],[Купонный доход]]</f>
        <v>-924742.91780821921</v>
      </c>
      <c r="J65" s="31">
        <f>Таблица16[[#This Row],[Общий денежный поток]]/((1+$L$2)^((Таблица16[[#This Row],[Названия строк]]-$A$2)/365))</f>
        <v>-874600.4077391146</v>
      </c>
    </row>
    <row r="66" spans="1:10" x14ac:dyDescent="0.3">
      <c r="A66" s="23">
        <v>43234</v>
      </c>
      <c r="B66" s="24">
        <v>90</v>
      </c>
      <c r="C66" s="24">
        <f>VLOOKUP(Таблица16[[#This Row],[Названия строк]],Котировки[[&lt;DATE&gt;]:[&lt;VOL&gt;]],6,0)</f>
        <v>103.04</v>
      </c>
      <c r="D66" s="26">
        <f>INDEX(Купоны[Дата],MATCH($A66,Купоны[Дата],1))</f>
        <v>43203</v>
      </c>
      <c r="E66" s="24">
        <f>Купоны!$C$4*(A66-D66)/365*100</f>
        <v>0.67945205479452053</v>
      </c>
      <c r="F66" s="27">
        <f>-B66*(C66+E66)*Купоны!$G$10/100</f>
        <v>-93347.506849315076</v>
      </c>
      <c r="G66" s="34">
        <f>SUM($B$2:B66)</f>
        <v>1020</v>
      </c>
      <c r="H66" s="31">
        <f>_xlfn.IFNA(VLOOKUP($A66,Купоны[[Дата]:[% от номинала]],3,0),0)*Купоны!$G$10/100*G66</f>
        <v>0</v>
      </c>
      <c r="I66" s="36">
        <f>Таблица16[[#This Row],[Денежный поток]]+Таблица16[[#This Row],[Купонный доход]]</f>
        <v>-93347.506849315076</v>
      </c>
      <c r="J66" s="31">
        <f>Таблица16[[#This Row],[Общий денежный поток]]/((1+$L$2)^((Таблица16[[#This Row],[Названия строк]]-$A$2)/365))</f>
        <v>-88215.62358983414</v>
      </c>
    </row>
    <row r="67" spans="1:10" x14ac:dyDescent="0.3">
      <c r="A67" s="23">
        <v>43238</v>
      </c>
      <c r="B67" s="24">
        <v>-380</v>
      </c>
      <c r="C67" s="24">
        <f>VLOOKUP(Таблица16[[#This Row],[Названия строк]],Котировки[[&lt;DATE&gt;]:[&lt;VOL&gt;]],6,0)</f>
        <v>103</v>
      </c>
      <c r="D67" s="26">
        <f>INDEX(Купоны[Дата],MATCH($A67,Купоны[Дата],1))</f>
        <v>43203</v>
      </c>
      <c r="E67" s="24">
        <f>Купоны!$C$4*(A67-D67)/365*100</f>
        <v>0.76712328767123295</v>
      </c>
      <c r="F67" s="27">
        <f>-B67*(C67+E67)*Купоны!$G$10/100</f>
        <v>394315.0684931507</v>
      </c>
      <c r="G67" s="34">
        <f>SUM($B$2:B67)</f>
        <v>640</v>
      </c>
      <c r="H67" s="31">
        <f>_xlfn.IFNA(VLOOKUP($A67,Купоны[[Дата]:[% от номинала]],3,0),0)*Купоны!$G$10/100*G67</f>
        <v>0</v>
      </c>
      <c r="I67" s="36">
        <f>Таблица16[[#This Row],[Денежный поток]]+Таблица16[[#This Row],[Купонный доход]]</f>
        <v>394315.0684931507</v>
      </c>
      <c r="J67" s="31">
        <f>Таблица16[[#This Row],[Общий денежный поток]]/((1+$L$2)^((Таблица16[[#This Row],[Названия строк]]-$A$2)/365))</f>
        <v>372241.67229729524</v>
      </c>
    </row>
    <row r="68" spans="1:10" x14ac:dyDescent="0.3">
      <c r="A68" s="23">
        <v>43242</v>
      </c>
      <c r="B68" s="24">
        <v>50</v>
      </c>
      <c r="C68" s="24">
        <f>VLOOKUP(Таблица16[[#This Row],[Названия строк]],Котировки[[&lt;DATE&gt;]:[&lt;VOL&gt;]],6,0)</f>
        <v>102.75</v>
      </c>
      <c r="D68" s="26">
        <f>INDEX(Купоны[Дата],MATCH($A68,Купоны[Дата],1))</f>
        <v>43203</v>
      </c>
      <c r="E68" s="24">
        <f>Купоны!$C$4*(A68-D68)/365*100</f>
        <v>0.85479452054794525</v>
      </c>
      <c r="F68" s="27">
        <f>-B68*(C68+E68)*Купоны!$G$10/100</f>
        <v>-51802.397260273974</v>
      </c>
      <c r="G68" s="34">
        <f>SUM($B$2:B68)</f>
        <v>690</v>
      </c>
      <c r="H68" s="31">
        <f>_xlfn.IFNA(VLOOKUP($A68,Купоны[[Дата]:[% от номинала]],3,0),0)*Купоны!$G$10/100*G68</f>
        <v>0</v>
      </c>
      <c r="I68" s="36">
        <f>Таблица16[[#This Row],[Денежный поток]]+Таблица16[[#This Row],[Купонный доход]]</f>
        <v>-51802.397260273974</v>
      </c>
      <c r="J68" s="31">
        <f>Таблица16[[#This Row],[Общий денежный поток]]/((1+$L$2)^((Таблица16[[#This Row],[Названия строк]]-$A$2)/365))</f>
        <v>-48850.645487611248</v>
      </c>
    </row>
    <row r="69" spans="1:10" x14ac:dyDescent="0.3">
      <c r="A69" s="23">
        <v>43244</v>
      </c>
      <c r="B69" s="24">
        <v>380</v>
      </c>
      <c r="C69" s="24">
        <f>VLOOKUP(Таблица16[[#This Row],[Названия строк]],Котировки[[&lt;DATE&gt;]:[&lt;VOL&gt;]],6,0)</f>
        <v>102.53</v>
      </c>
      <c r="D69" s="26">
        <f>INDEX(Купоны[Дата],MATCH($A69,Купоны[Дата],1))</f>
        <v>43203</v>
      </c>
      <c r="E69" s="24">
        <f>Купоны!$C$4*(A69-D69)/365*100</f>
        <v>0.89863013698630134</v>
      </c>
      <c r="F69" s="27">
        <f>-B69*(C69+E69)*Купоны!$G$10/100</f>
        <v>-393028.79452054796</v>
      </c>
      <c r="G69" s="34">
        <f>SUM($B$2:B69)</f>
        <v>1070</v>
      </c>
      <c r="H69" s="31">
        <f>_xlfn.IFNA(VLOOKUP($A69,Купоны[[Дата]:[% от номинала]],3,0),0)*Купоны!$G$10/100*G69</f>
        <v>0</v>
      </c>
      <c r="I69" s="36">
        <f>Таблица16[[#This Row],[Денежный поток]]+Таблица16[[#This Row],[Купонный доход]]</f>
        <v>-393028.79452054796</v>
      </c>
      <c r="J69" s="31">
        <f>Таблица16[[#This Row],[Общий денежный поток]]/((1+$L$2)^((Таблица16[[#This Row],[Названия строк]]-$A$2)/365))</f>
        <v>-370436.89365694841</v>
      </c>
    </row>
    <row r="70" spans="1:10" x14ac:dyDescent="0.3">
      <c r="A70" s="23">
        <v>43250</v>
      </c>
      <c r="B70" s="24">
        <v>-400</v>
      </c>
      <c r="C70" s="24">
        <f>VLOOKUP(Таблица16[[#This Row],[Названия строк]],Котировки[[&lt;DATE&gt;]:[&lt;VOL&gt;]],6,0)</f>
        <v>102.77</v>
      </c>
      <c r="D70" s="26">
        <f>INDEX(Купоны[Дата],MATCH($A70,Купоны[Дата],1))</f>
        <v>43203</v>
      </c>
      <c r="E70" s="24">
        <f>Купоны!$C$4*(A70-D70)/365*100</f>
        <v>1.0301369863013701</v>
      </c>
      <c r="F70" s="27">
        <f>-B70*(C70+E70)*Купоны!$G$10/100</f>
        <v>415200.54794520547</v>
      </c>
      <c r="G70" s="34">
        <f>SUM($B$2:B70)</f>
        <v>670</v>
      </c>
      <c r="H70" s="31">
        <f>_xlfn.IFNA(VLOOKUP($A70,Купоны[[Дата]:[% от номинала]],3,0),0)*Купоны!$G$10/100*G70</f>
        <v>0</v>
      </c>
      <c r="I70" s="36">
        <f>Таблица16[[#This Row],[Денежный поток]]+Таблица16[[#This Row],[Купонный доход]]</f>
        <v>415200.54794520547</v>
      </c>
      <c r="J70" s="31">
        <f>Таблица16[[#This Row],[Общий денежный поток]]/((1+$L$2)^((Таблица16[[#This Row],[Названия строк]]-$A$2)/365))</f>
        <v>390711.35214017617</v>
      </c>
    </row>
    <row r="71" spans="1:10" x14ac:dyDescent="0.3">
      <c r="A71" s="23">
        <v>43252</v>
      </c>
      <c r="B71" s="24">
        <v>-90</v>
      </c>
      <c r="C71" s="24">
        <f>VLOOKUP(Таблица16[[#This Row],[Названия строк]],Котировки[[&lt;DATE&gt;]:[&lt;VOL&gt;]],6,0)</f>
        <v>102.94</v>
      </c>
      <c r="D71" s="26">
        <f>INDEX(Купоны[Дата],MATCH($A71,Купоны[Дата],1))</f>
        <v>43203</v>
      </c>
      <c r="E71" s="24">
        <f>Купоны!$C$4*(A71-D71)/365*100</f>
        <v>1.0739726027397261</v>
      </c>
      <c r="F71" s="27">
        <f>-B71*(C71+E71)*Купоны!$G$10/100</f>
        <v>93612.575342465745</v>
      </c>
      <c r="G71" s="34">
        <f>SUM($B$2:B71)</f>
        <v>580</v>
      </c>
      <c r="H71" s="31">
        <f>_xlfn.IFNA(VLOOKUP($A71,Купоны[[Дата]:[% от номинала]],3,0),0)*Купоны!$G$10/100*G71</f>
        <v>0</v>
      </c>
      <c r="I71" s="36">
        <f>Таблица16[[#This Row],[Денежный поток]]+Таблица16[[#This Row],[Купонный доход]]</f>
        <v>93612.575342465745</v>
      </c>
      <c r="J71" s="31">
        <f>Таблица16[[#This Row],[Общий денежный поток]]/((1+$L$2)^((Таблица16[[#This Row],[Названия строк]]-$A$2)/365))</f>
        <v>88044.39647862743</v>
      </c>
    </row>
    <row r="72" spans="1:10" x14ac:dyDescent="0.3">
      <c r="A72" s="23">
        <v>43262</v>
      </c>
      <c r="B72" s="24">
        <v>-190</v>
      </c>
      <c r="C72" s="24">
        <f>VLOOKUP(Таблица16[[#This Row],[Названия строк]],Котировки[[&lt;DATE&gt;]:[&lt;VOL&gt;]],6,0)</f>
        <v>102.6</v>
      </c>
      <c r="D72" s="26">
        <f>INDEX(Купоны[Дата],MATCH($A72,Купоны[Дата],1))</f>
        <v>43203</v>
      </c>
      <c r="E72" s="24">
        <f>Купоны!$C$4*(A72-D72)/365*100</f>
        <v>1.2931506849315069</v>
      </c>
      <c r="F72" s="27">
        <f>-B72*(C72+E72)*Купоны!$G$10/100</f>
        <v>197396.98630136982</v>
      </c>
      <c r="G72" s="34">
        <f>SUM($B$2:B72)</f>
        <v>390</v>
      </c>
      <c r="H72" s="31">
        <f>_xlfn.IFNA(VLOOKUP($A72,Купоны[[Дата]:[% от номинала]],3,0),0)*Купоны!$G$10/100*G72</f>
        <v>0</v>
      </c>
      <c r="I72" s="36">
        <f>Таблица16[[#This Row],[Денежный поток]]+Таблица16[[#This Row],[Купонный доход]]</f>
        <v>197396.98630136982</v>
      </c>
      <c r="J72" s="31">
        <f>Таблица16[[#This Row],[Общий денежный поток]]/((1+$L$2)^((Таблица16[[#This Row],[Названия строк]]-$A$2)/365))</f>
        <v>185163.39060977779</v>
      </c>
    </row>
    <row r="73" spans="1:10" x14ac:dyDescent="0.3">
      <c r="A73" s="23">
        <v>43266</v>
      </c>
      <c r="B73" s="24">
        <v>450</v>
      </c>
      <c r="C73" s="24">
        <f>VLOOKUP(Таблица16[[#This Row],[Названия строк]],Котировки[[&lt;DATE&gt;]:[&lt;VOL&gt;]],6,0)</f>
        <v>102.79</v>
      </c>
      <c r="D73" s="26">
        <f>INDEX(Купоны[Дата],MATCH($A73,Купоны[Дата],1))</f>
        <v>43203</v>
      </c>
      <c r="E73" s="24">
        <f>Купоны!$C$4*(A73-D73)/365*100</f>
        <v>1.3808219178082191</v>
      </c>
      <c r="F73" s="27">
        <f>-B73*(C73+E73)*Купоны!$G$10/100</f>
        <v>-468768.69863013702</v>
      </c>
      <c r="G73" s="34">
        <f>SUM($B$2:B73)</f>
        <v>840</v>
      </c>
      <c r="H73" s="31">
        <f>_xlfn.IFNA(VLOOKUP($A73,Купоны[[Дата]:[% от номинала]],3,0),0)*Купоны!$G$10/100*G73</f>
        <v>0</v>
      </c>
      <c r="I73" s="36">
        <f>Таблица16[[#This Row],[Денежный поток]]+Таблица16[[#This Row],[Купонный доход]]</f>
        <v>-468768.69863013702</v>
      </c>
      <c r="J73" s="31">
        <f>Таблица16[[#This Row],[Общий денежный поток]]/((1+$L$2)^((Таблица16[[#This Row],[Названия строк]]-$A$2)/365))</f>
        <v>-439250.27598990884</v>
      </c>
    </row>
    <row r="74" spans="1:10" x14ac:dyDescent="0.3">
      <c r="A74" s="23">
        <v>43269</v>
      </c>
      <c r="B74" s="24">
        <v>310</v>
      </c>
      <c r="C74" s="24">
        <f>VLOOKUP(Таблица16[[#This Row],[Названия строк]],Котировки[[&lt;DATE&gt;]:[&lt;VOL&gt;]],6,0)</f>
        <v>102.61</v>
      </c>
      <c r="D74" s="26">
        <f>INDEX(Купоны[Дата],MATCH($A74,Купоны[Дата],1))</f>
        <v>43203</v>
      </c>
      <c r="E74" s="24">
        <f>Купоны!$C$4*(A74-D74)/365*100</f>
        <v>1.4465753424657535</v>
      </c>
      <c r="F74" s="27">
        <f>-B74*(C74+E74)*Купоны!$G$10/100</f>
        <v>-322575.38356164383</v>
      </c>
      <c r="G74" s="34">
        <f>SUM($B$2:B74)</f>
        <v>1150</v>
      </c>
      <c r="H74" s="31">
        <f>_xlfn.IFNA(VLOOKUP($A74,Купоны[[Дата]:[% от номинала]],3,0),0)*Купоны!$G$10/100*G74</f>
        <v>0</v>
      </c>
      <c r="I74" s="36">
        <f>Таблица16[[#This Row],[Денежный поток]]+Таблица16[[#This Row],[Купонный доход]]</f>
        <v>-322575.38356164383</v>
      </c>
      <c r="J74" s="31">
        <f>Таблица16[[#This Row],[Общий денежный поток]]/((1+$L$2)^((Таблица16[[#This Row],[Названия строк]]-$A$2)/365))</f>
        <v>-302022.14284269372</v>
      </c>
    </row>
    <row r="75" spans="1:10" x14ac:dyDescent="0.3">
      <c r="A75" s="23">
        <v>43270</v>
      </c>
      <c r="B75" s="24">
        <v>-1010</v>
      </c>
      <c r="C75" s="24">
        <f>VLOOKUP(Таблица16[[#This Row],[Названия строк]],Котировки[[&lt;DATE&gt;]:[&lt;VOL&gt;]],6,0)</f>
        <v>102.7</v>
      </c>
      <c r="D75" s="26">
        <f>INDEX(Купоны[Дата],MATCH($A75,Купоны[Дата],1))</f>
        <v>43203</v>
      </c>
      <c r="E75" s="24">
        <f>Купоны!$C$4*(A75-D75)/365*100</f>
        <v>1.4684931506849317</v>
      </c>
      <c r="F75" s="27">
        <f>-B75*(C75+E75)*Купоны!$G$10/100</f>
        <v>1052101.780821918</v>
      </c>
      <c r="G75" s="34">
        <f>SUM($B$2:B75)</f>
        <v>140</v>
      </c>
      <c r="H75" s="31">
        <f>_xlfn.IFNA(VLOOKUP($A75,Купоны[[Дата]:[% от номинала]],3,0),0)*Купоны!$G$10/100*G75</f>
        <v>0</v>
      </c>
      <c r="I75" s="36">
        <f>Таблица16[[#This Row],[Денежный поток]]+Таблица16[[#This Row],[Купонный доход]]</f>
        <v>1052101.780821918</v>
      </c>
      <c r="J75" s="31">
        <f>Таблица16[[#This Row],[Общий денежный поток]]/((1+$L$2)^((Таблица16[[#This Row],[Названия строк]]-$A$2)/365))</f>
        <v>984804.50319970818</v>
      </c>
    </row>
    <row r="76" spans="1:10" x14ac:dyDescent="0.3">
      <c r="A76" s="23">
        <v>43273</v>
      </c>
      <c r="B76" s="24">
        <v>1000</v>
      </c>
      <c r="C76" s="24">
        <f>VLOOKUP(Таблица16[[#This Row],[Названия строк]],Котировки[[&lt;DATE&gt;]:[&lt;VOL&gt;]],6,0)</f>
        <v>102.43</v>
      </c>
      <c r="D76" s="26">
        <f>INDEX(Купоны[Дата],MATCH($A76,Купоны[Дата],1))</f>
        <v>43203</v>
      </c>
      <c r="E76" s="24">
        <f>Купоны!$C$4*(A76-D76)/365*100</f>
        <v>1.5342465753424659</v>
      </c>
      <c r="F76" s="27">
        <f>-B76*(C76+E76)*Купоны!$G$10/100</f>
        <v>-1039642.4657534248</v>
      </c>
      <c r="G76" s="34">
        <f>SUM($B$2:B76)</f>
        <v>1140</v>
      </c>
      <c r="H76" s="31">
        <f>_xlfn.IFNA(VLOOKUP($A76,Купоны[[Дата]:[% от номинала]],3,0),0)*Купоны!$G$10/100*G76</f>
        <v>0</v>
      </c>
      <c r="I76" s="36">
        <f>Таблица16[[#This Row],[Денежный поток]]+Таблица16[[#This Row],[Купонный доход]]</f>
        <v>-1039642.4657534248</v>
      </c>
      <c r="J76" s="31">
        <f>Таблица16[[#This Row],[Общий денежный поток]]/((1+$L$2)^((Таблица16[[#This Row],[Названия строк]]-$A$2)/365))</f>
        <v>-972367.43219007377</v>
      </c>
    </row>
    <row r="77" spans="1:10" x14ac:dyDescent="0.3">
      <c r="A77" s="23">
        <v>43276</v>
      </c>
      <c r="B77" s="24">
        <v>-170</v>
      </c>
      <c r="C77" s="24">
        <f>VLOOKUP(Таблица16[[#This Row],[Названия строк]],Котировки[[&lt;DATE&gt;]:[&lt;VOL&gt;]],6,0)</f>
        <v>101.26</v>
      </c>
      <c r="D77" s="26">
        <f>INDEX(Купоны[Дата],MATCH($A77,Купоны[Дата],1))</f>
        <v>43203</v>
      </c>
      <c r="E77" s="24">
        <f>Купоны!$C$4*(A77-D77)/365*100</f>
        <v>1.6</v>
      </c>
      <c r="F77" s="27">
        <f>-B77*(C77+E77)*Купоны!$G$10/100</f>
        <v>174862</v>
      </c>
      <c r="G77" s="34">
        <f>SUM($B$2:B77)</f>
        <v>970</v>
      </c>
      <c r="H77" s="31">
        <f>_xlfn.IFNA(VLOOKUP($A77,Купоны[[Дата]:[% от номинала]],3,0),0)*Купоны!$G$10/100*G77</f>
        <v>0</v>
      </c>
      <c r="I77" s="36">
        <f>Таблица16[[#This Row],[Денежный поток]]+Таблица16[[#This Row],[Купонный доход]]</f>
        <v>174862</v>
      </c>
      <c r="J77" s="31">
        <f>Таблица16[[#This Row],[Общий денежный поток]]/((1+$L$2)^((Таблица16[[#This Row],[Названия строк]]-$A$2)/365))</f>
        <v>163416.52041851444</v>
      </c>
    </row>
    <row r="78" spans="1:10" x14ac:dyDescent="0.3">
      <c r="A78" s="23">
        <v>43280</v>
      </c>
      <c r="B78" s="24">
        <v>-410</v>
      </c>
      <c r="C78" s="24">
        <f>VLOOKUP(Таблица16[[#This Row],[Названия строк]],Котировки[[&lt;DATE&gt;]:[&lt;VOL&gt;]],6,0)</f>
        <v>101.9</v>
      </c>
      <c r="D78" s="26">
        <f>INDEX(Купоны[Дата],MATCH($A78,Купоны[Дата],1))</f>
        <v>43203</v>
      </c>
      <c r="E78" s="24">
        <f>Купоны!$C$4*(A78-D78)/365*100</f>
        <v>1.6876712328767123</v>
      </c>
      <c r="F78" s="27">
        <f>-B78*(C78+E78)*Купоны!$G$10/100</f>
        <v>424709.45205479453</v>
      </c>
      <c r="G78" s="34">
        <f>SUM($B$2:B78)</f>
        <v>560</v>
      </c>
      <c r="H78" s="31">
        <f>_xlfn.IFNA(VLOOKUP($A78,Купоны[[Дата]:[% от номинала]],3,0),0)*Купоны!$G$10/100*G78</f>
        <v>0</v>
      </c>
      <c r="I78" s="36">
        <f>Таблица16[[#This Row],[Денежный поток]]+Таблица16[[#This Row],[Купонный доход]]</f>
        <v>424709.45205479453</v>
      </c>
      <c r="J78" s="31">
        <f>Таблица16[[#This Row],[Общий денежный поток]]/((1+$L$2)^((Таблица16[[#This Row],[Названия строк]]-$A$2)/365))</f>
        <v>396489.1211895055</v>
      </c>
    </row>
    <row r="79" spans="1:10" x14ac:dyDescent="0.3">
      <c r="A79" s="23">
        <v>43283</v>
      </c>
      <c r="B79" s="24">
        <v>-380</v>
      </c>
      <c r="C79" s="24">
        <f>VLOOKUP(Таблица16[[#This Row],[Названия строк]],Котировки[[&lt;DATE&gt;]:[&lt;VOL&gt;]],6,0)</f>
        <v>101.99</v>
      </c>
      <c r="D79" s="26">
        <f>INDEX(Купоны[Дата],MATCH($A79,Купоны[Дата],1))</f>
        <v>43203</v>
      </c>
      <c r="E79" s="24">
        <f>Купоны!$C$4*(A79-D79)/365*100</f>
        <v>1.7534246575342467</v>
      </c>
      <c r="F79" s="27">
        <f>-B79*(C79+E79)*Купоны!$G$10/100</f>
        <v>394225.01369863009</v>
      </c>
      <c r="G79" s="34">
        <f>SUM($B$2:B79)</f>
        <v>180</v>
      </c>
      <c r="H79" s="31">
        <f>_xlfn.IFNA(VLOOKUP($A79,Купоны[[Дата]:[% от номинала]],3,0),0)*Купоны!$G$10/100*G79</f>
        <v>0</v>
      </c>
      <c r="I79" s="36">
        <f>Таблица16[[#This Row],[Денежный поток]]+Таблица16[[#This Row],[Купонный доход]]</f>
        <v>394225.01369863009</v>
      </c>
      <c r="J79" s="31">
        <f>Таблица16[[#This Row],[Общий денежный поток]]/((1+$L$2)^((Таблица16[[#This Row],[Названия строк]]-$A$2)/365))</f>
        <v>367737.27192085923</v>
      </c>
    </row>
    <row r="80" spans="1:10" x14ac:dyDescent="0.3">
      <c r="A80" s="23">
        <v>43287</v>
      </c>
      <c r="B80" s="24">
        <v>440</v>
      </c>
      <c r="C80" s="24">
        <f>VLOOKUP(Таблица16[[#This Row],[Названия строк]],Котировки[[&lt;DATE&gt;]:[&lt;VOL&gt;]],6,0)</f>
        <v>102.2</v>
      </c>
      <c r="D80" s="26">
        <f>INDEX(Купоны[Дата],MATCH($A80,Купоны[Дата],1))</f>
        <v>43203</v>
      </c>
      <c r="E80" s="24">
        <f>Купоны!$C$4*(A80-D80)/365*100</f>
        <v>1.8410958904109587</v>
      </c>
      <c r="F80" s="27">
        <f>-B80*(C80+E80)*Купоны!$G$10/100</f>
        <v>-457780.82191780821</v>
      </c>
      <c r="G80" s="34">
        <f>SUM($B$2:B80)</f>
        <v>620</v>
      </c>
      <c r="H80" s="31">
        <f>_xlfn.IFNA(VLOOKUP($A80,Купоны[[Дата]:[% от номинала]],3,0),0)*Купоны!$G$10/100*G80</f>
        <v>0</v>
      </c>
      <c r="I80" s="36">
        <f>Таблица16[[#This Row],[Денежный поток]]+Таблица16[[#This Row],[Купонный доход]]</f>
        <v>-457780.82191780821</v>
      </c>
      <c r="J80" s="31">
        <f>Таблица16[[#This Row],[Общий денежный поток]]/((1+$L$2)^((Таблица16[[#This Row],[Названия строк]]-$A$2)/365))</f>
        <v>-426569.59753825678</v>
      </c>
    </row>
    <row r="81" spans="1:10" x14ac:dyDescent="0.3">
      <c r="A81" s="23">
        <v>43294</v>
      </c>
      <c r="B81" s="24">
        <v>90</v>
      </c>
      <c r="C81" s="24">
        <f>VLOOKUP(Таблица16[[#This Row],[Названия строк]],Котировки[[&lt;DATE&gt;]:[&lt;VOL&gt;]],6,0)</f>
        <v>101.97</v>
      </c>
      <c r="D81" s="26">
        <f>INDEX(Купоны[Дата],MATCH($A81,Купоны[Дата],1))</f>
        <v>43203</v>
      </c>
      <c r="E81" s="24">
        <f>Купоны!$C$4*(A81-D81)/365*100</f>
        <v>1.9945205479452055</v>
      </c>
      <c r="F81" s="27">
        <f>-B81*(C81+E81)*Купоны!$G$10/100</f>
        <v>-93568.068493150684</v>
      </c>
      <c r="G81" s="34">
        <f>SUM($B$2:B81)</f>
        <v>710</v>
      </c>
      <c r="H81" s="31">
        <f>_xlfn.IFNA(VLOOKUP($A81,Купоны[[Дата]:[% от номинала]],3,0),0)*Купоны!$G$10/100*G81</f>
        <v>0</v>
      </c>
      <c r="I81" s="36">
        <f>Таблица16[[#This Row],[Денежный поток]]+Таблица16[[#This Row],[Купонный доход]]</f>
        <v>-93568.068493150684</v>
      </c>
      <c r="J81" s="31">
        <f>Таблица16[[#This Row],[Общий денежный поток]]/((1+$L$2)^((Таблица16[[#This Row],[Названия строк]]-$A$2)/365))</f>
        <v>-87026.781932623926</v>
      </c>
    </row>
    <row r="82" spans="1:10" x14ac:dyDescent="0.3">
      <c r="A82" s="23">
        <v>43299</v>
      </c>
      <c r="B82" s="24">
        <v>170</v>
      </c>
      <c r="C82" s="24">
        <f>VLOOKUP(Таблица16[[#This Row],[Названия строк]],Котировки[[&lt;DATE&gt;]:[&lt;VOL&gt;]],6,0)</f>
        <v>101.73</v>
      </c>
      <c r="D82" s="26">
        <f>INDEX(Купоны[Дата],MATCH($A82,Купоны[Дата],1))</f>
        <v>43203</v>
      </c>
      <c r="E82" s="24">
        <f>Купоны!$C$4*(A82-D82)/365*100</f>
        <v>2.1041095890410961</v>
      </c>
      <c r="F82" s="27">
        <f>-B82*(C82+E82)*Купоны!$G$10/100</f>
        <v>-176517.98630136988</v>
      </c>
      <c r="G82" s="34">
        <f>SUM($B$2:B82)</f>
        <v>880</v>
      </c>
      <c r="H82" s="31">
        <f>_xlfn.IFNA(VLOOKUP($A82,Купоны[[Дата]:[% от номинала]],3,0),0)*Купоны!$G$10/100*G82</f>
        <v>0</v>
      </c>
      <c r="I82" s="36">
        <f>Таблица16[[#This Row],[Денежный поток]]+Таблица16[[#This Row],[Купонный доход]]</f>
        <v>-176517.98630136988</v>
      </c>
      <c r="J82" s="31">
        <f>Таблица16[[#This Row],[Общий денежный поток]]/((1+$L$2)^((Таблица16[[#This Row],[Названия строк]]-$A$2)/365))</f>
        <v>-163959.94500902382</v>
      </c>
    </row>
    <row r="83" spans="1:10" x14ac:dyDescent="0.3">
      <c r="A83" s="23">
        <v>43307</v>
      </c>
      <c r="B83" s="24">
        <v>-600</v>
      </c>
      <c r="C83" s="24">
        <f>VLOOKUP(Таблица16[[#This Row],[Названия строк]],Котировки[[&lt;DATE&gt;]:[&lt;VOL&gt;]],6,0)</f>
        <v>101.64</v>
      </c>
      <c r="D83" s="26">
        <f>INDEX(Купоны[Дата],MATCH($A83,Купоны[Дата],1))</f>
        <v>43203</v>
      </c>
      <c r="E83" s="24">
        <f>Купоны!$C$4*(A83-D83)/365*100</f>
        <v>2.2794520547945205</v>
      </c>
      <c r="F83" s="27">
        <f>-B83*(C83+E83)*Купоны!$G$10/100</f>
        <v>623516.71232876705</v>
      </c>
      <c r="G83" s="34">
        <f>SUM($B$2:B83)</f>
        <v>280</v>
      </c>
      <c r="H83" s="31">
        <f>_xlfn.IFNA(VLOOKUP($A83,Купоны[[Дата]:[% от номинала]],3,0),0)*Купоны!$G$10/100*G83</f>
        <v>0</v>
      </c>
      <c r="I83" s="36">
        <f>Таблица16[[#This Row],[Денежный поток]]+Таблица16[[#This Row],[Купонный доход]]</f>
        <v>623516.71232876705</v>
      </c>
      <c r="J83" s="31">
        <f>Таблица16[[#This Row],[Общий денежный поток]]/((1+$L$2)^((Таблица16[[#This Row],[Названия строк]]-$A$2)/365))</f>
        <v>577929.09824115771</v>
      </c>
    </row>
    <row r="84" spans="1:10" x14ac:dyDescent="0.3">
      <c r="A84" s="23">
        <v>43308</v>
      </c>
      <c r="B84" s="24">
        <v>610</v>
      </c>
      <c r="C84" s="24">
        <f>VLOOKUP(Таблица16[[#This Row],[Названия строк]],Котировки[[&lt;DATE&gt;]:[&lt;VOL&gt;]],6,0)</f>
        <v>101.5</v>
      </c>
      <c r="D84" s="26">
        <f>INDEX(Купоны[Дата],MATCH($A84,Купоны[Дата],1))</f>
        <v>43203</v>
      </c>
      <c r="E84" s="24">
        <f>Купоны!$C$4*(A84-D84)/365*100</f>
        <v>2.3013698630136985</v>
      </c>
      <c r="F84" s="27">
        <f>-B84*(C84+E84)*Купоны!$G$10/100</f>
        <v>-633188.35616438359</v>
      </c>
      <c r="G84" s="34">
        <f>SUM($B$2:B84)</f>
        <v>890</v>
      </c>
      <c r="H84" s="31">
        <f>_xlfn.IFNA(VLOOKUP($A84,Купоны[[Дата]:[% от номинала]],3,0),0)*Купоны!$G$10/100*G84</f>
        <v>0</v>
      </c>
      <c r="I84" s="36">
        <f>Таблица16[[#This Row],[Денежный поток]]+Таблица16[[#This Row],[Купонный доход]]</f>
        <v>-633188.35616438359</v>
      </c>
      <c r="J84" s="31">
        <f>Таблица16[[#This Row],[Общий денежный поток]]/((1+$L$2)^((Таблица16[[#This Row],[Названия строк]]-$A$2)/365))</f>
        <v>-586737.83053070866</v>
      </c>
    </row>
    <row r="85" spans="1:10" x14ac:dyDescent="0.3">
      <c r="A85" s="23">
        <v>43311</v>
      </c>
      <c r="B85" s="24">
        <v>-10</v>
      </c>
      <c r="C85" s="24">
        <f>VLOOKUP(Таблица16[[#This Row],[Названия строк]],Котировки[[&lt;DATE&gt;]:[&lt;VOL&gt;]],6,0)</f>
        <v>101.65</v>
      </c>
      <c r="D85" s="26">
        <f>INDEX(Купоны[Дата],MATCH($A85,Купоны[Дата],1))</f>
        <v>43203</v>
      </c>
      <c r="E85" s="24">
        <f>Купоны!$C$4*(A85-D85)/365*100</f>
        <v>2.3671232876712334</v>
      </c>
      <c r="F85" s="27">
        <f>-B85*(C85+E85)*Купоны!$G$10/100</f>
        <v>10401.712328767124</v>
      </c>
      <c r="G85" s="34">
        <f>SUM($B$2:B85)</f>
        <v>880</v>
      </c>
      <c r="H85" s="31">
        <f>_xlfn.IFNA(VLOOKUP($A85,Купоны[[Дата]:[% от номинала]],3,0),0)*Купоны!$G$10/100*G85</f>
        <v>0</v>
      </c>
      <c r="I85" s="36">
        <f>Таблица16[[#This Row],[Денежный поток]]+Таблица16[[#This Row],[Купонный доход]]</f>
        <v>10401.712328767124</v>
      </c>
      <c r="J85" s="31">
        <f>Таблица16[[#This Row],[Общий денежный поток]]/((1+$L$2)^((Таблица16[[#This Row],[Названия строк]]-$A$2)/365))</f>
        <v>9630.9722875079478</v>
      </c>
    </row>
    <row r="86" spans="1:10" x14ac:dyDescent="0.3">
      <c r="A86" s="23">
        <v>43313</v>
      </c>
      <c r="B86" s="24">
        <v>900</v>
      </c>
      <c r="C86" s="24">
        <f>VLOOKUP(Таблица16[[#This Row],[Названия строк]],Котировки[[&lt;DATE&gt;]:[&lt;VOL&gt;]],6,0)</f>
        <v>101.7</v>
      </c>
      <c r="D86" s="26">
        <f>INDEX(Купоны[Дата],MATCH($A86,Купоны[Дата],1))</f>
        <v>43203</v>
      </c>
      <c r="E86" s="24">
        <f>Купоны!$C$4*(A86-D86)/365*100</f>
        <v>2.4109589041095889</v>
      </c>
      <c r="F86" s="27">
        <f>-B86*(C86+E86)*Купоны!$G$10/100</f>
        <v>-936998.63013698638</v>
      </c>
      <c r="G86" s="34">
        <f>SUM($B$2:B86)</f>
        <v>1780</v>
      </c>
      <c r="H86" s="31">
        <f>_xlfn.IFNA(VLOOKUP($A86,Купоны[[Дата]:[% от номинала]],3,0),0)*Купоны!$G$10/100*G86</f>
        <v>0</v>
      </c>
      <c r="I86" s="36">
        <f>Таблица16[[#This Row],[Денежный поток]]+Таблица16[[#This Row],[Купонный доход]]</f>
        <v>-936998.63013698638</v>
      </c>
      <c r="J86" s="31">
        <f>Таблица16[[#This Row],[Общий денежный поток]]/((1+$L$2)^((Таблица16[[#This Row],[Названия строк]]-$A$2)/365))</f>
        <v>-867108.94484034227</v>
      </c>
    </row>
    <row r="87" spans="1:10" x14ac:dyDescent="0.3">
      <c r="A87" s="23">
        <v>43314</v>
      </c>
      <c r="B87" s="24">
        <v>-680</v>
      </c>
      <c r="C87" s="24">
        <f>VLOOKUP(Таблица16[[#This Row],[Названия строк]],Котировки[[&lt;DATE&gt;]:[&lt;VOL&gt;]],6,0)</f>
        <v>101.8</v>
      </c>
      <c r="D87" s="26">
        <f>INDEX(Купоны[Дата],MATCH($A87,Купоны[Дата],1))</f>
        <v>43203</v>
      </c>
      <c r="E87" s="24">
        <f>Купоны!$C$4*(A87-D87)/365*100</f>
        <v>2.4328767123287673</v>
      </c>
      <c r="F87" s="27">
        <f>-B87*(C87+E87)*Купоны!$G$10/100</f>
        <v>708783.56164383562</v>
      </c>
      <c r="G87" s="34">
        <f>SUM($B$2:B87)</f>
        <v>1100</v>
      </c>
      <c r="H87" s="31">
        <f>_xlfn.IFNA(VLOOKUP($A87,Купоны[[Дата]:[% от номинала]],3,0),0)*Купоны!$G$10/100*G87</f>
        <v>0</v>
      </c>
      <c r="I87" s="36">
        <f>Таблица16[[#This Row],[Денежный поток]]+Таблица16[[#This Row],[Купонный доход]]</f>
        <v>708783.56164383562</v>
      </c>
      <c r="J87" s="31">
        <f>Таблица16[[#This Row],[Общий денежный поток]]/((1+$L$2)^((Таблица16[[#This Row],[Названия строк]]-$A$2)/365))</f>
        <v>655742.08153311524</v>
      </c>
    </row>
    <row r="88" spans="1:10" x14ac:dyDescent="0.3">
      <c r="A88" s="23">
        <v>43315</v>
      </c>
      <c r="B88" s="24">
        <v>-910</v>
      </c>
      <c r="C88" s="24">
        <f>VLOOKUP(Таблица16[[#This Row],[Названия строк]],Котировки[[&lt;DATE&gt;]:[&lt;VOL&gt;]],6,0)</f>
        <v>102.15</v>
      </c>
      <c r="D88" s="26">
        <f>INDEX(Купоны[Дата],MATCH($A88,Купоны[Дата],1))</f>
        <v>43203</v>
      </c>
      <c r="E88" s="24">
        <f>Купоны!$C$4*(A88-D88)/365*100</f>
        <v>2.4547945205479453</v>
      </c>
      <c r="F88" s="27">
        <f>-B88*(C88+E88)*Купоны!$G$10/100</f>
        <v>951903.63013698638</v>
      </c>
      <c r="G88" s="34">
        <f>SUM($B$2:B88)</f>
        <v>190</v>
      </c>
      <c r="H88" s="31">
        <f>_xlfn.IFNA(VLOOKUP($A88,Купоны[[Дата]:[% от номинала]],3,0),0)*Купоны!$G$10/100*G88</f>
        <v>0</v>
      </c>
      <c r="I88" s="36">
        <f>Таблица16[[#This Row],[Денежный поток]]+Таблица16[[#This Row],[Купонный доход]]</f>
        <v>951903.63013698638</v>
      </c>
      <c r="J88" s="31">
        <f>Таблица16[[#This Row],[Общий денежный поток]]/((1+$L$2)^((Таблица16[[#This Row],[Названия строк]]-$A$2)/365))</f>
        <v>880434.61567786371</v>
      </c>
    </row>
    <row r="89" spans="1:10" x14ac:dyDescent="0.3">
      <c r="A89" s="23">
        <v>43318</v>
      </c>
      <c r="B89" s="24">
        <v>60</v>
      </c>
      <c r="C89" s="24">
        <f>VLOOKUP(Таблица16[[#This Row],[Названия строк]],Котировки[[&lt;DATE&gt;]:[&lt;VOL&gt;]],6,0)</f>
        <v>101.35</v>
      </c>
      <c r="D89" s="26">
        <f>INDEX(Купоны[Дата],MATCH($A89,Купоны[Дата],1))</f>
        <v>43203</v>
      </c>
      <c r="E89" s="24">
        <f>Купоны!$C$4*(A89-D89)/365*100</f>
        <v>2.5205479452054798</v>
      </c>
      <c r="F89" s="27">
        <f>-B89*(C89+E89)*Купоны!$G$10/100</f>
        <v>-62322.328767123276</v>
      </c>
      <c r="G89" s="34">
        <f>SUM($B$2:B89)</f>
        <v>250</v>
      </c>
      <c r="H89" s="31">
        <f>_xlfn.IFNA(VLOOKUP($A89,Купоны[[Дата]:[% от номинала]],3,0),0)*Купоны!$G$10/100*G89</f>
        <v>0</v>
      </c>
      <c r="I89" s="36">
        <f>Таблица16[[#This Row],[Денежный поток]]+Таблица16[[#This Row],[Купонный доход]]</f>
        <v>-62322.328767123276</v>
      </c>
      <c r="J89" s="31">
        <f>Таблица16[[#This Row],[Общий денежный поток]]/((1+$L$2)^((Таблица16[[#This Row],[Названия строк]]-$A$2)/365))</f>
        <v>-57597.273148797423</v>
      </c>
    </row>
    <row r="90" spans="1:10" x14ac:dyDescent="0.3">
      <c r="A90" s="23">
        <v>43319</v>
      </c>
      <c r="B90" s="24">
        <v>-160</v>
      </c>
      <c r="C90" s="24">
        <f>VLOOKUP(Таблица16[[#This Row],[Названия строк]],Котировки[[&lt;DATE&gt;]:[&lt;VOL&gt;]],6,0)</f>
        <v>101.15</v>
      </c>
      <c r="D90" s="26">
        <f>INDEX(Купоны[Дата],MATCH($A90,Купоны[Дата],1))</f>
        <v>43203</v>
      </c>
      <c r="E90" s="24">
        <f>Купоны!$C$4*(A90-D90)/365*100</f>
        <v>2.5424657534246573</v>
      </c>
      <c r="F90" s="27">
        <f>-B90*(C90+E90)*Купоны!$G$10/100</f>
        <v>165907.94520547945</v>
      </c>
      <c r="G90" s="34">
        <f>SUM($B$2:B90)</f>
        <v>90</v>
      </c>
      <c r="H90" s="31">
        <f>_xlfn.IFNA(VLOOKUP($A90,Купоны[[Дата]:[% от номинала]],3,0),0)*Купоны!$G$10/100*G90</f>
        <v>0</v>
      </c>
      <c r="I90" s="36">
        <f>Таблица16[[#This Row],[Денежный поток]]+Таблица16[[#This Row],[Купонный доход]]</f>
        <v>165907.94520547945</v>
      </c>
      <c r="J90" s="31">
        <f>Таблица16[[#This Row],[Общий денежный поток]]/((1+$L$2)^((Таблица16[[#This Row],[Названия строк]]-$A$2)/365))</f>
        <v>153288.70044650754</v>
      </c>
    </row>
    <row r="91" spans="1:10" x14ac:dyDescent="0.3">
      <c r="A91" s="23">
        <v>43322</v>
      </c>
      <c r="B91" s="24">
        <v>530</v>
      </c>
      <c r="C91" s="24">
        <f>VLOOKUP(Таблица16[[#This Row],[Названия строк]],Котировки[[&lt;DATE&gt;]:[&lt;VOL&gt;]],6,0)</f>
        <v>100.49</v>
      </c>
      <c r="D91" s="26">
        <f>INDEX(Купоны[Дата],MATCH($A91,Купоны[Дата],1))</f>
        <v>43203</v>
      </c>
      <c r="E91" s="24">
        <f>Купоны!$C$4*(A91-D91)/365*100</f>
        <v>2.6082191780821917</v>
      </c>
      <c r="F91" s="27">
        <f>-B91*(C91+E91)*Купоны!$G$10/100</f>
        <v>-546420.56164383562</v>
      </c>
      <c r="G91" s="34">
        <f>SUM($B$2:B91)</f>
        <v>620</v>
      </c>
      <c r="H91" s="31">
        <f>_xlfn.IFNA(VLOOKUP($A91,Купоны[[Дата]:[% от номинала]],3,0),0)*Купоны!$G$10/100*G91</f>
        <v>0</v>
      </c>
      <c r="I91" s="36">
        <f>Таблица16[[#This Row],[Денежный поток]]+Таблица16[[#This Row],[Купонный доход]]</f>
        <v>-546420.56164383562</v>
      </c>
      <c r="J91" s="31">
        <f>Таблица16[[#This Row],[Общий денежный поток]]/((1+$L$2)^((Таблица16[[#This Row],[Названия строк]]-$A$2)/365))</f>
        <v>-504456.9559589281</v>
      </c>
    </row>
    <row r="92" spans="1:10" x14ac:dyDescent="0.3">
      <c r="A92" s="23">
        <v>43326</v>
      </c>
      <c r="B92" s="24">
        <v>610</v>
      </c>
      <c r="C92" s="24">
        <f>VLOOKUP(Таблица16[[#This Row],[Названия строк]],Котировки[[&lt;DATE&gt;]:[&lt;VOL&gt;]],6,0)</f>
        <v>100.21</v>
      </c>
      <c r="D92" s="26">
        <f>INDEX(Купоны[Дата],MATCH($A92,Купоны[Дата],1))</f>
        <v>43203</v>
      </c>
      <c r="E92" s="24">
        <f>Купоны!$C$4*(A92-D92)/365*100</f>
        <v>2.6958904109589041</v>
      </c>
      <c r="F92" s="27">
        <f>-B92*(C92+E92)*Купоны!$G$10/100</f>
        <v>-627725.93150684936</v>
      </c>
      <c r="G92" s="34">
        <f>SUM($B$2:B92)</f>
        <v>1230</v>
      </c>
      <c r="H92" s="31">
        <f>_xlfn.IFNA(VLOOKUP($A92,Купоны[[Дата]:[% от номинала]],3,0),0)*Купоны!$G$10/100*G92</f>
        <v>0</v>
      </c>
      <c r="I92" s="36">
        <f>Таблица16[[#This Row],[Денежный поток]]+Таблица16[[#This Row],[Купонный доход]]</f>
        <v>-627725.93150684936</v>
      </c>
      <c r="J92" s="31">
        <f>Таблица16[[#This Row],[Общий денежный поток]]/((1+$L$2)^((Таблица16[[#This Row],[Названия строк]]-$A$2)/365))</f>
        <v>-578903.24372587621</v>
      </c>
    </row>
    <row r="93" spans="1:10" x14ac:dyDescent="0.3">
      <c r="A93" s="23">
        <v>43327</v>
      </c>
      <c r="B93" s="24">
        <v>-1070</v>
      </c>
      <c r="C93" s="24">
        <f>VLOOKUP(Таблица16[[#This Row],[Названия строк]],Котировки[[&lt;DATE&gt;]:[&lt;VOL&gt;]],6,0)</f>
        <v>100.5</v>
      </c>
      <c r="D93" s="26">
        <f>INDEX(Купоны[Дата],MATCH($A93,Купоны[Дата],1))</f>
        <v>43203</v>
      </c>
      <c r="E93" s="24">
        <f>Купоны!$C$4*(A93-D93)/365*100</f>
        <v>2.7178082191780821</v>
      </c>
      <c r="F93" s="27">
        <f>-B93*(C93+E93)*Купоны!$G$10/100</f>
        <v>1104430.5479452054</v>
      </c>
      <c r="G93" s="34">
        <f>SUM($B$2:B93)</f>
        <v>160</v>
      </c>
      <c r="H93" s="31">
        <f>_xlfn.IFNA(VLOOKUP($A93,Купоны[[Дата]:[% от номинала]],3,0),0)*Купоны!$G$10/100*G93</f>
        <v>0</v>
      </c>
      <c r="I93" s="36">
        <f>Таблица16[[#This Row],[Денежный поток]]+Таблица16[[#This Row],[Купонный доход]]</f>
        <v>1104430.5479452054</v>
      </c>
      <c r="J93" s="31">
        <f>Таблица16[[#This Row],[Общий денежный поток]]/((1+$L$2)^((Таблица16[[#This Row],[Названия строк]]-$A$2)/365))</f>
        <v>1018260.8153324575</v>
      </c>
    </row>
    <row r="94" spans="1:10" x14ac:dyDescent="0.3">
      <c r="A94" s="23">
        <v>43328</v>
      </c>
      <c r="B94" s="24">
        <v>190</v>
      </c>
      <c r="C94" s="24">
        <f>VLOOKUP(Таблица16[[#This Row],[Названия строк]],Котировки[[&lt;DATE&gt;]:[&lt;VOL&gt;]],6,0)</f>
        <v>100.41</v>
      </c>
      <c r="D94" s="26">
        <f>INDEX(Купоны[Дата],MATCH($A94,Купоны[Дата],1))</f>
        <v>43203</v>
      </c>
      <c r="E94" s="24">
        <f>Купоны!$C$4*(A94-D94)/365*100</f>
        <v>2.7397260273972601</v>
      </c>
      <c r="F94" s="27">
        <f>-B94*(C94+E94)*Купоны!$G$10/100</f>
        <v>-195984.47945205477</v>
      </c>
      <c r="G94" s="34">
        <f>SUM($B$2:B94)</f>
        <v>350</v>
      </c>
      <c r="H94" s="31">
        <f>_xlfn.IFNA(VLOOKUP($A94,Купоны[[Дата]:[% от номинала]],3,0),0)*Купоны!$G$10/100*G94</f>
        <v>0</v>
      </c>
      <c r="I94" s="36">
        <f>Таблица16[[#This Row],[Денежный поток]]+Таблица16[[#This Row],[Купонный доход]]</f>
        <v>-195984.47945205477</v>
      </c>
      <c r="J94" s="31">
        <f>Таблица16[[#This Row],[Общий денежный поток]]/((1+$L$2)^((Таблица16[[#This Row],[Названия строк]]-$A$2)/365))</f>
        <v>-180645.4423049544</v>
      </c>
    </row>
    <row r="95" spans="1:10" x14ac:dyDescent="0.3">
      <c r="A95" s="23">
        <v>43329</v>
      </c>
      <c r="B95" s="24">
        <v>1150</v>
      </c>
      <c r="C95" s="24">
        <f>VLOOKUP(Таблица16[[#This Row],[Названия строк]],Котировки[[&lt;DATE&gt;]:[&lt;VOL&gt;]],6,0)</f>
        <v>100.44</v>
      </c>
      <c r="D95" s="26">
        <f>INDEX(Купоны[Дата],MATCH($A95,Купоны[Дата],1))</f>
        <v>43203</v>
      </c>
      <c r="E95" s="24">
        <f>Купоны!$C$4*(A95-D95)/365*100</f>
        <v>2.7616438356164381</v>
      </c>
      <c r="F95" s="27">
        <f>-B95*(C95+E95)*Купоны!$G$10/100</f>
        <v>-1186818.9041095891</v>
      </c>
      <c r="G95" s="34">
        <f>SUM($B$2:B95)</f>
        <v>1500</v>
      </c>
      <c r="H95" s="31">
        <f>_xlfn.IFNA(VLOOKUP($A95,Купоны[[Дата]:[% от номинала]],3,0),0)*Купоны!$G$10/100*G95</f>
        <v>0</v>
      </c>
      <c r="I95" s="36">
        <f>Таблица16[[#This Row],[Денежный поток]]+Таблица16[[#This Row],[Купонный доход]]</f>
        <v>-1186818.9041095891</v>
      </c>
      <c r="J95" s="31">
        <f>Таблица16[[#This Row],[Общий денежный поток]]/((1+$L$2)^((Таблица16[[#This Row],[Названия строк]]-$A$2)/365))</f>
        <v>-1093640.266988822</v>
      </c>
    </row>
    <row r="96" spans="1:10" x14ac:dyDescent="0.3">
      <c r="A96" s="23">
        <v>43332</v>
      </c>
      <c r="B96" s="24">
        <v>-1320</v>
      </c>
      <c r="C96" s="24">
        <f>VLOOKUP(Таблица16[[#This Row],[Названия строк]],Котировки[[&lt;DATE&gt;]:[&lt;VOL&gt;]],6,0)</f>
        <v>100.45</v>
      </c>
      <c r="D96" s="26">
        <f>INDEX(Купоны[Дата],MATCH($A96,Купоны[Дата],1))</f>
        <v>43203</v>
      </c>
      <c r="E96" s="24">
        <f>Купоны!$C$4*(A96-D96)/365*100</f>
        <v>2.8273972602739725</v>
      </c>
      <c r="F96" s="27">
        <f>-B96*(C96+E96)*Купоны!$G$10/100</f>
        <v>1363261.6438356163</v>
      </c>
      <c r="G96" s="34">
        <f>SUM($B$2:B96)</f>
        <v>180</v>
      </c>
      <c r="H96" s="31">
        <f>_xlfn.IFNA(VLOOKUP($A96,Купоны[[Дата]:[% от номинала]],3,0),0)*Купоны!$G$10/100*G96</f>
        <v>0</v>
      </c>
      <c r="I96" s="36">
        <f>Таблица16[[#This Row],[Денежный поток]]+Таблица16[[#This Row],[Купонный доход]]</f>
        <v>1363261.6438356163</v>
      </c>
      <c r="J96" s="31">
        <f>Таблица16[[#This Row],[Общий денежный поток]]/((1+$L$2)^((Таблица16[[#This Row],[Названия строк]]-$A$2)/365))</f>
        <v>1255230.1909853271</v>
      </c>
    </row>
    <row r="97" spans="1:10" x14ac:dyDescent="0.3">
      <c r="A97" s="23">
        <v>43333</v>
      </c>
      <c r="B97" s="24">
        <v>340</v>
      </c>
      <c r="C97" s="24">
        <f>VLOOKUP(Таблица16[[#This Row],[Названия строк]],Котировки[[&lt;DATE&gt;]:[&lt;VOL&gt;]],6,0)</f>
        <v>100.39</v>
      </c>
      <c r="D97" s="26">
        <f>INDEX(Купоны[Дата],MATCH($A97,Купоны[Дата],1))</f>
        <v>43203</v>
      </c>
      <c r="E97" s="24">
        <f>Купоны!$C$4*(A97-D97)/365*100</f>
        <v>2.849315068493151</v>
      </c>
      <c r="F97" s="27">
        <f>-B97*(C97+E97)*Купоны!$G$10/100</f>
        <v>-351013.67123287672</v>
      </c>
      <c r="G97" s="34">
        <f>SUM($B$2:B97)</f>
        <v>520</v>
      </c>
      <c r="H97" s="31">
        <f>_xlfn.IFNA(VLOOKUP($A97,Купоны[[Дата]:[% от номинала]],3,0),0)*Купоны!$G$10/100*G97</f>
        <v>0</v>
      </c>
      <c r="I97" s="36">
        <f>Таблица16[[#This Row],[Денежный поток]]+Таблица16[[#This Row],[Купонный доход]]</f>
        <v>-351013.67123287672</v>
      </c>
      <c r="J97" s="31">
        <f>Таблица16[[#This Row],[Общий денежный поток]]/((1+$L$2)^((Таблица16[[#This Row],[Названия строк]]-$A$2)/365))</f>
        <v>-323111.86066017632</v>
      </c>
    </row>
    <row r="98" spans="1:10" x14ac:dyDescent="0.3">
      <c r="A98" s="23">
        <v>43334</v>
      </c>
      <c r="B98" s="24">
        <v>-490</v>
      </c>
      <c r="C98" s="24">
        <f>VLOOKUP(Таблица16[[#This Row],[Названия строк]],Котировки[[&lt;DATE&gt;]:[&lt;VOL&gt;]],6,0)</f>
        <v>100.2</v>
      </c>
      <c r="D98" s="26">
        <f>INDEX(Купоны[Дата],MATCH($A98,Купоны[Дата],1))</f>
        <v>43203</v>
      </c>
      <c r="E98" s="24">
        <f>Купоны!$C$4*(A98-D98)/365*100</f>
        <v>2.8712328767123285</v>
      </c>
      <c r="F98" s="27">
        <f>-B98*(C98+E98)*Купоны!$G$10/100</f>
        <v>505049.0410958904</v>
      </c>
      <c r="G98" s="34">
        <f>SUM($B$2:B98)</f>
        <v>30</v>
      </c>
      <c r="H98" s="31">
        <f>_xlfn.IFNA(VLOOKUP($A98,Купоны[[Дата]:[% от номинала]],3,0),0)*Купоны!$G$10/100*G98</f>
        <v>0</v>
      </c>
      <c r="I98" s="36">
        <f>Таблица16[[#This Row],[Денежный поток]]+Таблица16[[#This Row],[Купонный доход]]</f>
        <v>505049.0410958904</v>
      </c>
      <c r="J98" s="31">
        <f>Таблица16[[#This Row],[Общий денежный поток]]/((1+$L$2)^((Таблица16[[#This Row],[Названия строк]]-$A$2)/365))</f>
        <v>464779.67440289853</v>
      </c>
    </row>
    <row r="99" spans="1:10" x14ac:dyDescent="0.3">
      <c r="A99" s="23">
        <v>43340</v>
      </c>
      <c r="B99" s="24">
        <v>310</v>
      </c>
      <c r="C99" s="24">
        <f>VLOOKUP(Таблица16[[#This Row],[Названия строк]],Котировки[[&lt;DATE&gt;]:[&lt;VOL&gt;]],6,0)</f>
        <v>100.34</v>
      </c>
      <c r="D99" s="26">
        <f>INDEX(Купоны[Дата],MATCH($A99,Купоны[Дата],1))</f>
        <v>43203</v>
      </c>
      <c r="E99" s="24">
        <f>Купоны!$C$4*(A99-D99)/365*100</f>
        <v>3.0027397260273974</v>
      </c>
      <c r="F99" s="27">
        <f>-B99*(C99+E99)*Купоны!$G$10/100</f>
        <v>-320362.49315068498</v>
      </c>
      <c r="G99" s="34">
        <f>SUM($B$2:B99)</f>
        <v>340</v>
      </c>
      <c r="H99" s="31">
        <f>_xlfn.IFNA(VLOOKUP($A99,Купоны[[Дата]:[% от номинала]],3,0),0)*Купоны!$G$10/100*G99</f>
        <v>0</v>
      </c>
      <c r="I99" s="36">
        <f>Таблица16[[#This Row],[Денежный поток]]+Таблица16[[#This Row],[Купонный доход]]</f>
        <v>-320362.49315068498</v>
      </c>
      <c r="J99" s="31">
        <f>Таблица16[[#This Row],[Общий денежный поток]]/((1+$L$2)^((Таблица16[[#This Row],[Названия строк]]-$A$2)/365))</f>
        <v>-294349.62629477395</v>
      </c>
    </row>
    <row r="100" spans="1:10" x14ac:dyDescent="0.3">
      <c r="A100" s="23">
        <v>43341</v>
      </c>
      <c r="B100" s="24">
        <v>110</v>
      </c>
      <c r="C100" s="24">
        <f>VLOOKUP(Таблица16[[#This Row],[Названия строк]],Котировки[[&lt;DATE&gt;]:[&lt;VOL&gt;]],6,0)</f>
        <v>100.05</v>
      </c>
      <c r="D100" s="26">
        <f>INDEX(Купоны[Дата],MATCH($A100,Купоны[Дата],1))</f>
        <v>43203</v>
      </c>
      <c r="E100" s="24">
        <f>Купоны!$C$4*(A100-D100)/365*100</f>
        <v>3.0246575342465754</v>
      </c>
      <c r="F100" s="27">
        <f>-B100*(C100+E100)*Купоны!$G$10/100</f>
        <v>-113382.12328767123</v>
      </c>
      <c r="G100" s="34">
        <f>SUM($B$2:B100)</f>
        <v>450</v>
      </c>
      <c r="H100" s="31">
        <f>_xlfn.IFNA(VLOOKUP($A100,Купоны[[Дата]:[% от номинала]],3,0),0)*Купоны!$G$10/100*G100</f>
        <v>0</v>
      </c>
      <c r="I100" s="36">
        <f>Таблица16[[#This Row],[Денежный поток]]+Таблица16[[#This Row],[Купонный доход]]</f>
        <v>-113382.12328767123</v>
      </c>
      <c r="J100" s="31">
        <f>Таблица16[[#This Row],[Общий денежный поток]]/((1+$L$2)^((Таблица16[[#This Row],[Названия строк]]-$A$2)/365))</f>
        <v>-104148.0439213596</v>
      </c>
    </row>
    <row r="101" spans="1:10" x14ac:dyDescent="0.3">
      <c r="A101" s="23">
        <v>43343</v>
      </c>
      <c r="B101" s="24">
        <v>-300</v>
      </c>
      <c r="C101" s="24">
        <f>VLOOKUP(Таблица16[[#This Row],[Названия строк]],Котировки[[&lt;DATE&gt;]:[&lt;VOL&gt;]],6,0)</f>
        <v>100.1</v>
      </c>
      <c r="D101" s="26">
        <f>INDEX(Купоны[Дата],MATCH($A101,Купоны[Дата],1))</f>
        <v>43203</v>
      </c>
      <c r="E101" s="24">
        <f>Купоны!$C$4*(A101-D101)/365*100</f>
        <v>3.0684931506849318</v>
      </c>
      <c r="F101" s="27">
        <f>-B101*(C101+E101)*Купоны!$G$10/100</f>
        <v>309505.47945205477</v>
      </c>
      <c r="G101" s="34">
        <f>SUM($B$2:B101)</f>
        <v>150</v>
      </c>
      <c r="H101" s="31">
        <f>_xlfn.IFNA(VLOOKUP($A101,Купоны[[Дата]:[% от номинала]],3,0),0)*Купоны!$G$10/100*G101</f>
        <v>0</v>
      </c>
      <c r="I101" s="36">
        <f>Таблица16[[#This Row],[Денежный поток]]+Таблица16[[#This Row],[Купонный доход]]</f>
        <v>309505.47945205477</v>
      </c>
      <c r="J101" s="31">
        <f>Таблица16[[#This Row],[Общий денежный поток]]/((1+$L$2)^((Таблица16[[#This Row],[Названия строк]]-$A$2)/365))</f>
        <v>284147.79472488677</v>
      </c>
    </row>
    <row r="102" spans="1:10" x14ac:dyDescent="0.3">
      <c r="A102" s="23">
        <v>43346</v>
      </c>
      <c r="B102" s="24">
        <v>700</v>
      </c>
      <c r="C102" s="24">
        <f>VLOOKUP(Таблица16[[#This Row],[Названия строк]],Котировки[[&lt;DATE&gt;]:[&lt;VOL&gt;]],6,0)</f>
        <v>100.38</v>
      </c>
      <c r="D102" s="26">
        <f>INDEX(Купоны[Дата],MATCH($A102,Купоны[Дата],1))</f>
        <v>43203</v>
      </c>
      <c r="E102" s="24">
        <f>Купоны!$C$4*(A102-D102)/365*100</f>
        <v>3.1342465753424658</v>
      </c>
      <c r="F102" s="27">
        <f>-B102*(C102+E102)*Купоны!$G$10/100</f>
        <v>-724599.72602739709</v>
      </c>
      <c r="G102" s="34">
        <f>SUM($B$2:B102)</f>
        <v>850</v>
      </c>
      <c r="H102" s="31">
        <f>_xlfn.IFNA(VLOOKUP($A102,Купоны[[Дата]:[% от номинала]],3,0),0)*Купоны!$G$10/100*G102</f>
        <v>0</v>
      </c>
      <c r="I102" s="36">
        <f>Таблица16[[#This Row],[Денежный поток]]+Таблица16[[#This Row],[Купонный доход]]</f>
        <v>-724599.72602739709</v>
      </c>
      <c r="J102" s="31">
        <f>Таблица16[[#This Row],[Общий денежный поток]]/((1+$L$2)^((Таблица16[[#This Row],[Названия строк]]-$A$2)/365))</f>
        <v>-664703.9153383394</v>
      </c>
    </row>
    <row r="103" spans="1:10" x14ac:dyDescent="0.3">
      <c r="A103" s="23">
        <v>43347</v>
      </c>
      <c r="B103" s="24">
        <v>-580</v>
      </c>
      <c r="C103" s="24">
        <f>VLOOKUP(Таблица16[[#This Row],[Названия строк]],Котировки[[&lt;DATE&gt;]:[&lt;VOL&gt;]],6,0)</f>
        <v>100.4</v>
      </c>
      <c r="D103" s="26">
        <f>INDEX(Купоны[Дата],MATCH($A103,Купоны[Дата],1))</f>
        <v>43203</v>
      </c>
      <c r="E103" s="24">
        <f>Купоны!$C$4*(A103-D103)/365*100</f>
        <v>3.1561643835616437</v>
      </c>
      <c r="F103" s="27">
        <f>-B103*(C103+E103)*Купоны!$G$10/100</f>
        <v>600625.75342465763</v>
      </c>
      <c r="G103" s="34">
        <f>SUM($B$2:B103)</f>
        <v>270</v>
      </c>
      <c r="H103" s="31">
        <f>_xlfn.IFNA(VLOOKUP($A103,Купоны[[Дата]:[% от номинала]],3,0),0)*Купоны!$G$10/100*G103</f>
        <v>0</v>
      </c>
      <c r="I103" s="36">
        <f>Таблица16[[#This Row],[Денежный поток]]+Таблица16[[#This Row],[Купонный доход]]</f>
        <v>600625.75342465763</v>
      </c>
      <c r="J103" s="31">
        <f>Таблица16[[#This Row],[Общий денежный поток]]/((1+$L$2)^((Таблица16[[#This Row],[Названия строк]]-$A$2)/365))</f>
        <v>550831.45074217767</v>
      </c>
    </row>
    <row r="104" spans="1:10" x14ac:dyDescent="0.3">
      <c r="A104" s="23">
        <v>43348</v>
      </c>
      <c r="B104" s="24">
        <v>500</v>
      </c>
      <c r="C104" s="24">
        <f>VLOOKUP(Таблица16[[#This Row],[Названия строк]],Котировки[[&lt;DATE&gt;]:[&lt;VOL&gt;]],6,0)</f>
        <v>100.07</v>
      </c>
      <c r="D104" s="26">
        <f>INDEX(Купоны[Дата],MATCH($A104,Купоны[Дата],1))</f>
        <v>43203</v>
      </c>
      <c r="E104" s="24">
        <f>Купоны!$C$4*(A104-D104)/365*100</f>
        <v>3.1780821917808217</v>
      </c>
      <c r="F104" s="27">
        <f>-B104*(C104+E104)*Купоны!$G$10/100</f>
        <v>-516240.41095890402</v>
      </c>
      <c r="G104" s="34">
        <f>SUM($B$2:B104)</f>
        <v>770</v>
      </c>
      <c r="H104" s="31">
        <f>_xlfn.IFNA(VLOOKUP($A104,Купоны[[Дата]:[% от номинала]],3,0),0)*Купоны!$G$10/100*G104</f>
        <v>0</v>
      </c>
      <c r="I104" s="36">
        <f>Таблица16[[#This Row],[Денежный поток]]+Таблица16[[#This Row],[Купонный доход]]</f>
        <v>-516240.41095890402</v>
      </c>
      <c r="J104" s="31">
        <f>Таблица16[[#This Row],[Общий денежный поток]]/((1+$L$2)^((Таблица16[[#This Row],[Названия строк]]-$A$2)/365))</f>
        <v>-473316.32636100188</v>
      </c>
    </row>
    <row r="105" spans="1:10" x14ac:dyDescent="0.3">
      <c r="A105" s="23">
        <v>43349</v>
      </c>
      <c r="B105" s="24">
        <v>0</v>
      </c>
      <c r="C105" s="24">
        <f>VLOOKUP(Таблица16[[#This Row],[Названия строк]],Котировки[[&lt;DATE&gt;]:[&lt;VOL&gt;]],6,0)</f>
        <v>100.22</v>
      </c>
      <c r="D105" s="26">
        <f>INDEX(Купоны[Дата],MATCH($A105,Купоны[Дата],1))</f>
        <v>43203</v>
      </c>
      <c r="E105" s="24">
        <f>Купоны!$C$4*(A105-D105)/365*100</f>
        <v>3.2</v>
      </c>
      <c r="F105" s="27">
        <f>-B105*(C105+E105)*Купоны!$G$10/100</f>
        <v>0</v>
      </c>
      <c r="G105" s="34">
        <f>SUM($B$2:B105)</f>
        <v>770</v>
      </c>
      <c r="H105" s="31">
        <f>_xlfn.IFNA(VLOOKUP($A105,Купоны[[Дата]:[% от номинала]],3,0),0)*Купоны!$G$10/100*G105</f>
        <v>0</v>
      </c>
      <c r="I105" s="36">
        <f>Таблица16[[#This Row],[Денежный поток]]+Таблица16[[#This Row],[Купонный доход]]</f>
        <v>0</v>
      </c>
      <c r="J105" s="31">
        <f>Таблица16[[#This Row],[Общий денежный поток]]/((1+$L$2)^((Таблица16[[#This Row],[Названия строк]]-$A$2)/365))</f>
        <v>0</v>
      </c>
    </row>
    <row r="106" spans="1:10" x14ac:dyDescent="0.3">
      <c r="A106" s="23">
        <v>43350</v>
      </c>
      <c r="B106" s="24">
        <v>80</v>
      </c>
      <c r="C106" s="24">
        <f>VLOOKUP(Таблица16[[#This Row],[Названия строк]],Котировки[[&lt;DATE&gt;]:[&lt;VOL&gt;]],6,0)</f>
        <v>99.77</v>
      </c>
      <c r="D106" s="26">
        <f>INDEX(Купоны[Дата],MATCH($A106,Купоны[Дата],1))</f>
        <v>43203</v>
      </c>
      <c r="E106" s="24">
        <f>Купоны!$C$4*(A106-D106)/365*100</f>
        <v>3.2219178082191782</v>
      </c>
      <c r="F106" s="27">
        <f>-B106*(C106+E106)*Купоны!$G$10/100</f>
        <v>-82393.534246575335</v>
      </c>
      <c r="G106" s="34">
        <f>SUM($B$2:B106)</f>
        <v>850</v>
      </c>
      <c r="H106" s="31">
        <f>_xlfn.IFNA(VLOOKUP($A106,Купоны[[Дата]:[% от номинала]],3,0),0)*Купоны!$G$10/100*G106</f>
        <v>0</v>
      </c>
      <c r="I106" s="36">
        <f>Таблица16[[#This Row],[Денежный поток]]+Таблица16[[#This Row],[Купонный доход]]</f>
        <v>-82393.534246575335</v>
      </c>
      <c r="J106" s="31">
        <f>Таблица16[[#This Row],[Общий денежный поток]]/((1+$L$2)^((Таблица16[[#This Row],[Названия строк]]-$A$2)/365))</f>
        <v>-75502.62226502657</v>
      </c>
    </row>
    <row r="107" spans="1:10" x14ac:dyDescent="0.3">
      <c r="A107" s="23">
        <v>43355</v>
      </c>
      <c r="B107" s="24">
        <v>690</v>
      </c>
      <c r="C107" s="24">
        <f>VLOOKUP(Таблица16[[#This Row],[Названия строк]],Котировки[[&lt;DATE&gt;]:[&lt;VOL&gt;]],6,0)</f>
        <v>99.7</v>
      </c>
      <c r="D107" s="26">
        <f>INDEX(Купоны[Дата],MATCH($A107,Купоны[Дата],1))</f>
        <v>43203</v>
      </c>
      <c r="E107" s="24">
        <f>Купоны!$C$4*(A107-D107)/365*100</f>
        <v>3.3315068493150681</v>
      </c>
      <c r="F107" s="27">
        <f>-B107*(C107+E107)*Купоны!$G$10/100</f>
        <v>-710917.39726027404</v>
      </c>
      <c r="G107" s="34">
        <f>SUM($B$2:B107)</f>
        <v>1540</v>
      </c>
      <c r="H107" s="31">
        <f>_xlfn.IFNA(VLOOKUP($A107,Купоны[[Дата]:[% от номинала]],3,0),0)*Купоны!$G$10/100*G107</f>
        <v>0</v>
      </c>
      <c r="I107" s="36">
        <f>Таблица16[[#This Row],[Денежный поток]]+Таблица16[[#This Row],[Купонный доход]]</f>
        <v>-710917.39726027404</v>
      </c>
      <c r="J107" s="31">
        <f>Таблица16[[#This Row],[Общий денежный поток]]/((1+$L$2)^((Таблица16[[#This Row],[Названия строк]]-$A$2)/365))</f>
        <v>-650596.29369088775</v>
      </c>
    </row>
    <row r="108" spans="1:10" x14ac:dyDescent="0.3">
      <c r="A108" s="23">
        <v>43357</v>
      </c>
      <c r="B108" s="24">
        <v>-1060</v>
      </c>
      <c r="C108" s="24">
        <f>VLOOKUP(Таблица16[[#This Row],[Названия строк]],Котировки[[&lt;DATE&gt;]:[&lt;VOL&gt;]],6,0)</f>
        <v>99.76</v>
      </c>
      <c r="D108" s="26">
        <f>INDEX(Купоны[Дата],MATCH($A108,Купоны[Дата],1))</f>
        <v>43203</v>
      </c>
      <c r="E108" s="24">
        <f>Купоны!$C$4*(A108-D108)/365*100</f>
        <v>3.3753424657534246</v>
      </c>
      <c r="F108" s="27">
        <f>-B108*(C108+E108)*Купоны!$G$10/100</f>
        <v>1093234.6301369863</v>
      </c>
      <c r="G108" s="34">
        <f>SUM($B$2:B108)</f>
        <v>480</v>
      </c>
      <c r="H108" s="31">
        <f>_xlfn.IFNA(VLOOKUP($A108,Купоны[[Дата]:[% от номинала]],3,0),0)*Купоны!$G$10/100*G108</f>
        <v>0</v>
      </c>
      <c r="I108" s="36">
        <f>Таблица16[[#This Row],[Денежный поток]]+Таблица16[[#This Row],[Купонный доход]]</f>
        <v>1093234.6301369863</v>
      </c>
      <c r="J108" s="31">
        <f>Таблица16[[#This Row],[Общий денежный поток]]/((1+$L$2)^((Таблица16[[#This Row],[Названия строк]]-$A$2)/365))</f>
        <v>999942.98674758896</v>
      </c>
    </row>
    <row r="109" spans="1:10" x14ac:dyDescent="0.3">
      <c r="A109" s="23">
        <v>43360</v>
      </c>
      <c r="B109" s="24">
        <v>0</v>
      </c>
      <c r="C109" s="24">
        <f>VLOOKUP(Таблица16[[#This Row],[Названия строк]],Котировки[[&lt;DATE&gt;]:[&lt;VOL&gt;]],6,0)</f>
        <v>99.8</v>
      </c>
      <c r="D109" s="26">
        <f>INDEX(Купоны[Дата],MATCH($A109,Купоны[Дата],1))</f>
        <v>43203</v>
      </c>
      <c r="E109" s="24">
        <f>Купоны!$C$4*(A109-D109)/365*100</f>
        <v>3.441095890410959</v>
      </c>
      <c r="F109" s="27">
        <f>-B109*(C109+E109)*Купоны!$G$10/100</f>
        <v>0</v>
      </c>
      <c r="G109" s="34">
        <f>SUM($B$2:B109)</f>
        <v>480</v>
      </c>
      <c r="H109" s="31">
        <f>_xlfn.IFNA(VLOOKUP($A109,Купоны[[Дата]:[% от номинала]],3,0),0)*Купоны!$G$10/100*G109</f>
        <v>0</v>
      </c>
      <c r="I109" s="36">
        <f>Таблица16[[#This Row],[Денежный поток]]+Таблица16[[#This Row],[Купонный доход]]</f>
        <v>0</v>
      </c>
      <c r="J109" s="31">
        <f>Таблица16[[#This Row],[Общий денежный поток]]/((1+$L$2)^((Таблица16[[#This Row],[Названия строк]]-$A$2)/365))</f>
        <v>0</v>
      </c>
    </row>
    <row r="110" spans="1:10" x14ac:dyDescent="0.3">
      <c r="A110" s="23">
        <v>43361</v>
      </c>
      <c r="B110" s="24">
        <v>400</v>
      </c>
      <c r="C110" s="24">
        <f>VLOOKUP(Таблица16[[#This Row],[Названия строк]],Котировки[[&lt;DATE&gt;]:[&lt;VOL&gt;]],6,0)</f>
        <v>99.8</v>
      </c>
      <c r="D110" s="26">
        <f>INDEX(Купоны[Дата],MATCH($A110,Купоны[Дата],1))</f>
        <v>43203</v>
      </c>
      <c r="E110" s="24">
        <f>Купоны!$C$4*(A110-D110)/365*100</f>
        <v>3.4630136986301374</v>
      </c>
      <c r="F110" s="27">
        <f>-B110*(C110+E110)*Купоны!$G$10/100</f>
        <v>-413052.05479452049</v>
      </c>
      <c r="G110" s="34">
        <f>SUM($B$2:B110)</f>
        <v>880</v>
      </c>
      <c r="H110" s="31">
        <f>_xlfn.IFNA(VLOOKUP($A110,Купоны[[Дата]:[% от номинала]],3,0),0)*Купоны!$G$10/100*G110</f>
        <v>0</v>
      </c>
      <c r="I110" s="36">
        <f>Таблица16[[#This Row],[Денежный поток]]+Таблица16[[#This Row],[Купонный доход]]</f>
        <v>-413052.05479452049</v>
      </c>
      <c r="J110" s="31">
        <f>Таблица16[[#This Row],[Общий денежный поток]]/((1+$L$2)^((Таблица16[[#This Row],[Названия строк]]-$A$2)/365))</f>
        <v>-377403.11211380415</v>
      </c>
    </row>
    <row r="111" spans="1:10" x14ac:dyDescent="0.3">
      <c r="A111" s="23">
        <v>43364</v>
      </c>
      <c r="B111" s="24">
        <v>640</v>
      </c>
      <c r="C111" s="24">
        <f>VLOOKUP(Таблица16[[#This Row],[Названия строк]],Котировки[[&lt;DATE&gt;]:[&lt;VOL&gt;]],6,0)</f>
        <v>100.15</v>
      </c>
      <c r="D111" s="26">
        <f>INDEX(Купоны[Дата],MATCH($A111,Купоны[Дата],1))</f>
        <v>43203</v>
      </c>
      <c r="E111" s="24">
        <f>Купоны!$C$4*(A111-D111)/365*100</f>
        <v>3.5287671232876718</v>
      </c>
      <c r="F111" s="27">
        <f>-B111*(C111+E111)*Купоны!$G$10/100</f>
        <v>-663544.10958904121</v>
      </c>
      <c r="G111" s="34">
        <f>SUM($B$2:B111)</f>
        <v>1520</v>
      </c>
      <c r="H111" s="31">
        <f>_xlfn.IFNA(VLOOKUP($A111,Купоны[[Дата]:[% от номинала]],3,0),0)*Купоны!$G$10/100*G111</f>
        <v>0</v>
      </c>
      <c r="I111" s="36">
        <f>Таблица16[[#This Row],[Денежный поток]]+Таблица16[[#This Row],[Купонный доход]]</f>
        <v>-663544.10958904121</v>
      </c>
      <c r="J111" s="31">
        <f>Таблица16[[#This Row],[Общий денежный поток]]/((1+$L$2)^((Таблица16[[#This Row],[Названия строк]]-$A$2)/365))</f>
        <v>-605793.50405155378</v>
      </c>
    </row>
    <row r="112" spans="1:10" x14ac:dyDescent="0.3">
      <c r="A112" s="23">
        <v>43367</v>
      </c>
      <c r="B112" s="24">
        <v>-1300</v>
      </c>
      <c r="C112" s="24">
        <f>VLOOKUP(Таблица16[[#This Row],[Названия строк]],Котировки[[&lt;DATE&gt;]:[&lt;VOL&gt;]],6,0)</f>
        <v>100.2</v>
      </c>
      <c r="D112" s="26">
        <f>INDEX(Купоны[Дата],MATCH($A112,Купоны[Дата],1))</f>
        <v>43203</v>
      </c>
      <c r="E112" s="24">
        <f>Купоны!$C$4*(A112-D112)/365*100</f>
        <v>3.5945205479452054</v>
      </c>
      <c r="F112" s="27">
        <f>-B112*(C112+E112)*Купоны!$G$10/100</f>
        <v>1349328.767123288</v>
      </c>
      <c r="G112" s="34">
        <f>SUM($B$2:B112)</f>
        <v>220</v>
      </c>
      <c r="H112" s="31">
        <f>_xlfn.IFNA(VLOOKUP($A112,Купоны[[Дата]:[% от номинала]],3,0),0)*Купоны!$G$10/100*G112</f>
        <v>0</v>
      </c>
      <c r="I112" s="36">
        <f>Таблица16[[#This Row],[Денежный поток]]+Таблица16[[#This Row],[Купонный доход]]</f>
        <v>1349328.767123288</v>
      </c>
      <c r="J112" s="31">
        <f>Таблица16[[#This Row],[Общий денежный поток]]/((1+$L$2)^((Таблица16[[#This Row],[Названия строк]]-$A$2)/365))</f>
        <v>1230911.1821403059</v>
      </c>
    </row>
    <row r="113" spans="1:10" x14ac:dyDescent="0.3">
      <c r="A113" s="23">
        <v>43368</v>
      </c>
      <c r="B113" s="24">
        <v>60</v>
      </c>
      <c r="C113" s="24">
        <f>VLOOKUP(Таблица16[[#This Row],[Названия строк]],Котировки[[&lt;DATE&gt;]:[&lt;VOL&gt;]],6,0)</f>
        <v>100.2</v>
      </c>
      <c r="D113" s="26">
        <f>INDEX(Купоны[Дата],MATCH($A113,Купоны[Дата],1))</f>
        <v>43203</v>
      </c>
      <c r="E113" s="24">
        <f>Купоны!$C$4*(A113-D113)/365*100</f>
        <v>3.6164383561643838</v>
      </c>
      <c r="F113" s="27">
        <f>-B113*(C113+E113)*Купоны!$G$10/100</f>
        <v>-62289.863013698632</v>
      </c>
      <c r="G113" s="34">
        <f>SUM($B$2:B113)</f>
        <v>280</v>
      </c>
      <c r="H113" s="31">
        <f>_xlfn.IFNA(VLOOKUP($A113,Купоны[[Дата]:[% от номинала]],3,0),0)*Купоны!$G$10/100*G113</f>
        <v>0</v>
      </c>
      <c r="I113" s="36">
        <f>Таблица16[[#This Row],[Денежный поток]]+Таблица16[[#This Row],[Купонный доход]]</f>
        <v>-62289.863013698632</v>
      </c>
      <c r="J113" s="31">
        <f>Таблица16[[#This Row],[Общий денежный поток]]/((1+$L$2)^((Таблица16[[#This Row],[Названия строк]]-$A$2)/365))</f>
        <v>-56808.199039966334</v>
      </c>
    </row>
    <row r="114" spans="1:10" x14ac:dyDescent="0.3">
      <c r="A114" s="23">
        <v>43371</v>
      </c>
      <c r="B114" s="24">
        <v>850</v>
      </c>
      <c r="C114" s="24">
        <f>VLOOKUP(Таблица16[[#This Row],[Названия строк]],Котировки[[&lt;DATE&gt;]:[&lt;VOL&gt;]],6,0)</f>
        <v>100.26</v>
      </c>
      <c r="D114" s="26">
        <f>INDEX(Купоны[Дата],MATCH($A114,Купоны[Дата],1))</f>
        <v>43203</v>
      </c>
      <c r="E114" s="24">
        <f>Купоны!$C$4*(A114-D114)/365*100</f>
        <v>3.6821917808219173</v>
      </c>
      <c r="F114" s="27">
        <f>-B114*(C114+E114)*Купоны!$G$10/100</f>
        <v>-883508.6301369865</v>
      </c>
      <c r="G114" s="34">
        <f>SUM($B$2:B114)</f>
        <v>1130</v>
      </c>
      <c r="H114" s="31">
        <f>_xlfn.IFNA(VLOOKUP($A114,Купоны[[Дата]:[% от номинала]],3,0),0)*Купоны!$G$10/100*G114</f>
        <v>0</v>
      </c>
      <c r="I114" s="36">
        <f>Таблица16[[#This Row],[Денежный поток]]+Таблица16[[#This Row],[Купонный доход]]</f>
        <v>-883508.6301369865</v>
      </c>
      <c r="J114" s="31">
        <f>Таблица16[[#This Row],[Общий денежный поток]]/((1+$L$2)^((Таблица16[[#This Row],[Названия строк]]-$A$2)/365))</f>
        <v>-805116.1999923538</v>
      </c>
    </row>
    <row r="115" spans="1:10" x14ac:dyDescent="0.3">
      <c r="A115" s="23">
        <v>43378</v>
      </c>
      <c r="B115" s="24">
        <v>-900</v>
      </c>
      <c r="C115" s="24">
        <f>VLOOKUP(Таблица16[[#This Row],[Названия строк]],Котировки[[&lt;DATE&gt;]:[&lt;VOL&gt;]],6,0)</f>
        <v>100.5</v>
      </c>
      <c r="D115" s="26">
        <f>INDEX(Купоны[Дата],MATCH($A115,Купоны[Дата],1))</f>
        <v>43203</v>
      </c>
      <c r="E115" s="24">
        <f>Купоны!$C$4*(A115-D115)/365*100</f>
        <v>3.8356164383561646</v>
      </c>
      <c r="F115" s="27">
        <f>-B115*(C115+E115)*Купоны!$G$10/100</f>
        <v>939020.54794520547</v>
      </c>
      <c r="G115" s="34">
        <f>SUM($B$2:B115)</f>
        <v>230</v>
      </c>
      <c r="H115" s="31">
        <f>_xlfn.IFNA(VLOOKUP($A115,Купоны[[Дата]:[% от номинала]],3,0),0)*Купоны!$G$10/100*G115</f>
        <v>0</v>
      </c>
      <c r="I115" s="36">
        <f>Таблица16[[#This Row],[Денежный поток]]+Таблица16[[#This Row],[Купонный доход]]</f>
        <v>939020.54794520547</v>
      </c>
      <c r="J115" s="31">
        <f>Таблица16[[#This Row],[Общий денежный поток]]/((1+$L$2)^((Таблица16[[#This Row],[Названия строк]]-$A$2)/365))</f>
        <v>854113.96028868854</v>
      </c>
    </row>
    <row r="116" spans="1:10" x14ac:dyDescent="0.3">
      <c r="A116" s="23">
        <v>43382</v>
      </c>
      <c r="B116" s="24">
        <v>50</v>
      </c>
      <c r="C116" s="24">
        <f>VLOOKUP(Таблица16[[#This Row],[Названия строк]],Котировки[[&lt;DATE&gt;]:[&lt;VOL&gt;]],6,0)</f>
        <v>100.49</v>
      </c>
      <c r="D116" s="26">
        <f>INDEX(Купоны[Дата],MATCH($A116,Купоны[Дата],1))</f>
        <v>43203</v>
      </c>
      <c r="E116" s="24">
        <f>Купоны!$C$4*(A116-D116)/365*100</f>
        <v>3.9232876712328766</v>
      </c>
      <c r="F116" s="27">
        <f>-B116*(C116+E116)*Купоны!$G$10/100</f>
        <v>-52206.643835616429</v>
      </c>
      <c r="G116" s="34">
        <f>SUM($B$2:B116)</f>
        <v>280</v>
      </c>
      <c r="H116" s="31">
        <f>_xlfn.IFNA(VLOOKUP($A116,Купоны[[Дата]:[% от номинала]],3,0),0)*Купоны!$G$10/100*G116</f>
        <v>0</v>
      </c>
      <c r="I116" s="36">
        <f>Таблица16[[#This Row],[Денежный поток]]+Таблица16[[#This Row],[Купонный доход]]</f>
        <v>-52206.643835616429</v>
      </c>
      <c r="J116" s="31">
        <f>Таблица16[[#This Row],[Общий денежный поток]]/((1+$L$2)^((Таблица16[[#This Row],[Названия строк]]-$A$2)/365))</f>
        <v>-47435.701910365133</v>
      </c>
    </row>
    <row r="117" spans="1:10" x14ac:dyDescent="0.3">
      <c r="A117" s="23">
        <v>43383</v>
      </c>
      <c r="B117" s="24">
        <v>-20</v>
      </c>
      <c r="C117" s="24">
        <f>VLOOKUP(Таблица16[[#This Row],[Названия строк]],Котировки[[&lt;DATE&gt;]:[&lt;VOL&gt;]],6,0)</f>
        <v>100.11</v>
      </c>
      <c r="D117" s="26">
        <f>INDEX(Купоны[Дата],MATCH($A117,Купоны[Дата],1))</f>
        <v>43203</v>
      </c>
      <c r="E117" s="24">
        <f>Купоны!$C$4*(A117-D117)/365*100</f>
        <v>3.9452054794520546</v>
      </c>
      <c r="F117" s="27">
        <f>-B117*(C117+E117)*Купоны!$G$10/100</f>
        <v>20811.04109589041</v>
      </c>
      <c r="G117" s="34">
        <f>SUM($B$2:B117)</f>
        <v>260</v>
      </c>
      <c r="H117" s="31">
        <f>_xlfn.IFNA(VLOOKUP($A117,Купоны[[Дата]:[% от номинала]],3,0),0)*Купоны!$G$10/100*G117</f>
        <v>0</v>
      </c>
      <c r="I117" s="36">
        <f>Таблица16[[#This Row],[Денежный поток]]+Таблица16[[#This Row],[Купонный доход]]</f>
        <v>20811.04109589041</v>
      </c>
      <c r="J117" s="31">
        <f>Таблица16[[#This Row],[Общий денежный поток]]/((1+$L$2)^((Таблица16[[#This Row],[Названия строк]]-$A$2)/365))</f>
        <v>18904.189887325123</v>
      </c>
    </row>
    <row r="118" spans="1:10" x14ac:dyDescent="0.3">
      <c r="A118" s="23">
        <v>43384</v>
      </c>
      <c r="B118" s="24">
        <v>540</v>
      </c>
      <c r="C118" s="24">
        <f>VLOOKUP(Таблица16[[#This Row],[Названия строк]],Котировки[[&lt;DATE&gt;]:[&lt;VOL&gt;]],6,0)</f>
        <v>100.2</v>
      </c>
      <c r="D118" s="26">
        <f>INDEX(Купоны[Дата],MATCH($A118,Купоны[Дата],1))</f>
        <v>43203</v>
      </c>
      <c r="E118" s="24">
        <f>Купоны!$C$4*(A118-D118)/365*100</f>
        <v>3.967123287671233</v>
      </c>
      <c r="F118" s="27">
        <f>-B118*(C118+E118)*Купоны!$G$10/100</f>
        <v>-562502.46575342456</v>
      </c>
      <c r="G118" s="34">
        <f>SUM($B$2:B118)</f>
        <v>800</v>
      </c>
      <c r="H118" s="31">
        <f>_xlfn.IFNA(VLOOKUP($A118,Купоны[[Дата]:[% от номинала]],3,0),0)*Купоны!$G$10/100*G118</f>
        <v>0</v>
      </c>
      <c r="I118" s="36">
        <f>Таблица16[[#This Row],[Денежный поток]]+Таблица16[[#This Row],[Купонный доход]]</f>
        <v>-562502.46575342456</v>
      </c>
      <c r="J118" s="31">
        <f>Таблица16[[#This Row],[Общий денежный поток]]/((1+$L$2)^((Таблица16[[#This Row],[Названия строк]]-$A$2)/365))</f>
        <v>-510826.48081227409</v>
      </c>
    </row>
    <row r="119" spans="1:10" x14ac:dyDescent="0.3">
      <c r="A119" s="23">
        <v>43385</v>
      </c>
      <c r="B119" s="24">
        <v>-20</v>
      </c>
      <c r="C119" s="24">
        <f>VLOOKUP(Таблица16[[#This Row],[Названия строк]],Котировки[[&lt;DATE&gt;]:[&lt;VOL&gt;]],6,0)</f>
        <v>99.98</v>
      </c>
      <c r="D119" s="26">
        <f>INDEX(Купоны[Дата],MATCH($A119,Купоны[Дата],1))</f>
        <v>43385</v>
      </c>
      <c r="E119" s="24">
        <f>Купоны!$C$4*(A119-D119)/365*100</f>
        <v>0</v>
      </c>
      <c r="F119" s="27">
        <f>-B119*(C119+E119)*Купоны!$G$10/100</f>
        <v>19996.000000000004</v>
      </c>
      <c r="G119" s="34">
        <f>SUM($B$2:B119)</f>
        <v>780</v>
      </c>
      <c r="H119" s="31">
        <f>_xlfn.IFNA(VLOOKUP($A119,Купоны[[Дата]:[% от номинала]],3,0),0)*Купоны!$G$10/100*G119</f>
        <v>31114.2</v>
      </c>
      <c r="I119" s="36">
        <f>Таблица16[[#This Row],[Денежный поток]]+Таблица16[[#This Row],[Купонный доход]]</f>
        <v>51110.200000000004</v>
      </c>
      <c r="J119" s="31">
        <f>Таблица16[[#This Row],[Общий денежный поток]]/((1+$L$2)^((Таблица16[[#This Row],[Названия строк]]-$A$2)/365))</f>
        <v>46402.487285339645</v>
      </c>
    </row>
    <row r="120" spans="1:10" x14ac:dyDescent="0.3">
      <c r="A120" s="23">
        <v>43388</v>
      </c>
      <c r="B120" s="24">
        <v>80</v>
      </c>
      <c r="C120" s="24">
        <f>VLOOKUP(Таблица16[[#This Row],[Названия строк]],Котировки[[&lt;DATE&gt;]:[&lt;VOL&gt;]],6,0)</f>
        <v>100.1</v>
      </c>
      <c r="D120" s="26">
        <f>INDEX(Купоны[Дата],MATCH($A120,Купоны[Дата],1))</f>
        <v>43385</v>
      </c>
      <c r="E120" s="24">
        <f>Купоны!$C$4*(A120-D120)/365*100</f>
        <v>6.5753424657534254E-2</v>
      </c>
      <c r="F120" s="27">
        <f>-B120*(C120+E120)*Купоны!$G$10/100</f>
        <v>-80132.602739726019</v>
      </c>
      <c r="G120" s="34">
        <f>SUM($B$2:B120)</f>
        <v>860</v>
      </c>
      <c r="H120" s="31">
        <f>_xlfn.IFNA(VLOOKUP($A120,Купоны[[Дата]:[% от номинала]],3,0),0)*Купоны!$G$10/100*G120</f>
        <v>0</v>
      </c>
      <c r="I120" s="36">
        <f>Таблица16[[#This Row],[Денежный поток]]+Таблица16[[#This Row],[Купонный доход]]</f>
        <v>-80132.602739726019</v>
      </c>
      <c r="J120" s="31">
        <f>Таблица16[[#This Row],[Общий денежный поток]]/((1+$L$2)^((Таблица16[[#This Row],[Названия строк]]-$A$2)/365))</f>
        <v>-72693.746603358653</v>
      </c>
    </row>
    <row r="121" spans="1:10" x14ac:dyDescent="0.3">
      <c r="A121" s="23">
        <v>43392</v>
      </c>
      <c r="B121" s="24">
        <v>-640</v>
      </c>
      <c r="C121" s="24">
        <f>VLOOKUP(Таблица16[[#This Row],[Названия строк]],Котировки[[&lt;DATE&gt;]:[&lt;VOL&gt;]],6,0)</f>
        <v>100.47</v>
      </c>
      <c r="D121" s="26">
        <f>INDEX(Купоны[Дата],MATCH($A121,Купоны[Дата],1))</f>
        <v>43385</v>
      </c>
      <c r="E121" s="24">
        <f>Купоны!$C$4*(A121-D121)/365*100</f>
        <v>0.15342465753424658</v>
      </c>
      <c r="F121" s="27">
        <f>-B121*(C121+E121)*Купоны!$G$10/100</f>
        <v>643989.91780821921</v>
      </c>
      <c r="G121" s="34">
        <f>SUM($B$2:B121)</f>
        <v>220</v>
      </c>
      <c r="H121" s="31">
        <f>_xlfn.IFNA(VLOOKUP($A121,Купоны[[Дата]:[% от номинала]],3,0),0)*Купоны!$G$10/100*G121</f>
        <v>0</v>
      </c>
      <c r="I121" s="36">
        <f>Таблица16[[#This Row],[Денежный поток]]+Таблица16[[#This Row],[Купонный доход]]</f>
        <v>643989.91780821921</v>
      </c>
      <c r="J121" s="31">
        <f>Таблица16[[#This Row],[Общий денежный поток]]/((1+$L$2)^((Таблица16[[#This Row],[Названия строк]]-$A$2)/365))</f>
        <v>583587.1271150239</v>
      </c>
    </row>
    <row r="122" spans="1:10" x14ac:dyDescent="0.3">
      <c r="A122" s="23">
        <v>43397</v>
      </c>
      <c r="B122" s="24">
        <v>370</v>
      </c>
      <c r="C122" s="24">
        <f>VLOOKUP(Таблица16[[#This Row],[Названия строк]],Котировки[[&lt;DATE&gt;]:[&lt;VOL&gt;]],6,0)</f>
        <v>100.3</v>
      </c>
      <c r="D122" s="26">
        <f>INDEX(Купоны[Дата],MATCH($A122,Купоны[Дата],1))</f>
        <v>43385</v>
      </c>
      <c r="E122" s="24">
        <f>Купоны!$C$4*(A122-D122)/365*100</f>
        <v>0.26301369863013702</v>
      </c>
      <c r="F122" s="27">
        <f>-B122*(C122+E122)*Купоны!$G$10/100</f>
        <v>-372083.15068493143</v>
      </c>
      <c r="G122" s="34">
        <f>SUM($B$2:B122)</f>
        <v>590</v>
      </c>
      <c r="H122" s="31">
        <f>_xlfn.IFNA(VLOOKUP($A122,Купоны[[Дата]:[% от номинала]],3,0),0)*Купоны!$G$10/100*G122</f>
        <v>0</v>
      </c>
      <c r="I122" s="36">
        <f>Таблица16[[#This Row],[Денежный поток]]+Таблица16[[#This Row],[Купонный доход]]</f>
        <v>-372083.15068493143</v>
      </c>
      <c r="J122" s="31">
        <f>Таблица16[[#This Row],[Общий денежный поток]]/((1+$L$2)^((Таблица16[[#This Row],[Названия строк]]-$A$2)/365))</f>
        <v>-336736.48865505116</v>
      </c>
    </row>
    <row r="123" spans="1:10" x14ac:dyDescent="0.3">
      <c r="A123" s="23">
        <v>43399</v>
      </c>
      <c r="B123" s="24">
        <v>-340</v>
      </c>
      <c r="C123" s="24">
        <f>VLOOKUP(Таблица16[[#This Row],[Названия строк]],Котировки[[&lt;DATE&gt;]:[&lt;VOL&gt;]],6,0)</f>
        <v>100.35</v>
      </c>
      <c r="D123" s="26">
        <f>INDEX(Купоны[Дата],MATCH($A123,Купоны[Дата],1))</f>
        <v>43385</v>
      </c>
      <c r="E123" s="24">
        <f>Купоны!$C$4*(A123-D123)/365*100</f>
        <v>0.30684931506849317</v>
      </c>
      <c r="F123" s="27">
        <f>-B123*(C123+E123)*Купоны!$G$10/100</f>
        <v>342233.28767123283</v>
      </c>
      <c r="G123" s="34">
        <f>SUM($B$2:B123)</f>
        <v>250</v>
      </c>
      <c r="H123" s="31">
        <f>_xlfn.IFNA(VLOOKUP($A123,Купоны[[Дата]:[% от номинала]],3,0),0)*Купоны!$G$10/100*G123</f>
        <v>0</v>
      </c>
      <c r="I123" s="36">
        <f>Таблица16[[#This Row],[Денежный поток]]+Таблица16[[#This Row],[Купонный доход]]</f>
        <v>342233.28767123283</v>
      </c>
      <c r="J123" s="31">
        <f>Таблица16[[#This Row],[Общий денежный поток]]/((1+$L$2)^((Таблица16[[#This Row],[Названия строк]]-$A$2)/365))</f>
        <v>309557.86317409168</v>
      </c>
    </row>
    <row r="124" spans="1:10" x14ac:dyDescent="0.3">
      <c r="A124" s="23">
        <v>43402</v>
      </c>
      <c r="B124" s="24">
        <v>720</v>
      </c>
      <c r="C124" s="24">
        <f>VLOOKUP(Таблица16[[#This Row],[Названия строк]],Котировки[[&lt;DATE&gt;]:[&lt;VOL&gt;]],6,0)</f>
        <v>100.24</v>
      </c>
      <c r="D124" s="26">
        <f>INDEX(Купоны[Дата],MATCH($A124,Купоны[Дата],1))</f>
        <v>43385</v>
      </c>
      <c r="E124" s="24">
        <f>Купоны!$C$4*(A124-D124)/365*100</f>
        <v>0.37260273972602742</v>
      </c>
      <c r="F124" s="27">
        <f>-B124*(C124+E124)*Купоны!$G$10/100</f>
        <v>-724410.73972602736</v>
      </c>
      <c r="G124" s="34">
        <f>SUM($B$2:B124)</f>
        <v>970</v>
      </c>
      <c r="H124" s="31">
        <f>_xlfn.IFNA(VLOOKUP($A124,Купоны[[Дата]:[% от номинала]],3,0),0)*Купоны!$G$10/100*G124</f>
        <v>0</v>
      </c>
      <c r="I124" s="36">
        <f>Таблица16[[#This Row],[Денежный поток]]+Таблица16[[#This Row],[Купонный доход]]</f>
        <v>-724410.73972602736</v>
      </c>
      <c r="J124" s="31">
        <f>Таблица16[[#This Row],[Общий денежный поток]]/((1+$L$2)^((Таблица16[[#This Row],[Названия строк]]-$A$2)/365))</f>
        <v>-654724.50325388543</v>
      </c>
    </row>
    <row r="125" spans="1:10" x14ac:dyDescent="0.3">
      <c r="A125" s="23">
        <v>43403</v>
      </c>
      <c r="B125" s="24">
        <v>-180</v>
      </c>
      <c r="C125" s="24">
        <f>VLOOKUP(Таблица16[[#This Row],[Названия строк]],Котировки[[&lt;DATE&gt;]:[&lt;VOL&gt;]],6,0)</f>
        <v>100.42</v>
      </c>
      <c r="D125" s="26">
        <f>INDEX(Купоны[Дата],MATCH($A125,Купоны[Дата],1))</f>
        <v>43385</v>
      </c>
      <c r="E125" s="24">
        <f>Купоны!$C$4*(A125-D125)/365*100</f>
        <v>0.39452054794520547</v>
      </c>
      <c r="F125" s="27">
        <f>-B125*(C125+E125)*Купоны!$G$10/100</f>
        <v>181466.1369863014</v>
      </c>
      <c r="G125" s="34">
        <f>SUM($B$2:B125)</f>
        <v>790</v>
      </c>
      <c r="H125" s="31">
        <f>_xlfn.IFNA(VLOOKUP($A125,Купоны[[Дата]:[% от номинала]],3,0),0)*Купоны!$G$10/100*G125</f>
        <v>0</v>
      </c>
      <c r="I125" s="36">
        <f>Таблица16[[#This Row],[Денежный поток]]+Таблица16[[#This Row],[Купонный доход]]</f>
        <v>181466.1369863014</v>
      </c>
      <c r="J125" s="31">
        <f>Таблица16[[#This Row],[Общий денежный поток]]/((1+$L$2)^((Таблица16[[#This Row],[Названия строк]]-$A$2)/365))</f>
        <v>163966.08099454609</v>
      </c>
    </row>
    <row r="126" spans="1:10" x14ac:dyDescent="0.3">
      <c r="A126" s="23">
        <v>43406</v>
      </c>
      <c r="B126" s="24">
        <v>410</v>
      </c>
      <c r="C126" s="24">
        <f>VLOOKUP(Таблица16[[#This Row],[Названия строк]],Котировки[[&lt;DATE&gt;]:[&lt;VOL&gt;]],6,0)</f>
        <v>100.5</v>
      </c>
      <c r="D126" s="26">
        <f>INDEX(Купоны[Дата],MATCH($A126,Купоны[Дата],1))</f>
        <v>43385</v>
      </c>
      <c r="E126" s="24">
        <f>Купоны!$C$4*(A126-D126)/365*100</f>
        <v>0.46027397260273967</v>
      </c>
      <c r="F126" s="27">
        <f>-B126*(C126+E126)*Купоны!$G$10/100</f>
        <v>-413937.12328767119</v>
      </c>
      <c r="G126" s="34">
        <f>SUM($B$2:B126)</f>
        <v>1200</v>
      </c>
      <c r="H126" s="31">
        <f>_xlfn.IFNA(VLOOKUP($A126,Купоны[[Дата]:[% от номинала]],3,0),0)*Купоны!$G$10/100*G126</f>
        <v>0</v>
      </c>
      <c r="I126" s="36">
        <f>Таблица16[[#This Row],[Денежный поток]]+Таблица16[[#This Row],[Купонный доход]]</f>
        <v>-413937.12328767119</v>
      </c>
      <c r="J126" s="31">
        <f>Таблица16[[#This Row],[Общий денежный поток]]/((1+$L$2)^((Таблица16[[#This Row],[Названия строк]]-$A$2)/365))</f>
        <v>-373720.50180552178</v>
      </c>
    </row>
    <row r="127" spans="1:10" x14ac:dyDescent="0.3">
      <c r="A127" s="23">
        <v>43410</v>
      </c>
      <c r="B127" s="24">
        <v>610</v>
      </c>
      <c r="C127" s="24">
        <f>VLOOKUP(Таблица16[[#This Row],[Названия строк]],Котировки[[&lt;DATE&gt;]:[&lt;VOL&gt;]],6,0)</f>
        <v>100.44</v>
      </c>
      <c r="D127" s="26">
        <f>INDEX(Купоны[Дата],MATCH($A127,Купоны[Дата],1))</f>
        <v>43385</v>
      </c>
      <c r="E127" s="24">
        <f>Купоны!$C$4*(A127-D127)/365*100</f>
        <v>0.54794520547945202</v>
      </c>
      <c r="F127" s="27">
        <f>-B127*(C127+E127)*Купоны!$G$10/100</f>
        <v>-616026.46575342456</v>
      </c>
      <c r="G127" s="34">
        <f>SUM($B$2:B127)</f>
        <v>1810</v>
      </c>
      <c r="H127" s="31">
        <f>_xlfn.IFNA(VLOOKUP($A127,Купоны[[Дата]:[% от номинала]],3,0),0)*Купоны!$G$10/100*G127</f>
        <v>0</v>
      </c>
      <c r="I127" s="36">
        <f>Таблица16[[#This Row],[Денежный поток]]+Таблица16[[#This Row],[Купонный доход]]</f>
        <v>-616026.46575342456</v>
      </c>
      <c r="J127" s="31">
        <f>Таблица16[[#This Row],[Общий денежный поток]]/((1+$L$2)^((Таблица16[[#This Row],[Названия строк]]-$A$2)/365))</f>
        <v>-555585.30275485048</v>
      </c>
    </row>
    <row r="128" spans="1:10" x14ac:dyDescent="0.3">
      <c r="A128" s="23">
        <v>43412</v>
      </c>
      <c r="B128" s="24">
        <v>690</v>
      </c>
      <c r="C128" s="24">
        <f>VLOOKUP(Таблица16[[#This Row],[Названия строк]],Котировки[[&lt;DATE&gt;]:[&lt;VOL&gt;]],6,0)</f>
        <v>100.3</v>
      </c>
      <c r="D128" s="26">
        <f>INDEX(Купоны[Дата],MATCH($A128,Купоны[Дата],1))</f>
        <v>43385</v>
      </c>
      <c r="E128" s="24">
        <f>Купоны!$C$4*(A128-D128)/365*100</f>
        <v>0.59178082191780834</v>
      </c>
      <c r="F128" s="27">
        <f>-B128*(C128+E128)*Купоны!$G$10/100</f>
        <v>-696153.28767123283</v>
      </c>
      <c r="G128" s="34">
        <f>SUM($B$2:B128)</f>
        <v>2500</v>
      </c>
      <c r="H128" s="31">
        <f>_xlfn.IFNA(VLOOKUP($A128,Купоны[[Дата]:[% от номинала]],3,0),0)*Купоны!$G$10/100*G128</f>
        <v>0</v>
      </c>
      <c r="I128" s="36">
        <f>Таблица16[[#This Row],[Денежный поток]]+Таблица16[[#This Row],[Купонный доход]]</f>
        <v>-696153.28767123283</v>
      </c>
      <c r="J128" s="31">
        <f>Таблица16[[#This Row],[Общий денежный поток]]/((1+$L$2)^((Таблица16[[#This Row],[Названия строк]]-$A$2)/365))</f>
        <v>-627517.25486161897</v>
      </c>
    </row>
    <row r="129" spans="1:10" x14ac:dyDescent="0.3">
      <c r="A129" s="23">
        <v>43413</v>
      </c>
      <c r="B129" s="24">
        <v>-730</v>
      </c>
      <c r="C129" s="24">
        <f>VLOOKUP(Таблица16[[#This Row],[Названия строк]],Котировки[[&lt;DATE&gt;]:[&lt;VOL&gt;]],6,0)</f>
        <v>100.45</v>
      </c>
      <c r="D129" s="26">
        <f>INDEX(Купоны[Дата],MATCH($A129,Купоны[Дата],1))</f>
        <v>43385</v>
      </c>
      <c r="E129" s="24">
        <f>Купоны!$C$4*(A129-D129)/365*100</f>
        <v>0.61369863013698633</v>
      </c>
      <c r="F129" s="27">
        <f>-B129*(C129+E129)*Купоны!$G$10/100</f>
        <v>737765</v>
      </c>
      <c r="G129" s="34">
        <f>SUM($B$2:B129)</f>
        <v>1770</v>
      </c>
      <c r="H129" s="31">
        <f>_xlfn.IFNA(VLOOKUP($A129,Купоны[[Дата]:[% от номинала]],3,0),0)*Купоны!$G$10/100*G129</f>
        <v>0</v>
      </c>
      <c r="I129" s="36">
        <f>Таблица16[[#This Row],[Денежный поток]]+Таблица16[[#This Row],[Купонный доход]]</f>
        <v>737765</v>
      </c>
      <c r="J129" s="31">
        <f>Таблица16[[#This Row],[Общий денежный поток]]/((1+$L$2)^((Таблица16[[#This Row],[Названия строк]]-$A$2)/365))</f>
        <v>664849.81117263855</v>
      </c>
    </row>
    <row r="130" spans="1:10" x14ac:dyDescent="0.3">
      <c r="A130" s="23">
        <v>43420</v>
      </c>
      <c r="B130" s="24">
        <v>-710</v>
      </c>
      <c r="C130" s="24">
        <f>VLOOKUP(Таблица16[[#This Row],[Названия строк]],Котировки[[&lt;DATE&gt;]:[&lt;VOL&gt;]],6,0)</f>
        <v>100.29</v>
      </c>
      <c r="D130" s="26">
        <f>INDEX(Купоны[Дата],MATCH($A130,Купоны[Дата],1))</f>
        <v>43385</v>
      </c>
      <c r="E130" s="24">
        <f>Купоны!$C$4*(A130-D130)/365*100</f>
        <v>0.76712328767123295</v>
      </c>
      <c r="F130" s="27">
        <f>-B130*(C130+E130)*Купоны!$G$10/100</f>
        <v>717505.57534246589</v>
      </c>
      <c r="G130" s="34">
        <f>SUM($B$2:B130)</f>
        <v>1060</v>
      </c>
      <c r="H130" s="31">
        <f>_xlfn.IFNA(VLOOKUP($A130,Купоны[[Дата]:[% от номинала]],3,0),0)*Купоны!$G$10/100*G130</f>
        <v>0</v>
      </c>
      <c r="I130" s="36">
        <f>Таблица16[[#This Row],[Денежный поток]]+Таблица16[[#This Row],[Купонный доход]]</f>
        <v>717505.57534246589</v>
      </c>
      <c r="J130" s="31">
        <f>Таблица16[[#This Row],[Общий денежный поток]]/((1+$L$2)^((Таблица16[[#This Row],[Названия строк]]-$A$2)/365))</f>
        <v>645392.23664500203</v>
      </c>
    </row>
    <row r="131" spans="1:10" x14ac:dyDescent="0.3">
      <c r="A131" s="23">
        <v>43423</v>
      </c>
      <c r="B131" s="24">
        <v>-710</v>
      </c>
      <c r="C131" s="24">
        <f>VLOOKUP(Таблица16[[#This Row],[Названия строк]],Котировки[[&lt;DATE&gt;]:[&lt;VOL&gt;]],6,0)</f>
        <v>100.23</v>
      </c>
      <c r="D131" s="26">
        <f>INDEX(Купоны[Дата],MATCH($A131,Купоны[Дата],1))</f>
        <v>43385</v>
      </c>
      <c r="E131" s="24">
        <f>Купоны!$C$4*(A131-D131)/365*100</f>
        <v>0.83287671232876703</v>
      </c>
      <c r="F131" s="27">
        <f>-B131*(C131+E131)*Купоны!$G$10/100</f>
        <v>717546.42465753423</v>
      </c>
      <c r="G131" s="34">
        <f>SUM($B$2:B131)</f>
        <v>350</v>
      </c>
      <c r="H131" s="31">
        <f>_xlfn.IFNA(VLOOKUP($A131,Купоны[[Дата]:[% от номинала]],3,0),0)*Купоны!$G$10/100*G131</f>
        <v>0</v>
      </c>
      <c r="I131" s="36">
        <f>Таблица16[[#This Row],[Денежный поток]]+Таблица16[[#This Row],[Купонный доход]]</f>
        <v>717546.42465753423</v>
      </c>
      <c r="J131" s="31">
        <f>Таблица16[[#This Row],[Общий денежный поток]]/((1+$L$2)^((Таблица16[[#This Row],[Названия строк]]-$A$2)/365))</f>
        <v>644915.15921766916</v>
      </c>
    </row>
    <row r="132" spans="1:10" x14ac:dyDescent="0.3">
      <c r="A132" s="23">
        <v>43426</v>
      </c>
      <c r="B132" s="24">
        <v>750</v>
      </c>
      <c r="C132" s="24">
        <f>VLOOKUP(Таблица16[[#This Row],[Названия строк]],Котировки[[&lt;DATE&gt;]:[&lt;VOL&gt;]],6,0)</f>
        <v>100.2</v>
      </c>
      <c r="D132" s="26">
        <f>INDEX(Купоны[Дата],MATCH($A132,Купоны[Дата],1))</f>
        <v>43385</v>
      </c>
      <c r="E132" s="24">
        <f>Купоны!$C$4*(A132-D132)/365*100</f>
        <v>0.89863013698630134</v>
      </c>
      <c r="F132" s="27">
        <f>-B132*(C132+E132)*Купоны!$G$10/100</f>
        <v>-758239.72602739721</v>
      </c>
      <c r="G132" s="34">
        <f>SUM($B$2:B132)</f>
        <v>1100</v>
      </c>
      <c r="H132" s="31">
        <f>_xlfn.IFNA(VLOOKUP($A132,Купоны[[Дата]:[% от номинала]],3,0),0)*Купоны!$G$10/100*G132</f>
        <v>0</v>
      </c>
      <c r="I132" s="36">
        <f>Таблица16[[#This Row],[Денежный поток]]+Таблица16[[#This Row],[Купонный доход]]</f>
        <v>-758239.72602739721</v>
      </c>
      <c r="J132" s="31">
        <f>Таблица16[[#This Row],[Общий денежный поток]]/((1+$L$2)^((Таблица16[[#This Row],[Названия строк]]-$A$2)/365))</f>
        <v>-680946.88704415888</v>
      </c>
    </row>
    <row r="133" spans="1:10" x14ac:dyDescent="0.3">
      <c r="A133" s="23">
        <v>43431</v>
      </c>
      <c r="B133" s="24">
        <v>170</v>
      </c>
      <c r="C133" s="24">
        <f>VLOOKUP(Таблица16[[#This Row],[Названия строк]],Котировки[[&lt;DATE&gt;]:[&lt;VOL&gt;]],6,0)</f>
        <v>100.1</v>
      </c>
      <c r="D133" s="26">
        <f>INDEX(Купоны[Дата],MATCH($A133,Купоны[Дата],1))</f>
        <v>43385</v>
      </c>
      <c r="E133" s="24">
        <f>Купоны!$C$4*(A133-D133)/365*100</f>
        <v>1.0082191780821919</v>
      </c>
      <c r="F133" s="27">
        <f>-B133*(C133+E133)*Купоны!$G$10/100</f>
        <v>-171883.9726027397</v>
      </c>
      <c r="G133" s="34">
        <f>SUM($B$2:B133)</f>
        <v>1270</v>
      </c>
      <c r="H133" s="31">
        <f>_xlfn.IFNA(VLOOKUP($A133,Купоны[[Дата]:[% от номинала]],3,0),0)*Купоны!$G$10/100*G133</f>
        <v>0</v>
      </c>
      <c r="I133" s="36">
        <f>Таблица16[[#This Row],[Денежный поток]]+Таблица16[[#This Row],[Купонный доход]]</f>
        <v>-171883.9726027397</v>
      </c>
      <c r="J133" s="31">
        <f>Таблица16[[#This Row],[Общий денежный поток]]/((1+$L$2)^((Таблица16[[#This Row],[Названия строк]]-$A$2)/365))</f>
        <v>-154157.84356248306</v>
      </c>
    </row>
    <row r="134" spans="1:10" x14ac:dyDescent="0.3">
      <c r="A134" s="23">
        <v>43433</v>
      </c>
      <c r="B134" s="24">
        <v>-120</v>
      </c>
      <c r="C134" s="24">
        <f>VLOOKUP(Таблица16[[#This Row],[Названия строк]],Котировки[[&lt;DATE&gt;]:[&lt;VOL&gt;]],6,0)</f>
        <v>100.14</v>
      </c>
      <c r="D134" s="26">
        <f>INDEX(Купоны[Дата],MATCH($A134,Купоны[Дата],1))</f>
        <v>43385</v>
      </c>
      <c r="E134" s="24">
        <f>Купоны!$C$4*(A134-D134)/365*100</f>
        <v>1.0520547945205481</v>
      </c>
      <c r="F134" s="27">
        <f>-B134*(C134+E134)*Купоны!$G$10/100</f>
        <v>121430.46575342465</v>
      </c>
      <c r="G134" s="34">
        <f>SUM($B$2:B134)</f>
        <v>1150</v>
      </c>
      <c r="H134" s="31">
        <f>_xlfn.IFNA(VLOOKUP($A134,Купоны[[Дата]:[% от номинала]],3,0),0)*Купоны!$G$10/100*G134</f>
        <v>0</v>
      </c>
      <c r="I134" s="36">
        <f>Таблица16[[#This Row],[Денежный поток]]+Таблица16[[#This Row],[Купонный доход]]</f>
        <v>121430.46575342465</v>
      </c>
      <c r="J134" s="31">
        <f>Таблица16[[#This Row],[Общий денежный поток]]/((1+$L$2)^((Таблица16[[#This Row],[Названия строк]]-$A$2)/365))</f>
        <v>108849.72109090148</v>
      </c>
    </row>
    <row r="135" spans="1:10" x14ac:dyDescent="0.3">
      <c r="A135" s="23">
        <v>43434</v>
      </c>
      <c r="B135" s="24">
        <v>90</v>
      </c>
      <c r="C135" s="24">
        <f>VLOOKUP(Таблица16[[#This Row],[Названия строк]],Котировки[[&lt;DATE&gt;]:[&lt;VOL&gt;]],6,0)</f>
        <v>100.41</v>
      </c>
      <c r="D135" s="26">
        <f>INDEX(Купоны[Дата],MATCH($A135,Купоны[Дата],1))</f>
        <v>43385</v>
      </c>
      <c r="E135" s="24">
        <f>Купоны!$C$4*(A135-D135)/365*100</f>
        <v>1.0739726027397261</v>
      </c>
      <c r="F135" s="27">
        <f>-B135*(C135+E135)*Купоны!$G$10/100</f>
        <v>-91335.575342465745</v>
      </c>
      <c r="G135" s="34">
        <f>SUM($B$2:B135)</f>
        <v>1240</v>
      </c>
      <c r="H135" s="31">
        <f>_xlfn.IFNA(VLOOKUP($A135,Купоны[[Дата]:[% от номинала]],3,0),0)*Купоны!$G$10/100*G135</f>
        <v>0</v>
      </c>
      <c r="I135" s="36">
        <f>Таблица16[[#This Row],[Денежный поток]]+Таблица16[[#This Row],[Купонный доход]]</f>
        <v>-91335.575342465745</v>
      </c>
      <c r="J135" s="31">
        <f>Таблица16[[#This Row],[Общий денежный поток]]/((1+$L$2)^((Таблица16[[#This Row],[Названия строк]]-$A$2)/365))</f>
        <v>-81851.065368682204</v>
      </c>
    </row>
    <row r="136" spans="1:10" x14ac:dyDescent="0.3">
      <c r="A136" s="23">
        <v>43438</v>
      </c>
      <c r="B136" s="24">
        <v>-1190</v>
      </c>
      <c r="C136" s="24">
        <f>VLOOKUP(Таблица16[[#This Row],[Названия строк]],Котировки[[&lt;DATE&gt;]:[&lt;VOL&gt;]],6,0)</f>
        <v>100.28</v>
      </c>
      <c r="D136" s="26">
        <f>INDEX(Купоны[Дата],MATCH($A136,Купоны[Дата],1))</f>
        <v>43385</v>
      </c>
      <c r="E136" s="24">
        <f>Купоны!$C$4*(A136-D136)/365*100</f>
        <v>1.1616438356164385</v>
      </c>
      <c r="F136" s="27">
        <f>-B136*(C136+E136)*Купоны!$G$10/100</f>
        <v>1207155.5616438359</v>
      </c>
      <c r="G136" s="34">
        <f>SUM($B$2:B136)</f>
        <v>50</v>
      </c>
      <c r="H136" s="31">
        <f>_xlfn.IFNA(VLOOKUP($A136,Купоны[[Дата]:[% от номинала]],3,0),0)*Купоны!$G$10/100*G136</f>
        <v>0</v>
      </c>
      <c r="I136" s="36">
        <f>Таблица16[[#This Row],[Денежный поток]]+Таблица16[[#This Row],[Купонный доход]]</f>
        <v>1207155.5616438359</v>
      </c>
      <c r="J136" s="31">
        <f>Таблица16[[#This Row],[Общий денежный поток]]/((1+$L$2)^((Таблица16[[#This Row],[Названия строк]]-$A$2)/365))</f>
        <v>1080653.4367503293</v>
      </c>
    </row>
    <row r="137" spans="1:10" x14ac:dyDescent="0.3">
      <c r="A137" s="23">
        <v>43440</v>
      </c>
      <c r="B137" s="24">
        <v>190</v>
      </c>
      <c r="C137" s="24">
        <f>VLOOKUP(Таблица16[[#This Row],[Названия строк]],Котировки[[&lt;DATE&gt;]:[&lt;VOL&gt;]],6,0)</f>
        <v>99.91</v>
      </c>
      <c r="D137" s="26">
        <f>INDEX(Купоны[Дата],MATCH($A137,Купоны[Дата],1))</f>
        <v>43385</v>
      </c>
      <c r="E137" s="24">
        <f>Купоны!$C$4*(A137-D137)/365*100</f>
        <v>1.2054794520547945</v>
      </c>
      <c r="F137" s="27">
        <f>-B137*(C137+E137)*Купоны!$G$10/100</f>
        <v>-192119.41095890407</v>
      </c>
      <c r="G137" s="34">
        <f>SUM($B$2:B137)</f>
        <v>240</v>
      </c>
      <c r="H137" s="31">
        <f>_xlfn.IFNA(VLOOKUP($A137,Купоны[[Дата]:[% от номинала]],3,0),0)*Купоны!$G$10/100*G137</f>
        <v>0</v>
      </c>
      <c r="I137" s="36">
        <f>Таблица16[[#This Row],[Денежный поток]]+Таблица16[[#This Row],[Купонный доход]]</f>
        <v>-192119.41095890407</v>
      </c>
      <c r="J137" s="31">
        <f>Таблица16[[#This Row],[Общий денежный поток]]/((1+$L$2)^((Таблица16[[#This Row],[Названия строк]]-$A$2)/365))</f>
        <v>-171895.24431803718</v>
      </c>
    </row>
    <row r="138" spans="1:10" x14ac:dyDescent="0.3">
      <c r="A138" s="23">
        <v>43441</v>
      </c>
      <c r="B138" s="24">
        <v>570</v>
      </c>
      <c r="C138" s="24">
        <f>VLOOKUP(Таблица16[[#This Row],[Названия строк]],Котировки[[&lt;DATE&gt;]:[&lt;VOL&gt;]],6,0)</f>
        <v>99.8</v>
      </c>
      <c r="D138" s="26">
        <f>INDEX(Купоны[Дата],MATCH($A138,Купоны[Дата],1))</f>
        <v>43385</v>
      </c>
      <c r="E138" s="24">
        <f>Купоны!$C$4*(A138-D138)/365*100</f>
        <v>1.2273972602739727</v>
      </c>
      <c r="F138" s="27">
        <f>-B138*(C138+E138)*Купоны!$G$10/100</f>
        <v>-575856.16438356158</v>
      </c>
      <c r="G138" s="34">
        <f>SUM($B$2:B138)</f>
        <v>810</v>
      </c>
      <c r="H138" s="31">
        <f>_xlfn.IFNA(VLOOKUP($A138,Купоны[[Дата]:[% от номинала]],3,0),0)*Купоны!$G$10/100*G138</f>
        <v>0</v>
      </c>
      <c r="I138" s="36">
        <f>Таблица16[[#This Row],[Денежный поток]]+Таблица16[[#This Row],[Купонный доход]]</f>
        <v>-575856.16438356158</v>
      </c>
      <c r="J138" s="31">
        <f>Таблица16[[#This Row],[Общий денежный поток]]/((1+$L$2)^((Таблица16[[#This Row],[Названия строк]]-$A$2)/365))</f>
        <v>-515099.75497096649</v>
      </c>
    </row>
    <row r="139" spans="1:10" x14ac:dyDescent="0.3">
      <c r="A139" s="23">
        <v>43445</v>
      </c>
      <c r="B139" s="24">
        <v>100</v>
      </c>
      <c r="C139" s="24">
        <f>VLOOKUP(Таблица16[[#This Row],[Названия строк]],Котировки[[&lt;DATE&gt;]:[&lt;VOL&gt;]],6,0)</f>
        <v>100.03</v>
      </c>
      <c r="D139" s="26">
        <f>INDEX(Купоны[Дата],MATCH($A139,Купоны[Дата],1))</f>
        <v>43385</v>
      </c>
      <c r="E139" s="24">
        <f>Купоны!$C$4*(A139-D139)/365*100</f>
        <v>1.3150684931506849</v>
      </c>
      <c r="F139" s="27">
        <f>-B139*(C139+E139)*Купоны!$G$10/100</f>
        <v>-101345.06849315068</v>
      </c>
      <c r="G139" s="34">
        <f>SUM($B$2:B139)</f>
        <v>910</v>
      </c>
      <c r="H139" s="31">
        <f>_xlfn.IFNA(VLOOKUP($A139,Купоны[[Дата]:[% от номинала]],3,0),0)*Купоны!$G$10/100*G139</f>
        <v>0</v>
      </c>
      <c r="I139" s="36">
        <f>Таблица16[[#This Row],[Денежный поток]]+Таблица16[[#This Row],[Купонный доход]]</f>
        <v>-101345.06849315068</v>
      </c>
      <c r="J139" s="31">
        <f>Таблица16[[#This Row],[Общий денежный поток]]/((1+$L$2)^((Таблица16[[#This Row],[Названия строк]]-$A$2)/365))</f>
        <v>-90556.322042211366</v>
      </c>
    </row>
    <row r="140" spans="1:10" x14ac:dyDescent="0.3">
      <c r="A140" s="23">
        <v>43448</v>
      </c>
      <c r="B140" s="24">
        <v>-310</v>
      </c>
      <c r="C140" s="24">
        <f>VLOOKUP(Таблица16[[#This Row],[Названия строк]],Котировки[[&lt;DATE&gt;]:[&lt;VOL&gt;]],6,0)</f>
        <v>99.9</v>
      </c>
      <c r="D140" s="26">
        <f>INDEX(Купоны[Дата],MATCH($A140,Купоны[Дата],1))</f>
        <v>43385</v>
      </c>
      <c r="E140" s="24">
        <f>Купоны!$C$4*(A140-D140)/365*100</f>
        <v>1.3808219178082191</v>
      </c>
      <c r="F140" s="27">
        <f>-B140*(C140+E140)*Купоны!$G$10/100</f>
        <v>313970.54794520547</v>
      </c>
      <c r="G140" s="34">
        <f>SUM($B$2:B140)</f>
        <v>600</v>
      </c>
      <c r="H140" s="31">
        <f>_xlfn.IFNA(VLOOKUP($A140,Купоны[[Дата]:[% от номинала]],3,0),0)*Купоны!$G$10/100*G140</f>
        <v>0</v>
      </c>
      <c r="I140" s="36">
        <f>Таблица16[[#This Row],[Денежный поток]]+Таблица16[[#This Row],[Купонный доход]]</f>
        <v>313970.54794520547</v>
      </c>
      <c r="J140" s="31">
        <f>Таблица16[[#This Row],[Общий денежный поток]]/((1+$L$2)^((Таблица16[[#This Row],[Названия строк]]-$A$2)/365))</f>
        <v>280323.29503716319</v>
      </c>
    </row>
    <row r="141" spans="1:10" x14ac:dyDescent="0.3">
      <c r="A141" s="23">
        <v>43452</v>
      </c>
      <c r="B141" s="24">
        <v>580</v>
      </c>
      <c r="C141" s="24">
        <f>VLOOKUP(Таблица16[[#This Row],[Названия строк]],Котировки[[&lt;DATE&gt;]:[&lt;VOL&gt;]],6,0)</f>
        <v>99.89</v>
      </c>
      <c r="D141" s="26">
        <f>INDEX(Купоны[Дата],MATCH($A141,Купоны[Дата],1))</f>
        <v>43385</v>
      </c>
      <c r="E141" s="24">
        <f>Купоны!$C$4*(A141-D141)/365*100</f>
        <v>1.4684931506849317</v>
      </c>
      <c r="F141" s="27">
        <f>-B141*(C141+E141)*Купоны!$G$10/100</f>
        <v>-587879.26027397264</v>
      </c>
      <c r="G141" s="34">
        <f>SUM($B$2:B141)</f>
        <v>1180</v>
      </c>
      <c r="H141" s="31">
        <f>_xlfn.IFNA(VLOOKUP($A141,Купоны[[Дата]:[% от номинала]],3,0),0)*Купоны!$G$10/100*G141</f>
        <v>0</v>
      </c>
      <c r="I141" s="36">
        <f>Таблица16[[#This Row],[Денежный поток]]+Таблица16[[#This Row],[Купонный доход]]</f>
        <v>-587879.26027397264</v>
      </c>
      <c r="J141" s="31">
        <f>Таблица16[[#This Row],[Общий денежный поток]]/((1+$L$2)^((Таблица16[[#This Row],[Названия строк]]-$A$2)/365))</f>
        <v>-524320.99615655886</v>
      </c>
    </row>
    <row r="142" spans="1:10" x14ac:dyDescent="0.3">
      <c r="A142" s="23">
        <v>43453</v>
      </c>
      <c r="B142" s="24">
        <v>720</v>
      </c>
      <c r="C142" s="24">
        <f>VLOOKUP(Таблица16[[#This Row],[Названия строк]],Котировки[[&lt;DATE&gt;]:[&lt;VOL&gt;]],6,0)</f>
        <v>99.98</v>
      </c>
      <c r="D142" s="26">
        <f>INDEX(Купоны[Дата],MATCH($A142,Купоны[Дата],1))</f>
        <v>43385</v>
      </c>
      <c r="E142" s="24">
        <f>Купоны!$C$4*(A142-D142)/365*100</f>
        <v>1.4904109589041097</v>
      </c>
      <c r="F142" s="27">
        <f>-B142*(C142+E142)*Купоны!$G$10/100</f>
        <v>-730586.95890410955</v>
      </c>
      <c r="G142" s="34">
        <f>SUM($B$2:B142)</f>
        <v>1900</v>
      </c>
      <c r="H142" s="31">
        <f>_xlfn.IFNA(VLOOKUP($A142,Купоны[[Дата]:[% от номинала]],3,0),0)*Купоны!$G$10/100*G142</f>
        <v>0</v>
      </c>
      <c r="I142" s="36">
        <f>Таблица16[[#This Row],[Денежный поток]]+Таблица16[[#This Row],[Купонный доход]]</f>
        <v>-730586.95890410955</v>
      </c>
      <c r="J142" s="31">
        <f>Таблица16[[#This Row],[Общий денежный поток]]/((1+$L$2)^((Таблица16[[#This Row],[Названия строк]]-$A$2)/365))</f>
        <v>-651426.96811447153</v>
      </c>
    </row>
    <row r="143" spans="1:10" x14ac:dyDescent="0.3">
      <c r="A143" s="23">
        <v>43455</v>
      </c>
      <c r="B143" s="24">
        <v>-230</v>
      </c>
      <c r="C143" s="24">
        <f>VLOOKUP(Таблица16[[#This Row],[Названия строк]],Котировки[[&lt;DATE&gt;]:[&lt;VOL&gt;]],6,0)</f>
        <v>100</v>
      </c>
      <c r="D143" s="26">
        <f>INDEX(Купоны[Дата],MATCH($A143,Купоны[Дата],1))</f>
        <v>43385</v>
      </c>
      <c r="E143" s="24">
        <f>Купоны!$C$4*(A143-D143)/365*100</f>
        <v>1.5342465753424659</v>
      </c>
      <c r="F143" s="27">
        <f>-B143*(C143+E143)*Купоны!$G$10/100</f>
        <v>233528.76712328766</v>
      </c>
      <c r="G143" s="34">
        <f>SUM($B$2:B143)</f>
        <v>1670</v>
      </c>
      <c r="H143" s="31">
        <f>_xlfn.IFNA(VLOOKUP($A143,Купоны[[Дата]:[% от номинала]],3,0),0)*Купоны!$G$10/100*G143</f>
        <v>0</v>
      </c>
      <c r="I143" s="36">
        <f>Таблица16[[#This Row],[Денежный поток]]+Таблица16[[#This Row],[Купонный доход]]</f>
        <v>233528.76712328766</v>
      </c>
      <c r="J143" s="31">
        <f>Таблица16[[#This Row],[Общий денежный поток]]/((1+$L$2)^((Таблица16[[#This Row],[Названия строк]]-$A$2)/365))</f>
        <v>208115.11359712313</v>
      </c>
    </row>
    <row r="144" spans="1:10" x14ac:dyDescent="0.3">
      <c r="A144" s="23">
        <v>43460</v>
      </c>
      <c r="B144" s="24">
        <v>-1560</v>
      </c>
      <c r="C144" s="24">
        <f>VLOOKUP(Таблица16[[#This Row],[Названия строк]],Котировки[[&lt;DATE&gt;]:[&lt;VOL&gt;]],6,0)</f>
        <v>100.25</v>
      </c>
      <c r="D144" s="26">
        <f>INDEX(Купоны[Дата],MATCH($A144,Купоны[Дата],1))</f>
        <v>43385</v>
      </c>
      <c r="E144" s="24">
        <f>Купоны!$C$4*(A144-D144)/365*100</f>
        <v>1.6438356164383561</v>
      </c>
      <c r="F144" s="27">
        <f>-B144*(C144+E144)*Купоны!$G$10/100</f>
        <v>1589543.8356164384</v>
      </c>
      <c r="G144" s="34">
        <f>SUM($B$2:B144)</f>
        <v>110</v>
      </c>
      <c r="H144" s="31">
        <f>_xlfn.IFNA(VLOOKUP($A144,Купоны[[Дата]:[% от номинала]],3,0),0)*Купоны!$G$10/100*G144</f>
        <v>0</v>
      </c>
      <c r="I144" s="36">
        <f>Таблица16[[#This Row],[Денежный поток]]+Таблица16[[#This Row],[Купонный доход]]</f>
        <v>1589543.8356164384</v>
      </c>
      <c r="J144" s="31">
        <f>Таблица16[[#This Row],[Общий денежный поток]]/((1+$L$2)^((Таблица16[[#This Row],[Названия строк]]-$A$2)/365))</f>
        <v>1414683.4816519236</v>
      </c>
    </row>
    <row r="145" spans="1:10" x14ac:dyDescent="0.3">
      <c r="A145" s="23">
        <v>43468</v>
      </c>
      <c r="B145" s="24">
        <v>250</v>
      </c>
      <c r="C145" s="24">
        <f>VLOOKUP(Таблица16[[#This Row],[Названия строк]],Котировки[[&lt;DATE&gt;]:[&lt;VOL&gt;]],6,0)</f>
        <v>100.4</v>
      </c>
      <c r="D145" s="26">
        <f>INDEX(Купоны[Дата],MATCH($A145,Купоны[Дата],1))</f>
        <v>43385</v>
      </c>
      <c r="E145" s="24">
        <f>Купоны!$C$4*(A145-D145)/365*100</f>
        <v>1.8191780821917809</v>
      </c>
      <c r="F145" s="27">
        <f>-B145*(C145+E145)*Купоны!$G$10/100</f>
        <v>-255547.94520547948</v>
      </c>
      <c r="G145" s="34">
        <f>SUM($B$2:B145)</f>
        <v>360</v>
      </c>
      <c r="H145" s="31">
        <f>_xlfn.IFNA(VLOOKUP($A145,Купоны[[Дата]:[% от номинала]],3,0),0)*Купоны!$G$10/100*G145</f>
        <v>0</v>
      </c>
      <c r="I145" s="36">
        <f>Таблица16[[#This Row],[Денежный поток]]+Таблица16[[#This Row],[Купонный доход]]</f>
        <v>-255547.94520547948</v>
      </c>
      <c r="J145" s="31">
        <f>Таблица16[[#This Row],[Общий денежный поток]]/((1+$L$2)^((Таблица16[[#This Row],[Названия строк]]-$A$2)/365))</f>
        <v>-226953.47141404112</v>
      </c>
    </row>
    <row r="146" spans="1:10" x14ac:dyDescent="0.3">
      <c r="A146" s="23">
        <v>43474</v>
      </c>
      <c r="B146" s="24">
        <v>50</v>
      </c>
      <c r="C146" s="24">
        <f>VLOOKUP(Таблица16[[#This Row],[Названия строк]],Котировки[[&lt;DATE&gt;]:[&lt;VOL&gt;]],6,0)</f>
        <v>100.15</v>
      </c>
      <c r="D146" s="26">
        <f>INDEX(Купоны[Дата],MATCH($A146,Купоны[Дата],1))</f>
        <v>43385</v>
      </c>
      <c r="E146" s="24">
        <f>Купоны!$C$4*(A146-D146)/365*100</f>
        <v>1.9506849315068493</v>
      </c>
      <c r="F146" s="27">
        <f>-B146*(C146+E146)*Купоны!$G$10/100</f>
        <v>-51050.342465753427</v>
      </c>
      <c r="G146" s="34">
        <f>SUM($B$2:B146)</f>
        <v>410</v>
      </c>
      <c r="H146" s="31">
        <f>_xlfn.IFNA(VLOOKUP($A146,Купоны[[Дата]:[% от номинала]],3,0),0)*Купоны!$G$10/100*G146</f>
        <v>0</v>
      </c>
      <c r="I146" s="36">
        <f>Таблица16[[#This Row],[Денежный поток]]+Таблица16[[#This Row],[Купонный доход]]</f>
        <v>-51050.342465753427</v>
      </c>
      <c r="J146" s="31">
        <f>Таблица16[[#This Row],[Общий денежный поток]]/((1+$L$2)^((Таблица16[[#This Row],[Названия строк]]-$A$2)/365))</f>
        <v>-45265.919217540817</v>
      </c>
    </row>
    <row r="147" spans="1:10" x14ac:dyDescent="0.3">
      <c r="A147" s="23">
        <v>43476</v>
      </c>
      <c r="B147" s="24">
        <v>-110</v>
      </c>
      <c r="C147" s="24">
        <f>VLOOKUP(Таблица16[[#This Row],[Названия строк]],Котировки[[&lt;DATE&gt;]:[&lt;VOL&gt;]],6,0)</f>
        <v>100.3</v>
      </c>
      <c r="D147" s="26">
        <f>INDEX(Купоны[Дата],MATCH($A147,Купоны[Дата],1))</f>
        <v>43385</v>
      </c>
      <c r="E147" s="24">
        <f>Купоны!$C$4*(A147-D147)/365*100</f>
        <v>1.9945205479452055</v>
      </c>
      <c r="F147" s="27">
        <f>-B147*(C147+E147)*Купоны!$G$10/100</f>
        <v>112523.97260273973</v>
      </c>
      <c r="G147" s="34">
        <f>SUM($B$2:B147)</f>
        <v>300</v>
      </c>
      <c r="H147" s="31">
        <f>_xlfn.IFNA(VLOOKUP($A147,Купоны[[Дата]:[% от номинала]],3,0),0)*Купоны!$G$10/100*G147</f>
        <v>0</v>
      </c>
      <c r="I147" s="36">
        <f>Таблица16[[#This Row],[Денежный поток]]+Таблица16[[#This Row],[Купонный доход]]</f>
        <v>112523.97260273973</v>
      </c>
      <c r="J147" s="31">
        <f>Таблица16[[#This Row],[Общий денежный поток]]/((1+$L$2)^((Таблица16[[#This Row],[Названия строк]]-$A$2)/365))</f>
        <v>99721.122012696171</v>
      </c>
    </row>
    <row r="148" spans="1:10" x14ac:dyDescent="0.3">
      <c r="A148" s="23">
        <v>43479</v>
      </c>
      <c r="B148" s="24">
        <v>230</v>
      </c>
      <c r="C148" s="24">
        <f>VLOOKUP(Таблица16[[#This Row],[Названия строк]],Котировки[[&lt;DATE&gt;]:[&lt;VOL&gt;]],6,0)</f>
        <v>100.2</v>
      </c>
      <c r="D148" s="26">
        <f>INDEX(Купоны[Дата],MATCH($A148,Купоны[Дата],1))</f>
        <v>43385</v>
      </c>
      <c r="E148" s="24">
        <f>Купоны!$C$4*(A148-D148)/365*100</f>
        <v>2.0602739726027401</v>
      </c>
      <c r="F148" s="27">
        <f>-B148*(C148+E148)*Купоны!$G$10/100</f>
        <v>-235198.63013698635</v>
      </c>
      <c r="G148" s="34">
        <f>SUM($B$2:B148)</f>
        <v>530</v>
      </c>
      <c r="H148" s="31">
        <f>_xlfn.IFNA(VLOOKUP($A148,Купоны[[Дата]:[% от номинала]],3,0),0)*Купоны!$G$10/100*G148</f>
        <v>0</v>
      </c>
      <c r="I148" s="36">
        <f>Таблица16[[#This Row],[Денежный поток]]+Таблица16[[#This Row],[Купонный доход]]</f>
        <v>-235198.63013698635</v>
      </c>
      <c r="J148" s="31">
        <f>Таблица16[[#This Row],[Общий денежный поток]]/((1+$L$2)^((Таблица16[[#This Row],[Названия строк]]-$A$2)/365))</f>
        <v>-208272.05956258654</v>
      </c>
    </row>
    <row r="149" spans="1:10" x14ac:dyDescent="0.3">
      <c r="A149" s="23">
        <v>43480</v>
      </c>
      <c r="B149" s="24">
        <v>-270</v>
      </c>
      <c r="C149" s="24">
        <f>VLOOKUP(Таблица16[[#This Row],[Названия строк]],Котировки[[&lt;DATE&gt;]:[&lt;VOL&gt;]],6,0)</f>
        <v>100.2</v>
      </c>
      <c r="D149" s="26">
        <f>INDEX(Купоны[Дата],MATCH($A149,Купоны[Дата],1))</f>
        <v>43385</v>
      </c>
      <c r="E149" s="24">
        <f>Купоны!$C$4*(A149-D149)/365*100</f>
        <v>2.0821917808219177</v>
      </c>
      <c r="F149" s="27">
        <f>-B149*(C149+E149)*Купоны!$G$10/100</f>
        <v>276161.91780821921</v>
      </c>
      <c r="G149" s="34">
        <f>SUM($B$2:B149)</f>
        <v>260</v>
      </c>
      <c r="H149" s="31">
        <f>_xlfn.IFNA(VLOOKUP($A149,Купоны[[Дата]:[% от номинала]],3,0),0)*Купоны!$G$10/100*G149</f>
        <v>0</v>
      </c>
      <c r="I149" s="36">
        <f>Таблица16[[#This Row],[Денежный поток]]+Таблица16[[#This Row],[Купонный доход]]</f>
        <v>276161.91780821921</v>
      </c>
      <c r="J149" s="31">
        <f>Таблица16[[#This Row],[Общий денежный поток]]/((1+$L$2)^((Таблица16[[#This Row],[Названия строк]]-$A$2)/365))</f>
        <v>244480.77953873691</v>
      </c>
    </row>
    <row r="150" spans="1:10" x14ac:dyDescent="0.3">
      <c r="A150" s="23">
        <v>43481</v>
      </c>
      <c r="B150" s="24">
        <v>910</v>
      </c>
      <c r="C150" s="24">
        <f>VLOOKUP(Таблица16[[#This Row],[Названия строк]],Котировки[[&lt;DATE&gt;]:[&lt;VOL&gt;]],6,0)</f>
        <v>100.2</v>
      </c>
      <c r="D150" s="26">
        <f>INDEX(Купоны[Дата],MATCH($A150,Купоны[Дата],1))</f>
        <v>43385</v>
      </c>
      <c r="E150" s="24">
        <f>Купоны!$C$4*(A150-D150)/365*100</f>
        <v>2.1041095890410961</v>
      </c>
      <c r="F150" s="27">
        <f>-B150*(C150+E150)*Купоны!$G$10/100</f>
        <v>-930967.39726027404</v>
      </c>
      <c r="G150" s="34">
        <f>SUM($B$2:B150)</f>
        <v>1170</v>
      </c>
      <c r="H150" s="31">
        <f>_xlfn.IFNA(VLOOKUP($A150,Купоны[[Дата]:[% от номинала]],3,0),0)*Купоны!$G$10/100*G150</f>
        <v>0</v>
      </c>
      <c r="I150" s="36">
        <f>Таблица16[[#This Row],[Денежный поток]]+Таблица16[[#This Row],[Купонный доход]]</f>
        <v>-930967.39726027404</v>
      </c>
      <c r="J150" s="31">
        <f>Таблица16[[#This Row],[Общий денежный поток]]/((1+$L$2)^((Таблица16[[#This Row],[Названия строк]]-$A$2)/365))</f>
        <v>-823948.58397353161</v>
      </c>
    </row>
    <row r="151" spans="1:10" x14ac:dyDescent="0.3">
      <c r="A151" s="23">
        <v>43482</v>
      </c>
      <c r="B151" s="24">
        <v>-1080</v>
      </c>
      <c r="C151" s="24">
        <f>VLOOKUP(Таблица16[[#This Row],[Названия строк]],Котировки[[&lt;DATE&gt;]:[&lt;VOL&gt;]],6,0)</f>
        <v>100.3</v>
      </c>
      <c r="D151" s="26">
        <f>INDEX(Купоны[Дата],MATCH($A151,Купоны[Дата],1))</f>
        <v>43385</v>
      </c>
      <c r="E151" s="24">
        <f>Купоны!$C$4*(A151-D151)/365*100</f>
        <v>2.1260273972602737</v>
      </c>
      <c r="F151" s="27">
        <f>-B151*(C151+E151)*Купоны!$G$10/100</f>
        <v>1106201.0958904109</v>
      </c>
      <c r="G151" s="34">
        <f>SUM($B$2:B151)</f>
        <v>90</v>
      </c>
      <c r="H151" s="31">
        <f>_xlfn.IFNA(VLOOKUP($A151,Купоны[[Дата]:[% от номинала]],3,0),0)*Купоны!$G$10/100*G151</f>
        <v>0</v>
      </c>
      <c r="I151" s="36">
        <f>Таблица16[[#This Row],[Денежный поток]]+Таблица16[[#This Row],[Купонный доход]]</f>
        <v>1106201.0958904109</v>
      </c>
      <c r="J151" s="31">
        <f>Таблица16[[#This Row],[Общий денежный поток]]/((1+$L$2)^((Таблица16[[#This Row],[Названия строк]]-$A$2)/365))</f>
        <v>978778.52447454829</v>
      </c>
    </row>
    <row r="152" spans="1:10" x14ac:dyDescent="0.3">
      <c r="A152" s="23">
        <v>43483</v>
      </c>
      <c r="B152" s="24">
        <v>370</v>
      </c>
      <c r="C152" s="24">
        <f>VLOOKUP(Таблица16[[#This Row],[Названия строк]],Котировки[[&lt;DATE&gt;]:[&lt;VOL&gt;]],6,0)</f>
        <v>100.2</v>
      </c>
      <c r="D152" s="26">
        <f>INDEX(Купоны[Дата],MATCH($A152,Купоны[Дата],1))</f>
        <v>43385</v>
      </c>
      <c r="E152" s="24">
        <f>Купоны!$C$4*(A152-D152)/365*100</f>
        <v>2.1479452054794521</v>
      </c>
      <c r="F152" s="27">
        <f>-B152*(C152+E152)*Купоны!$G$10/100</f>
        <v>-378687.39726027392</v>
      </c>
      <c r="G152" s="34">
        <f>SUM($B$2:B152)</f>
        <v>460</v>
      </c>
      <c r="H152" s="31">
        <f>_xlfn.IFNA(VLOOKUP($A152,Купоны[[Дата]:[% от номинала]],3,0),0)*Купоны!$G$10/100*G152</f>
        <v>0</v>
      </c>
      <c r="I152" s="36">
        <f>Таблица16[[#This Row],[Денежный поток]]+Таблица16[[#This Row],[Купонный доход]]</f>
        <v>-378687.39726027392</v>
      </c>
      <c r="J152" s="31">
        <f>Таблица16[[#This Row],[Общий денежный поток]]/((1+$L$2)^((Таблица16[[#This Row],[Названия строк]]-$A$2)/365))</f>
        <v>-334977.70855273277</v>
      </c>
    </row>
    <row r="153" spans="1:10" x14ac:dyDescent="0.3">
      <c r="A153" s="23">
        <v>43486</v>
      </c>
      <c r="B153" s="24">
        <v>50</v>
      </c>
      <c r="C153" s="24">
        <f>VLOOKUP(Таблица16[[#This Row],[Названия строк]],Котировки[[&lt;DATE&gt;]:[&lt;VOL&gt;]],6,0)</f>
        <v>100.2</v>
      </c>
      <c r="D153" s="26">
        <f>INDEX(Купоны[Дата],MATCH($A153,Купоны[Дата],1))</f>
        <v>43385</v>
      </c>
      <c r="E153" s="24">
        <f>Купоны!$C$4*(A153-D153)/365*100</f>
        <v>2.2136986301369865</v>
      </c>
      <c r="F153" s="27">
        <f>-B153*(C153+E153)*Купоны!$G$10/100</f>
        <v>-51206.849315068488</v>
      </c>
      <c r="G153" s="34">
        <f>SUM($B$2:B153)</f>
        <v>510</v>
      </c>
      <c r="H153" s="31">
        <f>_xlfn.IFNA(VLOOKUP($A153,Купоны[[Дата]:[% от номинала]],3,0),0)*Купоны!$G$10/100*G153</f>
        <v>0</v>
      </c>
      <c r="I153" s="36">
        <f>Таблица16[[#This Row],[Денежный поток]]+Таблица16[[#This Row],[Купонный доход]]</f>
        <v>-51206.849315068488</v>
      </c>
      <c r="J153" s="31">
        <f>Таблица16[[#This Row],[Общий денежный поток]]/((1+$L$2)^((Таблица16[[#This Row],[Названия строк]]-$A$2)/365))</f>
        <v>-45260.279781264493</v>
      </c>
    </row>
    <row r="154" spans="1:10" x14ac:dyDescent="0.3">
      <c r="A154" s="23">
        <v>43489</v>
      </c>
      <c r="B154" s="24">
        <v>540</v>
      </c>
      <c r="C154" s="24">
        <f>VLOOKUP(Таблица16[[#This Row],[Названия строк]],Котировки[[&lt;DATE&gt;]:[&lt;VOL&gt;]],6,0)</f>
        <v>99.94</v>
      </c>
      <c r="D154" s="26">
        <f>INDEX(Купоны[Дата],MATCH($A154,Купоны[Дата],1))</f>
        <v>43385</v>
      </c>
      <c r="E154" s="24">
        <f>Купоны!$C$4*(A154-D154)/365*100</f>
        <v>2.2794520547945205</v>
      </c>
      <c r="F154" s="27">
        <f>-B154*(C154+E154)*Купоны!$G$10/100</f>
        <v>-551985.04109589045</v>
      </c>
      <c r="G154" s="34">
        <f>SUM($B$2:B154)</f>
        <v>1050</v>
      </c>
      <c r="H154" s="31">
        <f>_xlfn.IFNA(VLOOKUP($A154,Купоны[[Дата]:[% от номинала]],3,0),0)*Купоны!$G$10/100*G154</f>
        <v>0</v>
      </c>
      <c r="I154" s="36">
        <f>Таблица16[[#This Row],[Денежный поток]]+Таблица16[[#This Row],[Купонный доход]]</f>
        <v>-551985.04109589045</v>
      </c>
      <c r="J154" s="31">
        <f>Таблица16[[#This Row],[Общий денежный поток]]/((1+$L$2)^((Таблица16[[#This Row],[Названия строк]]-$A$2)/365))</f>
        <v>-487495.50016548764</v>
      </c>
    </row>
    <row r="155" spans="1:10" x14ac:dyDescent="0.3">
      <c r="A155" s="23">
        <v>43490</v>
      </c>
      <c r="B155" s="24">
        <v>-160</v>
      </c>
      <c r="C155" s="24">
        <f>VLOOKUP(Таблица16[[#This Row],[Названия строк]],Котировки[[&lt;DATE&gt;]:[&lt;VOL&gt;]],6,0)</f>
        <v>99.91</v>
      </c>
      <c r="D155" s="26">
        <f>INDEX(Купоны[Дата],MATCH($A155,Купоны[Дата],1))</f>
        <v>43385</v>
      </c>
      <c r="E155" s="24">
        <f>Купоны!$C$4*(A155-D155)/365*100</f>
        <v>2.3013698630136985</v>
      </c>
      <c r="F155" s="27">
        <f>-B155*(C155+E155)*Купоны!$G$10/100</f>
        <v>163538.19178082192</v>
      </c>
      <c r="G155" s="34">
        <f>SUM($B$2:B155)</f>
        <v>890</v>
      </c>
      <c r="H155" s="31">
        <f>_xlfn.IFNA(VLOOKUP($A155,Купоны[[Дата]:[% от номинала]],3,0),0)*Купоны!$G$10/100*G155</f>
        <v>0</v>
      </c>
      <c r="I155" s="36">
        <f>Таблица16[[#This Row],[Денежный поток]]+Таблица16[[#This Row],[Купонный доход]]</f>
        <v>163538.19178082192</v>
      </c>
      <c r="J155" s="31">
        <f>Таблица16[[#This Row],[Общий денежный поток]]/((1+$L$2)^((Таблица16[[#This Row],[Названия строк]]-$A$2)/365))</f>
        <v>144393.35329840699</v>
      </c>
    </row>
    <row r="156" spans="1:10" x14ac:dyDescent="0.3">
      <c r="A156" s="23">
        <v>43494</v>
      </c>
      <c r="B156" s="24">
        <v>-310</v>
      </c>
      <c r="C156" s="24">
        <f>VLOOKUP(Таблица16[[#This Row],[Названия строк]],Котировки[[&lt;DATE&gt;]:[&lt;VOL&gt;]],6,0)</f>
        <v>99.99</v>
      </c>
      <c r="D156" s="26">
        <f>INDEX(Купоны[Дата],MATCH($A156,Купоны[Дата],1))</f>
        <v>43385</v>
      </c>
      <c r="E156" s="24">
        <f>Купоны!$C$4*(A156-D156)/365*100</f>
        <v>2.3890410958904109</v>
      </c>
      <c r="F156" s="27">
        <f>-B156*(C156+E156)*Купоны!$G$10/100</f>
        <v>317375.02739726024</v>
      </c>
      <c r="G156" s="34">
        <f>SUM($B$2:B156)</f>
        <v>580</v>
      </c>
      <c r="H156" s="31">
        <f>_xlfn.IFNA(VLOOKUP($A156,Купоны[[Дата]:[% от номинала]],3,0),0)*Купоны!$G$10/100*G156</f>
        <v>0</v>
      </c>
      <c r="I156" s="36">
        <f>Таблица16[[#This Row],[Денежный поток]]+Таблица16[[#This Row],[Купонный доход]]</f>
        <v>317375.02739726024</v>
      </c>
      <c r="J156" s="31">
        <f>Таблица16[[#This Row],[Общий денежный поток]]/((1+$L$2)^((Таблица16[[#This Row],[Названия строк]]-$A$2)/365))</f>
        <v>279923.65090701275</v>
      </c>
    </row>
    <row r="157" spans="1:10" x14ac:dyDescent="0.3">
      <c r="A157" s="23">
        <v>43497</v>
      </c>
      <c r="B157" s="24">
        <v>-460</v>
      </c>
      <c r="C157" s="24">
        <f>VLOOKUP(Таблица16[[#This Row],[Названия строк]],Котировки[[&lt;DATE&gt;]:[&lt;VOL&gt;]],6,0)</f>
        <v>100</v>
      </c>
      <c r="D157" s="26">
        <f>INDEX(Купоны[Дата],MATCH($A157,Купоны[Дата],1))</f>
        <v>43385</v>
      </c>
      <c r="E157" s="24">
        <f>Купоны!$C$4*(A157-D157)/365*100</f>
        <v>2.4547945205479453</v>
      </c>
      <c r="F157" s="27">
        <f>-B157*(C157+E157)*Купоны!$G$10/100</f>
        <v>471292.05479452061</v>
      </c>
      <c r="G157" s="34">
        <f>SUM($B$2:B157)</f>
        <v>120</v>
      </c>
      <c r="H157" s="31">
        <f>_xlfn.IFNA(VLOOKUP($A157,Купоны[[Дата]:[% от номинала]],3,0),0)*Купоны!$G$10/100*G157</f>
        <v>0</v>
      </c>
      <c r="I157" s="36">
        <f>Таблица16[[#This Row],[Денежный поток]]+Таблица16[[#This Row],[Купонный доход]]</f>
        <v>471292.05479452061</v>
      </c>
      <c r="J157" s="31">
        <f>Таблица16[[#This Row],[Общий денежный поток]]/((1+$L$2)^((Таблица16[[#This Row],[Названия строк]]-$A$2)/365))</f>
        <v>415347.00625730172</v>
      </c>
    </row>
    <row r="158" spans="1:10" x14ac:dyDescent="0.3">
      <c r="A158" s="23">
        <v>43501</v>
      </c>
      <c r="B158" s="24">
        <v>560</v>
      </c>
      <c r="C158" s="24">
        <f>VLOOKUP(Таблица16[[#This Row],[Названия строк]],Котировки[[&lt;DATE&gt;]:[&lt;VOL&gt;]],6,0)</f>
        <v>99.91</v>
      </c>
      <c r="D158" s="26">
        <f>INDEX(Купоны[Дата],MATCH($A158,Купоны[Дата],1))</f>
        <v>43385</v>
      </c>
      <c r="E158" s="24">
        <f>Купоны!$C$4*(A158-D158)/365*100</f>
        <v>2.5424657534246573</v>
      </c>
      <c r="F158" s="27">
        <f>-B158*(C158+E158)*Купоны!$G$10/100</f>
        <v>-573733.808219178</v>
      </c>
      <c r="G158" s="34">
        <f>SUM($B$2:B158)</f>
        <v>680</v>
      </c>
      <c r="H158" s="31">
        <f>_xlfn.IFNA(VLOOKUP($A158,Купоны[[Дата]:[% от номинала]],3,0),0)*Купоны!$G$10/100*G158</f>
        <v>0</v>
      </c>
      <c r="I158" s="36">
        <f>Таблица16[[#This Row],[Денежный поток]]+Таблица16[[#This Row],[Купонный доход]]</f>
        <v>-573733.808219178</v>
      </c>
      <c r="J158" s="31">
        <f>Таблица16[[#This Row],[Общий денежный поток]]/((1+$L$2)^((Таблица16[[#This Row],[Названия строк]]-$A$2)/365))</f>
        <v>-505091.70932557562</v>
      </c>
    </row>
    <row r="159" spans="1:10" x14ac:dyDescent="0.3">
      <c r="A159" s="23">
        <v>43503</v>
      </c>
      <c r="B159" s="24">
        <v>-500</v>
      </c>
      <c r="C159" s="24">
        <f>VLOOKUP(Таблица16[[#This Row],[Названия строк]],Котировки[[&lt;DATE&gt;]:[&lt;VOL&gt;]],6,0)</f>
        <v>100</v>
      </c>
      <c r="D159" s="26">
        <f>INDEX(Купоны[Дата],MATCH($A159,Купоны[Дата],1))</f>
        <v>43385</v>
      </c>
      <c r="E159" s="24">
        <f>Купоны!$C$4*(A159-D159)/365*100</f>
        <v>2.5863013698630137</v>
      </c>
      <c r="F159" s="27">
        <f>-B159*(C159+E159)*Купоны!$G$10/100</f>
        <v>512931.50684931502</v>
      </c>
      <c r="G159" s="34">
        <f>SUM($B$2:B159)</f>
        <v>180</v>
      </c>
      <c r="H159" s="31">
        <f>_xlfn.IFNA(VLOOKUP($A159,Купоны[[Дата]:[% от номинала]],3,0),0)*Купоны!$G$10/100*G159</f>
        <v>0</v>
      </c>
      <c r="I159" s="36">
        <f>Таблица16[[#This Row],[Денежный поток]]+Таблица16[[#This Row],[Купонный доход]]</f>
        <v>512931.50684931502</v>
      </c>
      <c r="J159" s="31">
        <f>Таблица16[[#This Row],[Общий денежный поток]]/((1+$L$2)^((Таблица16[[#This Row],[Названия строк]]-$A$2)/365))</f>
        <v>451324.16786552663</v>
      </c>
    </row>
    <row r="160" spans="1:10" x14ac:dyDescent="0.3">
      <c r="A160" s="23">
        <v>43509</v>
      </c>
      <c r="B160" s="24">
        <v>450</v>
      </c>
      <c r="C160" s="24">
        <f>VLOOKUP(Таблица16[[#This Row],[Названия строк]],Котировки[[&lt;DATE&gt;]:[&lt;VOL&gt;]],6,0)</f>
        <v>99.99</v>
      </c>
      <c r="D160" s="26">
        <f>INDEX(Купоны[Дата],MATCH($A160,Купоны[Дата],1))</f>
        <v>43385</v>
      </c>
      <c r="E160" s="24">
        <f>Купоны!$C$4*(A160-D160)/365*100</f>
        <v>2.7178082191780821</v>
      </c>
      <c r="F160" s="27">
        <f>-B160*(C160+E160)*Купоны!$G$10/100</f>
        <v>-462185.1369863014</v>
      </c>
      <c r="G160" s="34">
        <f>SUM($B$2:B160)</f>
        <v>630</v>
      </c>
      <c r="H160" s="31">
        <f>_xlfn.IFNA(VLOOKUP($A160,Купоны[[Дата]:[% от номинала]],3,0),0)*Купоны!$G$10/100*G160</f>
        <v>0</v>
      </c>
      <c r="I160" s="36">
        <f>Таблица16[[#This Row],[Денежный поток]]+Таблица16[[#This Row],[Купонный доход]]</f>
        <v>-462185.1369863014</v>
      </c>
      <c r="J160" s="31">
        <f>Таблица16[[#This Row],[Общий денежный поток]]/((1+$L$2)^((Таблица16[[#This Row],[Названия строк]]-$A$2)/365))</f>
        <v>-406025.61830327037</v>
      </c>
    </row>
    <row r="161" spans="1:10" x14ac:dyDescent="0.3">
      <c r="A161" s="23">
        <v>43511</v>
      </c>
      <c r="B161" s="24">
        <v>-480</v>
      </c>
      <c r="C161" s="24">
        <f>VLOOKUP(Таблица16[[#This Row],[Названия строк]],Котировки[[&lt;DATE&gt;]:[&lt;VOL&gt;]],6,0)</f>
        <v>100</v>
      </c>
      <c r="D161" s="26">
        <f>INDEX(Купоны[Дата],MATCH($A161,Купоны[Дата],1))</f>
        <v>43385</v>
      </c>
      <c r="E161" s="24">
        <f>Купоны!$C$4*(A161-D161)/365*100</f>
        <v>2.7616438356164381</v>
      </c>
      <c r="F161" s="27">
        <f>-B161*(C161+E161)*Купоны!$G$10/100</f>
        <v>493255.89041095891</v>
      </c>
      <c r="G161" s="34">
        <f>SUM($B$2:B161)</f>
        <v>150</v>
      </c>
      <c r="H161" s="31">
        <f>_xlfn.IFNA(VLOOKUP($A161,Купоны[[Дата]:[% от номинала]],3,0),0)*Купоны!$G$10/100*G161</f>
        <v>0</v>
      </c>
      <c r="I161" s="36">
        <f>Таблица16[[#This Row],[Денежный поток]]+Таблица16[[#This Row],[Купонный доход]]</f>
        <v>493255.89041095891</v>
      </c>
      <c r="J161" s="31">
        <f>Таблица16[[#This Row],[Общий денежный поток]]/((1+$L$2)^((Таблица16[[#This Row],[Названия строк]]-$A$2)/365))</f>
        <v>433090.99838114087</v>
      </c>
    </row>
    <row r="162" spans="1:10" x14ac:dyDescent="0.3">
      <c r="A162" s="23">
        <v>43518</v>
      </c>
      <c r="B162" s="24">
        <v>570</v>
      </c>
      <c r="C162" s="24">
        <f>VLOOKUP(Таблица16[[#This Row],[Названия строк]],Котировки[[&lt;DATE&gt;]:[&lt;VOL&gt;]],6,0)</f>
        <v>100</v>
      </c>
      <c r="D162" s="26">
        <f>INDEX(Купоны[Дата],MATCH($A162,Купоны[Дата],1))</f>
        <v>43385</v>
      </c>
      <c r="E162" s="24">
        <f>Купоны!$C$4*(A162-D162)/365*100</f>
        <v>2.9150684931506849</v>
      </c>
      <c r="F162" s="27">
        <f>-B162*(C162+E162)*Купоны!$G$10/100</f>
        <v>-586615.89041095891</v>
      </c>
      <c r="G162" s="34">
        <f>SUM($B$2:B162)</f>
        <v>720</v>
      </c>
      <c r="H162" s="31">
        <f>_xlfn.IFNA(VLOOKUP($A162,Купоны[[Дата]:[% от номинала]],3,0),0)*Купоны!$G$10/100*G162</f>
        <v>0</v>
      </c>
      <c r="I162" s="36">
        <f>Таблица16[[#This Row],[Денежный поток]]+Таблица16[[#This Row],[Купонный доход]]</f>
        <v>-586615.89041095891</v>
      </c>
      <c r="J162" s="31">
        <f>Таблица16[[#This Row],[Общий денежный поток]]/((1+$L$2)^((Таблица16[[#This Row],[Названия строк]]-$A$2)/365))</f>
        <v>-514107.16362025845</v>
      </c>
    </row>
    <row r="163" spans="1:10" x14ac:dyDescent="0.3">
      <c r="A163" s="23">
        <v>43525</v>
      </c>
      <c r="B163" s="24">
        <v>-510</v>
      </c>
      <c r="C163" s="24">
        <f>VLOOKUP(Таблица16[[#This Row],[Названия строк]],Котировки[[&lt;DATE&gt;]:[&lt;VOL&gt;]],6,0)</f>
        <v>100</v>
      </c>
      <c r="D163" s="26">
        <f>INDEX(Купоны[Дата],MATCH($A163,Купоны[Дата],1))</f>
        <v>43385</v>
      </c>
      <c r="E163" s="24">
        <f>Купоны!$C$4*(A163-D163)/365*100</f>
        <v>3.0684931506849318</v>
      </c>
      <c r="F163" s="27">
        <f>-B163*(C163+E163)*Купоны!$G$10/100</f>
        <v>525649.31506849313</v>
      </c>
      <c r="G163" s="34">
        <f>SUM($B$2:B163)</f>
        <v>210</v>
      </c>
      <c r="H163" s="31">
        <f>_xlfn.IFNA(VLOOKUP($A163,Купоны[[Дата]:[% от номинала]],3,0),0)*Купоны!$G$10/100*G163</f>
        <v>0</v>
      </c>
      <c r="I163" s="36">
        <f>Таблица16[[#This Row],[Денежный поток]]+Таблица16[[#This Row],[Купонный доход]]</f>
        <v>525649.31506849313</v>
      </c>
      <c r="J163" s="31">
        <f>Таблица16[[#This Row],[Общий денежный поток]]/((1+$L$2)^((Таблица16[[#This Row],[Названия строк]]-$A$2)/365))</f>
        <v>459821.09419907798</v>
      </c>
    </row>
    <row r="164" spans="1:10" x14ac:dyDescent="0.3">
      <c r="A164" s="23">
        <v>43530</v>
      </c>
      <c r="B164" s="24">
        <v>650</v>
      </c>
      <c r="C164" s="24">
        <f>VLOOKUP(Таблица16[[#This Row],[Названия строк]],Котировки[[&lt;DATE&gt;]:[&lt;VOL&gt;]],6,0)</f>
        <v>99.98</v>
      </c>
      <c r="D164" s="26">
        <f>INDEX(Купоны[Дата],MATCH($A164,Купоны[Дата],1))</f>
        <v>43385</v>
      </c>
      <c r="E164" s="24">
        <f>Купоны!$C$4*(A164-D164)/365*100</f>
        <v>3.1780821917808217</v>
      </c>
      <c r="F164" s="27">
        <f>-B164*(C164+E164)*Купоны!$G$10/100</f>
        <v>-670527.53424657544</v>
      </c>
      <c r="G164" s="34">
        <f>SUM($B$2:B164)</f>
        <v>860</v>
      </c>
      <c r="H164" s="31">
        <f>_xlfn.IFNA(VLOOKUP($A164,Купоны[[Дата]:[% от номинала]],3,0),0)*Купоны!$G$10/100*G164</f>
        <v>0</v>
      </c>
      <c r="I164" s="36">
        <f>Таблица16[[#This Row],[Денежный поток]]+Таблица16[[#This Row],[Купонный доход]]</f>
        <v>-670527.53424657544</v>
      </c>
      <c r="J164" s="31">
        <f>Таблица16[[#This Row],[Общий денежный поток]]/((1+$L$2)^((Таблица16[[#This Row],[Названия строк]]-$A$2)/365))</f>
        <v>-585777.84703872981</v>
      </c>
    </row>
    <row r="165" spans="1:10" x14ac:dyDescent="0.3">
      <c r="A165" s="23">
        <v>43531</v>
      </c>
      <c r="B165" s="24">
        <v>-410</v>
      </c>
      <c r="C165" s="24">
        <f>VLOOKUP(Таблица16[[#This Row],[Названия строк]],Котировки[[&lt;DATE&gt;]:[&lt;VOL&gt;]],6,0)</f>
        <v>99.99</v>
      </c>
      <c r="D165" s="26">
        <f>INDEX(Купоны[Дата],MATCH($A165,Купоны[Дата],1))</f>
        <v>43385</v>
      </c>
      <c r="E165" s="24">
        <f>Купоны!$C$4*(A165-D165)/365*100</f>
        <v>3.2</v>
      </c>
      <c r="F165" s="27">
        <f>-B165*(C165+E165)*Купоны!$G$10/100</f>
        <v>423079</v>
      </c>
      <c r="G165" s="34">
        <f>SUM($B$2:B165)</f>
        <v>450</v>
      </c>
      <c r="H165" s="31">
        <f>_xlfn.IFNA(VLOOKUP($A165,Купоны[[Дата]:[% от номинала]],3,0),0)*Купоны!$G$10/100*G165</f>
        <v>0</v>
      </c>
      <c r="I165" s="36">
        <f>Таблица16[[#This Row],[Денежный поток]]+Таблица16[[#This Row],[Купонный доход]]</f>
        <v>423079</v>
      </c>
      <c r="J165" s="31">
        <f>Таблица16[[#This Row],[Общий денежный поток]]/((1+$L$2)^((Таблица16[[#This Row],[Названия строк]]-$A$2)/365))</f>
        <v>369506.85893221851</v>
      </c>
    </row>
    <row r="166" spans="1:10" x14ac:dyDescent="0.3">
      <c r="A166" s="23">
        <v>43538</v>
      </c>
      <c r="B166" s="24">
        <v>-350</v>
      </c>
      <c r="C166" s="24">
        <f>VLOOKUP(Таблица16[[#This Row],[Названия строк]],Котировки[[&lt;DATE&gt;]:[&lt;VOL&gt;]],6,0)</f>
        <v>100</v>
      </c>
      <c r="D166" s="26">
        <f>INDEX(Купоны[Дата],MATCH($A166,Купоны[Дата],1))</f>
        <v>43385</v>
      </c>
      <c r="E166" s="24">
        <f>Купоны!$C$4*(A166-D166)/365*100</f>
        <v>3.3534246575342466</v>
      </c>
      <c r="F166" s="27">
        <f>-B166*(C166+E166)*Купоны!$G$10/100</f>
        <v>361736.98630136979</v>
      </c>
      <c r="G166" s="34">
        <f>SUM($B$2:B166)</f>
        <v>100</v>
      </c>
      <c r="H166" s="31">
        <f>_xlfn.IFNA(VLOOKUP($A166,Купоны[[Дата]:[% от номинала]],3,0),0)*Купоны!$G$10/100*G166</f>
        <v>0</v>
      </c>
      <c r="I166" s="36">
        <f>Таблица16[[#This Row],[Денежный поток]]+Таблица16[[#This Row],[Купонный доход]]</f>
        <v>361736.98630136979</v>
      </c>
      <c r="J166" s="31">
        <f>Таблица16[[#This Row],[Общий денежный поток]]/((1+$L$2)^((Таблица16[[#This Row],[Названия строк]]-$A$2)/365))</f>
        <v>315345.69508693286</v>
      </c>
    </row>
    <row r="167" spans="1:10" x14ac:dyDescent="0.3">
      <c r="A167" s="23">
        <v>43539</v>
      </c>
      <c r="B167" s="24">
        <v>-40</v>
      </c>
      <c r="C167" s="24">
        <f>VLOOKUP(Таблица16[[#This Row],[Названия строк]],Котировки[[&lt;DATE&gt;]:[&lt;VOL&gt;]],6,0)</f>
        <v>100</v>
      </c>
      <c r="D167" s="26">
        <f>INDEX(Купоны[Дата],MATCH($A167,Купоны[Дата],1))</f>
        <v>43385</v>
      </c>
      <c r="E167" s="24">
        <f>Купоны!$C$4*(A167-D167)/365*100</f>
        <v>3.3753424657534246</v>
      </c>
      <c r="F167" s="27">
        <f>-B167*(C167+E167)*Купоны!$G$10/100</f>
        <v>41350.136986301368</v>
      </c>
      <c r="G167" s="34">
        <f>SUM($B$2:B167)</f>
        <v>60</v>
      </c>
      <c r="H167" s="31">
        <f>_xlfn.IFNA(VLOOKUP($A167,Купоны[[Дата]:[% от номинала]],3,0),0)*Купоны!$G$10/100*G167</f>
        <v>0</v>
      </c>
      <c r="I167" s="36">
        <f>Таблица16[[#This Row],[Денежный поток]]+Таблица16[[#This Row],[Купонный доход]]</f>
        <v>41350.136986301368</v>
      </c>
      <c r="J167" s="31">
        <f>Таблица16[[#This Row],[Общий денежный поток]]/((1+$L$2)^((Таблица16[[#This Row],[Названия строк]]-$A$2)/365))</f>
        <v>36037.582624093899</v>
      </c>
    </row>
    <row r="168" spans="1:10" x14ac:dyDescent="0.3">
      <c r="A168" s="23">
        <v>43542</v>
      </c>
      <c r="B168" s="24">
        <v>130</v>
      </c>
      <c r="C168" s="24">
        <f>VLOOKUP(Таблица16[[#This Row],[Названия строк]],Котировки[[&lt;DATE&gt;]:[&lt;VOL&gt;]],6,0)</f>
        <v>99.99</v>
      </c>
      <c r="D168" s="26">
        <f>INDEX(Купоны[Дата],MATCH($A168,Купоны[Дата],1))</f>
        <v>43385</v>
      </c>
      <c r="E168" s="24">
        <f>Купоны!$C$4*(A168-D168)/365*100</f>
        <v>3.441095890410959</v>
      </c>
      <c r="F168" s="27">
        <f>-B168*(C168+E168)*Купоны!$G$10/100</f>
        <v>-134460.42465753425</v>
      </c>
      <c r="G168" s="34">
        <f>SUM($B$2:B168)</f>
        <v>190</v>
      </c>
      <c r="H168" s="31">
        <f>_xlfn.IFNA(VLOOKUP($A168,Купоны[[Дата]:[% от номинала]],3,0),0)*Купоны!$G$10/100*G168</f>
        <v>0</v>
      </c>
      <c r="I168" s="36">
        <f>Таблица16[[#This Row],[Денежный поток]]+Таблица16[[#This Row],[Купонный доход]]</f>
        <v>-134460.42465753425</v>
      </c>
      <c r="J168" s="31">
        <f>Таблица16[[#This Row],[Общий денежный поток]]/((1+$L$2)^((Таблица16[[#This Row],[Названия строк]]-$A$2)/365))</f>
        <v>-117092.02067061207</v>
      </c>
    </row>
    <row r="169" spans="1:10" x14ac:dyDescent="0.3">
      <c r="A169" s="23">
        <v>43544</v>
      </c>
      <c r="B169" s="24">
        <v>300</v>
      </c>
      <c r="C169" s="24">
        <f>VLOOKUP(Таблица16[[#This Row],[Названия строк]],Котировки[[&lt;DATE&gt;]:[&lt;VOL&gt;]],6,0)</f>
        <v>99.98</v>
      </c>
      <c r="D169" s="26">
        <f>INDEX(Купоны[Дата],MATCH($A169,Купоны[Дата],1))</f>
        <v>43385</v>
      </c>
      <c r="E169" s="24">
        <f>Купоны!$C$4*(A169-D169)/365*100</f>
        <v>3.4849315068493154</v>
      </c>
      <c r="F169" s="27">
        <f>-B169*(C169+E169)*Купоны!$G$10/100</f>
        <v>-310394.79452054796</v>
      </c>
      <c r="G169" s="34">
        <f>SUM($B$2:B169)</f>
        <v>490</v>
      </c>
      <c r="H169" s="31">
        <f>_xlfn.IFNA(VLOOKUP($A169,Купоны[[Дата]:[% от номинала]],3,0),0)*Купоны!$G$10/100*G169</f>
        <v>0</v>
      </c>
      <c r="I169" s="36">
        <f>Таблица16[[#This Row],[Денежный поток]]+Таблица16[[#This Row],[Купонный доход]]</f>
        <v>-310394.79452054796</v>
      </c>
      <c r="J169" s="31">
        <f>Таблица16[[#This Row],[Общий денежный поток]]/((1+$L$2)^((Таблица16[[#This Row],[Названия строк]]-$A$2)/365))</f>
        <v>-270157.27518556296</v>
      </c>
    </row>
    <row r="170" spans="1:10" x14ac:dyDescent="0.3">
      <c r="A170" s="23">
        <v>43546</v>
      </c>
      <c r="B170" s="24">
        <v>570</v>
      </c>
      <c r="C170" s="24">
        <f>VLOOKUP(Таблица16[[#This Row],[Названия строк]],Котировки[[&lt;DATE&gt;]:[&lt;VOL&gt;]],6,0)</f>
        <v>99.98</v>
      </c>
      <c r="D170" s="26">
        <f>INDEX(Купоны[Дата],MATCH($A170,Купоны[Дата],1))</f>
        <v>43385</v>
      </c>
      <c r="E170" s="24">
        <f>Купоны!$C$4*(A170-D170)/365*100</f>
        <v>3.5287671232876718</v>
      </c>
      <c r="F170" s="27">
        <f>-B170*(C170+E170)*Купоны!$G$10/100</f>
        <v>-589999.9726027397</v>
      </c>
      <c r="G170" s="34">
        <f>SUM($B$2:B170)</f>
        <v>1060</v>
      </c>
      <c r="H170" s="31">
        <f>_xlfn.IFNA(VLOOKUP($A170,Купоны[[Дата]:[% от номинала]],3,0),0)*Купоны!$G$10/100*G170</f>
        <v>0</v>
      </c>
      <c r="I170" s="36">
        <f>Таблица16[[#This Row],[Денежный поток]]+Таблица16[[#This Row],[Купонный доход]]</f>
        <v>-589999.9726027397</v>
      </c>
      <c r="J170" s="31">
        <f>Таблица16[[#This Row],[Общий денежный поток]]/((1+$L$2)^((Таблица16[[#This Row],[Названия строк]]-$A$2)/365))</f>
        <v>-513243.7214709628</v>
      </c>
    </row>
    <row r="171" spans="1:10" x14ac:dyDescent="0.3">
      <c r="A171" s="23">
        <v>43550</v>
      </c>
      <c r="B171" s="24">
        <v>40</v>
      </c>
      <c r="C171" s="24">
        <f>VLOOKUP(Таблица16[[#This Row],[Названия строк]],Котировки[[&lt;DATE&gt;]:[&lt;VOL&gt;]],6,0)</f>
        <v>99.77</v>
      </c>
      <c r="D171" s="26">
        <f>INDEX(Купоны[Дата],MATCH($A171,Купоны[Дата],1))</f>
        <v>43385</v>
      </c>
      <c r="E171" s="24">
        <f>Купоны!$C$4*(A171-D171)/365*100</f>
        <v>3.6164383561643838</v>
      </c>
      <c r="F171" s="27">
        <f>-B171*(C171+E171)*Купоны!$G$10/100</f>
        <v>-41354.575342465752</v>
      </c>
      <c r="G171" s="34">
        <f>SUM($B$2:B171)</f>
        <v>1100</v>
      </c>
      <c r="H171" s="31">
        <f>_xlfn.IFNA(VLOOKUP($A171,Купоны[[Дата]:[% от номинала]],3,0),0)*Купоны!$G$10/100*G171</f>
        <v>0</v>
      </c>
      <c r="I171" s="36">
        <f>Таблица16[[#This Row],[Денежный поток]]+Таблица16[[#This Row],[Купонный доход]]</f>
        <v>-41354.575342465752</v>
      </c>
      <c r="J171" s="31">
        <f>Таблица16[[#This Row],[Общий денежный поток]]/((1+$L$2)^((Таблица16[[#This Row],[Названия строк]]-$A$2)/365))</f>
        <v>-35936.3571713868</v>
      </c>
    </row>
    <row r="172" spans="1:10" x14ac:dyDescent="0.3">
      <c r="A172" s="23">
        <v>43551</v>
      </c>
      <c r="B172" s="24">
        <v>-300</v>
      </c>
      <c r="C172" s="24">
        <f>VLOOKUP(Таблица16[[#This Row],[Названия строк]],Котировки[[&lt;DATE&gt;]:[&lt;VOL&gt;]],6,0)</f>
        <v>99.95</v>
      </c>
      <c r="D172" s="26">
        <f>INDEX(Купоны[Дата],MATCH($A172,Купоны[Дата],1))</f>
        <v>43385</v>
      </c>
      <c r="E172" s="24">
        <f>Купоны!$C$4*(A172-D172)/365*100</f>
        <v>3.6383561643835618</v>
      </c>
      <c r="F172" s="27">
        <f>-B172*(C172+E172)*Купоны!$G$10/100</f>
        <v>310765.06849315076</v>
      </c>
      <c r="G172" s="34">
        <f>SUM($B$2:B172)</f>
        <v>800</v>
      </c>
      <c r="H172" s="31">
        <f>_xlfn.IFNA(VLOOKUP($A172,Купоны[[Дата]:[% от номинала]],3,0),0)*Купоны!$G$10/100*G172</f>
        <v>0</v>
      </c>
      <c r="I172" s="36">
        <f>Таблица16[[#This Row],[Денежный поток]]+Таблица16[[#This Row],[Купонный доход]]</f>
        <v>310765.06849315076</v>
      </c>
      <c r="J172" s="31">
        <f>Таблица16[[#This Row],[Общий денежный поток]]/((1+$L$2)^((Таблица16[[#This Row],[Названия строк]]-$A$2)/365))</f>
        <v>269977.38688163331</v>
      </c>
    </row>
    <row r="173" spans="1:10" x14ac:dyDescent="0.3">
      <c r="A173" s="23">
        <v>43553</v>
      </c>
      <c r="B173" s="24">
        <v>-400</v>
      </c>
      <c r="C173" s="24">
        <f>VLOOKUP(Таблица16[[#This Row],[Названия строк]],Котировки[[&lt;DATE&gt;]:[&lt;VOL&gt;]],6,0)</f>
        <v>99.99</v>
      </c>
      <c r="D173" s="26">
        <f>INDEX(Купоны[Дата],MATCH($A173,Купоны[Дата],1))</f>
        <v>43385</v>
      </c>
      <c r="E173" s="24">
        <f>Купоны!$C$4*(A173-D173)/365*100</f>
        <v>3.6821917808219173</v>
      </c>
      <c r="F173" s="27">
        <f>-B173*(C173+E173)*Купоны!$G$10/100</f>
        <v>414688.76712328772</v>
      </c>
      <c r="G173" s="34">
        <f>SUM($B$2:B173)</f>
        <v>400</v>
      </c>
      <c r="H173" s="31">
        <f>_xlfn.IFNA(VLOOKUP($A173,Купоны[[Дата]:[% от номинала]],3,0),0)*Купоны!$G$10/100*G173</f>
        <v>0</v>
      </c>
      <c r="I173" s="36">
        <f>Таблица16[[#This Row],[Денежный поток]]+Таблица16[[#This Row],[Купонный доход]]</f>
        <v>414688.76712328772</v>
      </c>
      <c r="J173" s="31">
        <f>Таблица16[[#This Row],[Общий денежный поток]]/((1+$L$2)^((Таблица16[[#This Row],[Названия строк]]-$A$2)/365))</f>
        <v>360069.95200725598</v>
      </c>
    </row>
    <row r="174" spans="1:10" x14ac:dyDescent="0.3">
      <c r="A174" s="23">
        <v>43557</v>
      </c>
      <c r="B174" s="24">
        <v>220</v>
      </c>
      <c r="C174" s="24">
        <f>VLOOKUP(Таблица16[[#This Row],[Названия строк]],Котировки[[&lt;DATE&gt;]:[&lt;VOL&gt;]],6,0)</f>
        <v>100</v>
      </c>
      <c r="D174" s="26">
        <f>INDEX(Купоны[Дата],MATCH($A174,Купоны[Дата],1))</f>
        <v>43385</v>
      </c>
      <c r="E174" s="24">
        <f>Купоны!$C$4*(A174-D174)/365*100</f>
        <v>3.7698630136986302</v>
      </c>
      <c r="F174" s="27">
        <f>-B174*(C174+E174)*Купоны!$G$10/100</f>
        <v>-228293.69863013696</v>
      </c>
      <c r="G174" s="34">
        <f>SUM($B$2:B174)</f>
        <v>620</v>
      </c>
      <c r="H174" s="31">
        <f>_xlfn.IFNA(VLOOKUP($A174,Купоны[[Дата]:[% от номинала]],3,0),0)*Купоны!$G$10/100*G174</f>
        <v>0</v>
      </c>
      <c r="I174" s="36">
        <f>Таблица16[[#This Row],[Денежный поток]]+Таблица16[[#This Row],[Купонный доход]]</f>
        <v>-228293.69863013696</v>
      </c>
      <c r="J174" s="31">
        <f>Таблица16[[#This Row],[Общий денежный поток]]/((1+$L$2)^((Таблица16[[#This Row],[Названия строк]]-$A$2)/365))</f>
        <v>-198014.66945111813</v>
      </c>
    </row>
    <row r="175" spans="1:10" x14ac:dyDescent="0.3">
      <c r="A175" s="23">
        <v>43559</v>
      </c>
      <c r="B175" s="24">
        <v>-480</v>
      </c>
      <c r="C175" s="24">
        <f>VLOOKUP(Таблица16[[#This Row],[Названия строк]],Котировки[[&lt;DATE&gt;]:[&lt;VOL&gt;]],6,0)</f>
        <v>99.96</v>
      </c>
      <c r="D175" s="26">
        <f>INDEX(Купоны[Дата],MATCH($A175,Купоны[Дата],1))</f>
        <v>43385</v>
      </c>
      <c r="E175" s="24">
        <f>Купоны!$C$4*(A175-D175)/365*100</f>
        <v>3.8136986301369866</v>
      </c>
      <c r="F175" s="27">
        <f>-B175*(C175+E175)*Купоны!$G$10/100</f>
        <v>498113.75342465751</v>
      </c>
      <c r="G175" s="34">
        <f>SUM($B$2:B175)</f>
        <v>140</v>
      </c>
      <c r="H175" s="31">
        <f>_xlfn.IFNA(VLOOKUP($A175,Купоны[[Дата]:[% от номинала]],3,0),0)*Купоны!$G$10/100*G175</f>
        <v>0</v>
      </c>
      <c r="I175" s="36">
        <f>Таблица16[[#This Row],[Денежный поток]]+Таблица16[[#This Row],[Купонный доход]]</f>
        <v>498113.75342465751</v>
      </c>
      <c r="J175" s="31">
        <f>Таблица16[[#This Row],[Общий денежный поток]]/((1+$L$2)^((Таблица16[[#This Row],[Названия строк]]-$A$2)/365))</f>
        <v>431818.64462297835</v>
      </c>
    </row>
    <row r="176" spans="1:10" x14ac:dyDescent="0.3">
      <c r="A176" s="23">
        <v>43560</v>
      </c>
      <c r="B176" s="24">
        <v>-40</v>
      </c>
      <c r="C176" s="24">
        <f>VLOOKUP(Таблица16[[#This Row],[Названия строк]],Котировки[[&lt;DATE&gt;]:[&lt;VOL&gt;]],6,0)</f>
        <v>100</v>
      </c>
      <c r="D176" s="26">
        <f>INDEX(Купоны[Дата],MATCH($A176,Купоны[Дата],1))</f>
        <v>43385</v>
      </c>
      <c r="E176" s="24">
        <f>Купоны!$C$4*(A176-D176)/365*100</f>
        <v>3.8356164383561646</v>
      </c>
      <c r="F176" s="27">
        <f>-B176*(C176+E176)*Купоны!$G$10/100</f>
        <v>41534.246575342469</v>
      </c>
      <c r="G176" s="34">
        <f>SUM($B$2:B176)</f>
        <v>100</v>
      </c>
      <c r="H176" s="31">
        <f>_xlfn.IFNA(VLOOKUP($A176,Купоны[[Дата]:[% от номинала]],3,0),0)*Купоны!$G$10/100*G176</f>
        <v>0</v>
      </c>
      <c r="I176" s="36">
        <f>Таблица16[[#This Row],[Денежный поток]]+Таблица16[[#This Row],[Купонный доход]]</f>
        <v>41534.246575342469</v>
      </c>
      <c r="J176" s="31">
        <f>Таблица16[[#This Row],[Общий денежный поток]]/((1+$L$2)^((Таблица16[[#This Row],[Названия строк]]-$A$2)/365))</f>
        <v>35996.800528098865</v>
      </c>
    </row>
    <row r="177" spans="1:10" x14ac:dyDescent="0.3">
      <c r="A177" s="23">
        <v>43564</v>
      </c>
      <c r="B177" s="24">
        <v>10</v>
      </c>
      <c r="C177" s="24">
        <f>VLOOKUP(Таблица16[[#This Row],[Названия строк]],Котировки[[&lt;DATE&gt;]:[&lt;VOL&gt;]],6,0)</f>
        <v>100</v>
      </c>
      <c r="D177" s="26">
        <f>INDEX(Купоны[Дата],MATCH($A177,Купоны[Дата],1))</f>
        <v>43385</v>
      </c>
      <c r="E177" s="24">
        <f>Купоны!$C$4*(A177-D177)/365*100</f>
        <v>3.9232876712328766</v>
      </c>
      <c r="F177" s="27">
        <f>-B177*(C177+E177)*Купоны!$G$10/100</f>
        <v>-10392.328767123288</v>
      </c>
      <c r="G177" s="34">
        <f>SUM($B$2:B177)</f>
        <v>110</v>
      </c>
      <c r="H177" s="31">
        <f>_xlfn.IFNA(VLOOKUP($A177,Купоны[[Дата]:[% от номинала]],3,0),0)*Купоны!$G$10/100*G177</f>
        <v>0</v>
      </c>
      <c r="I177" s="36">
        <f>Таблица16[[#This Row],[Денежный поток]]+Таблица16[[#This Row],[Купонный доход]]</f>
        <v>-10392.328767123288</v>
      </c>
      <c r="J177" s="31">
        <f>Таблица16[[#This Row],[Общий денежный поток]]/((1+$L$2)^((Таблица16[[#This Row],[Названия строк]]-$A$2)/365))</f>
        <v>-8997.2393440198375</v>
      </c>
    </row>
    <row r="178" spans="1:10" x14ac:dyDescent="0.3">
      <c r="A178" s="23">
        <v>43565</v>
      </c>
      <c r="B178" s="24">
        <v>370</v>
      </c>
      <c r="C178" s="24">
        <f>VLOOKUP(Таблица16[[#This Row],[Названия строк]],Котировки[[&lt;DATE&gt;]:[&lt;VOL&gt;]],6,0)</f>
        <v>100</v>
      </c>
      <c r="D178" s="26">
        <f>INDEX(Купоны[Дата],MATCH($A178,Купоны[Дата],1))</f>
        <v>43385</v>
      </c>
      <c r="E178" s="24">
        <f>Купоны!$C$4*(A178-D178)/365*100</f>
        <v>3.9452054794520546</v>
      </c>
      <c r="F178" s="27">
        <f>-B178*(C178+E178)*Купоны!$G$10/100</f>
        <v>-384597.2602739727</v>
      </c>
      <c r="G178" s="34">
        <f>SUM($B$2:B178)</f>
        <v>480</v>
      </c>
      <c r="H178" s="31">
        <f>_xlfn.IFNA(VLOOKUP($A178,Купоны[[Дата]:[% от номинала]],3,0),0)*Купоны!$G$10/100*G178</f>
        <v>0</v>
      </c>
      <c r="I178" s="36">
        <f>Таблица16[[#This Row],[Денежный поток]]+Таблица16[[#This Row],[Купонный доход]]</f>
        <v>-384597.2602739727</v>
      </c>
      <c r="J178" s="31">
        <f>Таблица16[[#This Row],[Общий денежный поток]]/((1+$L$2)^((Таблица16[[#This Row],[Названия строк]]-$A$2)/365))</f>
        <v>-332879.68387755827</v>
      </c>
    </row>
    <row r="179" spans="1:10" x14ac:dyDescent="0.3">
      <c r="A179" s="23">
        <v>43567</v>
      </c>
      <c r="B179" s="24">
        <v>0</v>
      </c>
      <c r="C179" s="24">
        <f>VLOOKUP(Таблица16[[#This Row],[Названия строк]],Котировки[[&lt;DATE&gt;]:[&lt;VOL&gt;]],6,0)</f>
        <v>100.16</v>
      </c>
      <c r="D179" s="26">
        <f>INDEX(Купоны[Дата],MATCH($A179,Купоны[Дата],1))</f>
        <v>43567</v>
      </c>
      <c r="E179" s="24">
        <f>Купоны!$C$4*(A179-D179)/365*100</f>
        <v>0</v>
      </c>
      <c r="F179" s="27">
        <f>-B179*(C179+E179)*Купоны!$G$10/100</f>
        <v>0</v>
      </c>
      <c r="G179" s="34">
        <f>SUM($B$2:B179)</f>
        <v>480</v>
      </c>
      <c r="H179" s="31">
        <f>_xlfn.IFNA(VLOOKUP($A179,Купоны[[Дата]:[% от номинала]],3,0),0)*Купоны!$G$10/100*G179</f>
        <v>19147.2</v>
      </c>
      <c r="I179" s="36">
        <f>Таблица16[[#This Row],[Денежный поток]]+Таблица16[[#This Row],[Купонный доход]]</f>
        <v>19147.2</v>
      </c>
      <c r="J179" s="31">
        <f>Таблица16[[#This Row],[Общий денежный поток]]/((1+$L$2)^((Таблица16[[#This Row],[Названия строк]]-$A$2)/365))</f>
        <v>16563.640414812366</v>
      </c>
    </row>
    <row r="180" spans="1:10" x14ac:dyDescent="0.3">
      <c r="A180" s="23">
        <v>43570</v>
      </c>
      <c r="B180" s="24">
        <v>670</v>
      </c>
      <c r="C180" s="24">
        <f>VLOOKUP(Таблица16[[#This Row],[Названия строк]],Котировки[[&lt;DATE&gt;]:[&lt;VOL&gt;]],6,0)</f>
        <v>100.15</v>
      </c>
      <c r="D180" s="26">
        <f>INDEX(Купоны[Дата],MATCH($A180,Купоны[Дата],1))</f>
        <v>43567</v>
      </c>
      <c r="E180" s="24">
        <f>Купоны!$C$4*(A180-D180)/365*100</f>
        <v>6.5753424657534254E-2</v>
      </c>
      <c r="F180" s="27">
        <f>-B180*(C180+E180)*Купоны!$G$10/100</f>
        <v>-671445.54794520547</v>
      </c>
      <c r="G180" s="34">
        <f>SUM($B$2:B180)</f>
        <v>1150</v>
      </c>
      <c r="H180" s="31">
        <f>_xlfn.IFNA(VLOOKUP($A180,Купоны[[Дата]:[% от номинала]],3,0),0)*Купоны!$G$10/100*G180</f>
        <v>0</v>
      </c>
      <c r="I180" s="36">
        <f>Таблица16[[#This Row],[Денежный поток]]+Таблица16[[#This Row],[Купонный доход]]</f>
        <v>-671445.54794520547</v>
      </c>
      <c r="J180" s="31">
        <f>Таблица16[[#This Row],[Общий денежный поток]]/((1+$L$2)^((Таблица16[[#This Row],[Названия строк]]-$A$2)/365))</f>
        <v>-580384.01468722196</v>
      </c>
    </row>
    <row r="181" spans="1:10" x14ac:dyDescent="0.3">
      <c r="A181" s="23">
        <v>43572</v>
      </c>
      <c r="B181" s="24">
        <v>-1120</v>
      </c>
      <c r="C181" s="24">
        <f>VLOOKUP(Таблица16[[#This Row],[Названия строк]],Котировки[[&lt;DATE&gt;]:[&lt;VOL&gt;]],6,0)</f>
        <v>100.17</v>
      </c>
      <c r="D181" s="26">
        <f>INDEX(Купоны[Дата],MATCH($A181,Купоны[Дата],1))</f>
        <v>43567</v>
      </c>
      <c r="E181" s="24">
        <f>Купоны!$C$4*(A181-D181)/365*100</f>
        <v>0.10958904109589042</v>
      </c>
      <c r="F181" s="27">
        <f>-B181*(C181+E181)*Купоны!$G$10/100</f>
        <v>1123131.397260274</v>
      </c>
      <c r="G181" s="34">
        <f>SUM($B$2:B181)</f>
        <v>30</v>
      </c>
      <c r="H181" s="31">
        <f>_xlfn.IFNA(VLOOKUP($A181,Купоны[[Дата]:[% от номинала]],3,0),0)*Купоны!$G$10/100*G181</f>
        <v>0</v>
      </c>
      <c r="I181" s="36">
        <f>Таблица16[[#This Row],[Денежный поток]]+Таблица16[[#This Row],[Купонный доход]]</f>
        <v>1123131.397260274</v>
      </c>
      <c r="J181" s="31">
        <f>Таблица16[[#This Row],[Общий денежный поток]]/((1+$L$2)^((Таблица16[[#This Row],[Названия строк]]-$A$2)/365))</f>
        <v>970296.86399110407</v>
      </c>
    </row>
    <row r="182" spans="1:10" x14ac:dyDescent="0.3">
      <c r="A182" s="23">
        <v>43574</v>
      </c>
      <c r="B182" s="24">
        <v>510</v>
      </c>
      <c r="C182" s="24">
        <f>VLOOKUP(Таблица16[[#This Row],[Названия строк]],Котировки[[&lt;DATE&gt;]:[&lt;VOL&gt;]],6,0)</f>
        <v>100.29</v>
      </c>
      <c r="D182" s="26">
        <f>INDEX(Купоны[Дата],MATCH($A182,Купоны[Дата],1))</f>
        <v>43567</v>
      </c>
      <c r="E182" s="24">
        <f>Купоны!$C$4*(A182-D182)/365*100</f>
        <v>0.15342465753424658</v>
      </c>
      <c r="F182" s="27">
        <f>-B182*(C182+E182)*Купоны!$G$10/100</f>
        <v>-512261.46575342468</v>
      </c>
      <c r="G182" s="34">
        <f>SUM($B$2:B182)</f>
        <v>540</v>
      </c>
      <c r="H182" s="31">
        <f>_xlfn.IFNA(VLOOKUP($A182,Купоны[[Дата]:[% от номинала]],3,0),0)*Купоны!$G$10/100*G182</f>
        <v>0</v>
      </c>
      <c r="I182" s="36">
        <f>Таблица16[[#This Row],[Денежный поток]]+Таблица16[[#This Row],[Купонный доход]]</f>
        <v>-512261.46575342468</v>
      </c>
      <c r="J182" s="31">
        <f>Таблица16[[#This Row],[Общий денежный поток]]/((1+$L$2)^((Таблица16[[#This Row],[Названия строк]]-$A$2)/365))</f>
        <v>-442318.56017632416</v>
      </c>
    </row>
    <row r="183" spans="1:10" x14ac:dyDescent="0.3">
      <c r="A183" s="23">
        <v>43578</v>
      </c>
      <c r="B183" s="24">
        <v>660</v>
      </c>
      <c r="C183" s="24">
        <f>VLOOKUP(Таблица16[[#This Row],[Названия строк]],Котировки[[&lt;DATE&gt;]:[&lt;VOL&gt;]],6,0)</f>
        <v>100.5</v>
      </c>
      <c r="D183" s="26">
        <f>INDEX(Купоны[Дата],MATCH($A183,Купоны[Дата],1))</f>
        <v>43567</v>
      </c>
      <c r="E183" s="24">
        <f>Купоны!$C$4*(A183-D183)/365*100</f>
        <v>0.24109589041095891</v>
      </c>
      <c r="F183" s="27">
        <f>-B183*(C183+E183)*Купоны!$G$10/100</f>
        <v>-664891.23287671234</v>
      </c>
      <c r="G183" s="34">
        <f>SUM($B$2:B183)</f>
        <v>1200</v>
      </c>
      <c r="H183" s="31">
        <f>_xlfn.IFNA(VLOOKUP($A183,Купоны[[Дата]:[% от номинала]],3,0),0)*Купоны!$G$10/100*G183</f>
        <v>0</v>
      </c>
      <c r="I183" s="36">
        <f>Таблица16[[#This Row],[Денежный поток]]+Таблица16[[#This Row],[Купонный доход]]</f>
        <v>-664891.23287671234</v>
      </c>
      <c r="J183" s="31">
        <f>Таблица16[[#This Row],[Общий денежный поток]]/((1+$L$2)^((Таблица16[[#This Row],[Названия строк]]-$A$2)/365))</f>
        <v>-573499.3282174631</v>
      </c>
    </row>
    <row r="184" spans="1:10" x14ac:dyDescent="0.3">
      <c r="A184" s="23">
        <v>43579</v>
      </c>
      <c r="B184" s="24">
        <v>-940</v>
      </c>
      <c r="C184" s="24">
        <f>VLOOKUP(Таблица16[[#This Row],[Названия строк]],Котировки[[&lt;DATE&gt;]:[&lt;VOL&gt;]],6,0)</f>
        <v>100.3</v>
      </c>
      <c r="D184" s="26">
        <f>INDEX(Купоны[Дата],MATCH($A184,Купоны[Дата],1))</f>
        <v>43567</v>
      </c>
      <c r="E184" s="24">
        <f>Купоны!$C$4*(A184-D184)/365*100</f>
        <v>0.26301369863013702</v>
      </c>
      <c r="F184" s="27">
        <f>-B184*(C184+E184)*Купоны!$G$10/100</f>
        <v>945292.32876712317</v>
      </c>
      <c r="G184" s="34">
        <f>SUM($B$2:B184)</f>
        <v>260</v>
      </c>
      <c r="H184" s="31">
        <f>_xlfn.IFNA(VLOOKUP($A184,Купоны[[Дата]:[% от номинала]],3,0),0)*Купоны!$G$10/100*G184</f>
        <v>0</v>
      </c>
      <c r="I184" s="36">
        <f>Таблица16[[#This Row],[Денежный поток]]+Таблица16[[#This Row],[Купонный доход]]</f>
        <v>945292.32876712317</v>
      </c>
      <c r="J184" s="31">
        <f>Таблица16[[#This Row],[Общий денежный поток]]/((1+$L$2)^((Таблица16[[#This Row],[Названия строк]]-$A$2)/365))</f>
        <v>815141.77072749694</v>
      </c>
    </row>
    <row r="185" spans="1:10" x14ac:dyDescent="0.3">
      <c r="A185" s="23">
        <v>43581</v>
      </c>
      <c r="B185" s="24">
        <v>590</v>
      </c>
      <c r="C185" s="24">
        <f>VLOOKUP(Таблица16[[#This Row],[Названия строк]],Котировки[[&lt;DATE&gt;]:[&lt;VOL&gt;]],6,0)</f>
        <v>100.2</v>
      </c>
      <c r="D185" s="26">
        <f>INDEX(Купоны[Дата],MATCH($A185,Купоны[Дата],1))</f>
        <v>43567</v>
      </c>
      <c r="E185" s="24">
        <f>Купоны!$C$4*(A185-D185)/365*100</f>
        <v>0.30684931506849317</v>
      </c>
      <c r="F185" s="27">
        <f>-B185*(C185+E185)*Купоны!$G$10/100</f>
        <v>-592990.41095890407</v>
      </c>
      <c r="G185" s="34">
        <f>SUM($B$2:B185)</f>
        <v>850</v>
      </c>
      <c r="H185" s="31">
        <f>_xlfn.IFNA(VLOOKUP($A185,Купоны[[Дата]:[% от номинала]],3,0),0)*Купоны!$G$10/100*G185</f>
        <v>0</v>
      </c>
      <c r="I185" s="36">
        <f>Таблица16[[#This Row],[Денежный поток]]+Таблица16[[#This Row],[Купонный доход]]</f>
        <v>-592990.41095890407</v>
      </c>
      <c r="J185" s="31">
        <f>Таблица16[[#This Row],[Общий денежный поток]]/((1+$L$2)^((Таблица16[[#This Row],[Названия строк]]-$A$2)/365))</f>
        <v>-511074.36932278814</v>
      </c>
    </row>
    <row r="186" spans="1:10" x14ac:dyDescent="0.3">
      <c r="A186" s="23">
        <v>43585</v>
      </c>
      <c r="B186" s="24">
        <v>-160</v>
      </c>
      <c r="C186" s="24">
        <f>VLOOKUP(Таблица16[[#This Row],[Названия строк]],Котировки[[&lt;DATE&gt;]:[&lt;VOL&gt;]],6,0)</f>
        <v>100.36</v>
      </c>
      <c r="D186" s="26">
        <f>INDEX(Купоны[Дата],MATCH($A186,Купоны[Дата],1))</f>
        <v>43567</v>
      </c>
      <c r="E186" s="24">
        <f>Купоны!$C$4*(A186-D186)/365*100</f>
        <v>0.39452054794520547</v>
      </c>
      <c r="F186" s="27">
        <f>-B186*(C186+E186)*Купоны!$G$10/100</f>
        <v>161207.23287671234</v>
      </c>
      <c r="G186" s="34">
        <f>SUM($B$2:B186)</f>
        <v>690</v>
      </c>
      <c r="H186" s="31">
        <f>_xlfn.IFNA(VLOOKUP($A186,Купоны[[Дата]:[% от номинала]],3,0),0)*Купоны!$G$10/100*G186</f>
        <v>0</v>
      </c>
      <c r="I186" s="36">
        <f>Таблица16[[#This Row],[Денежный поток]]+Таблица16[[#This Row],[Купонный доход]]</f>
        <v>161207.23287671234</v>
      </c>
      <c r="J186" s="31">
        <f>Таблица16[[#This Row],[Общий денежный поток]]/((1+$L$2)^((Таблица16[[#This Row],[Названия строк]]-$A$2)/365))</f>
        <v>138790.51453170483</v>
      </c>
    </row>
    <row r="187" spans="1:10" x14ac:dyDescent="0.3">
      <c r="A187" s="23">
        <v>43587</v>
      </c>
      <c r="B187" s="24">
        <v>220</v>
      </c>
      <c r="C187" s="24">
        <f>VLOOKUP(Таблица16[[#This Row],[Названия строк]],Котировки[[&lt;DATE&gt;]:[&lt;VOL&gt;]],6,0)</f>
        <v>100.16</v>
      </c>
      <c r="D187" s="26">
        <f>INDEX(Купоны[Дата],MATCH($A187,Купоны[Дата],1))</f>
        <v>43567</v>
      </c>
      <c r="E187" s="24">
        <f>Купоны!$C$4*(A187-D187)/365*100</f>
        <v>0.43835616438356168</v>
      </c>
      <c r="F187" s="27">
        <f>-B187*(C187+E187)*Купоны!$G$10/100</f>
        <v>-221316.3835616438</v>
      </c>
      <c r="G187" s="34">
        <f>SUM($B$2:B187)</f>
        <v>910</v>
      </c>
      <c r="H187" s="31">
        <f>_xlfn.IFNA(VLOOKUP($A187,Купоны[[Дата]:[% от номинала]],3,0),0)*Купоны!$G$10/100*G187</f>
        <v>0</v>
      </c>
      <c r="I187" s="36">
        <f>Таблица16[[#This Row],[Денежный поток]]+Таблица16[[#This Row],[Купонный доход]]</f>
        <v>-221316.3835616438</v>
      </c>
      <c r="J187" s="31">
        <f>Таблица16[[#This Row],[Общий денежный поток]]/((1+$L$2)^((Таблица16[[#This Row],[Названия строк]]-$A$2)/365))</f>
        <v>-190440.03088375984</v>
      </c>
    </row>
    <row r="188" spans="1:10" x14ac:dyDescent="0.3">
      <c r="A188" s="23">
        <v>43588</v>
      </c>
      <c r="B188" s="24">
        <v>-360</v>
      </c>
      <c r="C188" s="24">
        <f>VLOOKUP(Таблица16[[#This Row],[Названия строк]],Котировки[[&lt;DATE&gt;]:[&lt;VOL&gt;]],6,0)</f>
        <v>100.25</v>
      </c>
      <c r="D188" s="26">
        <f>INDEX(Купоны[Дата],MATCH($A188,Купоны[Дата],1))</f>
        <v>43567</v>
      </c>
      <c r="E188" s="24">
        <f>Купоны!$C$4*(A188-D188)/365*100</f>
        <v>0.46027397260273967</v>
      </c>
      <c r="F188" s="27">
        <f>-B188*(C188+E188)*Купоны!$G$10/100</f>
        <v>362556.98630136979</v>
      </c>
      <c r="G188" s="34">
        <f>SUM($B$2:B188)</f>
        <v>550</v>
      </c>
      <c r="H188" s="31">
        <f>_xlfn.IFNA(VLOOKUP($A188,Купоны[[Дата]:[% от номинала]],3,0),0)*Купоны!$G$10/100*G188</f>
        <v>0</v>
      </c>
      <c r="I188" s="36">
        <f>Таблица16[[#This Row],[Денежный поток]]+Таблица16[[#This Row],[Купонный доход]]</f>
        <v>362556.98630136979</v>
      </c>
      <c r="J188" s="31">
        <f>Таблица16[[#This Row],[Общий денежный поток]]/((1+$L$2)^((Таблица16[[#This Row],[Названия строк]]-$A$2)/365))</f>
        <v>311893.02630199271</v>
      </c>
    </row>
    <row r="189" spans="1:10" x14ac:dyDescent="0.3">
      <c r="A189" s="23">
        <v>43593</v>
      </c>
      <c r="B189" s="24">
        <v>140</v>
      </c>
      <c r="C189" s="24">
        <f>VLOOKUP(Таблица16[[#This Row],[Названия строк]],Котировки[[&lt;DATE&gt;]:[&lt;VOL&gt;]],6,0)</f>
        <v>100.15</v>
      </c>
      <c r="D189" s="26">
        <f>INDEX(Купоны[Дата],MATCH($A189,Купоны[Дата],1))</f>
        <v>43567</v>
      </c>
      <c r="E189" s="24">
        <f>Купоны!$C$4*(A189-D189)/365*100</f>
        <v>0.56986301369863013</v>
      </c>
      <c r="F189" s="27">
        <f>-B189*(C189+E189)*Купоны!$G$10/100</f>
        <v>-141007.80821917808</v>
      </c>
      <c r="G189" s="34">
        <f>SUM($B$2:B189)</f>
        <v>690</v>
      </c>
      <c r="H189" s="31">
        <f>_xlfn.IFNA(VLOOKUP($A189,Купоны[[Дата]:[% от номинала]],3,0),0)*Купоны!$G$10/100*G189</f>
        <v>0</v>
      </c>
      <c r="I189" s="36">
        <f>Таблица16[[#This Row],[Денежный поток]]+Таблица16[[#This Row],[Купонный доход]]</f>
        <v>-141007.80821917808</v>
      </c>
      <c r="J189" s="31">
        <f>Таблица16[[#This Row],[Общий денежный поток]]/((1+$L$2)^((Таблица16[[#This Row],[Названия строк]]-$A$2)/365))</f>
        <v>-121142.37613477987</v>
      </c>
    </row>
    <row r="190" spans="1:10" x14ac:dyDescent="0.3">
      <c r="A190" s="23">
        <v>43598</v>
      </c>
      <c r="B190" s="24">
        <v>140</v>
      </c>
      <c r="C190" s="24">
        <f>VLOOKUP(Таблица16[[#This Row],[Названия строк]],Котировки[[&lt;DATE&gt;]:[&lt;VOL&gt;]],6,0)</f>
        <v>100.08</v>
      </c>
      <c r="D190" s="26">
        <f>INDEX(Купоны[Дата],MATCH($A190,Купоны[Дата],1))</f>
        <v>43567</v>
      </c>
      <c r="E190" s="24">
        <f>Купоны!$C$4*(A190-D190)/365*100</f>
        <v>0.67945205479452053</v>
      </c>
      <c r="F190" s="27">
        <f>-B190*(C190+E190)*Купоны!$G$10/100</f>
        <v>-141063.23287671234</v>
      </c>
      <c r="G190" s="34">
        <f>SUM($B$2:B190)</f>
        <v>830</v>
      </c>
      <c r="H190" s="31">
        <f>_xlfn.IFNA(VLOOKUP($A190,Купоны[[Дата]:[% от номинала]],3,0),0)*Купоны!$G$10/100*G190</f>
        <v>0</v>
      </c>
      <c r="I190" s="36">
        <f>Таблица16[[#This Row],[Денежный поток]]+Таблица16[[#This Row],[Купонный доход]]</f>
        <v>-141063.23287671234</v>
      </c>
      <c r="J190" s="31">
        <f>Таблица16[[#This Row],[Общий денежный поток]]/((1+$L$2)^((Таблица16[[#This Row],[Названия строк]]-$A$2)/365))</f>
        <v>-121029.23773860745</v>
      </c>
    </row>
    <row r="191" spans="1:10" x14ac:dyDescent="0.3">
      <c r="A191" s="23">
        <v>43599</v>
      </c>
      <c r="B191" s="24">
        <v>-280</v>
      </c>
      <c r="C191" s="24">
        <f>VLOOKUP(Таблица16[[#This Row],[Названия строк]],Котировки[[&lt;DATE&gt;]:[&lt;VOL&gt;]],6,0)</f>
        <v>100.31</v>
      </c>
      <c r="D191" s="26">
        <f>INDEX(Купоны[Дата],MATCH($A191,Купоны[Дата],1))</f>
        <v>43567</v>
      </c>
      <c r="E191" s="24">
        <f>Купоны!$C$4*(A191-D191)/365*100</f>
        <v>0.70136986301369864</v>
      </c>
      <c r="F191" s="27">
        <f>-B191*(C191+E191)*Купоны!$G$10/100</f>
        <v>282831.83561643836</v>
      </c>
      <c r="G191" s="34">
        <f>SUM($B$2:B191)</f>
        <v>550</v>
      </c>
      <c r="H191" s="31">
        <f>_xlfn.IFNA(VLOOKUP($A191,Купоны[[Дата]:[% от номинала]],3,0),0)*Купоны!$G$10/100*G191</f>
        <v>0</v>
      </c>
      <c r="I191" s="36">
        <f>Таблица16[[#This Row],[Денежный поток]]+Таблица16[[#This Row],[Купонный доход]]</f>
        <v>282831.83561643836</v>
      </c>
      <c r="J191" s="31">
        <f>Таблица16[[#This Row],[Общий денежный поток]]/((1+$L$2)^((Таблица16[[#This Row],[Названия строк]]-$A$2)/365))</f>
        <v>242599.25640244267</v>
      </c>
    </row>
    <row r="192" spans="1:10" x14ac:dyDescent="0.3">
      <c r="A192" s="23">
        <v>43600</v>
      </c>
      <c r="B192" s="24">
        <v>-230</v>
      </c>
      <c r="C192" s="24">
        <f>VLOOKUP(Таблица16[[#This Row],[Названия строк]],Котировки[[&lt;DATE&gt;]:[&lt;VOL&gt;]],6,0)</f>
        <v>100.3</v>
      </c>
      <c r="D192" s="26">
        <f>INDEX(Купоны[Дата],MATCH($A192,Купоны[Дата],1))</f>
        <v>43567</v>
      </c>
      <c r="E192" s="24">
        <f>Купоны!$C$4*(A192-D192)/365*100</f>
        <v>0.72328767123287674</v>
      </c>
      <c r="F192" s="27">
        <f>-B192*(C192+E192)*Купоны!$G$10/100</f>
        <v>232353.56164383565</v>
      </c>
      <c r="G192" s="34">
        <f>SUM($B$2:B192)</f>
        <v>320</v>
      </c>
      <c r="H192" s="31">
        <f>_xlfn.IFNA(VLOOKUP($A192,Купоны[[Дата]:[% от номинала]],3,0),0)*Купоны!$G$10/100*G192</f>
        <v>0</v>
      </c>
      <c r="I192" s="36">
        <f>Таблица16[[#This Row],[Денежный поток]]+Таблица16[[#This Row],[Купонный доход]]</f>
        <v>232353.56164383565</v>
      </c>
      <c r="J192" s="31">
        <f>Таблица16[[#This Row],[Общий денежный поток]]/((1+$L$2)^((Таблица16[[#This Row],[Названия строк]]-$A$2)/365))</f>
        <v>199248.57088208495</v>
      </c>
    </row>
    <row r="193" spans="1:10" x14ac:dyDescent="0.3">
      <c r="A193" s="23">
        <v>43601</v>
      </c>
      <c r="B193" s="24">
        <v>550</v>
      </c>
      <c r="C193" s="24">
        <f>VLOOKUP(Таблица16[[#This Row],[Названия строк]],Котировки[[&lt;DATE&gt;]:[&lt;VOL&gt;]],6,0)</f>
        <v>100.31</v>
      </c>
      <c r="D193" s="26">
        <f>INDEX(Купоны[Дата],MATCH($A193,Купоны[Дата],1))</f>
        <v>43567</v>
      </c>
      <c r="E193" s="24">
        <f>Купоны!$C$4*(A193-D193)/365*100</f>
        <v>0.74520547945205484</v>
      </c>
      <c r="F193" s="27">
        <f>-B193*(C193+E193)*Купоны!$G$10/100</f>
        <v>-555803.63013698626</v>
      </c>
      <c r="G193" s="34">
        <f>SUM($B$2:B193)</f>
        <v>870</v>
      </c>
      <c r="H193" s="31">
        <f>_xlfn.IFNA(VLOOKUP($A193,Купоны[[Дата]:[% от номинала]],3,0),0)*Купоны!$G$10/100*G193</f>
        <v>0</v>
      </c>
      <c r="I193" s="36">
        <f>Таблица16[[#This Row],[Денежный поток]]+Таблица16[[#This Row],[Купонный доход]]</f>
        <v>-555803.63013698626</v>
      </c>
      <c r="J193" s="31">
        <f>Таблица16[[#This Row],[Общий денежный поток]]/((1+$L$2)^((Таблица16[[#This Row],[Названия строк]]-$A$2)/365))</f>
        <v>-476488.00029893743</v>
      </c>
    </row>
    <row r="194" spans="1:10" x14ac:dyDescent="0.3">
      <c r="A194" s="23">
        <v>43605</v>
      </c>
      <c r="B194" s="24">
        <v>-660</v>
      </c>
      <c r="C194" s="24">
        <f>VLOOKUP(Таблица16[[#This Row],[Названия строк]],Котировки[[&lt;DATE&gt;]:[&lt;VOL&gt;]],6,0)</f>
        <v>100.6</v>
      </c>
      <c r="D194" s="26">
        <f>INDEX(Купоны[Дата],MATCH($A194,Купоны[Дата],1))</f>
        <v>43567</v>
      </c>
      <c r="E194" s="24">
        <f>Купоны!$C$4*(A194-D194)/365*100</f>
        <v>0.83287671232876703</v>
      </c>
      <c r="F194" s="27">
        <f>-B194*(C194+E194)*Купоны!$G$10/100</f>
        <v>669456.98630136985</v>
      </c>
      <c r="G194" s="34">
        <f>SUM($B$2:B194)</f>
        <v>210</v>
      </c>
      <c r="H194" s="31">
        <f>_xlfn.IFNA(VLOOKUP($A194,Купоны[[Дата]:[% от номинала]],3,0),0)*Купоны!$G$10/100*G194</f>
        <v>0</v>
      </c>
      <c r="I194" s="36">
        <f>Таблица16[[#This Row],[Денежный поток]]+Таблица16[[#This Row],[Купонный доход]]</f>
        <v>669456.98630136985</v>
      </c>
      <c r="J194" s="31">
        <f>Таблица16[[#This Row],[Общий денежный поток]]/((1+$L$2)^((Таблица16[[#This Row],[Названия строк]]-$A$2)/365))</f>
        <v>573313.40815278154</v>
      </c>
    </row>
    <row r="195" spans="1:10" x14ac:dyDescent="0.3">
      <c r="A195" s="23">
        <v>43608</v>
      </c>
      <c r="B195" s="24">
        <v>330</v>
      </c>
      <c r="C195" s="24">
        <f>VLOOKUP(Таблица16[[#This Row],[Названия строк]],Котировки[[&lt;DATE&gt;]:[&lt;VOL&gt;]],6,0)</f>
        <v>100.9</v>
      </c>
      <c r="D195" s="26">
        <f>INDEX(Купоны[Дата],MATCH($A195,Купоны[Дата],1))</f>
        <v>43567</v>
      </c>
      <c r="E195" s="24">
        <f>Купоны!$C$4*(A195-D195)/365*100</f>
        <v>0.89863013698630134</v>
      </c>
      <c r="F195" s="27">
        <f>-B195*(C195+E195)*Купоны!$G$10/100</f>
        <v>-335935.47945205477</v>
      </c>
      <c r="G195" s="34">
        <f>SUM($B$2:B195)</f>
        <v>540</v>
      </c>
      <c r="H195" s="31">
        <f>_xlfn.IFNA(VLOOKUP($A195,Купоны[[Дата]:[% от номинала]],3,0),0)*Купоны!$G$10/100*G195</f>
        <v>0</v>
      </c>
      <c r="I195" s="36">
        <f>Таблица16[[#This Row],[Денежный поток]]+Таблица16[[#This Row],[Купонный доход]]</f>
        <v>-335935.47945205477</v>
      </c>
      <c r="J195" s="31">
        <f>Таблица16[[#This Row],[Общий денежный поток]]/((1+$L$2)^((Таблица16[[#This Row],[Названия строк]]-$A$2)/365))</f>
        <v>-287461.32179420796</v>
      </c>
    </row>
    <row r="196" spans="1:10" x14ac:dyDescent="0.3">
      <c r="A196" s="23">
        <v>43609</v>
      </c>
      <c r="B196" s="24">
        <v>400</v>
      </c>
      <c r="C196" s="24">
        <f>VLOOKUP(Таблица16[[#This Row],[Названия строк]],Котировки[[&lt;DATE&gt;]:[&lt;VOL&gt;]],6,0)</f>
        <v>100.68</v>
      </c>
      <c r="D196" s="26">
        <f>INDEX(Купоны[Дата],MATCH($A196,Купоны[Дата],1))</f>
        <v>43567</v>
      </c>
      <c r="E196" s="24">
        <f>Купоны!$C$4*(A196-D196)/365*100</f>
        <v>0.92054794520547933</v>
      </c>
      <c r="F196" s="27">
        <f>-B196*(C196+E196)*Купоны!$G$10/100</f>
        <v>-406402.191780822</v>
      </c>
      <c r="G196" s="34">
        <f>SUM($B$2:B196)</f>
        <v>940</v>
      </c>
      <c r="H196" s="31">
        <f>_xlfn.IFNA(VLOOKUP($A196,Купоны[[Дата]:[% от номинала]],3,0),0)*Купоны!$G$10/100*G196</f>
        <v>0</v>
      </c>
      <c r="I196" s="36">
        <f>Таблица16[[#This Row],[Денежный поток]]+Таблица16[[#This Row],[Купонный доход]]</f>
        <v>-406402.191780822</v>
      </c>
      <c r="J196" s="31">
        <f>Таблица16[[#This Row],[Общий денежный поток]]/((1+$L$2)^((Таблица16[[#This Row],[Названия строк]]-$A$2)/365))</f>
        <v>-347667.65941263031</v>
      </c>
    </row>
    <row r="197" spans="1:10" x14ac:dyDescent="0.3">
      <c r="A197" s="23">
        <v>43615</v>
      </c>
      <c r="B197" s="24">
        <v>30</v>
      </c>
      <c r="C197" s="24">
        <f>VLOOKUP(Таблица16[[#This Row],[Названия строк]],Котировки[[&lt;DATE&gt;]:[&lt;VOL&gt;]],6,0)</f>
        <v>100.39</v>
      </c>
      <c r="D197" s="26">
        <f>INDEX(Купоны[Дата],MATCH($A197,Купоны[Дата],1))</f>
        <v>43567</v>
      </c>
      <c r="E197" s="24">
        <f>Купоны!$C$4*(A197-D197)/365*100</f>
        <v>1.0520547945205481</v>
      </c>
      <c r="F197" s="27">
        <f>-B197*(C197+E197)*Купоны!$G$10/100</f>
        <v>-30432.616438356163</v>
      </c>
      <c r="G197" s="34">
        <f>SUM($B$2:B197)</f>
        <v>970</v>
      </c>
      <c r="H197" s="31">
        <f>_xlfn.IFNA(VLOOKUP($A197,Купоны[[Дата]:[% от номинала]],3,0),0)*Купоны!$G$10/100*G197</f>
        <v>0</v>
      </c>
      <c r="I197" s="36">
        <f>Таблица16[[#This Row],[Денежный поток]]+Таблица16[[#This Row],[Купонный доход]]</f>
        <v>-30432.616438356163</v>
      </c>
      <c r="J197" s="31">
        <f>Таблица16[[#This Row],[Общий денежный поток]]/((1+$L$2)^((Таблица16[[#This Row],[Названия строк]]-$A$2)/365))</f>
        <v>-25992.96321273498</v>
      </c>
    </row>
    <row r="198" spans="1:10" x14ac:dyDescent="0.3">
      <c r="A198" s="23">
        <v>43616</v>
      </c>
      <c r="B198" s="24">
        <v>-680</v>
      </c>
      <c r="C198" s="24">
        <f>VLOOKUP(Таблица16[[#This Row],[Названия строк]],Котировки[[&lt;DATE&gt;]:[&lt;VOL&gt;]],6,0)</f>
        <v>100.88</v>
      </c>
      <c r="D198" s="26">
        <f>INDEX(Купоны[Дата],MATCH($A198,Купоны[Дата],1))</f>
        <v>43567</v>
      </c>
      <c r="E198" s="24">
        <f>Купоны!$C$4*(A198-D198)/365*100</f>
        <v>1.0739726027397261</v>
      </c>
      <c r="F198" s="27">
        <f>-B198*(C198+E198)*Купоны!$G$10/100</f>
        <v>693287.01369863015</v>
      </c>
      <c r="G198" s="34">
        <f>SUM($B$2:B198)</f>
        <v>290</v>
      </c>
      <c r="H198" s="31">
        <f>_xlfn.IFNA(VLOOKUP($A198,Купоны[[Дата]:[% от номинала]],3,0),0)*Купоны!$G$10/100*G198</f>
        <v>0</v>
      </c>
      <c r="I198" s="36">
        <f>Таблица16[[#This Row],[Денежный поток]]+Таблица16[[#This Row],[Купонный доход]]</f>
        <v>693287.01369863015</v>
      </c>
      <c r="J198" s="31">
        <f>Таблица16[[#This Row],[Общий денежный поток]]/((1+$L$2)^((Таблица16[[#This Row],[Названия строк]]-$A$2)/365))</f>
        <v>591989.86695091764</v>
      </c>
    </row>
    <row r="199" spans="1:10" x14ac:dyDescent="0.3">
      <c r="A199" s="23">
        <v>43621</v>
      </c>
      <c r="B199" s="24">
        <v>680</v>
      </c>
      <c r="C199" s="24">
        <f>VLOOKUP(Таблица16[[#This Row],[Названия строк]],Котировки[[&lt;DATE&gt;]:[&lt;VOL&gt;]],6,0)</f>
        <v>100.84</v>
      </c>
      <c r="D199" s="26">
        <f>INDEX(Купоны[Дата],MATCH($A199,Купоны[Дата],1))</f>
        <v>43567</v>
      </c>
      <c r="E199" s="24">
        <f>Купоны!$C$4*(A199-D199)/365*100</f>
        <v>1.1835616438356167</v>
      </c>
      <c r="F199" s="27">
        <f>-B199*(C199+E199)*Купоны!$G$10/100</f>
        <v>-693760.21917808219</v>
      </c>
      <c r="G199" s="34">
        <f>SUM($B$2:B199)</f>
        <v>970</v>
      </c>
      <c r="H199" s="31">
        <f>_xlfn.IFNA(VLOOKUP($A199,Купоны[[Дата]:[% от номинала]],3,0),0)*Купоны!$G$10/100*G199</f>
        <v>0</v>
      </c>
      <c r="I199" s="36">
        <f>Таблица16[[#This Row],[Денежный поток]]+Таблица16[[#This Row],[Купонный доход]]</f>
        <v>-693760.21917808219</v>
      </c>
      <c r="J199" s="31">
        <f>Таблица16[[#This Row],[Общий денежный поток]]/((1+$L$2)^((Таблица16[[#This Row],[Названия строк]]-$A$2)/365))</f>
        <v>-591608.13971367863</v>
      </c>
    </row>
    <row r="200" spans="1:10" x14ac:dyDescent="0.3">
      <c r="A200" s="23">
        <v>43623</v>
      </c>
      <c r="B200" s="24">
        <v>-330</v>
      </c>
      <c r="C200" s="24">
        <f>VLOOKUP(Таблица16[[#This Row],[Названия строк]],Котировки[[&lt;DATE&gt;]:[&lt;VOL&gt;]],6,0)</f>
        <v>100.71</v>
      </c>
      <c r="D200" s="26">
        <f>INDEX(Купоны[Дата],MATCH($A200,Купоны[Дата],1))</f>
        <v>43567</v>
      </c>
      <c r="E200" s="24">
        <f>Купоны!$C$4*(A200-D200)/365*100</f>
        <v>1.2273972602739727</v>
      </c>
      <c r="F200" s="27">
        <f>-B200*(C200+E200)*Купоны!$G$10/100</f>
        <v>336393.41095890402</v>
      </c>
      <c r="G200" s="34">
        <f>SUM($B$2:B200)</f>
        <v>640</v>
      </c>
      <c r="H200" s="31">
        <f>_xlfn.IFNA(VLOOKUP($A200,Купоны[[Дата]:[% от номинала]],3,0),0)*Купоны!$G$10/100*G200</f>
        <v>0</v>
      </c>
      <c r="I200" s="36">
        <f>Таблица16[[#This Row],[Денежный поток]]+Таблица16[[#This Row],[Купонный доход]]</f>
        <v>336393.41095890402</v>
      </c>
      <c r="J200" s="31">
        <f>Таблица16[[#This Row],[Общий денежный поток]]/((1+$L$2)^((Таблица16[[#This Row],[Названия строк]]-$A$2)/365))</f>
        <v>286709.20971572737</v>
      </c>
    </row>
    <row r="201" spans="1:10" x14ac:dyDescent="0.3">
      <c r="A201" s="23">
        <v>43626</v>
      </c>
      <c r="B201" s="24">
        <v>380</v>
      </c>
      <c r="C201" s="24">
        <f>VLOOKUP(Таблица16[[#This Row],[Названия строк]],Котировки[[&lt;DATE&gt;]:[&lt;VOL&gt;]],6,0)</f>
        <v>100.85</v>
      </c>
      <c r="D201" s="26">
        <f>INDEX(Купоны[Дата],MATCH($A201,Купоны[Дата],1))</f>
        <v>43567</v>
      </c>
      <c r="E201" s="24">
        <f>Купоны!$C$4*(A201-D201)/365*100</f>
        <v>1.2931506849315069</v>
      </c>
      <c r="F201" s="27">
        <f>-B201*(C201+E201)*Купоны!$G$10/100</f>
        <v>-388143.97260273964</v>
      </c>
      <c r="G201" s="34">
        <f>SUM($B$2:B201)</f>
        <v>1020</v>
      </c>
      <c r="H201" s="31">
        <f>_xlfn.IFNA(VLOOKUP($A201,Купоны[[Дата]:[% от номинала]],3,0),0)*Купоны!$G$10/100*G201</f>
        <v>0</v>
      </c>
      <c r="I201" s="36">
        <f>Таблица16[[#This Row],[Денежный поток]]+Таблица16[[#This Row],[Купонный доход]]</f>
        <v>-388143.97260273964</v>
      </c>
      <c r="J201" s="31">
        <f>Таблица16[[#This Row],[Общий денежный поток]]/((1+$L$2)^((Таблица16[[#This Row],[Названия строк]]-$A$2)/365))</f>
        <v>-330553.02304799727</v>
      </c>
    </row>
    <row r="202" spans="1:10" x14ac:dyDescent="0.3">
      <c r="A202" s="23">
        <v>43627</v>
      </c>
      <c r="B202" s="24">
        <v>20</v>
      </c>
      <c r="C202" s="24">
        <f>VLOOKUP(Таблица16[[#This Row],[Названия строк]],Котировки[[&lt;DATE&gt;]:[&lt;VOL&gt;]],6,0)</f>
        <v>100.89</v>
      </c>
      <c r="D202" s="26">
        <f>INDEX(Купоны[Дата],MATCH($A202,Купоны[Дата],1))</f>
        <v>43567</v>
      </c>
      <c r="E202" s="24">
        <f>Купоны!$C$4*(A202-D202)/365*100</f>
        <v>1.3150684931506849</v>
      </c>
      <c r="F202" s="27">
        <f>-B202*(C202+E202)*Купоны!$G$10/100</f>
        <v>-20441.013698630137</v>
      </c>
      <c r="G202" s="34">
        <f>SUM($B$2:B202)</f>
        <v>1040</v>
      </c>
      <c r="H202" s="31">
        <f>_xlfn.IFNA(VLOOKUP($A202,Купоны[[Дата]:[% от номинала]],3,0),0)*Купоны!$G$10/100*G202</f>
        <v>0</v>
      </c>
      <c r="I202" s="36">
        <f>Таблица16[[#This Row],[Денежный поток]]+Таблица16[[#This Row],[Купонный доход]]</f>
        <v>-20441.013698630137</v>
      </c>
      <c r="J202" s="31">
        <f>Таблица16[[#This Row],[Общий денежный поток]]/((1+$L$2)^((Таблица16[[#This Row],[Названия строк]]-$A$2)/365))</f>
        <v>-17403.452971503233</v>
      </c>
    </row>
    <row r="203" spans="1:10" x14ac:dyDescent="0.3">
      <c r="A203" s="23">
        <v>43630</v>
      </c>
      <c r="B203" s="24">
        <v>-140</v>
      </c>
      <c r="C203" s="24">
        <f>VLOOKUP(Таблица16[[#This Row],[Названия строк]],Котировки[[&lt;DATE&gt;]:[&lt;VOL&gt;]],6,0)</f>
        <v>100.99</v>
      </c>
      <c r="D203" s="26">
        <f>INDEX(Купоны[Дата],MATCH($A203,Купоны[Дата],1))</f>
        <v>43567</v>
      </c>
      <c r="E203" s="24">
        <f>Купоны!$C$4*(A203-D203)/365*100</f>
        <v>1.3808219178082191</v>
      </c>
      <c r="F203" s="27">
        <f>-B203*(C203+E203)*Купоны!$G$10/100</f>
        <v>143319.15068493149</v>
      </c>
      <c r="G203" s="34">
        <f>SUM($B$2:B203)</f>
        <v>900</v>
      </c>
      <c r="H203" s="31">
        <f>_xlfn.IFNA(VLOOKUP($A203,Купоны[[Дата]:[% от номинала]],3,0),0)*Купоны!$G$10/100*G203</f>
        <v>0</v>
      </c>
      <c r="I203" s="36">
        <f>Таблица16[[#This Row],[Денежный поток]]+Таблица16[[#This Row],[Купонный доход]]</f>
        <v>143319.15068493149</v>
      </c>
      <c r="J203" s="31">
        <f>Таблица16[[#This Row],[Общий денежный поток]]/((1+$L$2)^((Таблица16[[#This Row],[Названия строк]]-$A$2)/365))</f>
        <v>121924.60136535134</v>
      </c>
    </row>
    <row r="204" spans="1:10" x14ac:dyDescent="0.3">
      <c r="A204" s="23">
        <v>43637</v>
      </c>
      <c r="B204" s="24">
        <v>750</v>
      </c>
      <c r="C204" s="24">
        <f>VLOOKUP(Таблица16[[#This Row],[Названия строк]],Котировки[[&lt;DATE&gt;]:[&lt;VOL&gt;]],6,0)</f>
        <v>101.18</v>
      </c>
      <c r="D204" s="26">
        <f>INDEX(Купоны[Дата],MATCH($A204,Купоны[Дата],1))</f>
        <v>43567</v>
      </c>
      <c r="E204" s="24">
        <f>Купоны!$C$4*(A204-D204)/365*100</f>
        <v>1.5342465753424659</v>
      </c>
      <c r="F204" s="27">
        <f>-B204*(C204+E204)*Купоны!$G$10/100</f>
        <v>-770356.84931506857</v>
      </c>
      <c r="G204" s="34">
        <f>SUM($B$2:B204)</f>
        <v>1650</v>
      </c>
      <c r="H204" s="31">
        <f>_xlfn.IFNA(VLOOKUP($A204,Купоны[[Дата]:[% от номинала]],3,0),0)*Купоны!$G$10/100*G204</f>
        <v>0</v>
      </c>
      <c r="I204" s="36">
        <f>Таблица16[[#This Row],[Денежный поток]]+Таблица16[[#This Row],[Купонный доход]]</f>
        <v>-770356.84931506857</v>
      </c>
      <c r="J204" s="31">
        <f>Таблица16[[#This Row],[Общий денежный поток]]/((1+$L$2)^((Таблица16[[#This Row],[Названия строк]]-$A$2)/365))</f>
        <v>-654141.98146123788</v>
      </c>
    </row>
    <row r="205" spans="1:10" x14ac:dyDescent="0.3">
      <c r="A205" s="23">
        <v>43641</v>
      </c>
      <c r="B205" s="24">
        <v>-1180</v>
      </c>
      <c r="C205" s="24">
        <f>VLOOKUP(Таблица16[[#This Row],[Названия строк]],Котировки[[&lt;DATE&gt;]:[&lt;VOL&gt;]],6,0)</f>
        <v>101</v>
      </c>
      <c r="D205" s="26">
        <f>INDEX(Купоны[Дата],MATCH($A205,Купоны[Дата],1))</f>
        <v>43567</v>
      </c>
      <c r="E205" s="24">
        <f>Купоны!$C$4*(A205-D205)/365*100</f>
        <v>1.6219178082191781</v>
      </c>
      <c r="F205" s="27">
        <f>-B205*(C205+E205)*Купоны!$G$10/100</f>
        <v>1210938.6301369863</v>
      </c>
      <c r="G205" s="34">
        <f>SUM($B$2:B205)</f>
        <v>470</v>
      </c>
      <c r="H205" s="31">
        <f>_xlfn.IFNA(VLOOKUP($A205,Купоны[[Дата]:[% от номинала]],3,0),0)*Купоны!$G$10/100*G205</f>
        <v>0</v>
      </c>
      <c r="I205" s="36">
        <f>Таблица16[[#This Row],[Денежный поток]]+Таблица16[[#This Row],[Купонный доход]]</f>
        <v>1210938.6301369863</v>
      </c>
      <c r="J205" s="31">
        <f>Таблица16[[#This Row],[Общий денежный поток]]/((1+$L$2)^((Таблица16[[#This Row],[Названия строк]]-$A$2)/365))</f>
        <v>1027166.9552176676</v>
      </c>
    </row>
    <row r="206" spans="1:10" x14ac:dyDescent="0.3">
      <c r="A206" s="23">
        <v>43650</v>
      </c>
      <c r="B206" s="24">
        <v>280</v>
      </c>
      <c r="C206" s="24">
        <f>VLOOKUP(Таблица16[[#This Row],[Названия строк]],Котировки[[&lt;DATE&gt;]:[&lt;VOL&gt;]],6,0)</f>
        <v>100.87</v>
      </c>
      <c r="D206" s="26">
        <f>INDEX(Купоны[Дата],MATCH($A206,Купоны[Дата],1))</f>
        <v>43567</v>
      </c>
      <c r="E206" s="24">
        <f>Купоны!$C$4*(A206-D206)/365*100</f>
        <v>1.8191780821917809</v>
      </c>
      <c r="F206" s="27">
        <f>-B206*(C206+E206)*Купоны!$G$10/100</f>
        <v>-287529.69863013702</v>
      </c>
      <c r="G206" s="34">
        <f>SUM($B$2:B206)</f>
        <v>750</v>
      </c>
      <c r="H206" s="31">
        <f>_xlfn.IFNA(VLOOKUP($A206,Купоны[[Дата]:[% от номинала]],3,0),0)*Купоны!$G$10/100*G206</f>
        <v>0</v>
      </c>
      <c r="I206" s="36">
        <f>Таблица16[[#This Row],[Денежный поток]]+Таблица16[[#This Row],[Купонный доход]]</f>
        <v>-287529.69863013702</v>
      </c>
      <c r="J206" s="31">
        <f>Таблица16[[#This Row],[Общий денежный поток]]/((1+$L$2)^((Таблица16[[#This Row],[Названия строк]]-$A$2)/365))</f>
        <v>-243312.25618308486</v>
      </c>
    </row>
    <row r="207" spans="1:10" x14ac:dyDescent="0.3">
      <c r="A207" s="23">
        <v>43654</v>
      </c>
      <c r="B207" s="24">
        <v>-80</v>
      </c>
      <c r="C207" s="24">
        <f>VLOOKUP(Таблица16[[#This Row],[Названия строк]],Котировки[[&lt;DATE&gt;]:[&lt;VOL&gt;]],6,0)</f>
        <v>100.9</v>
      </c>
      <c r="D207" s="26">
        <f>INDEX(Купоны[Дата],MATCH($A207,Купоны[Дата],1))</f>
        <v>43567</v>
      </c>
      <c r="E207" s="24">
        <f>Купоны!$C$4*(A207-D207)/365*100</f>
        <v>1.9068493150684933</v>
      </c>
      <c r="F207" s="27">
        <f>-B207*(C207+E207)*Купоны!$G$10/100</f>
        <v>82245.479452054802</v>
      </c>
      <c r="G207" s="34">
        <f>SUM($B$2:B207)</f>
        <v>670</v>
      </c>
      <c r="H207" s="31">
        <f>_xlfn.IFNA(VLOOKUP($A207,Купоны[[Дата]:[% от номинала]],3,0),0)*Купоны!$G$10/100*G207</f>
        <v>0</v>
      </c>
      <c r="I207" s="36">
        <f>Таблица16[[#This Row],[Денежный поток]]+Таблица16[[#This Row],[Купонный доход]]</f>
        <v>82245.479452054802</v>
      </c>
      <c r="J207" s="31">
        <f>Таблица16[[#This Row],[Общий денежный поток]]/((1+$L$2)^((Таблица16[[#This Row],[Названия строк]]-$A$2)/365))</f>
        <v>69523.582843663942</v>
      </c>
    </row>
    <row r="208" spans="1:10" x14ac:dyDescent="0.3">
      <c r="A208" s="23">
        <v>43655</v>
      </c>
      <c r="B208" s="24">
        <v>440</v>
      </c>
      <c r="C208" s="24">
        <f>VLOOKUP(Таблица16[[#This Row],[Названия строк]],Котировки[[&lt;DATE&gt;]:[&lt;VOL&gt;]],6,0)</f>
        <v>100.8</v>
      </c>
      <c r="D208" s="26">
        <f>INDEX(Купоны[Дата],MATCH($A208,Купоны[Дата],1))</f>
        <v>43567</v>
      </c>
      <c r="E208" s="24">
        <f>Купоны!$C$4*(A208-D208)/365*100</f>
        <v>1.9287671232876713</v>
      </c>
      <c r="F208" s="27">
        <f>-B208*(C208+E208)*Купоны!$G$10/100</f>
        <v>-452006.57534246572</v>
      </c>
      <c r="G208" s="34">
        <f>SUM($B$2:B208)</f>
        <v>1110</v>
      </c>
      <c r="H208" s="31">
        <f>_xlfn.IFNA(VLOOKUP($A208,Купоны[[Дата]:[% от номинала]],3,0),0)*Купоны!$G$10/100*G208</f>
        <v>0</v>
      </c>
      <c r="I208" s="36">
        <f>Таблица16[[#This Row],[Денежный поток]]+Таблица16[[#This Row],[Купонный доход]]</f>
        <v>-452006.57534246572</v>
      </c>
      <c r="J208" s="31">
        <f>Таблица16[[#This Row],[Общий денежный поток]]/((1+$L$2)^((Таблица16[[#This Row],[Названия строк]]-$A$2)/365))</f>
        <v>-381987.86708376132</v>
      </c>
    </row>
    <row r="209" spans="1:10" x14ac:dyDescent="0.3">
      <c r="A209" s="23">
        <v>43656</v>
      </c>
      <c r="B209" s="24">
        <v>-630</v>
      </c>
      <c r="C209" s="24">
        <f>VLOOKUP(Таблица16[[#This Row],[Названия строк]],Котировки[[&lt;DATE&gt;]:[&lt;VOL&gt;]],6,0)</f>
        <v>100.79</v>
      </c>
      <c r="D209" s="26">
        <f>INDEX(Купоны[Дата],MATCH($A209,Купоны[Дата],1))</f>
        <v>43567</v>
      </c>
      <c r="E209" s="24">
        <f>Купоны!$C$4*(A209-D209)/365*100</f>
        <v>1.9506849315068493</v>
      </c>
      <c r="F209" s="27">
        <f>-B209*(C209+E209)*Купоны!$G$10/100</f>
        <v>647266.31506849313</v>
      </c>
      <c r="G209" s="34">
        <f>SUM($B$2:B209)</f>
        <v>480</v>
      </c>
      <c r="H209" s="31">
        <f>_xlfn.IFNA(VLOOKUP($A209,Купоны[[Дата]:[% от номинала]],3,0),0)*Купоны!$G$10/100*G209</f>
        <v>0</v>
      </c>
      <c r="I209" s="36">
        <f>Таблица16[[#This Row],[Денежный поток]]+Таблица16[[#This Row],[Купонный доход]]</f>
        <v>647266.31506849313</v>
      </c>
      <c r="J209" s="31">
        <f>Таблица16[[#This Row],[Общий денежный поток]]/((1+$L$2)^((Таблица16[[#This Row],[Названия строк]]-$A$2)/365))</f>
        <v>546855.43190782354</v>
      </c>
    </row>
    <row r="210" spans="1:10" x14ac:dyDescent="0.3">
      <c r="A210" s="23">
        <v>43658</v>
      </c>
      <c r="B210" s="24">
        <v>80</v>
      </c>
      <c r="C210" s="24">
        <f>VLOOKUP(Таблица16[[#This Row],[Названия строк]],Котировки[[&lt;DATE&gt;]:[&lt;VOL&gt;]],6,0)</f>
        <v>100.86</v>
      </c>
      <c r="D210" s="26">
        <f>INDEX(Купоны[Дата],MATCH($A210,Купоны[Дата],1))</f>
        <v>43567</v>
      </c>
      <c r="E210" s="24">
        <f>Купоны!$C$4*(A210-D210)/365*100</f>
        <v>1.9945205479452055</v>
      </c>
      <c r="F210" s="27">
        <f>-B210*(C210+E210)*Купоны!$G$10/100</f>
        <v>-82283.61643835617</v>
      </c>
      <c r="G210" s="34">
        <f>SUM($B$2:B210)</f>
        <v>560</v>
      </c>
      <c r="H210" s="31">
        <f>_xlfn.IFNA(VLOOKUP($A210,Купоны[[Дата]:[% от номинала]],3,0),0)*Купоны!$G$10/100*G210</f>
        <v>0</v>
      </c>
      <c r="I210" s="36">
        <f>Таблица16[[#This Row],[Денежный поток]]+Таблица16[[#This Row],[Купонный доход]]</f>
        <v>-82283.61643835617</v>
      </c>
      <c r="J210" s="31">
        <f>Таблица16[[#This Row],[Общий денежный поток]]/((1+$L$2)^((Таблица16[[#This Row],[Названия строк]]-$A$2)/365))</f>
        <v>-69482.000034088662</v>
      </c>
    </row>
    <row r="211" spans="1:10" x14ac:dyDescent="0.3">
      <c r="A211" s="23">
        <v>43664</v>
      </c>
      <c r="B211" s="24">
        <v>580</v>
      </c>
      <c r="C211" s="24">
        <f>VLOOKUP(Таблица16[[#This Row],[Названия строк]],Котировки[[&lt;DATE&gt;]:[&lt;VOL&gt;]],6,0)</f>
        <v>100.7</v>
      </c>
      <c r="D211" s="26">
        <f>INDEX(Купоны[Дата],MATCH($A211,Купоны[Дата],1))</f>
        <v>43567</v>
      </c>
      <c r="E211" s="24">
        <f>Купоны!$C$4*(A211-D211)/365*100</f>
        <v>2.1260273972602737</v>
      </c>
      <c r="F211" s="27">
        <f>-B211*(C211+E211)*Купоны!$G$10/100</f>
        <v>-596390.95890410955</v>
      </c>
      <c r="G211" s="34">
        <f>SUM($B$2:B211)</f>
        <v>1140</v>
      </c>
      <c r="H211" s="31">
        <f>_xlfn.IFNA(VLOOKUP($A211,Купоны[[Дата]:[% от номинала]],3,0),0)*Купоны!$G$10/100*G211</f>
        <v>0</v>
      </c>
      <c r="I211" s="36">
        <f>Таблица16[[#This Row],[Денежный поток]]+Таблица16[[#This Row],[Купонный доход]]</f>
        <v>-596390.95890410955</v>
      </c>
      <c r="J211" s="31">
        <f>Таблица16[[#This Row],[Общий денежный поток]]/((1+$L$2)^((Таблица16[[#This Row],[Названия строк]]-$A$2)/365))</f>
        <v>-502803.43796741148</v>
      </c>
    </row>
    <row r="212" spans="1:10" x14ac:dyDescent="0.3">
      <c r="A212" s="23">
        <v>43665</v>
      </c>
      <c r="B212" s="24">
        <v>10</v>
      </c>
      <c r="C212" s="24">
        <f>VLOOKUP(Таблица16[[#This Row],[Названия строк]],Котировки[[&lt;DATE&gt;]:[&lt;VOL&gt;]],6,0)</f>
        <v>100.7</v>
      </c>
      <c r="D212" s="26">
        <f>INDEX(Купоны[Дата],MATCH($A212,Купоны[Дата],1))</f>
        <v>43567</v>
      </c>
      <c r="E212" s="24">
        <f>Купоны!$C$4*(A212-D212)/365*100</f>
        <v>2.1479452054794521</v>
      </c>
      <c r="F212" s="27">
        <f>-B212*(C212+E212)*Купоны!$G$10/100</f>
        <v>-10284.794520547945</v>
      </c>
      <c r="G212" s="34">
        <f>SUM($B$2:B212)</f>
        <v>1150</v>
      </c>
      <c r="H212" s="31">
        <f>_xlfn.IFNA(VLOOKUP($A212,Купоны[[Дата]:[% от номинала]],3,0),0)*Купоны!$G$10/100*G212</f>
        <v>0</v>
      </c>
      <c r="I212" s="36">
        <f>Таблица16[[#This Row],[Денежный поток]]+Таблица16[[#This Row],[Купонный доход]]</f>
        <v>-10284.794520547945</v>
      </c>
      <c r="J212" s="31">
        <f>Таблица16[[#This Row],[Общий денежный поток]]/((1+$L$2)^((Таблица16[[#This Row],[Названия строк]]-$A$2)/365))</f>
        <v>-8668.5710826258819</v>
      </c>
    </row>
    <row r="213" spans="1:10" x14ac:dyDescent="0.3">
      <c r="A213" s="23">
        <v>43669</v>
      </c>
      <c r="B213" s="24">
        <v>480</v>
      </c>
      <c r="C213" s="24">
        <f>VLOOKUP(Таблица16[[#This Row],[Названия строк]],Котировки[[&lt;DATE&gt;]:[&lt;VOL&gt;]],6,0)</f>
        <v>100.79</v>
      </c>
      <c r="D213" s="26">
        <f>INDEX(Купоны[Дата],MATCH($A213,Купоны[Дата],1))</f>
        <v>43567</v>
      </c>
      <c r="E213" s="24">
        <f>Купоны!$C$4*(A213-D213)/365*100</f>
        <v>2.2356164383561645</v>
      </c>
      <c r="F213" s="27">
        <f>-B213*(C213+E213)*Купоны!$G$10/100</f>
        <v>-494522.9589041096</v>
      </c>
      <c r="G213" s="34">
        <f>SUM($B$2:B213)</f>
        <v>1630</v>
      </c>
      <c r="H213" s="31">
        <f>_xlfn.IFNA(VLOOKUP($A213,Купоны[[Дата]:[% от номинала]],3,0),0)*Купоны!$G$10/100*G213</f>
        <v>0</v>
      </c>
      <c r="I213" s="36">
        <f>Таблица16[[#This Row],[Денежный поток]]+Таблица16[[#This Row],[Купонный доход]]</f>
        <v>-494522.9589041096</v>
      </c>
      <c r="J213" s="31">
        <f>Таблица16[[#This Row],[Общий денежный поток]]/((1+$L$2)^((Таблица16[[#This Row],[Названия строк]]-$A$2)/365))</f>
        <v>-416367.8483167658</v>
      </c>
    </row>
    <row r="214" spans="1:10" x14ac:dyDescent="0.3">
      <c r="A214" s="23">
        <v>43676</v>
      </c>
      <c r="B214" s="24">
        <v>-1330</v>
      </c>
      <c r="C214" s="24">
        <f>VLOOKUP(Таблица16[[#This Row],[Названия строк]],Котировки[[&lt;DATE&gt;]:[&lt;VOL&gt;]],6,0)</f>
        <v>100.65</v>
      </c>
      <c r="D214" s="26">
        <f>INDEX(Купоны[Дата],MATCH($A214,Купоны[Дата],1))</f>
        <v>43567</v>
      </c>
      <c r="E214" s="24">
        <f>Купоны!$C$4*(A214-D214)/365*100</f>
        <v>2.3890410958904109</v>
      </c>
      <c r="F214" s="27">
        <f>-B214*(C214+E214)*Купоны!$G$10/100</f>
        <v>1370419.2465753425</v>
      </c>
      <c r="G214" s="34">
        <f>SUM($B$2:B214)</f>
        <v>300</v>
      </c>
      <c r="H214" s="31">
        <f>_xlfn.IFNA(VLOOKUP($A214,Купоны[[Дата]:[% от номинала]],3,0),0)*Купоны!$G$10/100*G214</f>
        <v>0</v>
      </c>
      <c r="I214" s="36">
        <f>Таблица16[[#This Row],[Денежный поток]]+Таблица16[[#This Row],[Купонный доход]]</f>
        <v>1370419.2465753425</v>
      </c>
      <c r="J214" s="31">
        <f>Таблица16[[#This Row],[Общий денежный поток]]/((1+$L$2)^((Таблица16[[#This Row],[Названия строк]]-$A$2)/365))</f>
        <v>1151694.0729374741</v>
      </c>
    </row>
    <row r="215" spans="1:10" x14ac:dyDescent="0.3">
      <c r="A215" s="23">
        <v>43685</v>
      </c>
      <c r="B215" s="24">
        <v>650</v>
      </c>
      <c r="C215" s="24">
        <f>VLOOKUP(Таблица16[[#This Row],[Названия строк]],Котировки[[&lt;DATE&gt;]:[&lt;VOL&gt;]],6,0)</f>
        <v>101.01</v>
      </c>
      <c r="D215" s="26">
        <f>INDEX(Купоны[Дата],MATCH($A215,Купоны[Дата],1))</f>
        <v>43567</v>
      </c>
      <c r="E215" s="24">
        <f>Купоны!$C$4*(A215-D215)/365*100</f>
        <v>2.5863013698630137</v>
      </c>
      <c r="F215" s="27">
        <f>-B215*(C215+E215)*Купоны!$G$10/100</f>
        <v>-673375.95890410955</v>
      </c>
      <c r="G215" s="34">
        <f>SUM($B$2:B215)</f>
        <v>950</v>
      </c>
      <c r="H215" s="31">
        <f>_xlfn.IFNA(VLOOKUP($A215,Купоны[[Дата]:[% от номинала]],3,0),0)*Купоны!$G$10/100*G215</f>
        <v>0</v>
      </c>
      <c r="I215" s="36">
        <f>Таблица16[[#This Row],[Денежный поток]]+Таблица16[[#This Row],[Купонный доход]]</f>
        <v>-673375.95890410955</v>
      </c>
      <c r="J215" s="31">
        <f>Таблица16[[#This Row],[Общий денежный поток]]/((1+$L$2)^((Таблица16[[#This Row],[Названия строк]]-$A$2)/365))</f>
        <v>-564551.62348436238</v>
      </c>
    </row>
    <row r="216" spans="1:10" x14ac:dyDescent="0.3">
      <c r="A216" s="23">
        <v>43686</v>
      </c>
      <c r="B216" s="24">
        <v>40</v>
      </c>
      <c r="C216" s="24">
        <f>VLOOKUP(Таблица16[[#This Row],[Названия строк]],Котировки[[&lt;DATE&gt;]:[&lt;VOL&gt;]],6,0)</f>
        <v>101.2</v>
      </c>
      <c r="D216" s="26">
        <f>INDEX(Купоны[Дата],MATCH($A216,Купоны[Дата],1))</f>
        <v>43567</v>
      </c>
      <c r="E216" s="24">
        <f>Купоны!$C$4*(A216-D216)/365*100</f>
        <v>2.6082191780821917</v>
      </c>
      <c r="F216" s="27">
        <f>-B216*(C216+E216)*Купоны!$G$10/100</f>
        <v>-41523.287671232887</v>
      </c>
      <c r="G216" s="34">
        <f>SUM($B$2:B216)</f>
        <v>990</v>
      </c>
      <c r="H216" s="31">
        <f>_xlfn.IFNA(VLOOKUP($A216,Купоны[[Дата]:[% от номинала]],3,0),0)*Купоны!$G$10/100*G216</f>
        <v>0</v>
      </c>
      <c r="I216" s="36">
        <f>Таблица16[[#This Row],[Денежный поток]]+Таблица16[[#This Row],[Купонный доход]]</f>
        <v>-41523.287671232887</v>
      </c>
      <c r="J216" s="31">
        <f>Таблица16[[#This Row],[Общий денежный поток]]/((1+$L$2)^((Таблица16[[#This Row],[Названия строк]]-$A$2)/365))</f>
        <v>-34803.465773808719</v>
      </c>
    </row>
    <row r="217" spans="1:10" x14ac:dyDescent="0.3">
      <c r="A217" s="23">
        <v>43696</v>
      </c>
      <c r="B217" s="24">
        <v>580</v>
      </c>
      <c r="C217" s="24">
        <f>VLOOKUP(Таблица16[[#This Row],[Названия строк]],Котировки[[&lt;DATE&gt;]:[&lt;VOL&gt;]],6,0)</f>
        <v>101.11</v>
      </c>
      <c r="D217" s="26">
        <f>INDEX(Купоны[Дата],MATCH($A217,Купоны[Дата],1))</f>
        <v>43567</v>
      </c>
      <c r="E217" s="24">
        <f>Купоны!$C$4*(A217-D217)/365*100</f>
        <v>2.8273972602739725</v>
      </c>
      <c r="F217" s="27">
        <f>-B217*(C217+E217)*Купоны!$G$10/100</f>
        <v>-602836.90410958906</v>
      </c>
      <c r="G217" s="34">
        <f>SUM($B$2:B217)</f>
        <v>1570</v>
      </c>
      <c r="H217" s="31">
        <f>_xlfn.IFNA(VLOOKUP($A217,Купоны[[Дата]:[% от номинала]],3,0),0)*Купоны!$G$10/100*G217</f>
        <v>0</v>
      </c>
      <c r="I217" s="36">
        <f>Таблица16[[#This Row],[Денежный поток]]+Таблица16[[#This Row],[Купонный доход]]</f>
        <v>-602836.90410958906</v>
      </c>
      <c r="J217" s="31">
        <f>Таблица16[[#This Row],[Общий денежный поток]]/((1+$L$2)^((Таблица16[[#This Row],[Названия строк]]-$A$2)/365))</f>
        <v>-503938.65382753575</v>
      </c>
    </row>
    <row r="218" spans="1:10" x14ac:dyDescent="0.3">
      <c r="A218" s="23">
        <v>43705</v>
      </c>
      <c r="B218" s="24">
        <v>-460</v>
      </c>
      <c r="C218" s="24">
        <f>VLOOKUP(Таблица16[[#This Row],[Названия строк]],Котировки[[&lt;DATE&gt;]:[&lt;VOL&gt;]],6,0)</f>
        <v>101.23</v>
      </c>
      <c r="D218" s="26">
        <f>INDEX(Купоны[Дата],MATCH($A218,Купоны[Дата],1))</f>
        <v>43567</v>
      </c>
      <c r="E218" s="24">
        <f>Купоны!$C$4*(A218-D218)/365*100</f>
        <v>3.0246575342465754</v>
      </c>
      <c r="F218" s="27">
        <f>-B218*(C218+E218)*Купоны!$G$10/100</f>
        <v>479571.42465753423</v>
      </c>
      <c r="G218" s="34">
        <f>SUM($B$2:B218)</f>
        <v>1110</v>
      </c>
      <c r="H218" s="31">
        <f>_xlfn.IFNA(VLOOKUP($A218,Купоны[[Дата]:[% от номинала]],3,0),0)*Купоны!$G$10/100*G218</f>
        <v>0</v>
      </c>
      <c r="I218" s="36">
        <f>Таблица16[[#This Row],[Денежный поток]]+Таблица16[[#This Row],[Купонный доход]]</f>
        <v>479571.42465753423</v>
      </c>
      <c r="J218" s="31">
        <f>Таблица16[[#This Row],[Общий денежный поток]]/((1+$L$2)^((Таблица16[[#This Row],[Названия строк]]-$A$2)/365))</f>
        <v>399938.77272934368</v>
      </c>
    </row>
    <row r="219" spans="1:10" x14ac:dyDescent="0.3">
      <c r="A219" s="23">
        <v>43706</v>
      </c>
      <c r="B219" s="24">
        <v>-140</v>
      </c>
      <c r="C219" s="24">
        <f>VLOOKUP(Таблица16[[#This Row],[Названия строк]],Котировки[[&lt;DATE&gt;]:[&lt;VOL&gt;]],6,0)</f>
        <v>101.2</v>
      </c>
      <c r="D219" s="26">
        <f>INDEX(Купоны[Дата],MATCH($A219,Купоны[Дата],1))</f>
        <v>43567</v>
      </c>
      <c r="E219" s="24">
        <f>Купоны!$C$4*(A219-D219)/365*100</f>
        <v>3.0465753424657538</v>
      </c>
      <c r="F219" s="27">
        <f>-B219*(C219+E219)*Купоны!$G$10/100</f>
        <v>145945.20547945207</v>
      </c>
      <c r="G219" s="34">
        <f>SUM($B$2:B219)</f>
        <v>970</v>
      </c>
      <c r="H219" s="31">
        <f>_xlfn.IFNA(VLOOKUP($A219,Купоны[[Дата]:[% от номинала]],3,0),0)*Купоны!$G$10/100*G219</f>
        <v>0</v>
      </c>
      <c r="I219" s="36">
        <f>Таблица16[[#This Row],[Денежный поток]]+Таблица16[[#This Row],[Купонный доход]]</f>
        <v>145945.20547945207</v>
      </c>
      <c r="J219" s="31">
        <f>Таблица16[[#This Row],[Общий денежный поток]]/((1+$L$2)^((Таблица16[[#This Row],[Названия строк]]-$A$2)/365))</f>
        <v>121678.75351480154</v>
      </c>
    </row>
    <row r="220" spans="1:10" x14ac:dyDescent="0.3">
      <c r="A220" s="23">
        <v>43707</v>
      </c>
      <c r="B220" s="24">
        <v>-40</v>
      </c>
      <c r="C220" s="24">
        <f>VLOOKUP(Таблица16[[#This Row],[Названия строк]],Котировки[[&lt;DATE&gt;]:[&lt;VOL&gt;]],6,0)</f>
        <v>101.2</v>
      </c>
      <c r="D220" s="26">
        <f>INDEX(Купоны[Дата],MATCH($A220,Купоны[Дата],1))</f>
        <v>43567</v>
      </c>
      <c r="E220" s="24">
        <f>Купоны!$C$4*(A220-D220)/365*100</f>
        <v>3.0684931506849318</v>
      </c>
      <c r="F220" s="27">
        <f>-B220*(C220+E220)*Купоны!$G$10/100</f>
        <v>41707.397260273974</v>
      </c>
      <c r="G220" s="34">
        <f>SUM($B$2:B220)</f>
        <v>930</v>
      </c>
      <c r="H220" s="31">
        <f>_xlfn.IFNA(VLOOKUP($A220,Купоны[[Дата]:[% от номинала]],3,0),0)*Купоны!$G$10/100*G220</f>
        <v>0</v>
      </c>
      <c r="I220" s="36">
        <f>Таблица16[[#This Row],[Денежный поток]]+Таблица16[[#This Row],[Купонный доход]]</f>
        <v>41707.397260273974</v>
      </c>
      <c r="J220" s="31">
        <f>Таблица16[[#This Row],[Общий денежный поток]]/((1+$L$2)^((Таблица16[[#This Row],[Названия строк]]-$A$2)/365))</f>
        <v>34763.437682803291</v>
      </c>
    </row>
    <row r="221" spans="1:10" x14ac:dyDescent="0.3">
      <c r="A221" s="23">
        <v>43710</v>
      </c>
      <c r="B221" s="24">
        <v>-680</v>
      </c>
      <c r="C221" s="24">
        <f>VLOOKUP(Таблица16[[#This Row],[Названия строк]],Котировки[[&lt;DATE&gt;]:[&lt;VOL&gt;]],6,0)</f>
        <v>101.23</v>
      </c>
      <c r="D221" s="26">
        <f>INDEX(Купоны[Дата],MATCH($A221,Купоны[Дата],1))</f>
        <v>43567</v>
      </c>
      <c r="E221" s="24">
        <f>Купоны!$C$4*(A221-D221)/365*100</f>
        <v>3.1342465753424658</v>
      </c>
      <c r="F221" s="27">
        <f>-B221*(C221+E221)*Купоны!$G$10/100</f>
        <v>709676.87671232875</v>
      </c>
      <c r="G221" s="34">
        <f>SUM($B$2:B221)</f>
        <v>250</v>
      </c>
      <c r="H221" s="31">
        <f>_xlfn.IFNA(VLOOKUP($A221,Купоны[[Дата]:[% от номинала]],3,0),0)*Купоны!$G$10/100*G221</f>
        <v>0</v>
      </c>
      <c r="I221" s="36">
        <f>Таблица16[[#This Row],[Денежный поток]]+Таблица16[[#This Row],[Купонный доход]]</f>
        <v>709676.87671232875</v>
      </c>
      <c r="J221" s="31">
        <f>Таблица16[[#This Row],[Общий денежный поток]]/((1+$L$2)^((Таблица16[[#This Row],[Названия строк]]-$A$2)/365))</f>
        <v>591050.25135186233</v>
      </c>
    </row>
    <row r="222" spans="1:10" x14ac:dyDescent="0.3">
      <c r="A222" s="23">
        <v>43714</v>
      </c>
      <c r="B222" s="24">
        <v>570</v>
      </c>
      <c r="C222" s="24">
        <f>VLOOKUP(Таблица16[[#This Row],[Названия строк]],Котировки[[&lt;DATE&gt;]:[&lt;VOL&gt;]],6,0)</f>
        <v>101.41</v>
      </c>
      <c r="D222" s="26">
        <f>INDEX(Купоны[Дата],MATCH($A222,Купоны[Дата],1))</f>
        <v>43567</v>
      </c>
      <c r="E222" s="24">
        <f>Купоны!$C$4*(A222-D222)/365*100</f>
        <v>3.2219178082191782</v>
      </c>
      <c r="F222" s="27">
        <f>-B222*(C222+E222)*Купоны!$G$10/100</f>
        <v>-596401.93150684936</v>
      </c>
      <c r="G222" s="34">
        <f>SUM($B$2:B222)</f>
        <v>820</v>
      </c>
      <c r="H222" s="31">
        <f>_xlfn.IFNA(VLOOKUP($A222,Купоны[[Дата]:[% от номинала]],3,0),0)*Купоны!$G$10/100*G222</f>
        <v>0</v>
      </c>
      <c r="I222" s="36">
        <f>Таблица16[[#This Row],[Денежный поток]]+Таблица16[[#This Row],[Купонный доход]]</f>
        <v>-596401.93150684936</v>
      </c>
      <c r="J222" s="31">
        <f>Таблица16[[#This Row],[Общий денежный поток]]/((1+$L$2)^((Таблица16[[#This Row],[Названия строк]]-$A$2)/365))</f>
        <v>-496182.70728621469</v>
      </c>
    </row>
    <row r="223" spans="1:10" x14ac:dyDescent="0.3">
      <c r="A223" s="23">
        <v>43721</v>
      </c>
      <c r="B223" s="24">
        <v>-130</v>
      </c>
      <c r="C223" s="24">
        <f>VLOOKUP(Таблица16[[#This Row],[Названия строк]],Котировки[[&lt;DATE&gt;]:[&lt;VOL&gt;]],6,0)</f>
        <v>101.31</v>
      </c>
      <c r="D223" s="26">
        <f>INDEX(Купоны[Дата],MATCH($A223,Купоны[Дата],1))</f>
        <v>43567</v>
      </c>
      <c r="E223" s="24">
        <f>Купоны!$C$4*(A223-D223)/365*100</f>
        <v>3.3753424657534246</v>
      </c>
      <c r="F223" s="27">
        <f>-B223*(C223+E223)*Купоны!$G$10/100</f>
        <v>136090.94520547945</v>
      </c>
      <c r="G223" s="34">
        <f>SUM($B$2:B223)</f>
        <v>690</v>
      </c>
      <c r="H223" s="31">
        <f>_xlfn.IFNA(VLOOKUP($A223,Купоны[[Дата]:[% от номинала]],3,0),0)*Купоны!$G$10/100*G223</f>
        <v>0</v>
      </c>
      <c r="I223" s="36">
        <f>Таблица16[[#This Row],[Денежный поток]]+Таблица16[[#This Row],[Купонный доход]]</f>
        <v>136090.94520547945</v>
      </c>
      <c r="J223" s="31">
        <f>Таблица16[[#This Row],[Общий денежный поток]]/((1+$L$2)^((Таблица16[[#This Row],[Названия строк]]-$A$2)/365))</f>
        <v>113012.05415457372</v>
      </c>
    </row>
    <row r="224" spans="1:10" x14ac:dyDescent="0.3">
      <c r="A224" s="23">
        <v>43724</v>
      </c>
      <c r="B224" s="24">
        <v>1480</v>
      </c>
      <c r="C224" s="24">
        <f>VLOOKUP(Таблица16[[#This Row],[Названия строк]],Котировки[[&lt;DATE&gt;]:[&lt;VOL&gt;]],6,0)</f>
        <v>101.21</v>
      </c>
      <c r="D224" s="26">
        <f>INDEX(Купоны[Дата],MATCH($A224,Купоны[Дата],1))</f>
        <v>43567</v>
      </c>
      <c r="E224" s="24">
        <f>Купоны!$C$4*(A224-D224)/365*100</f>
        <v>3.441095890410959</v>
      </c>
      <c r="F224" s="27">
        <f>-B224*(C224+E224)*Купоны!$G$10/100</f>
        <v>-1548836.2191780824</v>
      </c>
      <c r="G224" s="34">
        <f>SUM($B$2:B224)</f>
        <v>2170</v>
      </c>
      <c r="H224" s="31">
        <f>_xlfn.IFNA(VLOOKUP($A224,Купоны[[Дата]:[% от номинала]],3,0),0)*Купоны!$G$10/100*G224</f>
        <v>0</v>
      </c>
      <c r="I224" s="36">
        <f>Таблица16[[#This Row],[Денежный поток]]+Таблица16[[#This Row],[Купонный доход]]</f>
        <v>-1548836.2191780824</v>
      </c>
      <c r="J224" s="31">
        <f>Таблица16[[#This Row],[Общий денежный поток]]/((1+$L$2)^((Таблица16[[#This Row],[Названия строк]]-$A$2)/365))</f>
        <v>-1285153.9582264121</v>
      </c>
    </row>
    <row r="225" spans="1:10" x14ac:dyDescent="0.3">
      <c r="A225" s="23">
        <v>43725</v>
      </c>
      <c r="B225" s="24">
        <v>-790</v>
      </c>
      <c r="C225" s="24">
        <f>VLOOKUP(Таблица16[[#This Row],[Названия строк]],Котировки[[&lt;DATE&gt;]:[&lt;VOL&gt;]],6,0)</f>
        <v>101.2</v>
      </c>
      <c r="D225" s="26">
        <f>INDEX(Купоны[Дата],MATCH($A225,Купоны[Дата],1))</f>
        <v>43567</v>
      </c>
      <c r="E225" s="24">
        <f>Купоны!$C$4*(A225-D225)/365*100</f>
        <v>3.4630136986301374</v>
      </c>
      <c r="F225" s="27">
        <f>-B225*(C225+E225)*Купоны!$G$10/100</f>
        <v>826837.80821917811</v>
      </c>
      <c r="G225" s="34">
        <f>SUM($B$2:B225)</f>
        <v>1380</v>
      </c>
      <c r="H225" s="31">
        <f>_xlfn.IFNA(VLOOKUP($A225,Купоны[[Дата]:[% от номинала]],3,0),0)*Купоны!$G$10/100*G225</f>
        <v>0</v>
      </c>
      <c r="I225" s="36">
        <f>Таблица16[[#This Row],[Денежный поток]]+Таблица16[[#This Row],[Купонный доход]]</f>
        <v>826837.80821917811</v>
      </c>
      <c r="J225" s="31">
        <f>Таблица16[[#This Row],[Общий денежный поток]]/((1+$L$2)^((Таблица16[[#This Row],[Названия строк]]-$A$2)/365))</f>
        <v>685890.35715324024</v>
      </c>
    </row>
    <row r="226" spans="1:10" x14ac:dyDescent="0.3">
      <c r="A226" s="23">
        <v>43733</v>
      </c>
      <c r="B226" s="24">
        <v>-1280</v>
      </c>
      <c r="C226" s="24">
        <f>VLOOKUP(Таблица16[[#This Row],[Названия строк]],Котировки[[&lt;DATE&gt;]:[&lt;VOL&gt;]],6,0)</f>
        <v>101.31</v>
      </c>
      <c r="D226" s="26">
        <f>INDEX(Купоны[Дата],MATCH($A226,Купоны[Дата],1))</f>
        <v>43567</v>
      </c>
      <c r="E226" s="24">
        <f>Купоны!$C$4*(A226-D226)/365*100</f>
        <v>3.6383561643835618</v>
      </c>
      <c r="F226" s="27">
        <f>-B226*(C226+E226)*Купоны!$G$10/100</f>
        <v>1343338.9589041097</v>
      </c>
      <c r="G226" s="34">
        <f>SUM($B$2:B226)</f>
        <v>100</v>
      </c>
      <c r="H226" s="31">
        <f>_xlfn.IFNA(VLOOKUP($A226,Купоны[[Дата]:[% от номинала]],3,0),0)*Купоны!$G$10/100*G226</f>
        <v>0</v>
      </c>
      <c r="I226" s="36">
        <f>Таблица16[[#This Row],[Денежный поток]]+Таблица16[[#This Row],[Купонный доход]]</f>
        <v>1343338.9589041097</v>
      </c>
      <c r="J226" s="31">
        <f>Таблица16[[#This Row],[Общий денежный поток]]/((1+$L$2)^((Таблица16[[#This Row],[Названия строк]]-$A$2)/365))</f>
        <v>1111981.7089441263</v>
      </c>
    </row>
    <row r="227" spans="1:10" x14ac:dyDescent="0.3">
      <c r="A227" s="23">
        <v>43734</v>
      </c>
      <c r="B227" s="24">
        <v>580</v>
      </c>
      <c r="C227" s="24">
        <f>VLOOKUP(Таблица16[[#This Row],[Названия строк]],Котировки[[&lt;DATE&gt;]:[&lt;VOL&gt;]],6,0)</f>
        <v>101.38</v>
      </c>
      <c r="D227" s="26">
        <f>INDEX(Купоны[Дата],MATCH($A227,Купоны[Дата],1))</f>
        <v>43567</v>
      </c>
      <c r="E227" s="24">
        <f>Купоны!$C$4*(A227-D227)/365*100</f>
        <v>3.6602739726027393</v>
      </c>
      <c r="F227" s="27">
        <f>-B227*(C227+E227)*Купоны!$G$10/100</f>
        <v>-609233.58904109581</v>
      </c>
      <c r="G227" s="34">
        <f>SUM($B$2:B227)</f>
        <v>680</v>
      </c>
      <c r="H227" s="31">
        <f>_xlfn.IFNA(VLOOKUP($A227,Купоны[[Дата]:[% от номинала]],3,0),0)*Купоны!$G$10/100*G227</f>
        <v>0</v>
      </c>
      <c r="I227" s="36">
        <f>Таблица16[[#This Row],[Денежный поток]]+Таблица16[[#This Row],[Купонный доход]]</f>
        <v>-609233.58904109581</v>
      </c>
      <c r="J227" s="31">
        <f>Таблица16[[#This Row],[Общий денежный поток]]/((1+$L$2)^((Таблица16[[#This Row],[Названия строк]]-$A$2)/365))</f>
        <v>-504174.15691639105</v>
      </c>
    </row>
    <row r="228" spans="1:10" x14ac:dyDescent="0.3">
      <c r="A228" s="23">
        <v>43746</v>
      </c>
      <c r="B228" s="24">
        <v>-610</v>
      </c>
      <c r="C228" s="24">
        <f>VLOOKUP(Таблица16[[#This Row],[Названия строк]],Котировки[[&lt;DATE&gt;]:[&lt;VOL&gt;]],6,0)</f>
        <v>101.48</v>
      </c>
      <c r="D228" s="26">
        <f>INDEX(Купоны[Дата],MATCH($A228,Купоны[Дата],1))</f>
        <v>43567</v>
      </c>
      <c r="E228" s="24">
        <f>Купоны!$C$4*(A228-D228)/365*100</f>
        <v>3.9232876712328766</v>
      </c>
      <c r="F228" s="27">
        <f>-B228*(C228+E228)*Купоны!$G$10/100</f>
        <v>642960.05479452049</v>
      </c>
      <c r="G228" s="34">
        <f>SUM($B$2:B228)</f>
        <v>70</v>
      </c>
      <c r="H228" s="31">
        <f>_xlfn.IFNA(VLOOKUP($A228,Купоны[[Дата]:[% от номинала]],3,0),0)*Купоны!$G$10/100*G228</f>
        <v>0</v>
      </c>
      <c r="I228" s="36">
        <f>Таблица16[[#This Row],[Денежный поток]]+Таблица16[[#This Row],[Купонный доход]]</f>
        <v>642960.05479452049</v>
      </c>
      <c r="J228" s="31">
        <f>Таблица16[[#This Row],[Общий денежный поток]]/((1+$L$2)^((Таблица16[[#This Row],[Названия строк]]-$A$2)/365))</f>
        <v>530392.32206347841</v>
      </c>
    </row>
    <row r="229" spans="1:10" x14ac:dyDescent="0.3">
      <c r="A229" s="23">
        <v>43748</v>
      </c>
      <c r="B229" s="24">
        <v>420</v>
      </c>
      <c r="C229" s="24">
        <f>VLOOKUP(Таблица16[[#This Row],[Названия строк]],Котировки[[&lt;DATE&gt;]:[&lt;VOL&gt;]],6,0)</f>
        <v>101.76</v>
      </c>
      <c r="D229" s="26">
        <f>INDEX(Купоны[Дата],MATCH($A229,Купоны[Дата],1))</f>
        <v>43567</v>
      </c>
      <c r="E229" s="24">
        <f>Купоны!$C$4*(A229-D229)/365*100</f>
        <v>3.967123287671233</v>
      </c>
      <c r="F229" s="27">
        <f>-B229*(C229+E229)*Купоны!$G$10/100</f>
        <v>-444053.91780821921</v>
      </c>
      <c r="G229" s="34">
        <f>SUM($B$2:B229)</f>
        <v>490</v>
      </c>
      <c r="H229" s="31">
        <f>_xlfn.IFNA(VLOOKUP($A229,Купоны[[Дата]:[% от номинала]],3,0),0)*Купоны!$G$10/100*G229</f>
        <v>0</v>
      </c>
      <c r="I229" s="36">
        <f>Таблица16[[#This Row],[Денежный поток]]+Таблица16[[#This Row],[Купонный доход]]</f>
        <v>-444053.91780821921</v>
      </c>
      <c r="J229" s="31">
        <f>Таблица16[[#This Row],[Общий денежный поток]]/((1+$L$2)^((Таблица16[[#This Row],[Названия строк]]-$A$2)/365))</f>
        <v>-366115.70443243859</v>
      </c>
    </row>
    <row r="230" spans="1:10" x14ac:dyDescent="0.3">
      <c r="A230" s="23">
        <v>43749</v>
      </c>
      <c r="B230" s="24">
        <v>170</v>
      </c>
      <c r="C230" s="24">
        <f>VLOOKUP(Таблица16[[#This Row],[Названия строк]],Котировки[[&lt;DATE&gt;]:[&lt;VOL&gt;]],6,0)</f>
        <v>101.28</v>
      </c>
      <c r="D230" s="26">
        <f>INDEX(Купоны[Дата],MATCH($A230,Купоны[Дата],1))</f>
        <v>43749</v>
      </c>
      <c r="E230" s="24">
        <f>Купоны!$C$4*(A230-D230)/365*100</f>
        <v>0</v>
      </c>
      <c r="F230" s="27">
        <f>-B230*(C230+E230)*Купоны!$G$10/100</f>
        <v>-172176</v>
      </c>
      <c r="G230" s="34">
        <f>SUM($B$2:B230)</f>
        <v>660</v>
      </c>
      <c r="H230" s="31">
        <f>_xlfn.IFNA(VLOOKUP($A230,Купоны[[Дата]:[% от номинала]],3,0),0)*Купоны!$G$10/100*G230</f>
        <v>26327.4</v>
      </c>
      <c r="I230" s="36">
        <f>Таблица16[[#This Row],[Денежный поток]]+Таблица16[[#This Row],[Купонный доход]]</f>
        <v>-145848.6</v>
      </c>
      <c r="J230" s="31">
        <f>Таблица16[[#This Row],[Общий денежный поток]]/((1+$L$2)^((Таблица16[[#This Row],[Названия строк]]-$A$2)/365))</f>
        <v>-120218.03491406469</v>
      </c>
    </row>
    <row r="231" spans="1:10" x14ac:dyDescent="0.3">
      <c r="A231" s="23">
        <v>43752</v>
      </c>
      <c r="B231" s="24">
        <v>630</v>
      </c>
      <c r="C231" s="24">
        <f>VLOOKUP(Таблица16[[#This Row],[Названия строк]],Котировки[[&lt;DATE&gt;]:[&lt;VOL&gt;]],6,0)</f>
        <v>101.36</v>
      </c>
      <c r="D231" s="26">
        <f>INDEX(Купоны[Дата],MATCH($A231,Купоны[Дата],1))</f>
        <v>43749</v>
      </c>
      <c r="E231" s="24">
        <f>Купоны!$C$4*(A231-D231)/365*100</f>
        <v>6.5753424657534254E-2</v>
      </c>
      <c r="F231" s="27">
        <f>-B231*(C231+E231)*Купоны!$G$10/100</f>
        <v>-638982.24657534237</v>
      </c>
      <c r="G231" s="34">
        <f>SUM($B$2:B231)</f>
        <v>1290</v>
      </c>
      <c r="H231" s="31">
        <f>_xlfn.IFNA(VLOOKUP($A231,Купоны[[Дата]:[% от номинала]],3,0),0)*Купоны!$G$10/100*G231</f>
        <v>0</v>
      </c>
      <c r="I231" s="36">
        <f>Таблица16[[#This Row],[Денежный поток]]+Таблица16[[#This Row],[Купонный доход]]</f>
        <v>-638982.24657534237</v>
      </c>
      <c r="J231" s="31">
        <f>Таблица16[[#This Row],[Общий денежный поток]]/((1+$L$2)^((Таблица16[[#This Row],[Названия строк]]-$A$2)/365))</f>
        <v>-526272.01386256749</v>
      </c>
    </row>
    <row r="232" spans="1:10" x14ac:dyDescent="0.3">
      <c r="A232" s="23">
        <v>43753</v>
      </c>
      <c r="B232" s="24">
        <v>110</v>
      </c>
      <c r="C232" s="24">
        <f>VLOOKUP(Таблица16[[#This Row],[Названия строк]],Котировки[[&lt;DATE&gt;]:[&lt;VOL&gt;]],6,0)</f>
        <v>101.5</v>
      </c>
      <c r="D232" s="26">
        <f>INDEX(Купоны[Дата],MATCH($A232,Купоны[Дата],1))</f>
        <v>43749</v>
      </c>
      <c r="E232" s="24">
        <f>Купоны!$C$4*(A232-D232)/365*100</f>
        <v>8.7671232876712329E-2</v>
      </c>
      <c r="F232" s="27">
        <f>-B232*(C232+E232)*Купоны!$G$10/100</f>
        <v>-111746.43835616438</v>
      </c>
      <c r="G232" s="34">
        <f>SUM($B$2:B232)</f>
        <v>1400</v>
      </c>
      <c r="H232" s="31">
        <f>_xlfn.IFNA(VLOOKUP($A232,Купоны[[Дата]:[% от номинала]],3,0),0)*Купоны!$G$10/100*G232</f>
        <v>0</v>
      </c>
      <c r="I232" s="36">
        <f>Таблица16[[#This Row],[Денежный поток]]+Таблица16[[#This Row],[Купонный доход]]</f>
        <v>-111746.43835616438</v>
      </c>
      <c r="J232" s="31">
        <f>Таблица16[[#This Row],[Общий денежный поток]]/((1+$L$2)^((Таблица16[[#This Row],[Названия строк]]-$A$2)/365))</f>
        <v>-92011.027725281383</v>
      </c>
    </row>
    <row r="233" spans="1:10" x14ac:dyDescent="0.3">
      <c r="A233" s="23">
        <v>43754</v>
      </c>
      <c r="B233" s="24">
        <v>310</v>
      </c>
      <c r="C233" s="24">
        <f>VLOOKUP(Таблица16[[#This Row],[Названия строк]],Котировки[[&lt;DATE&gt;]:[&lt;VOL&gt;]],6,0)</f>
        <v>101.59</v>
      </c>
      <c r="D233" s="26">
        <f>INDEX(Купоны[Дата],MATCH($A233,Купоны[Дата],1))</f>
        <v>43749</v>
      </c>
      <c r="E233" s="24">
        <f>Купоны!$C$4*(A233-D233)/365*100</f>
        <v>0.10958904109589042</v>
      </c>
      <c r="F233" s="27">
        <f>-B233*(C233+E233)*Купоны!$G$10/100</f>
        <v>-315268.72602739726</v>
      </c>
      <c r="G233" s="34">
        <f>SUM($B$2:B233)</f>
        <v>1710</v>
      </c>
      <c r="H233" s="31">
        <f>_xlfn.IFNA(VLOOKUP($A233,Купоны[[Дата]:[% от номинала]],3,0),0)*Купоны!$G$10/100*G233</f>
        <v>0</v>
      </c>
      <c r="I233" s="36">
        <f>Таблица16[[#This Row],[Денежный поток]]+Таблица16[[#This Row],[Купонный доход]]</f>
        <v>-315268.72602739726</v>
      </c>
      <c r="J233" s="31">
        <f>Таблица16[[#This Row],[Общий денежный поток]]/((1+$L$2)^((Таблица16[[#This Row],[Названия строк]]-$A$2)/365))</f>
        <v>-259520.57298597682</v>
      </c>
    </row>
    <row r="234" spans="1:10" x14ac:dyDescent="0.3">
      <c r="A234" s="23">
        <v>43756</v>
      </c>
      <c r="B234" s="24">
        <v>60</v>
      </c>
      <c r="C234" s="24">
        <f>VLOOKUP(Таблица16[[#This Row],[Названия строк]],Котировки[[&lt;DATE&gt;]:[&lt;VOL&gt;]],6,0)</f>
        <v>101.74</v>
      </c>
      <c r="D234" s="26">
        <f>INDEX(Купоны[Дата],MATCH($A234,Купоны[Дата],1))</f>
        <v>43749</v>
      </c>
      <c r="E234" s="24">
        <f>Купоны!$C$4*(A234-D234)/365*100</f>
        <v>0.15342465753424658</v>
      </c>
      <c r="F234" s="27">
        <f>-B234*(C234+E234)*Купоны!$G$10/100</f>
        <v>-61136.05479452054</v>
      </c>
      <c r="G234" s="34">
        <f>SUM($B$2:B234)</f>
        <v>1770</v>
      </c>
      <c r="H234" s="31">
        <f>_xlfn.IFNA(VLOOKUP($A234,Купоны[[Дата]:[% от номинала]],3,0),0)*Купоны!$G$10/100*G234</f>
        <v>0</v>
      </c>
      <c r="I234" s="36">
        <f>Таблица16[[#This Row],[Денежный поток]]+Таблица16[[#This Row],[Купонный доход]]</f>
        <v>-61136.05479452054</v>
      </c>
      <c r="J234" s="31">
        <f>Таблица16[[#This Row],[Общий денежный поток]]/((1+$L$2)^((Таблица16[[#This Row],[Названия строк]]-$A$2)/365))</f>
        <v>-50298.811693362368</v>
      </c>
    </row>
    <row r="235" spans="1:10" x14ac:dyDescent="0.3">
      <c r="A235" s="23">
        <v>43762</v>
      </c>
      <c r="B235" s="24">
        <v>-1520</v>
      </c>
      <c r="C235" s="24">
        <f>VLOOKUP(Таблица16[[#This Row],[Названия строк]],Котировки[[&lt;DATE&gt;]:[&lt;VOL&gt;]],6,0)</f>
        <v>101.69</v>
      </c>
      <c r="D235" s="26">
        <f>INDEX(Купоны[Дата],MATCH($A235,Купоны[Дата],1))</f>
        <v>43749</v>
      </c>
      <c r="E235" s="24">
        <f>Купоны!$C$4*(A235-D235)/365*100</f>
        <v>0.28493150684931506</v>
      </c>
      <c r="F235" s="27">
        <f>-B235*(C235+E235)*Купоны!$G$10/100</f>
        <v>1550018.9589041097</v>
      </c>
      <c r="G235" s="34">
        <f>SUM($B$2:B235)</f>
        <v>250</v>
      </c>
      <c r="H235" s="31">
        <f>_xlfn.IFNA(VLOOKUP($A235,Купоны[[Дата]:[% от номинала]],3,0),0)*Купоны!$G$10/100*G235</f>
        <v>0</v>
      </c>
      <c r="I235" s="36">
        <f>Таблица16[[#This Row],[Денежный поток]]+Таблица16[[#This Row],[Купонный доход]]</f>
        <v>1550018.9589041097</v>
      </c>
      <c r="J235" s="31">
        <f>Таблица16[[#This Row],[Общий денежный поток]]/((1+$L$2)^((Таблица16[[#This Row],[Названия строк]]-$A$2)/365))</f>
        <v>1273226.218497871</v>
      </c>
    </row>
    <row r="236" spans="1:10" x14ac:dyDescent="0.3">
      <c r="A236" s="23">
        <v>43770</v>
      </c>
      <c r="B236" s="24">
        <v>50</v>
      </c>
      <c r="C236" s="24">
        <f>VLOOKUP(Таблица16[[#This Row],[Названия строк]],Котировки[[&lt;DATE&gt;]:[&lt;VOL&gt;]],6,0)</f>
        <v>101.76</v>
      </c>
      <c r="D236" s="26">
        <f>INDEX(Купоны[Дата],MATCH($A236,Купоны[Дата],1))</f>
        <v>43749</v>
      </c>
      <c r="E236" s="24">
        <f>Купоны!$C$4*(A236-D236)/365*100</f>
        <v>0.46027397260273967</v>
      </c>
      <c r="F236" s="27">
        <f>-B236*(C236+E236)*Купоны!$G$10/100</f>
        <v>-51110.136986301368</v>
      </c>
      <c r="G236" s="34">
        <f>SUM($B$2:B236)</f>
        <v>300</v>
      </c>
      <c r="H236" s="31">
        <f>_xlfn.IFNA(VLOOKUP($A236,Купоны[[Дата]:[% от номинала]],3,0),0)*Купоны!$G$10/100*G236</f>
        <v>0</v>
      </c>
      <c r="I236" s="36">
        <f>Таблица16[[#This Row],[Денежный поток]]+Таблица16[[#This Row],[Купонный доход]]</f>
        <v>-51110.136986301368</v>
      </c>
      <c r="J236" s="31">
        <f>Таблица16[[#This Row],[Общий денежный поток]]/((1+$L$2)^((Таблица16[[#This Row],[Названия строк]]-$A$2)/365))</f>
        <v>-41894.139175485601</v>
      </c>
    </row>
    <row r="237" spans="1:10" x14ac:dyDescent="0.3">
      <c r="A237" s="23">
        <v>43775</v>
      </c>
      <c r="B237" s="24">
        <v>-130</v>
      </c>
      <c r="C237" s="24">
        <f>VLOOKUP(Таблица16[[#This Row],[Названия строк]],Котировки[[&lt;DATE&gt;]:[&lt;VOL&gt;]],6,0)</f>
        <v>101.68</v>
      </c>
      <c r="D237" s="26">
        <f>INDEX(Купоны[Дата],MATCH($A237,Купоны[Дата],1))</f>
        <v>43749</v>
      </c>
      <c r="E237" s="24">
        <f>Купоны!$C$4*(A237-D237)/365*100</f>
        <v>0.56986301369863013</v>
      </c>
      <c r="F237" s="27">
        <f>-B237*(C237+E237)*Купоны!$G$10/100</f>
        <v>132924.82191780824</v>
      </c>
      <c r="G237" s="34">
        <f>SUM($B$2:B237)</f>
        <v>170</v>
      </c>
      <c r="H237" s="31">
        <f>_xlfn.IFNA(VLOOKUP($A237,Купоны[[Дата]:[% от номинала]],3,0),0)*Купоны!$G$10/100*G237</f>
        <v>0</v>
      </c>
      <c r="I237" s="36">
        <f>Таблица16[[#This Row],[Денежный поток]]+Таблица16[[#This Row],[Купонный доход]]</f>
        <v>132924.82191780824</v>
      </c>
      <c r="J237" s="31">
        <f>Таблица16[[#This Row],[Общий денежный поток]]/((1+$L$2)^((Таблица16[[#This Row],[Названия строк]]-$A$2)/365))</f>
        <v>108811.76449418667</v>
      </c>
    </row>
    <row r="238" spans="1:10" x14ac:dyDescent="0.3">
      <c r="A238" s="23">
        <v>43776</v>
      </c>
      <c r="B238" s="24">
        <v>690</v>
      </c>
      <c r="C238" s="24">
        <f>VLOOKUP(Таблица16[[#This Row],[Названия строк]],Котировки[[&lt;DATE&gt;]:[&lt;VOL&gt;]],6,0)</f>
        <v>101.65</v>
      </c>
      <c r="D238" s="26">
        <f>INDEX(Купоны[Дата],MATCH($A238,Купоны[Дата],1))</f>
        <v>43749</v>
      </c>
      <c r="E238" s="24">
        <f>Купоны!$C$4*(A238-D238)/365*100</f>
        <v>0.59178082191780834</v>
      </c>
      <c r="F238" s="27">
        <f>-B238*(C238+E238)*Купоны!$G$10/100</f>
        <v>-705468.28767123295</v>
      </c>
      <c r="G238" s="34">
        <f>SUM($B$2:B238)</f>
        <v>860</v>
      </c>
      <c r="H238" s="31">
        <f>_xlfn.IFNA(VLOOKUP($A238,Купоны[[Дата]:[% от номинала]],3,0),0)*Купоны!$G$10/100*G238</f>
        <v>0</v>
      </c>
      <c r="I238" s="36">
        <f>Таблица16[[#This Row],[Денежный поток]]+Таблица16[[#This Row],[Купонный доход]]</f>
        <v>-705468.28767123295</v>
      </c>
      <c r="J238" s="31">
        <f>Таблица16[[#This Row],[Общий денежный поток]]/((1+$L$2)^((Таблица16[[#This Row],[Названия строк]]-$A$2)/365))</f>
        <v>-577340.42781436653</v>
      </c>
    </row>
    <row r="239" spans="1:10" x14ac:dyDescent="0.3">
      <c r="A239" s="23">
        <v>43777</v>
      </c>
      <c r="B239" s="24">
        <v>920</v>
      </c>
      <c r="C239" s="24">
        <f>VLOOKUP(Таблица16[[#This Row],[Названия строк]],Котировки[[&lt;DATE&gt;]:[&lt;VOL&gt;]],6,0)</f>
        <v>101.76</v>
      </c>
      <c r="D239" s="26">
        <f>INDEX(Купоны[Дата],MATCH($A239,Купоны[Дата],1))</f>
        <v>43749</v>
      </c>
      <c r="E239" s="24">
        <f>Купоны!$C$4*(A239-D239)/365*100</f>
        <v>0.61369863013698633</v>
      </c>
      <c r="F239" s="27">
        <f>-B239*(C239+E239)*Купоны!$G$10/100</f>
        <v>-941838.02739726042</v>
      </c>
      <c r="G239" s="34">
        <f>SUM($B$2:B239)</f>
        <v>1780</v>
      </c>
      <c r="H239" s="31">
        <f>_xlfn.IFNA(VLOOKUP($A239,Купоны[[Дата]:[% от номинала]],3,0),0)*Купоны!$G$10/100*G239</f>
        <v>0</v>
      </c>
      <c r="I239" s="36">
        <f>Таблица16[[#This Row],[Денежный поток]]+Таблица16[[#This Row],[Купонный доход]]</f>
        <v>-941838.02739726042</v>
      </c>
      <c r="J239" s="31">
        <f>Таблица16[[#This Row],[Общий денежный поток]]/((1+$L$2)^((Таблица16[[#This Row],[Названия строк]]-$A$2)/365))</f>
        <v>-770575.8658981761</v>
      </c>
    </row>
    <row r="240" spans="1:10" x14ac:dyDescent="0.3">
      <c r="A240" s="23">
        <v>43784</v>
      </c>
      <c r="B240" s="24">
        <v>-1550</v>
      </c>
      <c r="C240" s="24">
        <f>VLOOKUP(Таблица16[[#This Row],[Названия строк]],Котировки[[&lt;DATE&gt;]:[&lt;VOL&gt;]],6,0)</f>
        <v>101.75</v>
      </c>
      <c r="D240" s="26">
        <f>INDEX(Купоны[Дата],MATCH($A240,Купоны[Дата],1))</f>
        <v>43749</v>
      </c>
      <c r="E240" s="24">
        <f>Купоны!$C$4*(A240-D240)/365*100</f>
        <v>0.76712328767123295</v>
      </c>
      <c r="F240" s="27">
        <f>-B240*(C240+E240)*Купоны!$G$10/100</f>
        <v>1589015.4109589043</v>
      </c>
      <c r="G240" s="34">
        <f>SUM($B$2:B240)</f>
        <v>230</v>
      </c>
      <c r="H240" s="31">
        <f>_xlfn.IFNA(VLOOKUP($A240,Купоны[[Дата]:[% от номинала]],3,0),0)*Купоны!$G$10/100*G240</f>
        <v>0</v>
      </c>
      <c r="I240" s="36">
        <f>Таблица16[[#This Row],[Денежный поток]]+Таблица16[[#This Row],[Купонный доход]]</f>
        <v>1589015.4109589043</v>
      </c>
      <c r="J240" s="31">
        <f>Таблица16[[#This Row],[Общий денежный поток]]/((1+$L$2)^((Таблица16[[#This Row],[Названия строк]]-$A$2)/365))</f>
        <v>1297657.9930087461</v>
      </c>
    </row>
    <row r="241" spans="1:10" x14ac:dyDescent="0.3">
      <c r="A241" s="23">
        <v>43791</v>
      </c>
      <c r="B241" s="24">
        <v>610</v>
      </c>
      <c r="C241" s="24">
        <f>VLOOKUP(Таблица16[[#This Row],[Названия строк]],Котировки[[&lt;DATE&gt;]:[&lt;VOL&gt;]],6,0)</f>
        <v>101.61</v>
      </c>
      <c r="D241" s="26">
        <f>INDEX(Купоны[Дата],MATCH($A241,Купоны[Дата],1))</f>
        <v>43749</v>
      </c>
      <c r="E241" s="24">
        <f>Купоны!$C$4*(A241-D241)/365*100</f>
        <v>0.92054794520547933</v>
      </c>
      <c r="F241" s="27">
        <f>-B241*(C241+E241)*Купоны!$G$10/100</f>
        <v>-625436.34246575343</v>
      </c>
      <c r="G241" s="34">
        <f>SUM($B$2:B241)</f>
        <v>840</v>
      </c>
      <c r="H241" s="31">
        <f>_xlfn.IFNA(VLOOKUP($A241,Купоны[[Дата]:[% от номинала]],3,0),0)*Купоны!$G$10/100*G241</f>
        <v>0</v>
      </c>
      <c r="I241" s="36">
        <f>Таблица16[[#This Row],[Денежный поток]]+Таблица16[[#This Row],[Купонный доход]]</f>
        <v>-625436.34246575343</v>
      </c>
      <c r="J241" s="31">
        <f>Таблица16[[#This Row],[Общий денежный поток]]/((1+$L$2)^((Таблица16[[#This Row],[Названия строк]]-$A$2)/365))</f>
        <v>-509809.8306239646</v>
      </c>
    </row>
    <row r="242" spans="1:10" x14ac:dyDescent="0.3">
      <c r="A242" s="23">
        <v>43796</v>
      </c>
      <c r="B242" s="24">
        <v>370</v>
      </c>
      <c r="C242" s="24">
        <f>VLOOKUP(Таблица16[[#This Row],[Названия строк]],Котировки[[&lt;DATE&gt;]:[&lt;VOL&gt;]],6,0)</f>
        <v>101.76</v>
      </c>
      <c r="D242" s="26">
        <f>INDEX(Купоны[Дата],MATCH($A242,Купоны[Дата],1))</f>
        <v>43749</v>
      </c>
      <c r="E242" s="24">
        <f>Купоны!$C$4*(A242-D242)/365*100</f>
        <v>1.0301369863013701</v>
      </c>
      <c r="F242" s="27">
        <f>-B242*(C242+E242)*Купоны!$G$10/100</f>
        <v>-380323.50684931508</v>
      </c>
      <c r="G242" s="34">
        <f>SUM($B$2:B242)</f>
        <v>1210</v>
      </c>
      <c r="H242" s="31">
        <f>_xlfn.IFNA(VLOOKUP($A242,Купоны[[Дата]:[% от номинала]],3,0),0)*Купоны!$G$10/100*G242</f>
        <v>0</v>
      </c>
      <c r="I242" s="36">
        <f>Таблица16[[#This Row],[Денежный поток]]+Таблица16[[#This Row],[Купонный доход]]</f>
        <v>-380323.50684931508</v>
      </c>
      <c r="J242" s="31">
        <f>Таблица16[[#This Row],[Общий денежный поток]]/((1+$L$2)^((Таблица16[[#This Row],[Названия строк]]-$A$2)/365))</f>
        <v>-309600.60507879389</v>
      </c>
    </row>
    <row r="243" spans="1:10" x14ac:dyDescent="0.3">
      <c r="A243" s="23">
        <v>43803</v>
      </c>
      <c r="B243" s="24">
        <v>-160</v>
      </c>
      <c r="C243" s="24">
        <f>VLOOKUP(Таблица16[[#This Row],[Названия строк]],Котировки[[&lt;DATE&gt;]:[&lt;VOL&gt;]],6,0)</f>
        <v>101.63</v>
      </c>
      <c r="D243" s="26">
        <f>INDEX(Купоны[Дата],MATCH($A243,Купоны[Дата],1))</f>
        <v>43749</v>
      </c>
      <c r="E243" s="24">
        <f>Купоны!$C$4*(A243-D243)/365*100</f>
        <v>1.1835616438356167</v>
      </c>
      <c r="F243" s="27">
        <f>-B243*(C243+E243)*Купоны!$G$10/100</f>
        <v>164501.69863013696</v>
      </c>
      <c r="G243" s="34">
        <f>SUM($B$2:B243)</f>
        <v>1050</v>
      </c>
      <c r="H243" s="31">
        <f>_xlfn.IFNA(VLOOKUP($A243,Купоны[[Дата]:[% от номинала]],3,0),0)*Купоны!$G$10/100*G243</f>
        <v>0</v>
      </c>
      <c r="I243" s="36">
        <f>Таблица16[[#This Row],[Денежный поток]]+Таблица16[[#This Row],[Купонный доход]]</f>
        <v>164501.69863013696</v>
      </c>
      <c r="J243" s="31">
        <f>Таблица16[[#This Row],[Общий денежный поток]]/((1+$L$2)^((Таблица16[[#This Row],[Названия строк]]-$A$2)/365))</f>
        <v>133663.23687474069</v>
      </c>
    </row>
    <row r="244" spans="1:10" x14ac:dyDescent="0.3">
      <c r="A244" s="23">
        <v>43805</v>
      </c>
      <c r="B244" s="24">
        <v>-110</v>
      </c>
      <c r="C244" s="24">
        <f>VLOOKUP(Таблица16[[#This Row],[Названия строк]],Котировки[[&lt;DATE&gt;]:[&lt;VOL&gt;]],6,0)</f>
        <v>101.83</v>
      </c>
      <c r="D244" s="26">
        <f>INDEX(Купоны[Дата],MATCH($A244,Купоны[Дата],1))</f>
        <v>43749</v>
      </c>
      <c r="E244" s="24">
        <f>Купоны!$C$4*(A244-D244)/365*100</f>
        <v>1.2273972602739727</v>
      </c>
      <c r="F244" s="27">
        <f>-B244*(C244+E244)*Купоны!$G$10/100</f>
        <v>113363.13698630137</v>
      </c>
      <c r="G244" s="34">
        <f>SUM($B$2:B244)</f>
        <v>940</v>
      </c>
      <c r="H244" s="31">
        <f>_xlfn.IFNA(VLOOKUP($A244,Купоны[[Дата]:[% от номинала]],3,0),0)*Купоны!$G$10/100*G244</f>
        <v>0</v>
      </c>
      <c r="I244" s="36">
        <f>Таблица16[[#This Row],[Денежный поток]]+Таблица16[[#This Row],[Купонный доход]]</f>
        <v>113363.13698630137</v>
      </c>
      <c r="J244" s="31">
        <f>Таблица16[[#This Row],[Общий денежный поток]]/((1+$L$2)^((Таблица16[[#This Row],[Названия строк]]-$A$2)/365))</f>
        <v>92062.519951546346</v>
      </c>
    </row>
    <row r="245" spans="1:10" x14ac:dyDescent="0.3">
      <c r="A245" s="23">
        <v>43808</v>
      </c>
      <c r="B245" s="24">
        <v>-450</v>
      </c>
      <c r="C245" s="24">
        <f>VLOOKUP(Таблица16[[#This Row],[Названия строк]],Котировки[[&lt;DATE&gt;]:[&lt;VOL&gt;]],6,0)</f>
        <v>101.65</v>
      </c>
      <c r="D245" s="26">
        <f>INDEX(Купоны[Дата],MATCH($A245,Купоны[Дата],1))</f>
        <v>43749</v>
      </c>
      <c r="E245" s="24">
        <f>Купоны!$C$4*(A245-D245)/365*100</f>
        <v>1.2931506849315069</v>
      </c>
      <c r="F245" s="27">
        <f>-B245*(C245+E245)*Купоны!$G$10/100</f>
        <v>463244.17808219179</v>
      </c>
      <c r="G245" s="34">
        <f>SUM($B$2:B245)</f>
        <v>490</v>
      </c>
      <c r="H245" s="31">
        <f>_xlfn.IFNA(VLOOKUP($A245,Купоны[[Дата]:[% от номинала]],3,0),0)*Купоны!$G$10/100*G245</f>
        <v>0</v>
      </c>
      <c r="I245" s="36">
        <f>Таблица16[[#This Row],[Денежный поток]]+Таблица16[[#This Row],[Купонный доход]]</f>
        <v>463244.17808219179</v>
      </c>
      <c r="J245" s="31">
        <f>Таблица16[[#This Row],[Общий денежный поток]]/((1+$L$2)^((Таблица16[[#This Row],[Названия строк]]-$A$2)/365))</f>
        <v>375902.3984744777</v>
      </c>
    </row>
    <row r="246" spans="1:10" x14ac:dyDescent="0.3">
      <c r="A246" s="23">
        <v>43811</v>
      </c>
      <c r="B246" s="24">
        <v>510</v>
      </c>
      <c r="C246" s="24">
        <f>VLOOKUP(Таблица16[[#This Row],[Названия строк]],Котировки[[&lt;DATE&gt;]:[&lt;VOL&gt;]],6,0)</f>
        <v>102.07</v>
      </c>
      <c r="D246" s="26">
        <f>INDEX(Купоны[Дата],MATCH($A246,Купоны[Дата],1))</f>
        <v>43749</v>
      </c>
      <c r="E246" s="24">
        <f>Купоны!$C$4*(A246-D246)/365*100</f>
        <v>1.3589041095890411</v>
      </c>
      <c r="F246" s="27">
        <f>-B246*(C246+E246)*Купоны!$G$10/100</f>
        <v>-527487.41095890407</v>
      </c>
      <c r="G246" s="34">
        <f>SUM($B$2:B246)</f>
        <v>1000</v>
      </c>
      <c r="H246" s="31">
        <f>_xlfn.IFNA(VLOOKUP($A246,Купоны[[Дата]:[% от номинала]],3,0),0)*Купоны!$G$10/100*G246</f>
        <v>0</v>
      </c>
      <c r="I246" s="36">
        <f>Таблица16[[#This Row],[Денежный поток]]+Таблица16[[#This Row],[Купонный доход]]</f>
        <v>-527487.41095890407</v>
      </c>
      <c r="J246" s="31">
        <f>Таблица16[[#This Row],[Общий денежный поток]]/((1+$L$2)^((Таблица16[[#This Row],[Названия строк]]-$A$2)/365))</f>
        <v>-427692.21954715357</v>
      </c>
    </row>
    <row r="247" spans="1:10" x14ac:dyDescent="0.3">
      <c r="A247" s="23">
        <v>43816</v>
      </c>
      <c r="B247" s="24">
        <v>-70</v>
      </c>
      <c r="C247" s="24">
        <f>VLOOKUP(Таблица16[[#This Row],[Названия строк]],Котировки[[&lt;DATE&gt;]:[&lt;VOL&gt;]],6,0)</f>
        <v>101.88</v>
      </c>
      <c r="D247" s="26">
        <f>INDEX(Купоны[Дата],MATCH($A247,Купоны[Дата],1))</f>
        <v>43749</v>
      </c>
      <c r="E247" s="24">
        <f>Купоны!$C$4*(A247-D247)/365*100</f>
        <v>1.4684931506849317</v>
      </c>
      <c r="F247" s="27">
        <f>-B247*(C247+E247)*Купоны!$G$10/100</f>
        <v>72343.945205479453</v>
      </c>
      <c r="G247" s="34">
        <f>SUM($B$2:B247)</f>
        <v>930</v>
      </c>
      <c r="H247" s="31">
        <f>_xlfn.IFNA(VLOOKUP($A247,Купоны[[Дата]:[% от номинала]],3,0),0)*Купоны!$G$10/100*G247</f>
        <v>0</v>
      </c>
      <c r="I247" s="36">
        <f>Таблица16[[#This Row],[Денежный поток]]+Таблица16[[#This Row],[Купонный доход]]</f>
        <v>72343.945205479453</v>
      </c>
      <c r="J247" s="31">
        <f>Таблица16[[#This Row],[Общий денежный поток]]/((1+$L$2)^((Таблица16[[#This Row],[Названия строк]]-$A$2)/365))</f>
        <v>58579.408082032445</v>
      </c>
    </row>
    <row r="248" spans="1:10" x14ac:dyDescent="0.3">
      <c r="A248" s="23">
        <v>43817</v>
      </c>
      <c r="B248" s="24">
        <v>-760</v>
      </c>
      <c r="C248" s="24">
        <f>VLOOKUP(Таблица16[[#This Row],[Названия строк]],Котировки[[&lt;DATE&gt;]:[&lt;VOL&gt;]],6,0)</f>
        <v>102.01</v>
      </c>
      <c r="D248" s="26">
        <f>INDEX(Купоны[Дата],MATCH($A248,Купоны[Дата],1))</f>
        <v>43749</v>
      </c>
      <c r="E248" s="24">
        <f>Купоны!$C$4*(A248-D248)/365*100</f>
        <v>1.4904109589041097</v>
      </c>
      <c r="F248" s="27">
        <f>-B248*(C248+E248)*Купоны!$G$10/100</f>
        <v>786603.12328767125</v>
      </c>
      <c r="G248" s="34">
        <f>SUM($B$2:B248)</f>
        <v>170</v>
      </c>
      <c r="H248" s="31">
        <f>_xlfn.IFNA(VLOOKUP($A248,Купоны[[Дата]:[% от номинала]],3,0),0)*Купоны!$G$10/100*G248</f>
        <v>0</v>
      </c>
      <c r="I248" s="36">
        <f>Таблица16[[#This Row],[Денежный поток]]+Таблица16[[#This Row],[Купонный доход]]</f>
        <v>786603.12328767125</v>
      </c>
      <c r="J248" s="31">
        <f>Таблица16[[#This Row],[Общий денежный поток]]/((1+$L$2)^((Таблица16[[#This Row],[Названия строк]]-$A$2)/365))</f>
        <v>636770.83594312647</v>
      </c>
    </row>
    <row r="249" spans="1:10" x14ac:dyDescent="0.3">
      <c r="A249" s="23">
        <v>43818</v>
      </c>
      <c r="B249" s="24">
        <v>330</v>
      </c>
      <c r="C249" s="24">
        <f>VLOOKUP(Таблица16[[#This Row],[Названия строк]],Котировки[[&lt;DATE&gt;]:[&lt;VOL&gt;]],6,0)</f>
        <v>102.03</v>
      </c>
      <c r="D249" s="26">
        <f>INDEX(Купоны[Дата],MATCH($A249,Купоны[Дата],1))</f>
        <v>43749</v>
      </c>
      <c r="E249" s="24">
        <f>Купоны!$C$4*(A249-D249)/365*100</f>
        <v>1.5123287671232877</v>
      </c>
      <c r="F249" s="27">
        <f>-B249*(C249+E249)*Купоны!$G$10/100</f>
        <v>-341689.68493150687</v>
      </c>
      <c r="G249" s="34">
        <f>SUM($B$2:B249)</f>
        <v>500</v>
      </c>
      <c r="H249" s="31">
        <f>_xlfn.IFNA(VLOOKUP($A249,Купоны[[Дата]:[% от номинала]],3,0),0)*Купоны!$G$10/100*G249</f>
        <v>0</v>
      </c>
      <c r="I249" s="36">
        <f>Таблица16[[#This Row],[Денежный поток]]+Таблица16[[#This Row],[Купонный доход]]</f>
        <v>-341689.68493150687</v>
      </c>
      <c r="J249" s="31">
        <f>Таблица16[[#This Row],[Общий денежный поток]]/((1+$L$2)^((Таблица16[[#This Row],[Названия строк]]-$A$2)/365))</f>
        <v>-276531.15927065763</v>
      </c>
    </row>
    <row r="250" spans="1:10" x14ac:dyDescent="0.3">
      <c r="A250" s="23">
        <v>43819</v>
      </c>
      <c r="B250" s="24">
        <v>540</v>
      </c>
      <c r="C250" s="24">
        <f>VLOOKUP(Таблица16[[#This Row],[Названия строк]],Котировки[[&lt;DATE&gt;]:[&lt;VOL&gt;]],6,0)</f>
        <v>102</v>
      </c>
      <c r="D250" s="26">
        <f>INDEX(Купоны[Дата],MATCH($A250,Купоны[Дата],1))</f>
        <v>43749</v>
      </c>
      <c r="E250" s="24">
        <f>Купоны!$C$4*(A250-D250)/365*100</f>
        <v>1.5342465753424659</v>
      </c>
      <c r="F250" s="27">
        <f>-B250*(C250+E250)*Купоны!$G$10/100</f>
        <v>-559084.93150684936</v>
      </c>
      <c r="G250" s="34">
        <f>SUM($B$2:B250)</f>
        <v>1040</v>
      </c>
      <c r="H250" s="31">
        <f>_xlfn.IFNA(VLOOKUP($A250,Купоны[[Дата]:[% от номинала]],3,0),0)*Купоны!$G$10/100*G250</f>
        <v>0</v>
      </c>
      <c r="I250" s="36">
        <f>Таблица16[[#This Row],[Денежный поток]]+Таблица16[[#This Row],[Купонный доход]]</f>
        <v>-559084.93150684936</v>
      </c>
      <c r="J250" s="31">
        <f>Таблица16[[#This Row],[Общий денежный поток]]/((1+$L$2)^((Таблица16[[#This Row],[Названия строк]]-$A$2)/365))</f>
        <v>-452350.11092522001</v>
      </c>
    </row>
    <row r="251" spans="1:10" x14ac:dyDescent="0.3">
      <c r="A251" s="23">
        <v>43823</v>
      </c>
      <c r="B251" s="24">
        <v>-80</v>
      </c>
      <c r="C251" s="24">
        <f>VLOOKUP(Таблица16[[#This Row],[Названия строк]],Котировки[[&lt;DATE&gt;]:[&lt;VOL&gt;]],6,0)</f>
        <v>101.9</v>
      </c>
      <c r="D251" s="26">
        <f>INDEX(Купоны[Дата],MATCH($A251,Купоны[Дата],1))</f>
        <v>43749</v>
      </c>
      <c r="E251" s="24">
        <f>Купоны!$C$4*(A251-D251)/365*100</f>
        <v>1.6219178082191781</v>
      </c>
      <c r="F251" s="27">
        <f>-B251*(C251+E251)*Купоны!$G$10/100</f>
        <v>82817.534246575335</v>
      </c>
      <c r="G251" s="34">
        <f>SUM($B$2:B251)</f>
        <v>960</v>
      </c>
      <c r="H251" s="31">
        <f>_xlfn.IFNA(VLOOKUP($A251,Купоны[[Дата]:[% от номинала]],3,0),0)*Купоны!$G$10/100*G251</f>
        <v>0</v>
      </c>
      <c r="I251" s="36">
        <f>Таблица16[[#This Row],[Денежный поток]]+Таблица16[[#This Row],[Купонный доход]]</f>
        <v>82817.534246575335</v>
      </c>
      <c r="J251" s="31">
        <f>Таблица16[[#This Row],[Общий денежный поток]]/((1+$L$2)^((Таблица16[[#This Row],[Названия строк]]-$A$2)/365))</f>
        <v>66935.735752609689</v>
      </c>
    </row>
    <row r="252" spans="1:10" x14ac:dyDescent="0.3">
      <c r="A252" s="23">
        <v>43829</v>
      </c>
      <c r="B252" s="24">
        <v>-540</v>
      </c>
      <c r="C252" s="24">
        <f>VLOOKUP(Таблица16[[#This Row],[Названия строк]],Котировки[[&lt;DATE&gt;]:[&lt;VOL&gt;]],6,0)</f>
        <v>102.1</v>
      </c>
      <c r="D252" s="26">
        <f>INDEX(Купоны[Дата],MATCH($A252,Купоны[Дата],1))</f>
        <v>43749</v>
      </c>
      <c r="E252" s="24">
        <f>Купоны!$C$4*(A252-D252)/365*100</f>
        <v>1.7534246575342467</v>
      </c>
      <c r="F252" s="27">
        <f>-B252*(C252+E252)*Купоны!$G$10/100</f>
        <v>560808.49315068498</v>
      </c>
      <c r="G252" s="34">
        <f>SUM($B$2:B252)</f>
        <v>420</v>
      </c>
      <c r="H252" s="31">
        <f>_xlfn.IFNA(VLOOKUP($A252,Купоны[[Дата]:[% от номинала]],3,0),0)*Купоны!$G$10/100*G252</f>
        <v>0</v>
      </c>
      <c r="I252" s="36">
        <f>Таблица16[[#This Row],[Денежный поток]]+Таблица16[[#This Row],[Купонный доход]]</f>
        <v>560808.49315068498</v>
      </c>
      <c r="J252" s="31">
        <f>Таблица16[[#This Row],[Общий денежный поток]]/((1+$L$2)^((Таблица16[[#This Row],[Названия строк]]-$A$2)/365))</f>
        <v>452541.66997479252</v>
      </c>
    </row>
    <row r="253" spans="1:10" x14ac:dyDescent="0.3">
      <c r="A253" s="23">
        <v>43833</v>
      </c>
      <c r="B253" s="24">
        <v>130</v>
      </c>
      <c r="C253" s="24">
        <f>VLOOKUP(Таблица16[[#This Row],[Названия строк]],Котировки[[&lt;DATE&gt;]:[&lt;VOL&gt;]],6,0)</f>
        <v>102.09</v>
      </c>
      <c r="D253" s="26">
        <f>INDEX(Купоны[Дата],MATCH($A253,Купоны[Дата],1))</f>
        <v>43749</v>
      </c>
      <c r="E253" s="24">
        <f>Купоны!$C$4*(A253-D253)/365*100</f>
        <v>1.8410958904109587</v>
      </c>
      <c r="F253" s="27">
        <f>-B253*(C253+E253)*Купоны!$G$10/100</f>
        <v>-135110.42465753425</v>
      </c>
      <c r="G253" s="34">
        <f>SUM($B$2:B253)</f>
        <v>550</v>
      </c>
      <c r="H253" s="31">
        <f>_xlfn.IFNA(VLOOKUP($A253,Купоны[[Дата]:[% от номинала]],3,0),0)*Купоны!$G$10/100*G253</f>
        <v>0</v>
      </c>
      <c r="I253" s="36">
        <f>Таблица16[[#This Row],[Денежный поток]]+Таблица16[[#This Row],[Купонный доход]]</f>
        <v>-135110.42465753425</v>
      </c>
      <c r="J253" s="31">
        <f>Таблица16[[#This Row],[Общий денежный поток]]/((1+$L$2)^((Таблица16[[#This Row],[Названия строк]]-$A$2)/365))</f>
        <v>-108910.98444077854</v>
      </c>
    </row>
    <row r="254" spans="1:10" x14ac:dyDescent="0.3">
      <c r="A254" s="23">
        <v>43836</v>
      </c>
      <c r="B254" s="24">
        <v>120</v>
      </c>
      <c r="C254" s="24">
        <f>VLOOKUP(Таблица16[[#This Row],[Названия строк]],Котировки[[&lt;DATE&gt;]:[&lt;VOL&gt;]],6,0)</f>
        <v>102.22</v>
      </c>
      <c r="D254" s="26">
        <f>INDEX(Купоны[Дата],MATCH($A254,Купоны[Дата],1))</f>
        <v>43749</v>
      </c>
      <c r="E254" s="24">
        <f>Купоны!$C$4*(A254-D254)/365*100</f>
        <v>1.9068493150684933</v>
      </c>
      <c r="F254" s="27">
        <f>-B254*(C254+E254)*Купоны!$G$10/100</f>
        <v>-124952.2191780822</v>
      </c>
      <c r="G254" s="34">
        <f>SUM($B$2:B254)</f>
        <v>670</v>
      </c>
      <c r="H254" s="31">
        <f>_xlfn.IFNA(VLOOKUP($A254,Купоны[[Дата]:[% от номинала]],3,0),0)*Купоны!$G$10/100*G254</f>
        <v>0</v>
      </c>
      <c r="I254" s="36">
        <f>Таблица16[[#This Row],[Денежный поток]]+Таблица16[[#This Row],[Купонный доход]]</f>
        <v>-124952.2191780822</v>
      </c>
      <c r="J254" s="31">
        <f>Таблица16[[#This Row],[Общий денежный поток]]/((1+$L$2)^((Таблица16[[#This Row],[Названия строк]]-$A$2)/365))</f>
        <v>-100642.38547111</v>
      </c>
    </row>
    <row r="255" spans="1:10" x14ac:dyDescent="0.3">
      <c r="A255" s="23">
        <v>43840</v>
      </c>
      <c r="B255" s="24">
        <v>-130</v>
      </c>
      <c r="C255" s="24">
        <f>VLOOKUP(Таблица16[[#This Row],[Названия строк]],Котировки[[&lt;DATE&gt;]:[&lt;VOL&gt;]],6,0)</f>
        <v>101.93</v>
      </c>
      <c r="D255" s="26">
        <f>INDEX(Купоны[Дата],MATCH($A255,Купоны[Дата],1))</f>
        <v>43749</v>
      </c>
      <c r="E255" s="24">
        <f>Купоны!$C$4*(A255-D255)/365*100</f>
        <v>1.9945205479452055</v>
      </c>
      <c r="F255" s="27">
        <f>-B255*(C255+E255)*Купоны!$G$10/100</f>
        <v>135101.87671232878</v>
      </c>
      <c r="G255" s="34">
        <f>SUM($B$2:B255)</f>
        <v>540</v>
      </c>
      <c r="H255" s="31">
        <f>_xlfn.IFNA(VLOOKUP($A255,Купоны[[Дата]:[% от номинала]],3,0),0)*Купоны!$G$10/100*G255</f>
        <v>0</v>
      </c>
      <c r="I255" s="36">
        <f>Таблица16[[#This Row],[Денежный поток]]+Таблица16[[#This Row],[Купонный доход]]</f>
        <v>135101.87671232878</v>
      </c>
      <c r="J255" s="31">
        <f>Таблица16[[#This Row],[Общий денежный поток]]/((1+$L$2)^((Таблица16[[#This Row],[Названия строк]]-$A$2)/365))</f>
        <v>108701.90668915721</v>
      </c>
    </row>
    <row r="256" spans="1:10" x14ac:dyDescent="0.3">
      <c r="A256" s="23">
        <v>43846</v>
      </c>
      <c r="B256" s="24">
        <v>160</v>
      </c>
      <c r="C256" s="24">
        <f>VLOOKUP(Таблица16[[#This Row],[Названия строк]],Котировки[[&lt;DATE&gt;]:[&lt;VOL&gt;]],6,0)</f>
        <v>101.72</v>
      </c>
      <c r="D256" s="26">
        <f>INDEX(Купоны[Дата],MATCH($A256,Купоны[Дата],1))</f>
        <v>43749</v>
      </c>
      <c r="E256" s="24">
        <f>Купоны!$C$4*(A256-D256)/365*100</f>
        <v>2.1260273972602737</v>
      </c>
      <c r="F256" s="27">
        <f>-B256*(C256+E256)*Купоны!$G$10/100</f>
        <v>-166153.64383561641</v>
      </c>
      <c r="G256" s="34">
        <f>SUM($B$2:B256)</f>
        <v>700</v>
      </c>
      <c r="H256" s="31">
        <f>_xlfn.IFNA(VLOOKUP($A256,Купоны[[Дата]:[% от номинала]],3,0),0)*Купоны!$G$10/100*G256</f>
        <v>0</v>
      </c>
      <c r="I256" s="36">
        <f>Таблица16[[#This Row],[Денежный поток]]+Таблица16[[#This Row],[Купонный доход]]</f>
        <v>-166153.64383561641</v>
      </c>
      <c r="J256" s="31">
        <f>Таблица16[[#This Row],[Общий денежный поток]]/((1+$L$2)^((Таблица16[[#This Row],[Названия строк]]-$A$2)/365))</f>
        <v>-133473.14614863825</v>
      </c>
    </row>
    <row r="257" spans="1:10" x14ac:dyDescent="0.3">
      <c r="A257" s="23">
        <v>43852</v>
      </c>
      <c r="B257" s="24">
        <v>-150</v>
      </c>
      <c r="C257" s="24">
        <f>VLOOKUP(Таблица16[[#This Row],[Названия строк]],Котировки[[&lt;DATE&gt;]:[&lt;VOL&gt;]],6,0)</f>
        <v>101.75</v>
      </c>
      <c r="D257" s="26">
        <f>INDEX(Купоны[Дата],MATCH($A257,Купоны[Дата],1))</f>
        <v>43749</v>
      </c>
      <c r="E257" s="24">
        <f>Купоны!$C$4*(A257-D257)/365*100</f>
        <v>2.2575342465753425</v>
      </c>
      <c r="F257" s="27">
        <f>-B257*(C257+E257)*Купоны!$G$10/100</f>
        <v>156011.30136986301</v>
      </c>
      <c r="G257" s="34">
        <f>SUM($B$2:B257)</f>
        <v>550</v>
      </c>
      <c r="H257" s="31">
        <f>_xlfn.IFNA(VLOOKUP($A257,Купоны[[Дата]:[% от номинала]],3,0),0)*Купоны!$G$10/100*G257</f>
        <v>0</v>
      </c>
      <c r="I257" s="36">
        <f>Таблица16[[#This Row],[Денежный поток]]+Таблица16[[#This Row],[Купонный доход]]</f>
        <v>156011.30136986301</v>
      </c>
      <c r="J257" s="31">
        <f>Таблица16[[#This Row],[Общий денежный поток]]/((1+$L$2)^((Таблица16[[#This Row],[Названия строк]]-$A$2)/365))</f>
        <v>125126.22275415011</v>
      </c>
    </row>
    <row r="258" spans="1:10" x14ac:dyDescent="0.3">
      <c r="A258" s="23">
        <v>43853</v>
      </c>
      <c r="B258" s="24">
        <v>290</v>
      </c>
      <c r="C258" s="24">
        <f>VLOOKUP(Таблица16[[#This Row],[Названия строк]],Котировки[[&lt;DATE&gt;]:[&lt;VOL&gt;]],6,0)</f>
        <v>101.78</v>
      </c>
      <c r="D258" s="26">
        <f>INDEX(Купоны[Дата],MATCH($A258,Купоны[Дата],1))</f>
        <v>43749</v>
      </c>
      <c r="E258" s="24">
        <f>Купоны!$C$4*(A258-D258)/365*100</f>
        <v>2.2794520547945205</v>
      </c>
      <c r="F258" s="27">
        <f>-B258*(C258+E258)*Купоны!$G$10/100</f>
        <v>-301772.41095890407</v>
      </c>
      <c r="G258" s="34">
        <f>SUM($B$2:B258)</f>
        <v>840</v>
      </c>
      <c r="H258" s="31">
        <f>_xlfn.IFNA(VLOOKUP($A258,Купоны[[Дата]:[% от номинала]],3,0),0)*Купоны!$G$10/100*G258</f>
        <v>0</v>
      </c>
      <c r="I258" s="36">
        <f>Таблица16[[#This Row],[Денежный поток]]+Таблица16[[#This Row],[Купонный доход]]</f>
        <v>-301772.41095890407</v>
      </c>
      <c r="J258" s="31">
        <f>Таблица16[[#This Row],[Общий денежный поток]]/((1+$L$2)^((Таблица16[[#This Row],[Названия строк]]-$A$2)/365))</f>
        <v>-241967.20921788851</v>
      </c>
    </row>
    <row r="259" spans="1:10" x14ac:dyDescent="0.3">
      <c r="A259" s="23">
        <v>43854</v>
      </c>
      <c r="B259" s="24">
        <v>220</v>
      </c>
      <c r="C259" s="24">
        <f>VLOOKUP(Таблица16[[#This Row],[Названия строк]],Котировки[[&lt;DATE&gt;]:[&lt;VOL&gt;]],6,0)</f>
        <v>101.8</v>
      </c>
      <c r="D259" s="26">
        <f>INDEX(Купоны[Дата],MATCH($A259,Купоны[Дата],1))</f>
        <v>43749</v>
      </c>
      <c r="E259" s="24">
        <f>Купоны!$C$4*(A259-D259)/365*100</f>
        <v>2.3013698630136985</v>
      </c>
      <c r="F259" s="27">
        <f>-B259*(C259+E259)*Купоны!$G$10/100</f>
        <v>-229023.01369863015</v>
      </c>
      <c r="G259" s="34">
        <f>SUM($B$2:B259)</f>
        <v>1060</v>
      </c>
      <c r="H259" s="31">
        <f>_xlfn.IFNA(VLOOKUP($A259,Купоны[[Дата]:[% от номинала]],3,0),0)*Купоны!$G$10/100*G259</f>
        <v>0</v>
      </c>
      <c r="I259" s="36">
        <f>Таблица16[[#This Row],[Денежный поток]]+Таблица16[[#This Row],[Купонный доход]]</f>
        <v>-229023.01369863015</v>
      </c>
      <c r="J259" s="31">
        <f>Таблица16[[#This Row],[Общий денежный поток]]/((1+$L$2)^((Таблица16[[#This Row],[Названия строк]]-$A$2)/365))</f>
        <v>-183586.53117166352</v>
      </c>
    </row>
    <row r="260" spans="1:10" x14ac:dyDescent="0.3">
      <c r="A260" s="23">
        <v>43858</v>
      </c>
      <c r="B260" s="24">
        <v>-560</v>
      </c>
      <c r="C260" s="24">
        <f>VLOOKUP(Таблица16[[#This Row],[Названия строк]],Котировки[[&lt;DATE&gt;]:[&lt;VOL&gt;]],6,0)</f>
        <v>101.69</v>
      </c>
      <c r="D260" s="26">
        <f>INDEX(Купоны[Дата],MATCH($A260,Купоны[Дата],1))</f>
        <v>43749</v>
      </c>
      <c r="E260" s="24">
        <f>Купоны!$C$4*(A260-D260)/365*100</f>
        <v>2.3890410958904109</v>
      </c>
      <c r="F260" s="27">
        <f>-B260*(C260+E260)*Купоны!$G$10/100</f>
        <v>582842.63013698626</v>
      </c>
      <c r="G260" s="34">
        <f>SUM($B$2:B260)</f>
        <v>500</v>
      </c>
      <c r="H260" s="31">
        <f>_xlfn.IFNA(VLOOKUP($A260,Купоны[[Дата]:[% от номинала]],3,0),0)*Купоны!$G$10/100*G260</f>
        <v>0</v>
      </c>
      <c r="I260" s="36">
        <f>Таблица16[[#This Row],[Денежный поток]]+Таблица16[[#This Row],[Купонный доход]]</f>
        <v>582842.63013698626</v>
      </c>
      <c r="J260" s="31">
        <f>Таблица16[[#This Row],[Общий денежный поток]]/((1+$L$2)^((Таблица16[[#This Row],[Названия строк]]-$A$2)/365))</f>
        <v>466715.07805549534</v>
      </c>
    </row>
    <row r="261" spans="1:10" x14ac:dyDescent="0.3">
      <c r="A261" s="23">
        <v>43860</v>
      </c>
      <c r="B261" s="24">
        <v>-200</v>
      </c>
      <c r="C261" s="24">
        <f>VLOOKUP(Таблица16[[#This Row],[Названия строк]],Котировки[[&lt;DATE&gt;]:[&lt;VOL&gt;]],6,0)</f>
        <v>102.01</v>
      </c>
      <c r="D261" s="26">
        <f>INDEX(Купоны[Дата],MATCH($A261,Купоны[Дата],1))</f>
        <v>43749</v>
      </c>
      <c r="E261" s="24">
        <f>Купоны!$C$4*(A261-D261)/365*100</f>
        <v>2.4328767123287673</v>
      </c>
      <c r="F261" s="27">
        <f>-B261*(C261+E261)*Купоны!$G$10/100</f>
        <v>208885.75342465751</v>
      </c>
      <c r="G261" s="34">
        <f>SUM($B$2:B261)</f>
        <v>300</v>
      </c>
      <c r="H261" s="31">
        <f>_xlfn.IFNA(VLOOKUP($A261,Купоны[[Дата]:[% от номинала]],3,0),0)*Купоны!$G$10/100*G261</f>
        <v>0</v>
      </c>
      <c r="I261" s="36">
        <f>Таблица16[[#This Row],[Денежный поток]]+Таблица16[[#This Row],[Купонный доход]]</f>
        <v>208885.75342465751</v>
      </c>
      <c r="J261" s="31">
        <f>Таблица16[[#This Row],[Общий денежный поток]]/((1+$L$2)^((Таблица16[[#This Row],[Названия строк]]-$A$2)/365))</f>
        <v>167177.85905717159</v>
      </c>
    </row>
    <row r="262" spans="1:10" x14ac:dyDescent="0.3">
      <c r="A262" s="23">
        <v>43861</v>
      </c>
      <c r="B262" s="24">
        <v>160</v>
      </c>
      <c r="C262" s="24">
        <f>VLOOKUP(Таблица16[[#This Row],[Названия строк]],Котировки[[&lt;DATE&gt;]:[&lt;VOL&gt;]],6,0)</f>
        <v>101.85</v>
      </c>
      <c r="D262" s="26">
        <f>INDEX(Купоны[Дата],MATCH($A262,Купоны[Дата],1))</f>
        <v>43749</v>
      </c>
      <c r="E262" s="24">
        <f>Купоны!$C$4*(A262-D262)/365*100</f>
        <v>2.4547945205479453</v>
      </c>
      <c r="F262" s="27">
        <f>-B262*(C262+E262)*Купоны!$G$10/100</f>
        <v>-166887.67123287672</v>
      </c>
      <c r="G262" s="34">
        <f>SUM($B$2:B262)</f>
        <v>460</v>
      </c>
      <c r="H262" s="31">
        <f>_xlfn.IFNA(VLOOKUP($A262,Купоны[[Дата]:[% от номинала]],3,0),0)*Купоны!$G$10/100*G262</f>
        <v>0</v>
      </c>
      <c r="I262" s="36">
        <f>Таблица16[[#This Row],[Денежный поток]]+Таблица16[[#This Row],[Купонный доход]]</f>
        <v>-166887.67123287672</v>
      </c>
      <c r="J262" s="31">
        <f>Таблица16[[#This Row],[Общий денежный поток]]/((1+$L$2)^((Таблица16[[#This Row],[Названия строк]]-$A$2)/365))</f>
        <v>-133530.01589218501</v>
      </c>
    </row>
    <row r="263" spans="1:10" x14ac:dyDescent="0.3">
      <c r="A263" s="23">
        <v>43864</v>
      </c>
      <c r="B263" s="24">
        <v>720</v>
      </c>
      <c r="C263" s="24">
        <f>VLOOKUP(Таблица16[[#This Row],[Названия строк]],Котировки[[&lt;DATE&gt;]:[&lt;VOL&gt;]],6,0)</f>
        <v>101.92</v>
      </c>
      <c r="D263" s="26">
        <f>INDEX(Купоны[Дата],MATCH($A263,Купоны[Дата],1))</f>
        <v>43749</v>
      </c>
      <c r="E263" s="24">
        <f>Купоны!$C$4*(A263-D263)/365*100</f>
        <v>2.5205479452054798</v>
      </c>
      <c r="F263" s="27">
        <f>-B263*(C263+E263)*Купоны!$G$10/100</f>
        <v>-751971.94520547939</v>
      </c>
      <c r="G263" s="34">
        <f>SUM($B$2:B263)</f>
        <v>1180</v>
      </c>
      <c r="H263" s="31">
        <f>_xlfn.IFNA(VLOOKUP($A263,Купоны[[Дата]:[% от номинала]],3,0),0)*Купоны!$G$10/100*G263</f>
        <v>0</v>
      </c>
      <c r="I263" s="36">
        <f>Таблица16[[#This Row],[Денежный поток]]+Таблица16[[#This Row],[Купонный доход]]</f>
        <v>-751971.94520547939</v>
      </c>
      <c r="J263" s="31">
        <f>Таблица16[[#This Row],[Общий денежный поток]]/((1+$L$2)^((Таблица16[[#This Row],[Названия строк]]-$A$2)/365))</f>
        <v>-601188.14499218005</v>
      </c>
    </row>
    <row r="264" spans="1:10" x14ac:dyDescent="0.3">
      <c r="A264" s="23">
        <v>43865</v>
      </c>
      <c r="B264" s="24">
        <v>-610</v>
      </c>
      <c r="C264" s="24">
        <f>VLOOKUP(Таблица16[[#This Row],[Названия строк]],Котировки[[&lt;DATE&gt;]:[&lt;VOL&gt;]],6,0)</f>
        <v>101.84</v>
      </c>
      <c r="D264" s="26">
        <f>INDEX(Купоны[Дата],MATCH($A264,Купоны[Дата],1))</f>
        <v>43749</v>
      </c>
      <c r="E264" s="24">
        <f>Купоны!$C$4*(A264-D264)/365*100</f>
        <v>2.5424657534246573</v>
      </c>
      <c r="F264" s="27">
        <f>-B264*(C264+E264)*Купоны!$G$10/100</f>
        <v>636733.04109589045</v>
      </c>
      <c r="G264" s="34">
        <f>SUM($B$2:B264)</f>
        <v>570</v>
      </c>
      <c r="H264" s="31">
        <f>_xlfn.IFNA(VLOOKUP($A264,Купоны[[Дата]:[% от номинала]],3,0),0)*Купоны!$G$10/100*G264</f>
        <v>0</v>
      </c>
      <c r="I264" s="36">
        <f>Таблица16[[#This Row],[Денежный поток]]+Таблица16[[#This Row],[Купонный доход]]</f>
        <v>636733.04109589045</v>
      </c>
      <c r="J264" s="31">
        <f>Таблица16[[#This Row],[Общий денежный поток]]/((1+$L$2)^((Таблица16[[#This Row],[Названия строк]]-$A$2)/365))</f>
        <v>508921.57728849072</v>
      </c>
    </row>
    <row r="265" spans="1:10" x14ac:dyDescent="0.3">
      <c r="A265" s="23">
        <v>43866</v>
      </c>
      <c r="B265" s="24">
        <v>320</v>
      </c>
      <c r="C265" s="24">
        <f>VLOOKUP(Таблица16[[#This Row],[Названия строк]],Котировки[[&lt;DATE&gt;]:[&lt;VOL&gt;]],6,0)</f>
        <v>101.79</v>
      </c>
      <c r="D265" s="26">
        <f>INDEX(Купоны[Дата],MATCH($A265,Купоны[Дата],1))</f>
        <v>43749</v>
      </c>
      <c r="E265" s="24">
        <f>Купоны!$C$4*(A265-D265)/365*100</f>
        <v>2.5643835616438357</v>
      </c>
      <c r="F265" s="27">
        <f>-B265*(C265+E265)*Купоны!$G$10/100</f>
        <v>-333934.0273972603</v>
      </c>
      <c r="G265" s="34">
        <f>SUM($B$2:B265)</f>
        <v>890</v>
      </c>
      <c r="H265" s="31">
        <f>_xlfn.IFNA(VLOOKUP($A265,Купоны[[Дата]:[% от номинала]],3,0),0)*Купоны!$G$10/100*G265</f>
        <v>0</v>
      </c>
      <c r="I265" s="36">
        <f>Таблица16[[#This Row],[Денежный поток]]+Таблица16[[#This Row],[Купонный доход]]</f>
        <v>-333934.0273972603</v>
      </c>
      <c r="J265" s="31">
        <f>Таблица16[[#This Row],[Общий денежный поток]]/((1+$L$2)^((Таблица16[[#This Row],[Названия строк]]-$A$2)/365))</f>
        <v>-266832.58344703494</v>
      </c>
    </row>
    <row r="266" spans="1:10" x14ac:dyDescent="0.3">
      <c r="A266" s="23">
        <v>43868</v>
      </c>
      <c r="B266" s="24">
        <v>-520</v>
      </c>
      <c r="C266" s="24">
        <f>VLOOKUP(Таблица16[[#This Row],[Названия строк]],Котировки[[&lt;DATE&gt;]:[&lt;VOL&gt;]],6,0)</f>
        <v>101.78</v>
      </c>
      <c r="D266" s="26">
        <f>INDEX(Купоны[Дата],MATCH($A266,Купоны[Дата],1))</f>
        <v>43749</v>
      </c>
      <c r="E266" s="24">
        <f>Купоны!$C$4*(A266-D266)/365*100</f>
        <v>2.6082191780821917</v>
      </c>
      <c r="F266" s="27">
        <f>-B266*(C266+E266)*Купоны!$G$10/100</f>
        <v>542818.73972602736</v>
      </c>
      <c r="G266" s="34">
        <f>SUM($B$2:B266)</f>
        <v>370</v>
      </c>
      <c r="H266" s="31">
        <f>_xlfn.IFNA(VLOOKUP($A266,Купоны[[Дата]:[% от номинала]],3,0),0)*Купоны!$G$10/100*G266</f>
        <v>0</v>
      </c>
      <c r="I266" s="36">
        <f>Таблица16[[#This Row],[Денежный поток]]+Таблица16[[#This Row],[Купонный доход]]</f>
        <v>542818.73972602736</v>
      </c>
      <c r="J266" s="31">
        <f>Таблица16[[#This Row],[Общий денежный поток]]/((1+$L$2)^((Таблица16[[#This Row],[Названия строк]]-$A$2)/365))</f>
        <v>433513.30795379472</v>
      </c>
    </row>
    <row r="267" spans="1:10" x14ac:dyDescent="0.3">
      <c r="A267" s="23">
        <v>43871</v>
      </c>
      <c r="B267" s="24">
        <v>-290</v>
      </c>
      <c r="C267" s="24">
        <f>VLOOKUP(Таблица16[[#This Row],[Названия строк]],Котировки[[&lt;DATE&gt;]:[&lt;VOL&gt;]],6,0)</f>
        <v>101.93</v>
      </c>
      <c r="D267" s="26">
        <f>INDEX(Купоны[Дата],MATCH($A267,Купоны[Дата],1))</f>
        <v>43749</v>
      </c>
      <c r="E267" s="24">
        <f>Купоны!$C$4*(A267-D267)/365*100</f>
        <v>2.6739726027397261</v>
      </c>
      <c r="F267" s="27">
        <f>-B267*(C267+E267)*Купоны!$G$10/100</f>
        <v>303351.52054794523</v>
      </c>
      <c r="G267" s="34">
        <f>SUM($B$2:B267)</f>
        <v>80</v>
      </c>
      <c r="H267" s="31">
        <f>_xlfn.IFNA(VLOOKUP($A267,Купоны[[Дата]:[% от номинала]],3,0),0)*Купоны!$G$10/100*G267</f>
        <v>0</v>
      </c>
      <c r="I267" s="36">
        <f>Таблица16[[#This Row],[Денежный поток]]+Таблица16[[#This Row],[Купонный доход]]</f>
        <v>303351.52054794523</v>
      </c>
      <c r="J267" s="31">
        <f>Таблица16[[#This Row],[Общий денежный поток]]/((1+$L$2)^((Таблица16[[#This Row],[Названия строк]]-$A$2)/365))</f>
        <v>242073.86344295621</v>
      </c>
    </row>
    <row r="268" spans="1:10" x14ac:dyDescent="0.3">
      <c r="A268" s="23">
        <v>43874</v>
      </c>
      <c r="B268" s="24">
        <v>400</v>
      </c>
      <c r="C268" s="24">
        <f>VLOOKUP(Таблица16[[#This Row],[Названия строк]],Котировки[[&lt;DATE&gt;]:[&lt;VOL&gt;]],6,0)</f>
        <v>101.83</v>
      </c>
      <c r="D268" s="26">
        <f>INDEX(Купоны[Дата],MATCH($A268,Купоны[Дата],1))</f>
        <v>43749</v>
      </c>
      <c r="E268" s="24">
        <f>Купоны!$C$4*(A268-D268)/365*100</f>
        <v>2.7397260273972601</v>
      </c>
      <c r="F268" s="27">
        <f>-B268*(C268+E268)*Купоны!$G$10/100</f>
        <v>-418278.904109589</v>
      </c>
      <c r="G268" s="34">
        <f>SUM($B$2:B268)</f>
        <v>480</v>
      </c>
      <c r="H268" s="31">
        <f>_xlfn.IFNA(VLOOKUP($A268,Купоны[[Дата]:[% от номинала]],3,0),0)*Купоны!$G$10/100*G268</f>
        <v>0</v>
      </c>
      <c r="I268" s="36">
        <f>Таблица16[[#This Row],[Денежный поток]]+Таблица16[[#This Row],[Купонный доход]]</f>
        <v>-418278.904109589</v>
      </c>
      <c r="J268" s="31">
        <f>Таблица16[[#This Row],[Общий денежный поток]]/((1+$L$2)^((Таблица16[[#This Row],[Названия строк]]-$A$2)/365))</f>
        <v>-333519.94502340391</v>
      </c>
    </row>
    <row r="269" spans="1:10" x14ac:dyDescent="0.3">
      <c r="A269" s="23">
        <v>43875</v>
      </c>
      <c r="B269" s="24">
        <v>650</v>
      </c>
      <c r="C269" s="24">
        <f>VLOOKUP(Таблица16[[#This Row],[Названия строк]],Котировки[[&lt;DATE&gt;]:[&lt;VOL&gt;]],6,0)</f>
        <v>101.9</v>
      </c>
      <c r="D269" s="26">
        <f>INDEX(Купоны[Дата],MATCH($A269,Купоны[Дата],1))</f>
        <v>43749</v>
      </c>
      <c r="E269" s="24">
        <f>Купоны!$C$4*(A269-D269)/365*100</f>
        <v>2.7616438356164381</v>
      </c>
      <c r="F269" s="27">
        <f>-B269*(C269+E269)*Купоны!$G$10/100</f>
        <v>-680300.68493150687</v>
      </c>
      <c r="G269" s="34">
        <f>SUM($B$2:B269)</f>
        <v>1130</v>
      </c>
      <c r="H269" s="31">
        <f>_xlfn.IFNA(VLOOKUP($A269,Купоны[[Дата]:[% от номинала]],3,0),0)*Купоны!$G$10/100*G269</f>
        <v>0</v>
      </c>
      <c r="I269" s="36">
        <f>Таблица16[[#This Row],[Денежный поток]]+Таблица16[[#This Row],[Купонный доход]]</f>
        <v>-680300.68493150687</v>
      </c>
      <c r="J269" s="31">
        <f>Таблица16[[#This Row],[Общий денежный поток]]/((1+$L$2)^((Таблица16[[#This Row],[Названия строк]]-$A$2)/365))</f>
        <v>-542302.32347256551</v>
      </c>
    </row>
    <row r="270" spans="1:10" x14ac:dyDescent="0.3">
      <c r="A270" s="23">
        <v>43878</v>
      </c>
      <c r="B270" s="24">
        <v>750</v>
      </c>
      <c r="C270" s="24">
        <f>VLOOKUP(Таблица16[[#This Row],[Названия строк]],Котировки[[&lt;DATE&gt;]:[&lt;VOL&gt;]],6,0)</f>
        <v>101.87</v>
      </c>
      <c r="D270" s="26">
        <f>INDEX(Купоны[Дата],MATCH($A270,Купоны[Дата],1))</f>
        <v>43749</v>
      </c>
      <c r="E270" s="24">
        <f>Купоны!$C$4*(A270-D270)/365*100</f>
        <v>2.8273972602739725</v>
      </c>
      <c r="F270" s="27">
        <f>-B270*(C270+E270)*Купоны!$G$10/100</f>
        <v>-785230.47945205483</v>
      </c>
      <c r="G270" s="34">
        <f>SUM($B$2:B270)</f>
        <v>1880</v>
      </c>
      <c r="H270" s="31">
        <f>_xlfn.IFNA(VLOOKUP($A270,Купоны[[Дата]:[% от номинала]],3,0),0)*Купоны!$G$10/100*G270</f>
        <v>0</v>
      </c>
      <c r="I270" s="36">
        <f>Таблица16[[#This Row],[Денежный поток]]+Таблица16[[#This Row],[Купонный доход]]</f>
        <v>-785230.47945205483</v>
      </c>
      <c r="J270" s="31">
        <f>Таблица16[[#This Row],[Общий денежный поток]]/((1+$L$2)^((Таблица16[[#This Row],[Названия строк]]-$A$2)/365))</f>
        <v>-625448.89486502914</v>
      </c>
    </row>
    <row r="271" spans="1:10" x14ac:dyDescent="0.3">
      <c r="A271" s="23">
        <v>43879</v>
      </c>
      <c r="B271" s="24">
        <v>380</v>
      </c>
      <c r="C271" s="24">
        <f>VLOOKUP(Таблица16[[#This Row],[Названия строк]],Котировки[[&lt;DATE&gt;]:[&lt;VOL&gt;]],6,0)</f>
        <v>101.95</v>
      </c>
      <c r="D271" s="26">
        <f>INDEX(Купоны[Дата],MATCH($A271,Купоны[Дата],1))</f>
        <v>43749</v>
      </c>
      <c r="E271" s="24">
        <f>Купоны!$C$4*(A271-D271)/365*100</f>
        <v>2.849315068493151</v>
      </c>
      <c r="F271" s="27">
        <f>-B271*(C271+E271)*Купоны!$G$10/100</f>
        <v>-398237.39726027398</v>
      </c>
      <c r="G271" s="34">
        <f>SUM($B$2:B271)</f>
        <v>2260</v>
      </c>
      <c r="H271" s="31">
        <f>_xlfn.IFNA(VLOOKUP($A271,Купоны[[Дата]:[% от номинала]],3,0),0)*Купоны!$G$10/100*G271</f>
        <v>0</v>
      </c>
      <c r="I271" s="36">
        <f>Таблица16[[#This Row],[Денежный поток]]+Таблица16[[#This Row],[Купонный доход]]</f>
        <v>-398237.39726027398</v>
      </c>
      <c r="J271" s="31">
        <f>Таблица16[[#This Row],[Общий денежный поток]]/((1+$L$2)^((Таблица16[[#This Row],[Названия строк]]-$A$2)/365))</f>
        <v>-317118.39113897027</v>
      </c>
    </row>
    <row r="272" spans="1:10" x14ac:dyDescent="0.3">
      <c r="A272" s="23">
        <v>43881</v>
      </c>
      <c r="B272" s="24">
        <v>-2250</v>
      </c>
      <c r="C272" s="24">
        <f>VLOOKUP(Таблица16[[#This Row],[Названия строк]],Котировки[[&lt;DATE&gt;]:[&lt;VOL&gt;]],6,0)</f>
        <v>101.94</v>
      </c>
      <c r="D272" s="26">
        <f>INDEX(Купоны[Дата],MATCH($A272,Купоны[Дата],1))</f>
        <v>43749</v>
      </c>
      <c r="E272" s="24">
        <f>Купоны!$C$4*(A272-D272)/365*100</f>
        <v>2.893150684931507</v>
      </c>
      <c r="F272" s="27">
        <f>-B272*(C272+E272)*Купоны!$G$10/100</f>
        <v>2358745.8904109588</v>
      </c>
      <c r="G272" s="34">
        <f>SUM($B$2:B272)</f>
        <v>10</v>
      </c>
      <c r="H272" s="31">
        <f>_xlfn.IFNA(VLOOKUP($A272,Купоны[[Дата]:[% от номинала]],3,0),0)*Купоны!$G$10/100*G272</f>
        <v>0</v>
      </c>
      <c r="I272" s="36">
        <f>Таблица16[[#This Row],[Денежный поток]]+Таблица16[[#This Row],[Купонный доход]]</f>
        <v>2358745.8904109588</v>
      </c>
      <c r="J272" s="31">
        <f>Таблица16[[#This Row],[Общий денежный поток]]/((1+$L$2)^((Таблица16[[#This Row],[Названия строк]]-$A$2)/365))</f>
        <v>1877283.9232038152</v>
      </c>
    </row>
    <row r="273" spans="1:10" x14ac:dyDescent="0.3">
      <c r="A273" s="23">
        <v>43882</v>
      </c>
      <c r="B273" s="24">
        <v>140</v>
      </c>
      <c r="C273" s="24">
        <f>VLOOKUP(Таблица16[[#This Row],[Названия строк]],Котировки[[&lt;DATE&gt;]:[&lt;VOL&gt;]],6,0)</f>
        <v>101.96</v>
      </c>
      <c r="D273" s="26">
        <f>INDEX(Купоны[Дата],MATCH($A273,Купоны[Дата],1))</f>
        <v>43749</v>
      </c>
      <c r="E273" s="24">
        <f>Купоны!$C$4*(A273-D273)/365*100</f>
        <v>2.9150684931506849</v>
      </c>
      <c r="F273" s="27">
        <f>-B273*(C273+E273)*Купоны!$G$10/100</f>
        <v>-146825.09589041094</v>
      </c>
      <c r="G273" s="34">
        <f>SUM($B$2:B273)</f>
        <v>150</v>
      </c>
      <c r="H273" s="31">
        <f>_xlfn.IFNA(VLOOKUP($A273,Купоны[[Дата]:[% от номинала]],3,0),0)*Купоны!$G$10/100*G273</f>
        <v>0</v>
      </c>
      <c r="I273" s="36">
        <f>Таблица16[[#This Row],[Денежный поток]]+Таблица16[[#This Row],[Купонный доход]]</f>
        <v>-146825.09589041094</v>
      </c>
      <c r="J273" s="31">
        <f>Таблица16[[#This Row],[Общий денежный поток]]/((1+$L$2)^((Таблица16[[#This Row],[Названия строк]]-$A$2)/365))</f>
        <v>-116824.46624792404</v>
      </c>
    </row>
    <row r="274" spans="1:10" x14ac:dyDescent="0.3">
      <c r="A274" s="23">
        <v>43886</v>
      </c>
      <c r="B274" s="24">
        <v>-10</v>
      </c>
      <c r="C274" s="24">
        <f>VLOOKUP(Таблица16[[#This Row],[Названия строк]],Котировки[[&lt;DATE&gt;]:[&lt;VOL&gt;]],6,0)</f>
        <v>101.62</v>
      </c>
      <c r="D274" s="26">
        <f>INDEX(Купоны[Дата],MATCH($A274,Купоны[Дата],1))</f>
        <v>43749</v>
      </c>
      <c r="E274" s="24">
        <f>Купоны!$C$4*(A274-D274)/365*100</f>
        <v>3.0027397260273974</v>
      </c>
      <c r="F274" s="27">
        <f>-B274*(C274+E274)*Купоны!$G$10/100</f>
        <v>10462.273972602741</v>
      </c>
      <c r="G274" s="34">
        <f>SUM($B$2:B274)</f>
        <v>140</v>
      </c>
      <c r="H274" s="31">
        <f>_xlfn.IFNA(VLOOKUP($A274,Купоны[[Дата]:[% от номинала]],3,0),0)*Купоны!$G$10/100*G274</f>
        <v>0</v>
      </c>
      <c r="I274" s="36">
        <f>Таблица16[[#This Row],[Денежный поток]]+Таблица16[[#This Row],[Купонный доход]]</f>
        <v>10462.273972602741</v>
      </c>
      <c r="J274" s="31">
        <f>Таблица16[[#This Row],[Общий денежный поток]]/((1+$L$2)^((Таблица16[[#This Row],[Названия строк]]-$A$2)/365))</f>
        <v>8315.6927119943102</v>
      </c>
    </row>
    <row r="275" spans="1:10" x14ac:dyDescent="0.3">
      <c r="A275" s="23">
        <v>43887</v>
      </c>
      <c r="B275" s="24">
        <v>690</v>
      </c>
      <c r="C275" s="24">
        <f>VLOOKUP(Таблица16[[#This Row],[Названия строк]],Котировки[[&lt;DATE&gt;]:[&lt;VOL&gt;]],6,0)</f>
        <v>101.58</v>
      </c>
      <c r="D275" s="26">
        <f>INDEX(Купоны[Дата],MATCH($A275,Купоны[Дата],1))</f>
        <v>43749</v>
      </c>
      <c r="E275" s="24">
        <f>Купоны!$C$4*(A275-D275)/365*100</f>
        <v>3.0246575342465754</v>
      </c>
      <c r="F275" s="27">
        <f>-B275*(C275+E275)*Купоны!$G$10/100</f>
        <v>-721772.1369863014</v>
      </c>
      <c r="G275" s="34">
        <f>SUM($B$2:B275)</f>
        <v>830</v>
      </c>
      <c r="H275" s="31">
        <f>_xlfn.IFNA(VLOOKUP($A275,Купоны[[Дата]:[% от номинала]],3,0),0)*Купоны!$G$10/100*G275</f>
        <v>0</v>
      </c>
      <c r="I275" s="36">
        <f>Таблица16[[#This Row],[Денежный поток]]+Таблица16[[#This Row],[Купонный доход]]</f>
        <v>-721772.1369863014</v>
      </c>
      <c r="J275" s="31">
        <f>Таблица16[[#This Row],[Общий денежный поток]]/((1+$L$2)^((Таблица16[[#This Row],[Названия строк]]-$A$2)/365))</f>
        <v>-573531.3534207223</v>
      </c>
    </row>
    <row r="276" spans="1:10" x14ac:dyDescent="0.3">
      <c r="A276" s="23">
        <v>43889</v>
      </c>
      <c r="B276" s="24">
        <v>-560</v>
      </c>
      <c r="C276" s="24">
        <f>VLOOKUP(Таблица16[[#This Row],[Названия строк]],Котировки[[&lt;DATE&gt;]:[&lt;VOL&gt;]],6,0)</f>
        <v>101.1</v>
      </c>
      <c r="D276" s="26">
        <f>INDEX(Купоны[Дата],MATCH($A276,Купоны[Дата],1))</f>
        <v>43749</v>
      </c>
      <c r="E276" s="24">
        <f>Купоны!$C$4*(A276-D276)/365*100</f>
        <v>3.0684931506849318</v>
      </c>
      <c r="F276" s="27">
        <f>-B276*(C276+E276)*Купоны!$G$10/100</f>
        <v>583343.56164383551</v>
      </c>
      <c r="G276" s="34">
        <f>SUM($B$2:B276)</f>
        <v>270</v>
      </c>
      <c r="H276" s="31">
        <f>_xlfn.IFNA(VLOOKUP($A276,Купоны[[Дата]:[% от номинала]],3,0),0)*Купоны!$G$10/100*G276</f>
        <v>0</v>
      </c>
      <c r="I276" s="36">
        <f>Таблица16[[#This Row],[Денежный поток]]+Таблица16[[#This Row],[Купонный доход]]</f>
        <v>583343.56164383551</v>
      </c>
      <c r="J276" s="31">
        <f>Таблица16[[#This Row],[Общий денежный поток]]/((1+$L$2)^((Таблица16[[#This Row],[Названия строк]]-$A$2)/365))</f>
        <v>463287.8136452068</v>
      </c>
    </row>
    <row r="277" spans="1:10" x14ac:dyDescent="0.3">
      <c r="A277" s="23">
        <v>43896</v>
      </c>
      <c r="B277" s="24">
        <v>710</v>
      </c>
      <c r="C277" s="24">
        <f>VLOOKUP(Таблица16[[#This Row],[Названия строк]],Котировки[[&lt;DATE&gt;]:[&lt;VOL&gt;]],6,0)</f>
        <v>101.5</v>
      </c>
      <c r="D277" s="26">
        <f>INDEX(Купоны[Дата],MATCH($A277,Купоны[Дата],1))</f>
        <v>43749</v>
      </c>
      <c r="E277" s="24">
        <f>Купоны!$C$4*(A277-D277)/365*100</f>
        <v>3.2219178082191782</v>
      </c>
      <c r="F277" s="27">
        <f>-B277*(C277+E277)*Купоны!$G$10/100</f>
        <v>-743525.616438356</v>
      </c>
      <c r="G277" s="34">
        <f>SUM($B$2:B277)</f>
        <v>980</v>
      </c>
      <c r="H277" s="31">
        <f>_xlfn.IFNA(VLOOKUP($A277,Купоны[[Дата]:[% от номинала]],3,0),0)*Купоны!$G$10/100*G277</f>
        <v>0</v>
      </c>
      <c r="I277" s="36">
        <f>Таблица16[[#This Row],[Денежный поток]]+Таблица16[[#This Row],[Купонный доход]]</f>
        <v>-743525.616438356</v>
      </c>
      <c r="J277" s="31">
        <f>Таблица16[[#This Row],[Общий денежный поток]]/((1+$L$2)^((Таблица16[[#This Row],[Названия строк]]-$A$2)/365))</f>
        <v>-589407.09424427873</v>
      </c>
    </row>
    <row r="278" spans="1:10" x14ac:dyDescent="0.3">
      <c r="A278" s="23">
        <v>43901</v>
      </c>
      <c r="B278" s="24">
        <v>500</v>
      </c>
      <c r="C278" s="24">
        <f>VLOOKUP(Таблица16[[#This Row],[Названия строк]],Котировки[[&lt;DATE&gt;]:[&lt;VOL&gt;]],6,0)</f>
        <v>100.8</v>
      </c>
      <c r="D278" s="26">
        <f>INDEX(Купоны[Дата],MATCH($A278,Купоны[Дата],1))</f>
        <v>43749</v>
      </c>
      <c r="E278" s="24">
        <f>Купоны!$C$4*(A278-D278)/365*100</f>
        <v>3.3315068493150681</v>
      </c>
      <c r="F278" s="27">
        <f>-B278*(C278+E278)*Купоны!$G$10/100</f>
        <v>-520657.53424657532</v>
      </c>
      <c r="G278" s="34">
        <f>SUM($B$2:B278)</f>
        <v>1480</v>
      </c>
      <c r="H278" s="31">
        <f>_xlfn.IFNA(VLOOKUP($A278,Купоны[[Дата]:[% от номинала]],3,0),0)*Купоны!$G$10/100*G278</f>
        <v>0</v>
      </c>
      <c r="I278" s="36">
        <f>Таблица16[[#This Row],[Денежный поток]]+Таблица16[[#This Row],[Купонный доход]]</f>
        <v>-520657.53424657532</v>
      </c>
      <c r="J278" s="31">
        <f>Таблица16[[#This Row],[Общий денежный поток]]/((1+$L$2)^((Таблица16[[#This Row],[Названия строк]]-$A$2)/365))</f>
        <v>-412187.78731486795</v>
      </c>
    </row>
    <row r="279" spans="1:10" x14ac:dyDescent="0.3">
      <c r="A279" s="23">
        <v>43903</v>
      </c>
      <c r="B279" s="24">
        <v>-1140</v>
      </c>
      <c r="C279" s="24">
        <f>VLOOKUP(Таблица16[[#This Row],[Названия строк]],Котировки[[&lt;DATE&gt;]:[&lt;VOL&gt;]],6,0)</f>
        <v>100.71</v>
      </c>
      <c r="D279" s="26">
        <f>INDEX(Купоны[Дата],MATCH($A279,Купоны[Дата],1))</f>
        <v>43749</v>
      </c>
      <c r="E279" s="24">
        <f>Купоны!$C$4*(A279-D279)/365*100</f>
        <v>3.3753424657534246</v>
      </c>
      <c r="F279" s="27">
        <f>-B279*(C279+E279)*Купоны!$G$10/100</f>
        <v>1186572.9041095888</v>
      </c>
      <c r="G279" s="34">
        <f>SUM($B$2:B279)</f>
        <v>340</v>
      </c>
      <c r="H279" s="31">
        <f>_xlfn.IFNA(VLOOKUP($A279,Купоны[[Дата]:[% от номинала]],3,0),0)*Купоны!$G$10/100*G279</f>
        <v>0</v>
      </c>
      <c r="I279" s="36">
        <f>Таблица16[[#This Row],[Денежный поток]]+Таблица16[[#This Row],[Купонный доход]]</f>
        <v>1186572.9041095888</v>
      </c>
      <c r="J279" s="31">
        <f>Таблица16[[#This Row],[Общий денежный поток]]/((1+$L$2)^((Таблица16[[#This Row],[Названия строк]]-$A$2)/365))</f>
        <v>938872.903696739</v>
      </c>
    </row>
    <row r="280" spans="1:10" x14ac:dyDescent="0.3">
      <c r="A280" s="23">
        <v>43908</v>
      </c>
      <c r="B280" s="24">
        <v>120</v>
      </c>
      <c r="C280" s="24">
        <f>VLOOKUP(Таблица16[[#This Row],[Названия строк]],Котировки[[&lt;DATE&gt;]:[&lt;VOL&gt;]],6,0)</f>
        <v>100.72</v>
      </c>
      <c r="D280" s="26">
        <f>INDEX(Купоны[Дата],MATCH($A280,Купоны[Дата],1))</f>
        <v>43749</v>
      </c>
      <c r="E280" s="24">
        <f>Купоны!$C$4*(A280-D280)/365*100</f>
        <v>3.4849315068493154</v>
      </c>
      <c r="F280" s="27">
        <f>-B280*(C280+E280)*Купоны!$G$10/100</f>
        <v>-125045.91780821918</v>
      </c>
      <c r="G280" s="34">
        <f>SUM($B$2:B280)</f>
        <v>460</v>
      </c>
      <c r="H280" s="31">
        <f>_xlfn.IFNA(VLOOKUP($A280,Купоны[[Дата]:[% от номинала]],3,0),0)*Купоны!$G$10/100*G280</f>
        <v>0</v>
      </c>
      <c r="I280" s="36">
        <f>Таблица16[[#This Row],[Денежный поток]]+Таблица16[[#This Row],[Купонный доход]]</f>
        <v>-125045.91780821918</v>
      </c>
      <c r="J280" s="31">
        <f>Таблица16[[#This Row],[Общий денежный поток]]/((1+$L$2)^((Таблица16[[#This Row],[Названия строк]]-$A$2)/365))</f>
        <v>-98811.032317837555</v>
      </c>
    </row>
    <row r="281" spans="1:10" x14ac:dyDescent="0.3">
      <c r="A281" s="23">
        <v>43910</v>
      </c>
      <c r="B281" s="24">
        <v>-360</v>
      </c>
      <c r="C281" s="24">
        <f>VLOOKUP(Таблица16[[#This Row],[Названия строк]],Котировки[[&lt;DATE&gt;]:[&lt;VOL&gt;]],6,0)</f>
        <v>100.77</v>
      </c>
      <c r="D281" s="26">
        <f>INDEX(Купоны[Дата],MATCH($A281,Купоны[Дата],1))</f>
        <v>43749</v>
      </c>
      <c r="E281" s="24">
        <f>Купоны!$C$4*(A281-D281)/365*100</f>
        <v>3.5287671232876718</v>
      </c>
      <c r="F281" s="27">
        <f>-B281*(C281+E281)*Купоны!$G$10/100</f>
        <v>375475.56164383562</v>
      </c>
      <c r="G281" s="34">
        <f>SUM($B$2:B281)</f>
        <v>100</v>
      </c>
      <c r="H281" s="31">
        <f>_xlfn.IFNA(VLOOKUP($A281,Купоны[[Дата]:[% от номинала]],3,0),0)*Купоны!$G$10/100*G281</f>
        <v>0</v>
      </c>
      <c r="I281" s="36">
        <f>Таблица16[[#This Row],[Денежный поток]]+Таблица16[[#This Row],[Купонный доход]]</f>
        <v>375475.56164383562</v>
      </c>
      <c r="J281" s="31">
        <f>Таблица16[[#This Row],[Общий денежный поток]]/((1+$L$2)^((Таблица16[[#This Row],[Названия строк]]-$A$2)/365))</f>
        <v>296542.54431778548</v>
      </c>
    </row>
    <row r="282" spans="1:10" x14ac:dyDescent="0.3">
      <c r="A282" s="23">
        <v>43914</v>
      </c>
      <c r="B282" s="24">
        <v>280</v>
      </c>
      <c r="C282" s="24">
        <f>VLOOKUP(Таблица16[[#This Row],[Названия строк]],Котировки[[&lt;DATE&gt;]:[&lt;VOL&gt;]],6,0)</f>
        <v>100.76</v>
      </c>
      <c r="D282" s="26">
        <f>INDEX(Купоны[Дата],MATCH($A282,Купоны[Дата],1))</f>
        <v>43749</v>
      </c>
      <c r="E282" s="24">
        <f>Купоны!$C$4*(A282-D282)/365*100</f>
        <v>3.6164383561643838</v>
      </c>
      <c r="F282" s="27">
        <f>-B282*(C282+E282)*Купоны!$G$10/100</f>
        <v>-292254.0273972603</v>
      </c>
      <c r="G282" s="34">
        <f>SUM($B$2:B282)</f>
        <v>380</v>
      </c>
      <c r="H282" s="31">
        <f>_xlfn.IFNA(VLOOKUP($A282,Купоны[[Дата]:[% от номинала]],3,0),0)*Купоны!$G$10/100*G282</f>
        <v>0</v>
      </c>
      <c r="I282" s="36">
        <f>Таблица16[[#This Row],[Денежный поток]]+Таблица16[[#This Row],[Купонный доход]]</f>
        <v>-292254.0273972603</v>
      </c>
      <c r="J282" s="31">
        <f>Таблица16[[#This Row],[Общий денежный поток]]/((1+$L$2)^((Таблица16[[#This Row],[Названия строк]]-$A$2)/365))</f>
        <v>-230570.99312033542</v>
      </c>
    </row>
    <row r="283" spans="1:10" x14ac:dyDescent="0.3">
      <c r="A283" s="23">
        <v>43915</v>
      </c>
      <c r="B283" s="24">
        <v>690</v>
      </c>
      <c r="C283" s="24">
        <f>VLOOKUP(Таблица16[[#This Row],[Названия строк]],Котировки[[&lt;DATE&gt;]:[&lt;VOL&gt;]],6,0)</f>
        <v>101.01</v>
      </c>
      <c r="D283" s="26">
        <f>INDEX(Купоны[Дата],MATCH($A283,Купоны[Дата],1))</f>
        <v>43749</v>
      </c>
      <c r="E283" s="24">
        <f>Купоны!$C$4*(A283-D283)/365*100</f>
        <v>3.6383561643835618</v>
      </c>
      <c r="F283" s="27">
        <f>-B283*(C283+E283)*Купоны!$G$10/100</f>
        <v>-722073.65753424657</v>
      </c>
      <c r="G283" s="34">
        <f>SUM($B$2:B283)</f>
        <v>1070</v>
      </c>
      <c r="H283" s="31">
        <f>_xlfn.IFNA(VLOOKUP($A283,Купоны[[Дата]:[% от номинала]],3,0),0)*Купоны!$G$10/100*G283</f>
        <v>0</v>
      </c>
      <c r="I283" s="36">
        <f>Таблица16[[#This Row],[Денежный поток]]+Таблица16[[#This Row],[Купонный доход]]</f>
        <v>-722073.65753424657</v>
      </c>
      <c r="J283" s="31">
        <f>Таблица16[[#This Row],[Общий денежный поток]]/((1+$L$2)^((Таблица16[[#This Row],[Названия строк]]-$A$2)/365))</f>
        <v>-569521.82934698579</v>
      </c>
    </row>
    <row r="284" spans="1:10" x14ac:dyDescent="0.3">
      <c r="A284" s="23">
        <v>43916</v>
      </c>
      <c r="B284" s="24">
        <v>-220</v>
      </c>
      <c r="C284" s="24">
        <f>VLOOKUP(Таблица16[[#This Row],[Названия строк]],Котировки[[&lt;DATE&gt;]:[&lt;VOL&gt;]],6,0)</f>
        <v>101</v>
      </c>
      <c r="D284" s="26">
        <f>INDEX(Купоны[Дата],MATCH($A284,Купоны[Дата],1))</f>
        <v>43749</v>
      </c>
      <c r="E284" s="24">
        <f>Купоны!$C$4*(A284-D284)/365*100</f>
        <v>3.6602739726027393</v>
      </c>
      <c r="F284" s="27">
        <f>-B284*(C284+E284)*Купоны!$G$10/100</f>
        <v>230252.60273972605</v>
      </c>
      <c r="G284" s="34">
        <f>SUM($B$2:B284)</f>
        <v>850</v>
      </c>
      <c r="H284" s="31">
        <f>_xlfn.IFNA(VLOOKUP($A284,Купоны[[Дата]:[% от номинала]],3,0),0)*Купоны!$G$10/100*G284</f>
        <v>0</v>
      </c>
      <c r="I284" s="36">
        <f>Таблица16[[#This Row],[Денежный поток]]+Таблица16[[#This Row],[Купонный доход]]</f>
        <v>230252.60273972605</v>
      </c>
      <c r="J284" s="31">
        <f>Таблица16[[#This Row],[Общий денежный поток]]/((1+$L$2)^((Таблица16[[#This Row],[Названия строк]]-$A$2)/365))</f>
        <v>181559.14522740809</v>
      </c>
    </row>
    <row r="285" spans="1:10" x14ac:dyDescent="0.3">
      <c r="A285" s="23">
        <v>43924</v>
      </c>
      <c r="B285" s="24">
        <v>-640</v>
      </c>
      <c r="C285" s="24">
        <f>VLOOKUP(Таблица16[[#This Row],[Названия строк]],Котировки[[&lt;DATE&gt;]:[&lt;VOL&gt;]],6,0)</f>
        <v>101.45</v>
      </c>
      <c r="D285" s="26">
        <f>INDEX(Купоны[Дата],MATCH($A285,Купоны[Дата],1))</f>
        <v>43749</v>
      </c>
      <c r="E285" s="24">
        <f>Купоны!$C$4*(A285-D285)/365*100</f>
        <v>3.8356164383561646</v>
      </c>
      <c r="F285" s="27">
        <f>-B285*(C285+E285)*Купоны!$G$10/100</f>
        <v>673827.94520547939</v>
      </c>
      <c r="G285" s="34">
        <f>SUM($B$2:B285)</f>
        <v>210</v>
      </c>
      <c r="H285" s="31">
        <f>_xlfn.IFNA(VLOOKUP($A285,Купоны[[Дата]:[% от номинала]],3,0),0)*Купоны!$G$10/100*G285</f>
        <v>0</v>
      </c>
      <c r="I285" s="36">
        <f>Таблица16[[#This Row],[Денежный поток]]+Таблица16[[#This Row],[Купонный доход]]</f>
        <v>673827.94520547939</v>
      </c>
      <c r="J285" s="31">
        <f>Таблица16[[#This Row],[Общий денежный поток]]/((1+$L$2)^((Таблица16[[#This Row],[Названия строк]]-$A$2)/365))</f>
        <v>530200.65858763061</v>
      </c>
    </row>
    <row r="286" spans="1:10" x14ac:dyDescent="0.3">
      <c r="A286" s="23">
        <v>43927</v>
      </c>
      <c r="B286" s="24">
        <v>520</v>
      </c>
      <c r="C286" s="24">
        <f>VLOOKUP(Таблица16[[#This Row],[Названия строк]],Котировки[[&lt;DATE&gt;]:[&lt;VOL&gt;]],6,0)</f>
        <v>101.35</v>
      </c>
      <c r="D286" s="26">
        <f>INDEX(Купоны[Дата],MATCH($A286,Купоны[Дата],1))</f>
        <v>43749</v>
      </c>
      <c r="E286" s="24">
        <f>Купоны!$C$4*(A286-D286)/365*100</f>
        <v>3.9013698630136986</v>
      </c>
      <c r="F286" s="27">
        <f>-B286*(C286+E286)*Купоны!$G$10/100</f>
        <v>-547307.12328767125</v>
      </c>
      <c r="G286" s="34">
        <f>SUM($B$2:B286)</f>
        <v>730</v>
      </c>
      <c r="H286" s="31">
        <f>_xlfn.IFNA(VLOOKUP($A286,Купоны[[Дата]:[% от номинала]],3,0),0)*Купоны!$G$10/100*G286</f>
        <v>0</v>
      </c>
      <c r="I286" s="36">
        <f>Таблица16[[#This Row],[Денежный поток]]+Таблица16[[#This Row],[Купонный доход]]</f>
        <v>-547307.12328767125</v>
      </c>
      <c r="J286" s="31">
        <f>Таблица16[[#This Row],[Общий денежный поток]]/((1+$L$2)^((Таблица16[[#This Row],[Названия строк]]-$A$2)/365))</f>
        <v>-430305.07579390443</v>
      </c>
    </row>
    <row r="287" spans="1:10" x14ac:dyDescent="0.3">
      <c r="A287" s="23">
        <v>43928</v>
      </c>
      <c r="B287" s="24">
        <v>300</v>
      </c>
      <c r="C287" s="24">
        <f>VLOOKUP(Таблица16[[#This Row],[Названия строк]],Котировки[[&lt;DATE&gt;]:[&lt;VOL&gt;]],6,0)</f>
        <v>101.29</v>
      </c>
      <c r="D287" s="26">
        <f>INDEX(Купоны[Дата],MATCH($A287,Купоны[Дата],1))</f>
        <v>43749</v>
      </c>
      <c r="E287" s="24">
        <f>Купоны!$C$4*(A287-D287)/365*100</f>
        <v>3.9232876712328766</v>
      </c>
      <c r="F287" s="27">
        <f>-B287*(C287+E287)*Купоны!$G$10/100</f>
        <v>-315639.86301369866</v>
      </c>
      <c r="G287" s="34">
        <f>SUM($B$2:B287)</f>
        <v>1030</v>
      </c>
      <c r="H287" s="31">
        <f>_xlfn.IFNA(VLOOKUP($A287,Купоны[[Дата]:[% от номинала]],3,0),0)*Купоны!$G$10/100*G287</f>
        <v>0</v>
      </c>
      <c r="I287" s="36">
        <f>Таблица16[[#This Row],[Денежный поток]]+Таблица16[[#This Row],[Купонный доход]]</f>
        <v>-315639.86301369866</v>
      </c>
      <c r="J287" s="31">
        <f>Таблица16[[#This Row],[Общий денежный поток]]/((1+$L$2)^((Таблица16[[#This Row],[Названия строк]]-$A$2)/365))</f>
        <v>-248097.23405845265</v>
      </c>
    </row>
    <row r="288" spans="1:10" x14ac:dyDescent="0.3">
      <c r="A288" s="23">
        <v>43929</v>
      </c>
      <c r="B288" s="24">
        <v>170</v>
      </c>
      <c r="C288" s="24">
        <f>VLOOKUP(Таблица16[[#This Row],[Названия строк]],Котировки[[&lt;DATE&gt;]:[&lt;VOL&gt;]],6,0)</f>
        <v>101.25</v>
      </c>
      <c r="D288" s="26">
        <f>INDEX(Купоны[Дата],MATCH($A288,Купоны[Дата],1))</f>
        <v>43749</v>
      </c>
      <c r="E288" s="24">
        <f>Купоны!$C$4*(A288-D288)/365*100</f>
        <v>3.9452054794520546</v>
      </c>
      <c r="F288" s="27">
        <f>-B288*(C288+E288)*Купоны!$G$10/100</f>
        <v>-178831.84931506851</v>
      </c>
      <c r="G288" s="34">
        <f>SUM($B$2:B288)</f>
        <v>1200</v>
      </c>
      <c r="H288" s="31">
        <f>_xlfn.IFNA(VLOOKUP($A288,Купоны[[Дата]:[% от номинала]],3,0),0)*Купоны!$G$10/100*G288</f>
        <v>0</v>
      </c>
      <c r="I288" s="36">
        <f>Таблица16[[#This Row],[Денежный поток]]+Таблица16[[#This Row],[Купонный доход]]</f>
        <v>-178831.84931506851</v>
      </c>
      <c r="J288" s="31">
        <f>Таблица16[[#This Row],[Общий денежный поток]]/((1+$L$2)^((Таблица16[[#This Row],[Названия строк]]-$A$2)/365))</f>
        <v>-140526.96016728302</v>
      </c>
    </row>
    <row r="289" spans="1:10" x14ac:dyDescent="0.3">
      <c r="A289" s="23">
        <v>43931</v>
      </c>
      <c r="B289" s="24">
        <v>0</v>
      </c>
      <c r="C289" s="24">
        <f>VLOOKUP(Таблица16[[#This Row],[Названия строк]],Котировки[[&lt;DATE&gt;]:[&lt;VOL&gt;]],6,0)</f>
        <v>101.23</v>
      </c>
      <c r="D289" s="26">
        <f>INDEX(Купоны[Дата],MATCH($A289,Купоны[Дата],1))</f>
        <v>43931</v>
      </c>
      <c r="E289" s="24">
        <f>Купоны!$C$4*(A289-D289)/365*100</f>
        <v>0</v>
      </c>
      <c r="F289" s="27">
        <f>-B289*(C289+E289)*Купоны!$G$10/100</f>
        <v>0</v>
      </c>
      <c r="G289" s="34">
        <f>SUM($B$2:B289)</f>
        <v>1200</v>
      </c>
      <c r="H289" s="31">
        <f>_xlfn.IFNA(VLOOKUP($A289,Купоны[[Дата]:[% от номинала]],3,0),0)*Купоны!$G$10/100*G289</f>
        <v>47868</v>
      </c>
      <c r="I289" s="36">
        <f>Таблица16[[#This Row],[Денежный поток]]+Таблица16[[#This Row],[Купонный доход]]</f>
        <v>47868</v>
      </c>
      <c r="J289" s="31">
        <f>Таблица16[[#This Row],[Общий денежный поток]]/((1+$L$2)^((Таблица16[[#This Row],[Названия строк]]-$A$2)/365))</f>
        <v>37594.947473658322</v>
      </c>
    </row>
    <row r="290" spans="1:10" x14ac:dyDescent="0.3">
      <c r="A290" s="23">
        <v>43934</v>
      </c>
      <c r="B290" s="24">
        <v>150</v>
      </c>
      <c r="C290" s="24">
        <f>VLOOKUP(Таблица16[[#This Row],[Названия строк]],Котировки[[&lt;DATE&gt;]:[&lt;VOL&gt;]],6,0)</f>
        <v>101.18</v>
      </c>
      <c r="D290" s="26">
        <f>INDEX(Купоны[Дата],MATCH($A290,Купоны[Дата],1))</f>
        <v>43931</v>
      </c>
      <c r="E290" s="24">
        <f>Купоны!$C$4*(A290-D290)/365*100</f>
        <v>6.5753424657534254E-2</v>
      </c>
      <c r="F290" s="27">
        <f>-B290*(C290+E290)*Купоны!$G$10/100</f>
        <v>-151868.63013698629</v>
      </c>
      <c r="G290" s="34">
        <f>SUM($B$2:B290)</f>
        <v>1350</v>
      </c>
      <c r="H290" s="31">
        <f>_xlfn.IFNA(VLOOKUP($A290,Купоны[[Дата]:[% от номинала]],3,0),0)*Купоны!$G$10/100*G290</f>
        <v>0</v>
      </c>
      <c r="I290" s="36">
        <f>Таблица16[[#This Row],[Денежный поток]]+Таблица16[[#This Row],[Купонный доход]]</f>
        <v>-151868.63013698629</v>
      </c>
      <c r="J290" s="31">
        <f>Таблица16[[#This Row],[Общий денежный поток]]/((1+$L$2)^((Таблица16[[#This Row],[Названия строк]]-$A$2)/365))</f>
        <v>-119180.8282845241</v>
      </c>
    </row>
    <row r="291" spans="1:10" x14ac:dyDescent="0.3">
      <c r="A291" s="23">
        <v>43936</v>
      </c>
      <c r="B291" s="24">
        <v>-970</v>
      </c>
      <c r="C291" s="24">
        <f>VLOOKUP(Таблица16[[#This Row],[Названия строк]],Котировки[[&lt;DATE&gt;]:[&lt;VOL&gt;]],6,0)</f>
        <v>101.1</v>
      </c>
      <c r="D291" s="26">
        <f>INDEX(Купоны[Дата],MATCH($A291,Купоны[Дата],1))</f>
        <v>43931</v>
      </c>
      <c r="E291" s="24">
        <f>Купоны!$C$4*(A291-D291)/365*100</f>
        <v>0.10958904109589042</v>
      </c>
      <c r="F291" s="27">
        <f>-B291*(C291+E291)*Купоны!$G$10/100</f>
        <v>981733.01369863003</v>
      </c>
      <c r="G291" s="34">
        <f>SUM($B$2:B291)</f>
        <v>380</v>
      </c>
      <c r="H291" s="31">
        <f>_xlfn.IFNA(VLOOKUP($A291,Купоны[[Дата]:[% от номинала]],3,0),0)*Купоны!$G$10/100*G291</f>
        <v>0</v>
      </c>
      <c r="I291" s="36">
        <f>Таблица16[[#This Row],[Денежный поток]]+Таблица16[[#This Row],[Купонный доход]]</f>
        <v>981733.01369863003</v>
      </c>
      <c r="J291" s="31">
        <f>Таблица16[[#This Row],[Общий денежный поток]]/((1+$L$2)^((Таблица16[[#This Row],[Названия строк]]-$A$2)/365))</f>
        <v>770018.45722663344</v>
      </c>
    </row>
    <row r="292" spans="1:10" x14ac:dyDescent="0.3">
      <c r="A292" s="23">
        <v>43938</v>
      </c>
      <c r="B292" s="24">
        <v>-130</v>
      </c>
      <c r="C292" s="24">
        <f>VLOOKUP(Таблица16[[#This Row],[Названия строк]],Котировки[[&lt;DATE&gt;]:[&lt;VOL&gt;]],6,0)</f>
        <v>101.38</v>
      </c>
      <c r="D292" s="26">
        <f>INDEX(Купоны[Дата],MATCH($A292,Купоны[Дата],1))</f>
        <v>43931</v>
      </c>
      <c r="E292" s="24">
        <f>Купоны!$C$4*(A292-D292)/365*100</f>
        <v>0.15342465753424658</v>
      </c>
      <c r="F292" s="27">
        <f>-B292*(C292+E292)*Купоны!$G$10/100</f>
        <v>131993.4520547945</v>
      </c>
      <c r="G292" s="34">
        <f>SUM($B$2:B292)</f>
        <v>250</v>
      </c>
      <c r="H292" s="31">
        <f>_xlfn.IFNA(VLOOKUP($A292,Купоны[[Дата]:[% от номинала]],3,0),0)*Купоны!$G$10/100*G292</f>
        <v>0</v>
      </c>
      <c r="I292" s="36">
        <f>Таблица16[[#This Row],[Денежный поток]]+Таблица16[[#This Row],[Купонный доход]]</f>
        <v>131993.4520547945</v>
      </c>
      <c r="J292" s="31">
        <f>Таблица16[[#This Row],[Общий денежный поток]]/((1+$L$2)^((Таблица16[[#This Row],[Названия строк]]-$A$2)/365))</f>
        <v>103473.5960741872</v>
      </c>
    </row>
    <row r="293" spans="1:10" x14ac:dyDescent="0.3">
      <c r="A293" s="23">
        <v>43942</v>
      </c>
      <c r="B293" s="24">
        <v>390</v>
      </c>
      <c r="C293" s="24">
        <f>VLOOKUP(Таблица16[[#This Row],[Названия строк]],Котировки[[&lt;DATE&gt;]:[&lt;VOL&gt;]],6,0)</f>
        <v>101.18</v>
      </c>
      <c r="D293" s="26">
        <f>INDEX(Купоны[Дата],MATCH($A293,Купоны[Дата],1))</f>
        <v>43931</v>
      </c>
      <c r="E293" s="24">
        <f>Купоны!$C$4*(A293-D293)/365*100</f>
        <v>0.24109589041095891</v>
      </c>
      <c r="F293" s="27">
        <f>-B293*(C293+E293)*Купоны!$G$10/100</f>
        <v>-395542.27397260279</v>
      </c>
      <c r="G293" s="34">
        <f>SUM($B$2:B293)</f>
        <v>640</v>
      </c>
      <c r="H293" s="31">
        <f>_xlfn.IFNA(VLOOKUP($A293,Купоны[[Дата]:[% от номинала]],3,0),0)*Купоны!$G$10/100*G293</f>
        <v>0</v>
      </c>
      <c r="I293" s="36">
        <f>Таблица16[[#This Row],[Денежный поток]]+Таблица16[[#This Row],[Купонный доход]]</f>
        <v>-395542.27397260279</v>
      </c>
      <c r="J293" s="31">
        <f>Таблица16[[#This Row],[Общий денежный поток]]/((1+$L$2)^((Таблица16[[#This Row],[Названия строк]]-$A$2)/365))</f>
        <v>-309748.27255512704</v>
      </c>
    </row>
    <row r="294" spans="1:10" x14ac:dyDescent="0.3">
      <c r="A294" s="23">
        <v>43943</v>
      </c>
      <c r="B294" s="24">
        <v>40</v>
      </c>
      <c r="C294" s="24">
        <f>VLOOKUP(Таблица16[[#This Row],[Названия строк]],Котировки[[&lt;DATE&gt;]:[&lt;VOL&gt;]],6,0)</f>
        <v>101.43</v>
      </c>
      <c r="D294" s="26">
        <f>INDEX(Купоны[Дата],MATCH($A294,Купоны[Дата],1))</f>
        <v>43931</v>
      </c>
      <c r="E294" s="24">
        <f>Купоны!$C$4*(A294-D294)/365*100</f>
        <v>0.26301369863013702</v>
      </c>
      <c r="F294" s="27">
        <f>-B294*(C294+E294)*Купоны!$G$10/100</f>
        <v>-40677.205479452059</v>
      </c>
      <c r="G294" s="34">
        <f>SUM($B$2:B294)</f>
        <v>680</v>
      </c>
      <c r="H294" s="31">
        <f>_xlfn.IFNA(VLOOKUP($A294,Купоны[[Дата]:[% от номинала]],3,0),0)*Купоны!$G$10/100*G294</f>
        <v>0</v>
      </c>
      <c r="I294" s="36">
        <f>Таблица16[[#This Row],[Денежный поток]]+Таблица16[[#This Row],[Купонный доход]]</f>
        <v>-40677.205479452059</v>
      </c>
      <c r="J294" s="31">
        <f>Таблица16[[#This Row],[Общий денежный поток]]/((1+$L$2)^((Таблица16[[#This Row],[Названия строк]]-$A$2)/365))</f>
        <v>-31845.77367227017</v>
      </c>
    </row>
    <row r="295" spans="1:10" x14ac:dyDescent="0.3">
      <c r="A295" s="23">
        <v>43944</v>
      </c>
      <c r="B295" s="24">
        <v>390</v>
      </c>
      <c r="C295" s="24">
        <f>VLOOKUP(Таблица16[[#This Row],[Названия строк]],Котировки[[&lt;DATE&gt;]:[&lt;VOL&gt;]],6,0)</f>
        <v>101.43</v>
      </c>
      <c r="D295" s="26">
        <f>INDEX(Купоны[Дата],MATCH($A295,Купоны[Дата],1))</f>
        <v>43931</v>
      </c>
      <c r="E295" s="24">
        <f>Купоны!$C$4*(A295-D295)/365*100</f>
        <v>0.28493150684931506</v>
      </c>
      <c r="F295" s="27">
        <f>-B295*(C295+E295)*Купоны!$G$10/100</f>
        <v>-396688.2328767124</v>
      </c>
      <c r="G295" s="34">
        <f>SUM($B$2:B295)</f>
        <v>1070</v>
      </c>
      <c r="H295" s="31">
        <f>_xlfn.IFNA(VLOOKUP($A295,Купоны[[Дата]:[% от номинала]],3,0),0)*Купоны!$G$10/100*G295</f>
        <v>0</v>
      </c>
      <c r="I295" s="36">
        <f>Таблица16[[#This Row],[Денежный поток]]+Таблица16[[#This Row],[Купонный доход]]</f>
        <v>-396688.2328767124</v>
      </c>
      <c r="J295" s="31">
        <f>Таблица16[[#This Row],[Общий денежный поток]]/((1+$L$2)^((Таблица16[[#This Row],[Названия строк]]-$A$2)/365))</f>
        <v>-310480.78007969481</v>
      </c>
    </row>
    <row r="296" spans="1:10" x14ac:dyDescent="0.3">
      <c r="A296" s="23">
        <v>43945</v>
      </c>
      <c r="B296" s="24">
        <v>110</v>
      </c>
      <c r="C296" s="24">
        <f>VLOOKUP(Таблица16[[#This Row],[Названия строк]],Котировки[[&lt;DATE&gt;]:[&lt;VOL&gt;]],6,0)</f>
        <v>101.55</v>
      </c>
      <c r="D296" s="26">
        <f>INDEX(Купоны[Дата],MATCH($A296,Купоны[Дата],1))</f>
        <v>43931</v>
      </c>
      <c r="E296" s="24">
        <f>Купоны!$C$4*(A296-D296)/365*100</f>
        <v>0.30684931506849317</v>
      </c>
      <c r="F296" s="27">
        <f>-B296*(C296+E296)*Купоны!$G$10/100</f>
        <v>-112042.53424657535</v>
      </c>
      <c r="G296" s="34">
        <f>SUM($B$2:B296)</f>
        <v>1180</v>
      </c>
      <c r="H296" s="31">
        <f>_xlfn.IFNA(VLOOKUP($A296,Купоны[[Дата]:[% от номинала]],3,0),0)*Купоны!$G$10/100*G296</f>
        <v>0</v>
      </c>
      <c r="I296" s="36">
        <f>Таблица16[[#This Row],[Денежный поток]]+Таблица16[[#This Row],[Купонный доход]]</f>
        <v>-112042.53424657535</v>
      </c>
      <c r="J296" s="31">
        <f>Таблица16[[#This Row],[Общий денежный поток]]/((1+$L$2)^((Таблица16[[#This Row],[Названия строк]]-$A$2)/365))</f>
        <v>-87670.40931579085</v>
      </c>
    </row>
    <row r="297" spans="1:10" x14ac:dyDescent="0.3">
      <c r="A297" s="23">
        <v>43948</v>
      </c>
      <c r="B297" s="24">
        <v>-220</v>
      </c>
      <c r="C297" s="24">
        <f>VLOOKUP(Таблица16[[#This Row],[Названия строк]],Котировки[[&lt;DATE&gt;]:[&lt;VOL&gt;]],6,0)</f>
        <v>101.5</v>
      </c>
      <c r="D297" s="26">
        <f>INDEX(Купоны[Дата],MATCH($A297,Купоны[Дата],1))</f>
        <v>43931</v>
      </c>
      <c r="E297" s="24">
        <f>Купоны!$C$4*(A297-D297)/365*100</f>
        <v>0.37260273972602742</v>
      </c>
      <c r="F297" s="27">
        <f>-B297*(C297+E297)*Купоны!$G$10/100</f>
        <v>224119.72602739726</v>
      </c>
      <c r="G297" s="34">
        <f>SUM($B$2:B297)</f>
        <v>960</v>
      </c>
      <c r="H297" s="31">
        <f>_xlfn.IFNA(VLOOKUP($A297,Купоны[[Дата]:[% от номинала]],3,0),0)*Купоны!$G$10/100*G297</f>
        <v>0</v>
      </c>
      <c r="I297" s="36">
        <f>Таблица16[[#This Row],[Денежный поток]]+Таблица16[[#This Row],[Купонный доход]]</f>
        <v>224119.72602739726</v>
      </c>
      <c r="J297" s="31">
        <f>Таблица16[[#This Row],[Общий денежный поток]]/((1+$L$2)^((Таблица16[[#This Row],[Названия строк]]-$A$2)/365))</f>
        <v>175228.32816733076</v>
      </c>
    </row>
    <row r="298" spans="1:10" x14ac:dyDescent="0.3">
      <c r="A298" s="23">
        <v>43949</v>
      </c>
      <c r="B298" s="24">
        <v>-400</v>
      </c>
      <c r="C298" s="24">
        <f>VLOOKUP(Таблица16[[#This Row],[Названия строк]],Котировки[[&lt;DATE&gt;]:[&lt;VOL&gt;]],6,0)</f>
        <v>101.5</v>
      </c>
      <c r="D298" s="26">
        <f>INDEX(Купоны[Дата],MATCH($A298,Купоны[Дата],1))</f>
        <v>43931</v>
      </c>
      <c r="E298" s="24">
        <f>Купоны!$C$4*(A298-D298)/365*100</f>
        <v>0.39452054794520547</v>
      </c>
      <c r="F298" s="27">
        <f>-B298*(C298+E298)*Купоны!$G$10/100</f>
        <v>407578.08219178091</v>
      </c>
      <c r="G298" s="34">
        <f>SUM($B$2:B298)</f>
        <v>560</v>
      </c>
      <c r="H298" s="31">
        <f>_xlfn.IFNA(VLOOKUP($A298,Купоны[[Дата]:[% от номинала]],3,0),0)*Купоны!$G$10/100*G298</f>
        <v>0</v>
      </c>
      <c r="I298" s="36">
        <f>Таблица16[[#This Row],[Денежный поток]]+Таблица16[[#This Row],[Купонный доход]]</f>
        <v>407578.08219178091</v>
      </c>
      <c r="J298" s="31">
        <f>Таблица16[[#This Row],[Общий денежный поток]]/((1+$L$2)^((Таблица16[[#This Row],[Названия строк]]-$A$2)/365))</f>
        <v>318580.92132898048</v>
      </c>
    </row>
    <row r="299" spans="1:10" x14ac:dyDescent="0.3">
      <c r="A299" s="23">
        <v>43950</v>
      </c>
      <c r="B299" s="24">
        <v>300</v>
      </c>
      <c r="C299" s="24">
        <f>VLOOKUP(Таблица16[[#This Row],[Названия строк]],Котировки[[&lt;DATE&gt;]:[&lt;VOL&gt;]],6,0)</f>
        <v>101.6</v>
      </c>
      <c r="D299" s="26">
        <f>INDEX(Купоны[Дата],MATCH($A299,Купоны[Дата],1))</f>
        <v>43931</v>
      </c>
      <c r="E299" s="24">
        <f>Купоны!$C$4*(A299-D299)/365*100</f>
        <v>0.41643835616438352</v>
      </c>
      <c r="F299" s="27">
        <f>-B299*(C299+E299)*Купоны!$G$10/100</f>
        <v>-306049.31506849313</v>
      </c>
      <c r="G299" s="34">
        <f>SUM($B$2:B299)</f>
        <v>860</v>
      </c>
      <c r="H299" s="31">
        <f>_xlfn.IFNA(VLOOKUP($A299,Купоны[[Дата]:[% от номинала]],3,0),0)*Купоны!$G$10/100*G299</f>
        <v>0</v>
      </c>
      <c r="I299" s="36">
        <f>Таблица16[[#This Row],[Денежный поток]]+Таблица16[[#This Row],[Купонный доход]]</f>
        <v>-306049.31506849313</v>
      </c>
      <c r="J299" s="31">
        <f>Таблица16[[#This Row],[Общий денежный поток]]/((1+$L$2)^((Таблица16[[#This Row],[Названия строк]]-$A$2)/365))</f>
        <v>-239158.08224316256</v>
      </c>
    </row>
    <row r="300" spans="1:10" x14ac:dyDescent="0.3">
      <c r="A300" s="23">
        <v>43951</v>
      </c>
      <c r="B300" s="24">
        <v>-650</v>
      </c>
      <c r="C300" s="24">
        <f>VLOOKUP(Таблица16[[#This Row],[Названия строк]],Котировки[[&lt;DATE&gt;]:[&lt;VOL&gt;]],6,0)</f>
        <v>101.61</v>
      </c>
      <c r="D300" s="26">
        <f>INDEX(Купоны[Дата],MATCH($A300,Купоны[Дата],1))</f>
        <v>43931</v>
      </c>
      <c r="E300" s="24">
        <f>Купоны!$C$4*(A300-D300)/365*100</f>
        <v>0.43835616438356168</v>
      </c>
      <c r="F300" s="27">
        <f>-B300*(C300+E300)*Купоны!$G$10/100</f>
        <v>663314.31506849313</v>
      </c>
      <c r="G300" s="34">
        <f>SUM($B$2:B300)</f>
        <v>210</v>
      </c>
      <c r="H300" s="31">
        <f>_xlfn.IFNA(VLOOKUP($A300,Купоны[[Дата]:[% от номинала]],3,0),0)*Купоны!$G$10/100*G300</f>
        <v>0</v>
      </c>
      <c r="I300" s="36">
        <f>Таблица16[[#This Row],[Денежный поток]]+Таблица16[[#This Row],[Купонный доход]]</f>
        <v>663314.31506849313</v>
      </c>
      <c r="J300" s="31">
        <f>Таблица16[[#This Row],[Общий денежный поток]]/((1+$L$2)^((Таблица16[[#This Row],[Названия строк]]-$A$2)/365))</f>
        <v>518200.38132125424</v>
      </c>
    </row>
    <row r="301" spans="1:10" x14ac:dyDescent="0.3">
      <c r="A301" s="23">
        <v>43955</v>
      </c>
      <c r="B301" s="24">
        <v>510</v>
      </c>
      <c r="C301" s="24">
        <f>VLOOKUP(Таблица16[[#This Row],[Названия строк]],Котировки[[&lt;DATE&gt;]:[&lt;VOL&gt;]],6,0)</f>
        <v>101.5</v>
      </c>
      <c r="D301" s="26">
        <f>INDEX(Купоны[Дата],MATCH($A301,Купоны[Дата],1))</f>
        <v>43931</v>
      </c>
      <c r="E301" s="24">
        <f>Купоны!$C$4*(A301-D301)/365*100</f>
        <v>0.52602739726027403</v>
      </c>
      <c r="F301" s="27">
        <f>-B301*(C301+E301)*Купоны!$G$10/100</f>
        <v>-520332.73972602742</v>
      </c>
      <c r="G301" s="34">
        <f>SUM($B$2:B301)</f>
        <v>720</v>
      </c>
      <c r="H301" s="31">
        <f>_xlfn.IFNA(VLOOKUP($A301,Купоны[[Дата]:[% от номинала]],3,0),0)*Купоны!$G$10/100*G301</f>
        <v>0</v>
      </c>
      <c r="I301" s="36">
        <f>Таблица16[[#This Row],[Денежный поток]]+Таблица16[[#This Row],[Купонный доход]]</f>
        <v>-520332.73972602742</v>
      </c>
      <c r="J301" s="31">
        <f>Таблица16[[#This Row],[Общий денежный поток]]/((1+$L$2)^((Таблица16[[#This Row],[Названия строк]]-$A$2)/365))</f>
        <v>-406067.60387619166</v>
      </c>
    </row>
    <row r="302" spans="1:10" x14ac:dyDescent="0.3">
      <c r="A302" s="23">
        <v>43959</v>
      </c>
      <c r="B302" s="24">
        <v>-660</v>
      </c>
      <c r="C302" s="24">
        <f>VLOOKUP(Таблица16[[#This Row],[Названия строк]],Котировки[[&lt;DATE&gt;]:[&lt;VOL&gt;]],6,0)</f>
        <v>101.63</v>
      </c>
      <c r="D302" s="26">
        <f>INDEX(Купоны[Дата],MATCH($A302,Купоны[Дата],1))</f>
        <v>43931</v>
      </c>
      <c r="E302" s="24">
        <f>Купоны!$C$4*(A302-D302)/365*100</f>
        <v>0.61369863013698633</v>
      </c>
      <c r="F302" s="27">
        <f>-B302*(C302+E302)*Купоны!$G$10/100</f>
        <v>674808.41095890407</v>
      </c>
      <c r="G302" s="34">
        <f>SUM($B$2:B302)</f>
        <v>60</v>
      </c>
      <c r="H302" s="31">
        <f>_xlfn.IFNA(VLOOKUP($A302,Купоны[[Дата]:[% от номинала]],3,0),0)*Купоны!$G$10/100*G302</f>
        <v>0</v>
      </c>
      <c r="I302" s="36">
        <f>Таблица16[[#This Row],[Денежный поток]]+Таблица16[[#This Row],[Купонный доход]]</f>
        <v>674808.41095890407</v>
      </c>
      <c r="J302" s="31">
        <f>Таблица16[[#This Row],[Общий денежный поток]]/((1+$L$2)^((Таблица16[[#This Row],[Названия строк]]-$A$2)/365))</f>
        <v>526061.48751411657</v>
      </c>
    </row>
    <row r="303" spans="1:10" x14ac:dyDescent="0.3">
      <c r="A303" s="23">
        <v>43966</v>
      </c>
      <c r="B303" s="24">
        <v>510</v>
      </c>
      <c r="C303" s="24">
        <f>VLOOKUP(Таблица16[[#This Row],[Названия строк]],Котировки[[&lt;DATE&gt;]:[&lt;VOL&gt;]],6,0)</f>
        <v>101.5</v>
      </c>
      <c r="D303" s="26">
        <f>INDEX(Купоны[Дата],MATCH($A303,Купоны[Дата],1))</f>
        <v>43931</v>
      </c>
      <c r="E303" s="24">
        <f>Купоны!$C$4*(A303-D303)/365*100</f>
        <v>0.76712328767123295</v>
      </c>
      <c r="F303" s="27">
        <f>-B303*(C303+E303)*Купоны!$G$10/100</f>
        <v>-521562.32876712328</v>
      </c>
      <c r="G303" s="34">
        <f>SUM($B$2:B303)</f>
        <v>570</v>
      </c>
      <c r="H303" s="31">
        <f>_xlfn.IFNA(VLOOKUP($A303,Купоны[[Дата]:[% от номинала]],3,0),0)*Купоны!$G$10/100*G303</f>
        <v>0</v>
      </c>
      <c r="I303" s="36">
        <f>Таблица16[[#This Row],[Денежный поток]]+Таблица16[[#This Row],[Купонный доход]]</f>
        <v>-521562.32876712328</v>
      </c>
      <c r="J303" s="31">
        <f>Таблица16[[#This Row],[Общий денежный поток]]/((1+$L$2)^((Таблица16[[#This Row],[Названия строк]]-$A$2)/365))</f>
        <v>-405840.32091535232</v>
      </c>
    </row>
    <row r="304" spans="1:10" x14ac:dyDescent="0.3">
      <c r="A304" s="23">
        <v>43969</v>
      </c>
      <c r="B304" s="24">
        <v>-390</v>
      </c>
      <c r="C304" s="24">
        <f>VLOOKUP(Таблица16[[#This Row],[Названия строк]],Котировки[[&lt;DATE&gt;]:[&lt;VOL&gt;]],6,0)</f>
        <v>101.4</v>
      </c>
      <c r="D304" s="26">
        <f>INDEX(Купоны[Дата],MATCH($A304,Купоны[Дата],1))</f>
        <v>43931</v>
      </c>
      <c r="E304" s="24">
        <f>Купоны!$C$4*(A304-D304)/365*100</f>
        <v>0.83287671232876703</v>
      </c>
      <c r="F304" s="27">
        <f>-B304*(C304+E304)*Купоны!$G$10/100</f>
        <v>398708.21917808219</v>
      </c>
      <c r="G304" s="34">
        <f>SUM($B$2:B304)</f>
        <v>180</v>
      </c>
      <c r="H304" s="31">
        <f>_xlfn.IFNA(VLOOKUP($A304,Купоны[[Дата]:[% от номинала]],3,0),0)*Купоны!$G$10/100*G304</f>
        <v>0</v>
      </c>
      <c r="I304" s="36">
        <f>Таблица16[[#This Row],[Денежный поток]]+Таблица16[[#This Row],[Купонный доход]]</f>
        <v>398708.21917808219</v>
      </c>
      <c r="J304" s="31">
        <f>Таблица16[[#This Row],[Общий денежный поток]]/((1+$L$2)^((Таблица16[[#This Row],[Названия строк]]-$A$2)/365))</f>
        <v>309997.56978428032</v>
      </c>
    </row>
    <row r="305" spans="1:10" x14ac:dyDescent="0.3">
      <c r="A305" s="23">
        <v>43972</v>
      </c>
      <c r="B305" s="24">
        <v>1120</v>
      </c>
      <c r="C305" s="24">
        <f>VLOOKUP(Таблица16[[#This Row],[Названия строк]],Котировки[[&lt;DATE&gt;]:[&lt;VOL&gt;]],6,0)</f>
        <v>101.46</v>
      </c>
      <c r="D305" s="26">
        <f>INDEX(Купоны[Дата],MATCH($A305,Купоны[Дата],1))</f>
        <v>43931</v>
      </c>
      <c r="E305" s="24">
        <f>Купоны!$C$4*(A305-D305)/365*100</f>
        <v>0.89863013698630134</v>
      </c>
      <c r="F305" s="27">
        <f>-B305*(C305+E305)*Купоны!$G$10/100</f>
        <v>-1146416.6575342463</v>
      </c>
      <c r="G305" s="34">
        <f>SUM($B$2:B305)</f>
        <v>1300</v>
      </c>
      <c r="H305" s="31">
        <f>_xlfn.IFNA(VLOOKUP($A305,Купоны[[Дата]:[% от номинала]],3,0),0)*Купоны!$G$10/100*G305</f>
        <v>0</v>
      </c>
      <c r="I305" s="36">
        <f>Таблица16[[#This Row],[Денежный поток]]+Таблица16[[#This Row],[Купонный доход]]</f>
        <v>-1146416.6575342463</v>
      </c>
      <c r="J305" s="31">
        <f>Таблица16[[#This Row],[Общий денежный поток]]/((1+$L$2)^((Таблица16[[#This Row],[Названия строк]]-$A$2)/365))</f>
        <v>-890634.90616125904</v>
      </c>
    </row>
    <row r="306" spans="1:10" x14ac:dyDescent="0.3">
      <c r="A306" s="23">
        <v>43973</v>
      </c>
      <c r="B306" s="24">
        <v>-790</v>
      </c>
      <c r="C306" s="24">
        <f>VLOOKUP(Таблица16[[#This Row],[Названия строк]],Котировки[[&lt;DATE&gt;]:[&lt;VOL&gt;]],6,0)</f>
        <v>101.42</v>
      </c>
      <c r="D306" s="26">
        <f>INDEX(Купоны[Дата],MATCH($A306,Купоны[Дата],1))</f>
        <v>43931</v>
      </c>
      <c r="E306" s="24">
        <f>Купоны!$C$4*(A306-D306)/365*100</f>
        <v>0.92054794520547933</v>
      </c>
      <c r="F306" s="27">
        <f>-B306*(C306+E306)*Купоны!$G$10/100</f>
        <v>808490.32876712317</v>
      </c>
      <c r="G306" s="34">
        <f>SUM($B$2:B306)</f>
        <v>510</v>
      </c>
      <c r="H306" s="31">
        <f>_xlfn.IFNA(VLOOKUP($A306,Купоны[[Дата]:[% от номинала]],3,0),0)*Купоны!$G$10/100*G306</f>
        <v>0</v>
      </c>
      <c r="I306" s="36">
        <f>Таблица16[[#This Row],[Денежный поток]]+Таблица16[[#This Row],[Купонный доход]]</f>
        <v>808490.32876712317</v>
      </c>
      <c r="J306" s="31">
        <f>Таблица16[[#This Row],[Общий денежный поток]]/((1+$L$2)^((Таблица16[[#This Row],[Названия строк]]-$A$2)/365))</f>
        <v>627937.99439444626</v>
      </c>
    </row>
    <row r="307" spans="1:10" x14ac:dyDescent="0.3">
      <c r="A307" s="23">
        <v>43977</v>
      </c>
      <c r="B307" s="24">
        <v>110</v>
      </c>
      <c r="C307" s="24">
        <f>VLOOKUP(Таблица16[[#This Row],[Названия строк]],Котировки[[&lt;DATE&gt;]:[&lt;VOL&gt;]],6,0)</f>
        <v>101.45</v>
      </c>
      <c r="D307" s="26">
        <f>INDEX(Купоны[Дата],MATCH($A307,Купоны[Дата],1))</f>
        <v>43931</v>
      </c>
      <c r="E307" s="24">
        <f>Купоны!$C$4*(A307-D307)/365*100</f>
        <v>1.0082191780821919</v>
      </c>
      <c r="F307" s="27">
        <f>-B307*(C307+E307)*Купоны!$G$10/100</f>
        <v>-112704.0410958904</v>
      </c>
      <c r="G307" s="34">
        <f>SUM($B$2:B307)</f>
        <v>620</v>
      </c>
      <c r="H307" s="31">
        <f>_xlfn.IFNA(VLOOKUP($A307,Купоны[[Дата]:[% от номинала]],3,0),0)*Купоны!$G$10/100*G307</f>
        <v>0</v>
      </c>
      <c r="I307" s="36">
        <f>Таблица16[[#This Row],[Денежный поток]]+Таблица16[[#This Row],[Купонный доход]]</f>
        <v>-112704.0410958904</v>
      </c>
      <c r="J307" s="31">
        <f>Таблица16[[#This Row],[Общий денежный поток]]/((1+$L$2)^((Таблица16[[#This Row],[Названия строк]]-$A$2)/365))</f>
        <v>-87442.03421226205</v>
      </c>
    </row>
    <row r="308" spans="1:10" x14ac:dyDescent="0.3">
      <c r="A308" s="23">
        <v>43983</v>
      </c>
      <c r="B308" s="24">
        <v>-280</v>
      </c>
      <c r="C308" s="24">
        <f>VLOOKUP(Таблица16[[#This Row],[Названия строк]],Котировки[[&lt;DATE&gt;]:[&lt;VOL&gt;]],6,0)</f>
        <v>101.5</v>
      </c>
      <c r="D308" s="26">
        <f>INDEX(Купоны[Дата],MATCH($A308,Купоны[Дата],1))</f>
        <v>43931</v>
      </c>
      <c r="E308" s="24">
        <f>Купоны!$C$4*(A308-D308)/365*100</f>
        <v>1.1397260273972603</v>
      </c>
      <c r="F308" s="27">
        <f>-B308*(C308+E308)*Купоны!$G$10/100</f>
        <v>287391.23287671228</v>
      </c>
      <c r="G308" s="34">
        <f>SUM($B$2:B308)</f>
        <v>340</v>
      </c>
      <c r="H308" s="31">
        <f>_xlfn.IFNA(VLOOKUP($A308,Купоны[[Дата]:[% от номинала]],3,0),0)*Купоны!$G$10/100*G308</f>
        <v>0</v>
      </c>
      <c r="I308" s="36">
        <f>Таблица16[[#This Row],[Денежный поток]]+Таблица16[[#This Row],[Купонный доход]]</f>
        <v>287391.23287671228</v>
      </c>
      <c r="J308" s="31">
        <f>Таблица16[[#This Row],[Общий денежный поток]]/((1+$L$2)^((Таблица16[[#This Row],[Названия строк]]-$A$2)/365))</f>
        <v>222619.15344139541</v>
      </c>
    </row>
    <row r="309" spans="1:10" x14ac:dyDescent="0.3">
      <c r="A309" s="23">
        <v>43985</v>
      </c>
      <c r="B309" s="24">
        <v>-70</v>
      </c>
      <c r="C309" s="24">
        <f>VLOOKUP(Таблица16[[#This Row],[Названия строк]],Котировки[[&lt;DATE&gt;]:[&lt;VOL&gt;]],6,0)</f>
        <v>101.5</v>
      </c>
      <c r="D309" s="26">
        <f>INDEX(Купоны[Дата],MATCH($A309,Купоны[Дата],1))</f>
        <v>43931</v>
      </c>
      <c r="E309" s="24">
        <f>Купоны!$C$4*(A309-D309)/365*100</f>
        <v>1.1835616438356167</v>
      </c>
      <c r="F309" s="27">
        <f>-B309*(C309+E309)*Купоны!$G$10/100</f>
        <v>71878.493150684939</v>
      </c>
      <c r="G309" s="34">
        <f>SUM($B$2:B309)</f>
        <v>270</v>
      </c>
      <c r="H309" s="31">
        <f>_xlfn.IFNA(VLOOKUP($A309,Купоны[[Дата]:[% от номинала]],3,0),0)*Купоны!$G$10/100*G309</f>
        <v>0</v>
      </c>
      <c r="I309" s="36">
        <f>Таблица16[[#This Row],[Денежный поток]]+Таблица16[[#This Row],[Купонный доход]]</f>
        <v>71878.493150684939</v>
      </c>
      <c r="J309" s="31">
        <f>Таблица16[[#This Row],[Общий денежный поток]]/((1+$L$2)^((Таблица16[[#This Row],[Названия строк]]-$A$2)/365))</f>
        <v>55649.003429289114</v>
      </c>
    </row>
    <row r="310" spans="1:10" x14ac:dyDescent="0.3">
      <c r="A310" s="23">
        <v>43987</v>
      </c>
      <c r="B310" s="24">
        <v>-170</v>
      </c>
      <c r="C310" s="24">
        <f>VLOOKUP(Таблица16[[#This Row],[Названия строк]],Котировки[[&lt;DATE&gt;]:[&lt;VOL&gt;]],6,0)</f>
        <v>101.46</v>
      </c>
      <c r="D310" s="26">
        <f>INDEX(Купоны[Дата],MATCH($A310,Купоны[Дата],1))</f>
        <v>43931</v>
      </c>
      <c r="E310" s="24">
        <f>Купоны!$C$4*(A310-D310)/365*100</f>
        <v>1.2273972602739727</v>
      </c>
      <c r="F310" s="27">
        <f>-B310*(C310+E310)*Купоны!$G$10/100</f>
        <v>174568.57534246575</v>
      </c>
      <c r="G310" s="34">
        <f>SUM($B$2:B310)</f>
        <v>100</v>
      </c>
      <c r="H310" s="31">
        <f>_xlfn.IFNA(VLOOKUP($A310,Купоны[[Дата]:[% от номинала]],3,0),0)*Купоны!$G$10/100*G310</f>
        <v>0</v>
      </c>
      <c r="I310" s="36">
        <f>Таблица16[[#This Row],[Денежный поток]]+Таблица16[[#This Row],[Купонный доход]]</f>
        <v>174568.57534246575</v>
      </c>
      <c r="J310" s="31">
        <f>Таблица16[[#This Row],[Общий денежный поток]]/((1+$L$2)^((Таблица16[[#This Row],[Названия строк]]-$A$2)/365))</f>
        <v>135080.88917853456</v>
      </c>
    </row>
    <row r="311" spans="1:10" x14ac:dyDescent="0.3">
      <c r="A311" s="23">
        <v>43993</v>
      </c>
      <c r="B311" s="24">
        <v>190</v>
      </c>
      <c r="C311" s="24">
        <f>VLOOKUP(Таблица16[[#This Row],[Названия строк]],Котировки[[&lt;DATE&gt;]:[&lt;VOL&gt;]],6,0)</f>
        <v>101.42</v>
      </c>
      <c r="D311" s="26">
        <f>INDEX(Купоны[Дата],MATCH($A311,Купоны[Дата],1))</f>
        <v>43931</v>
      </c>
      <c r="E311" s="24">
        <f>Купоны!$C$4*(A311-D311)/365*100</f>
        <v>1.3589041095890411</v>
      </c>
      <c r="F311" s="27">
        <f>-B311*(C311+E311)*Купоны!$G$10/100</f>
        <v>-195279.91780821921</v>
      </c>
      <c r="G311" s="34">
        <f>SUM($B$2:B311)</f>
        <v>290</v>
      </c>
      <c r="H311" s="31">
        <f>_xlfn.IFNA(VLOOKUP($A311,Купоны[[Дата]:[% от номинала]],3,0),0)*Купоны!$G$10/100*G311</f>
        <v>0</v>
      </c>
      <c r="I311" s="36">
        <f>Таблица16[[#This Row],[Денежный поток]]+Таблица16[[#This Row],[Купонный доход]]</f>
        <v>-195279.91780821921</v>
      </c>
      <c r="J311" s="31">
        <f>Таблица16[[#This Row],[Общий денежный поток]]/((1+$L$2)^((Таблица16[[#This Row],[Названия строк]]-$A$2)/365))</f>
        <v>-150866.7984270161</v>
      </c>
    </row>
    <row r="312" spans="1:10" x14ac:dyDescent="0.3">
      <c r="A312" s="23">
        <v>43997</v>
      </c>
      <c r="B312" s="24">
        <v>-240</v>
      </c>
      <c r="C312" s="24">
        <f>VLOOKUP(Таблица16[[#This Row],[Названия строк]],Котировки[[&lt;DATE&gt;]:[&lt;VOL&gt;]],6,0)</f>
        <v>101.4</v>
      </c>
      <c r="D312" s="26">
        <f>INDEX(Купоны[Дата],MATCH($A312,Купоны[Дата],1))</f>
        <v>43931</v>
      </c>
      <c r="E312" s="24">
        <f>Купоны!$C$4*(A312-D312)/365*100</f>
        <v>1.4465753424657535</v>
      </c>
      <c r="F312" s="27">
        <f>-B312*(C312+E312)*Купоны!$G$10/100</f>
        <v>246831.78082191781</v>
      </c>
      <c r="G312" s="34">
        <f>SUM($B$2:B312)</f>
        <v>50</v>
      </c>
      <c r="H312" s="31">
        <f>_xlfn.IFNA(VLOOKUP($A312,Купоны[[Дата]:[% от номинала]],3,0),0)*Купоны!$G$10/100*G312</f>
        <v>0</v>
      </c>
      <c r="I312" s="36">
        <f>Таблица16[[#This Row],[Денежный поток]]+Таблица16[[#This Row],[Купонный доход]]</f>
        <v>246831.78082191781</v>
      </c>
      <c r="J312" s="31">
        <f>Таблица16[[#This Row],[Общий денежный поток]]/((1+$L$2)^((Таблица16[[#This Row],[Названия строк]]-$A$2)/365))</f>
        <v>190491.67420051675</v>
      </c>
    </row>
    <row r="313" spans="1:10" x14ac:dyDescent="0.3">
      <c r="A313" s="23">
        <v>44000</v>
      </c>
      <c r="B313" s="24">
        <v>410</v>
      </c>
      <c r="C313" s="24">
        <f>VLOOKUP(Таблица16[[#This Row],[Названия строк]],Котировки[[&lt;DATE&gt;]:[&lt;VOL&gt;]],6,0)</f>
        <v>101.46</v>
      </c>
      <c r="D313" s="26">
        <f>INDEX(Купоны[Дата],MATCH($A313,Купоны[Дата],1))</f>
        <v>43931</v>
      </c>
      <c r="E313" s="24">
        <f>Купоны!$C$4*(A313-D313)/365*100</f>
        <v>1.5123287671232877</v>
      </c>
      <c r="F313" s="27">
        <f>-B313*(C313+E313)*Купоны!$G$10/100</f>
        <v>-422186.54794520541</v>
      </c>
      <c r="G313" s="34">
        <f>SUM($B$2:B313)</f>
        <v>460</v>
      </c>
      <c r="H313" s="31">
        <f>_xlfn.IFNA(VLOOKUP($A313,Купоны[[Дата]:[% от номинала]],3,0),0)*Купоны!$G$10/100*G313</f>
        <v>0</v>
      </c>
      <c r="I313" s="36">
        <f>Таблица16[[#This Row],[Денежный поток]]+Таблица16[[#This Row],[Купонный доход]]</f>
        <v>-422186.54794520541</v>
      </c>
      <c r="J313" s="31">
        <f>Таблица16[[#This Row],[Общий денежный поток]]/((1+$L$2)^((Таблица16[[#This Row],[Названия строк]]-$A$2)/365))</f>
        <v>-325561.79723786889</v>
      </c>
    </row>
    <row r="314" spans="1:10" x14ac:dyDescent="0.3">
      <c r="A314" s="23">
        <v>44001</v>
      </c>
      <c r="B314" s="24">
        <v>630</v>
      </c>
      <c r="C314" s="24">
        <f>VLOOKUP(Таблица16[[#This Row],[Названия строк]],Котировки[[&lt;DATE&gt;]:[&lt;VOL&gt;]],6,0)</f>
        <v>101.52</v>
      </c>
      <c r="D314" s="26">
        <f>INDEX(Купоны[Дата],MATCH($A314,Купоны[Дата],1))</f>
        <v>43931</v>
      </c>
      <c r="E314" s="24">
        <f>Купоны!$C$4*(A314-D314)/365*100</f>
        <v>1.5342465753424659</v>
      </c>
      <c r="F314" s="27">
        <f>-B314*(C314+E314)*Купоны!$G$10/100</f>
        <v>-649241.75342465751</v>
      </c>
      <c r="G314" s="34">
        <f>SUM($B$2:B314)</f>
        <v>1090</v>
      </c>
      <c r="H314" s="31">
        <f>_xlfn.IFNA(VLOOKUP($A314,Купоны[[Дата]:[% от номинала]],3,0),0)*Купоны!$G$10/100*G314</f>
        <v>0</v>
      </c>
      <c r="I314" s="36">
        <f>Таблица16[[#This Row],[Денежный поток]]+Таблица16[[#This Row],[Купонный доход]]</f>
        <v>-649241.75342465751</v>
      </c>
      <c r="J314" s="31">
        <f>Таблица16[[#This Row],[Общий денежный поток]]/((1+$L$2)^((Таблица16[[#This Row],[Названия строк]]-$A$2)/365))</f>
        <v>-500518.57087821909</v>
      </c>
    </row>
    <row r="315" spans="1:10" x14ac:dyDescent="0.3">
      <c r="A315" s="23">
        <v>44004</v>
      </c>
      <c r="B315" s="24">
        <v>-550</v>
      </c>
      <c r="C315" s="24">
        <f>VLOOKUP(Таблица16[[#This Row],[Названия строк]],Котировки[[&lt;DATE&gt;]:[&lt;VOL&gt;]],6,0)</f>
        <v>101.58</v>
      </c>
      <c r="D315" s="26">
        <f>INDEX(Купоны[Дата],MATCH($A315,Купоны[Дата],1))</f>
        <v>43931</v>
      </c>
      <c r="E315" s="24">
        <f>Купоны!$C$4*(A315-D315)/365*100</f>
        <v>1.6</v>
      </c>
      <c r="F315" s="27">
        <f>-B315*(C315+E315)*Купоны!$G$10/100</f>
        <v>567489.99999999988</v>
      </c>
      <c r="G315" s="34">
        <f>SUM($B$2:B315)</f>
        <v>540</v>
      </c>
      <c r="H315" s="31">
        <f>_xlfn.IFNA(VLOOKUP($A315,Купоны[[Дата]:[% от номинала]],3,0),0)*Купоны!$G$10/100*G315</f>
        <v>0</v>
      </c>
      <c r="I315" s="36">
        <f>Таблица16[[#This Row],[Денежный поток]]+Таблица16[[#This Row],[Купонный доход]]</f>
        <v>567489.99999999988</v>
      </c>
      <c r="J315" s="31">
        <f>Таблица16[[#This Row],[Общий денежный поток]]/((1+$L$2)^((Таблица16[[#This Row],[Названия строк]]-$A$2)/365))</f>
        <v>437145.57905909856</v>
      </c>
    </row>
    <row r="316" spans="1:10" x14ac:dyDescent="0.3">
      <c r="A316" s="23">
        <v>44005</v>
      </c>
      <c r="B316" s="24">
        <v>-300</v>
      </c>
      <c r="C316" s="24">
        <f>VLOOKUP(Таблица16[[#This Row],[Названия строк]],Котировки[[&lt;DATE&gt;]:[&lt;VOL&gt;]],6,0)</f>
        <v>101.5</v>
      </c>
      <c r="D316" s="26">
        <f>INDEX(Купоны[Дата],MATCH($A316,Купоны[Дата],1))</f>
        <v>43931</v>
      </c>
      <c r="E316" s="24">
        <f>Купоны!$C$4*(A316-D316)/365*100</f>
        <v>1.6219178082191781</v>
      </c>
      <c r="F316" s="27">
        <f>-B316*(C316+E316)*Купоны!$G$10/100</f>
        <v>309365.75342465751</v>
      </c>
      <c r="G316" s="34">
        <f>SUM($B$2:B316)</f>
        <v>240</v>
      </c>
      <c r="H316" s="31">
        <f>_xlfn.IFNA(VLOOKUP($A316,Купоны[[Дата]:[% от номинала]],3,0),0)*Купоны!$G$10/100*G316</f>
        <v>0</v>
      </c>
      <c r="I316" s="36">
        <f>Таблица16[[#This Row],[Денежный поток]]+Таблица16[[#This Row],[Купонный доход]]</f>
        <v>309365.75342465751</v>
      </c>
      <c r="J316" s="31">
        <f>Таблица16[[#This Row],[Общий денежный поток]]/((1+$L$2)^((Таблица16[[#This Row],[Названия строк]]-$A$2)/365))</f>
        <v>238245.56311188932</v>
      </c>
    </row>
    <row r="317" spans="1:10" x14ac:dyDescent="0.3">
      <c r="A317" s="23">
        <v>44007</v>
      </c>
      <c r="B317" s="24">
        <v>290</v>
      </c>
      <c r="C317" s="24">
        <f>VLOOKUP(Таблица16[[#This Row],[Названия строк]],Котировки[[&lt;DATE&gt;]:[&lt;VOL&gt;]],6,0)</f>
        <v>101.53</v>
      </c>
      <c r="D317" s="26">
        <f>INDEX(Купоны[Дата],MATCH($A317,Купоны[Дата],1))</f>
        <v>43931</v>
      </c>
      <c r="E317" s="24">
        <f>Купоны!$C$4*(A317-D317)/365*100</f>
        <v>1.6657534246575341</v>
      </c>
      <c r="F317" s="27">
        <f>-B317*(C317+E317)*Купоны!$G$10/100</f>
        <v>-299267.68493150687</v>
      </c>
      <c r="G317" s="34">
        <f>SUM($B$2:B317)</f>
        <v>530</v>
      </c>
      <c r="H317" s="31">
        <f>_xlfn.IFNA(VLOOKUP($A317,Купоны[[Дата]:[% от номинала]],3,0),0)*Купоны!$G$10/100*G317</f>
        <v>0</v>
      </c>
      <c r="I317" s="36">
        <f>Таблица16[[#This Row],[Денежный поток]]+Таблица16[[#This Row],[Купонный доход]]</f>
        <v>-299267.68493150687</v>
      </c>
      <c r="J317" s="31">
        <f>Таблица16[[#This Row],[Общий денежный поток]]/((1+$L$2)^((Таблица16[[#This Row],[Названия строк]]-$A$2)/365))</f>
        <v>-230346.61012968508</v>
      </c>
    </row>
    <row r="318" spans="1:10" x14ac:dyDescent="0.3">
      <c r="A318" s="23">
        <v>44008</v>
      </c>
      <c r="B318" s="24">
        <v>450</v>
      </c>
      <c r="C318" s="24">
        <f>VLOOKUP(Таблица16[[#This Row],[Названия строк]],Котировки[[&lt;DATE&gt;]:[&lt;VOL&gt;]],6,0)</f>
        <v>101.53</v>
      </c>
      <c r="D318" s="26">
        <f>INDEX(Купоны[Дата],MATCH($A318,Купоны[Дата],1))</f>
        <v>43931</v>
      </c>
      <c r="E318" s="24">
        <f>Купоны!$C$4*(A318-D318)/365*100</f>
        <v>1.6876712328767123</v>
      </c>
      <c r="F318" s="27">
        <f>-B318*(C318+E318)*Купоны!$G$10/100</f>
        <v>-464479.52054794523</v>
      </c>
      <c r="G318" s="34">
        <f>SUM($B$2:B318)</f>
        <v>980</v>
      </c>
      <c r="H318" s="31">
        <f>_xlfn.IFNA(VLOOKUP($A318,Купоны[[Дата]:[% от номинала]],3,0),0)*Купоны!$G$10/100*G318</f>
        <v>0</v>
      </c>
      <c r="I318" s="36">
        <f>Таблица16[[#This Row],[Денежный поток]]+Таблица16[[#This Row],[Купонный доход]]</f>
        <v>-464479.52054794523</v>
      </c>
      <c r="J318" s="31">
        <f>Таблица16[[#This Row],[Общий денежный поток]]/((1+$L$2)^((Таблица16[[#This Row],[Названия строк]]-$A$2)/365))</f>
        <v>-357415.41512573574</v>
      </c>
    </row>
    <row r="319" spans="1:10" x14ac:dyDescent="0.3">
      <c r="A319" s="23">
        <v>44011</v>
      </c>
      <c r="B319" s="24">
        <v>-410</v>
      </c>
      <c r="C319" s="24">
        <f>VLOOKUP(Таблица16[[#This Row],[Названия строк]],Котировки[[&lt;DATE&gt;]:[&lt;VOL&gt;]],6,0)</f>
        <v>101.47</v>
      </c>
      <c r="D319" s="26">
        <f>INDEX(Купоны[Дата],MATCH($A319,Купоны[Дата],1))</f>
        <v>43931</v>
      </c>
      <c r="E319" s="24">
        <f>Купоны!$C$4*(A319-D319)/365*100</f>
        <v>1.7534246575342467</v>
      </c>
      <c r="F319" s="27">
        <f>-B319*(C319+E319)*Купоны!$G$10/100</f>
        <v>423216.04109589045</v>
      </c>
      <c r="G319" s="34">
        <f>SUM($B$2:B319)</f>
        <v>570</v>
      </c>
      <c r="H319" s="31">
        <f>_xlfn.IFNA(VLOOKUP($A319,Купоны[[Дата]:[% от номинала]],3,0),0)*Купоны!$G$10/100*G319</f>
        <v>0</v>
      </c>
      <c r="I319" s="36">
        <f>Таблица16[[#This Row],[Денежный поток]]+Таблица16[[#This Row],[Купонный доход]]</f>
        <v>423216.04109589045</v>
      </c>
      <c r="J319" s="31">
        <f>Таблица16[[#This Row],[Общий денежный поток]]/((1+$L$2)^((Таблица16[[#This Row],[Названия строк]]-$A$2)/365))</f>
        <v>325404.04958065436</v>
      </c>
    </row>
    <row r="320" spans="1:10" x14ac:dyDescent="0.3">
      <c r="A320" s="23">
        <v>44012</v>
      </c>
      <c r="B320" s="24">
        <v>350</v>
      </c>
      <c r="C320" s="24">
        <f>VLOOKUP(Таблица16[[#This Row],[Названия строк]],Котировки[[&lt;DATE&gt;]:[&lt;VOL&gt;]],6,0)</f>
        <v>101.43</v>
      </c>
      <c r="D320" s="26">
        <f>INDEX(Купоны[Дата],MATCH($A320,Купоны[Дата],1))</f>
        <v>43931</v>
      </c>
      <c r="E320" s="24">
        <f>Купоны!$C$4*(A320-D320)/365*100</f>
        <v>1.7753424657534247</v>
      </c>
      <c r="F320" s="27">
        <f>-B320*(C320+E320)*Купоны!$G$10/100</f>
        <v>-361218.69863013702</v>
      </c>
      <c r="G320" s="34">
        <f>SUM($B$2:B320)</f>
        <v>920</v>
      </c>
      <c r="H320" s="31">
        <f>_xlfn.IFNA(VLOOKUP($A320,Купоны[[Дата]:[% от номинала]],3,0),0)*Купоны!$G$10/100*G320</f>
        <v>0</v>
      </c>
      <c r="I320" s="36">
        <f>Таблица16[[#This Row],[Денежный поток]]+Таблица16[[#This Row],[Купонный доход]]</f>
        <v>-361218.69863013702</v>
      </c>
      <c r="J320" s="31">
        <f>Таблица16[[#This Row],[Общий денежный поток]]/((1+$L$2)^((Таблица16[[#This Row],[Названия строк]]-$A$2)/365))</f>
        <v>-277661.56332865509</v>
      </c>
    </row>
    <row r="321" spans="1:10" x14ac:dyDescent="0.3">
      <c r="A321" s="23">
        <v>44015</v>
      </c>
      <c r="B321" s="24">
        <v>570</v>
      </c>
      <c r="C321" s="24">
        <f>VLOOKUP(Таблица16[[#This Row],[Названия строк]],Котировки[[&lt;DATE&gt;]:[&lt;VOL&gt;]],6,0)</f>
        <v>101.38</v>
      </c>
      <c r="D321" s="26">
        <f>INDEX(Купоны[Дата],MATCH($A321,Купоны[Дата],1))</f>
        <v>43931</v>
      </c>
      <c r="E321" s="24">
        <f>Купоны!$C$4*(A321-D321)/365*100</f>
        <v>1.8410958904109587</v>
      </c>
      <c r="F321" s="27">
        <f>-B321*(C321+E321)*Купоны!$G$10/100</f>
        <v>-588360.24657534237</v>
      </c>
      <c r="G321" s="34">
        <f>SUM($B$2:B321)</f>
        <v>1490</v>
      </c>
      <c r="H321" s="31">
        <f>_xlfn.IFNA(VLOOKUP($A321,Купоны[[Дата]:[% от номинала]],3,0),0)*Купоны!$G$10/100*G321</f>
        <v>0</v>
      </c>
      <c r="I321" s="36">
        <f>Таблица16[[#This Row],[Денежный поток]]+Таблица16[[#This Row],[Купонный доход]]</f>
        <v>-588360.24657534237</v>
      </c>
      <c r="J321" s="31">
        <f>Таблица16[[#This Row],[Общий денежный поток]]/((1+$L$2)^((Таблица16[[#This Row],[Названия строк]]-$A$2)/365))</f>
        <v>-451900.67074376484</v>
      </c>
    </row>
    <row r="322" spans="1:10" x14ac:dyDescent="0.3">
      <c r="A322" s="23">
        <v>44018</v>
      </c>
      <c r="B322" s="24">
        <v>340</v>
      </c>
      <c r="C322" s="24">
        <f>VLOOKUP(Таблица16[[#This Row],[Названия строк]],Котировки[[&lt;DATE&gt;]:[&lt;VOL&gt;]],6,0)</f>
        <v>101.37</v>
      </c>
      <c r="D322" s="26">
        <f>INDEX(Купоны[Дата],MATCH($A322,Купоны[Дата],1))</f>
        <v>43931</v>
      </c>
      <c r="E322" s="24">
        <f>Купоны!$C$4*(A322-D322)/365*100</f>
        <v>1.9068493150684933</v>
      </c>
      <c r="F322" s="27">
        <f>-B322*(C322+E322)*Купоны!$G$10/100</f>
        <v>-351141.28767123289</v>
      </c>
      <c r="G322" s="34">
        <f>SUM($B$2:B322)</f>
        <v>1830</v>
      </c>
      <c r="H322" s="31">
        <f>_xlfn.IFNA(VLOOKUP($A322,Купоны[[Дата]:[% от номинала]],3,0),0)*Купоны!$G$10/100*G322</f>
        <v>0</v>
      </c>
      <c r="I322" s="36">
        <f>Таблица16[[#This Row],[Денежный поток]]+Таблица16[[#This Row],[Купонный доход]]</f>
        <v>-351141.28767123289</v>
      </c>
      <c r="J322" s="31">
        <f>Таблица16[[#This Row],[Общий денежный поток]]/((1+$L$2)^((Таблица16[[#This Row],[Названия строк]]-$A$2)/365))</f>
        <v>-269485.67584217136</v>
      </c>
    </row>
    <row r="323" spans="1:10" x14ac:dyDescent="0.3">
      <c r="A323" s="23">
        <v>44019</v>
      </c>
      <c r="B323" s="24">
        <v>-570</v>
      </c>
      <c r="C323" s="24">
        <f>VLOOKUP(Таблица16[[#This Row],[Названия строк]],Котировки[[&lt;DATE&gt;]:[&lt;VOL&gt;]],6,0)</f>
        <v>101.38</v>
      </c>
      <c r="D323" s="26">
        <f>INDEX(Купоны[Дата],MATCH($A323,Купоны[Дата],1))</f>
        <v>43931</v>
      </c>
      <c r="E323" s="24">
        <f>Купоны!$C$4*(A323-D323)/365*100</f>
        <v>1.9287671232876713</v>
      </c>
      <c r="F323" s="27">
        <f>-B323*(C323+E323)*Купоны!$G$10/100</f>
        <v>588859.9726027397</v>
      </c>
      <c r="G323" s="34">
        <f>SUM($B$2:B323)</f>
        <v>1260</v>
      </c>
      <c r="H323" s="31">
        <f>_xlfn.IFNA(VLOOKUP($A323,Купоны[[Дата]:[% от номинала]],3,0),0)*Купоны!$G$10/100*G323</f>
        <v>0</v>
      </c>
      <c r="I323" s="36">
        <f>Таблица16[[#This Row],[Денежный поток]]+Таблица16[[#This Row],[Купонный доход]]</f>
        <v>588859.9726027397</v>
      </c>
      <c r="J323" s="31">
        <f>Таблица16[[#This Row],[Общий денежный поток]]/((1+$L$2)^((Таблица16[[#This Row],[Названия строк]]-$A$2)/365))</f>
        <v>451804.4776385182</v>
      </c>
    </row>
    <row r="324" spans="1:10" x14ac:dyDescent="0.3">
      <c r="A324" s="23">
        <v>44022</v>
      </c>
      <c r="B324" s="24">
        <v>-500</v>
      </c>
      <c r="C324" s="24">
        <f>VLOOKUP(Таблица16[[#This Row],[Названия строк]],Котировки[[&lt;DATE&gt;]:[&lt;VOL&gt;]],6,0)</f>
        <v>101.35</v>
      </c>
      <c r="D324" s="26">
        <f>INDEX(Купоны[Дата],MATCH($A324,Купоны[Дата],1))</f>
        <v>43931</v>
      </c>
      <c r="E324" s="24">
        <f>Купоны!$C$4*(A324-D324)/365*100</f>
        <v>1.9945205479452055</v>
      </c>
      <c r="F324" s="27">
        <f>-B324*(C324+E324)*Купоны!$G$10/100</f>
        <v>516722.60273972602</v>
      </c>
      <c r="G324" s="34">
        <f>SUM($B$2:B324)</f>
        <v>760</v>
      </c>
      <c r="H324" s="31">
        <f>_xlfn.IFNA(VLOOKUP($A324,Купоны[[Дата]:[% от номинала]],3,0),0)*Купоны!$G$10/100*G324</f>
        <v>0</v>
      </c>
      <c r="I324" s="36">
        <f>Таблица16[[#This Row],[Денежный поток]]+Таблица16[[#This Row],[Купонный доход]]</f>
        <v>516722.60273972602</v>
      </c>
      <c r="J324" s="31">
        <f>Таблица16[[#This Row],[Общий денежный поток]]/((1+$L$2)^((Таблица16[[#This Row],[Названия строк]]-$A$2)/365))</f>
        <v>396141.26046936482</v>
      </c>
    </row>
    <row r="325" spans="1:10" x14ac:dyDescent="0.3">
      <c r="A325" s="23">
        <v>44025</v>
      </c>
      <c r="B325" s="24">
        <v>-540</v>
      </c>
      <c r="C325" s="24">
        <f>VLOOKUP(Таблица16[[#This Row],[Названия строк]],Котировки[[&lt;DATE&gt;]:[&lt;VOL&gt;]],6,0)</f>
        <v>101.24</v>
      </c>
      <c r="D325" s="26">
        <f>INDEX(Купоны[Дата],MATCH($A325,Купоны[Дата],1))</f>
        <v>43931</v>
      </c>
      <c r="E325" s="24">
        <f>Купоны!$C$4*(A325-D325)/365*100</f>
        <v>2.0602739726027401</v>
      </c>
      <c r="F325" s="27">
        <f>-B325*(C325+E325)*Купоны!$G$10/100</f>
        <v>557821.47945205483</v>
      </c>
      <c r="G325" s="34">
        <f>SUM($B$2:B325)</f>
        <v>220</v>
      </c>
      <c r="H325" s="31">
        <f>_xlfn.IFNA(VLOOKUP($A325,Купоны[[Дата]:[% от номинала]],3,0),0)*Купоны!$G$10/100*G325</f>
        <v>0</v>
      </c>
      <c r="I325" s="36">
        <f>Таблица16[[#This Row],[Денежный поток]]+Таблица16[[#This Row],[Купонный доход]]</f>
        <v>557821.47945205483</v>
      </c>
      <c r="J325" s="31">
        <f>Таблица16[[#This Row],[Общий денежный поток]]/((1+$L$2)^((Таблица16[[#This Row],[Названия строк]]-$A$2)/365))</f>
        <v>427308.93791355251</v>
      </c>
    </row>
    <row r="326" spans="1:10" x14ac:dyDescent="0.3">
      <c r="A326" s="23">
        <v>44027</v>
      </c>
      <c r="B326" s="24">
        <v>410</v>
      </c>
      <c r="C326" s="24">
        <f>VLOOKUP(Таблица16[[#This Row],[Названия строк]],Котировки[[&lt;DATE&gt;]:[&lt;VOL&gt;]],6,0)</f>
        <v>101.25</v>
      </c>
      <c r="D326" s="26">
        <f>INDEX(Купоны[Дата],MATCH($A326,Купоны[Дата],1))</f>
        <v>43931</v>
      </c>
      <c r="E326" s="24">
        <f>Купоны!$C$4*(A326-D326)/365*100</f>
        <v>2.1041095890410961</v>
      </c>
      <c r="F326" s="27">
        <f>-B326*(C326+E326)*Купоны!$G$10/100</f>
        <v>-423751.84931506857</v>
      </c>
      <c r="G326" s="34">
        <f>SUM($B$2:B326)</f>
        <v>630</v>
      </c>
      <c r="H326" s="31">
        <f>_xlfn.IFNA(VLOOKUP($A326,Купоны[[Дата]:[% от номинала]],3,0),0)*Купоны!$G$10/100*G326</f>
        <v>0</v>
      </c>
      <c r="I326" s="36">
        <f>Таблица16[[#This Row],[Денежный поток]]+Таблица16[[#This Row],[Купонный доход]]</f>
        <v>-423751.84931506857</v>
      </c>
      <c r="J326" s="31">
        <f>Таблица16[[#This Row],[Общий денежный поток]]/((1+$L$2)^((Таблица16[[#This Row],[Названия строк]]-$A$2)/365))</f>
        <v>-324435.04962974676</v>
      </c>
    </row>
    <row r="327" spans="1:10" x14ac:dyDescent="0.3">
      <c r="A327" s="23">
        <v>44032</v>
      </c>
      <c r="B327" s="24">
        <v>200</v>
      </c>
      <c r="C327" s="24">
        <f>VLOOKUP(Таблица16[[#This Row],[Названия строк]],Котировки[[&lt;DATE&gt;]:[&lt;VOL&gt;]],6,0)</f>
        <v>101.3</v>
      </c>
      <c r="D327" s="26">
        <f>INDEX(Купоны[Дата],MATCH($A327,Купоны[Дата],1))</f>
        <v>43931</v>
      </c>
      <c r="E327" s="24">
        <f>Купоны!$C$4*(A327-D327)/365*100</f>
        <v>2.2136986301369865</v>
      </c>
      <c r="F327" s="27">
        <f>-B327*(C327+E327)*Купоны!$G$10/100</f>
        <v>-207027.39726027395</v>
      </c>
      <c r="G327" s="34">
        <f>SUM($B$2:B327)</f>
        <v>830</v>
      </c>
      <c r="H327" s="31">
        <f>_xlfn.IFNA(VLOOKUP($A327,Купоны[[Дата]:[% от номинала]],3,0),0)*Купоны!$G$10/100*G327</f>
        <v>0</v>
      </c>
      <c r="I327" s="36">
        <f>Таблица16[[#This Row],[Денежный поток]]+Таблица16[[#This Row],[Купонный доход]]</f>
        <v>-207027.39726027395</v>
      </c>
      <c r="J327" s="31">
        <f>Таблица16[[#This Row],[Общий денежный поток]]/((1+$L$2)^((Таблица16[[#This Row],[Названия строк]]-$A$2)/365))</f>
        <v>-158295.11815962463</v>
      </c>
    </row>
    <row r="328" spans="1:10" x14ac:dyDescent="0.3">
      <c r="A328" s="23">
        <v>44043</v>
      </c>
      <c r="B328" s="24">
        <v>-180</v>
      </c>
      <c r="C328" s="24">
        <f>VLOOKUP(Таблица16[[#This Row],[Названия строк]],Котировки[[&lt;DATE&gt;]:[&lt;VOL&gt;]],6,0)</f>
        <v>101.15</v>
      </c>
      <c r="D328" s="26">
        <f>INDEX(Купоны[Дата],MATCH($A328,Купоны[Дата],1))</f>
        <v>43931</v>
      </c>
      <c r="E328" s="24">
        <f>Купоны!$C$4*(A328-D328)/365*100</f>
        <v>2.4547945205479453</v>
      </c>
      <c r="F328" s="27">
        <f>-B328*(C328+E328)*Купоны!$G$10/100</f>
        <v>186488.63013698635</v>
      </c>
      <c r="G328" s="34">
        <f>SUM($B$2:B328)</f>
        <v>650</v>
      </c>
      <c r="H328" s="31">
        <f>_xlfn.IFNA(VLOOKUP($A328,Купоны[[Дата]:[% от номинала]],3,0),0)*Купоны!$G$10/100*G328</f>
        <v>0</v>
      </c>
      <c r="I328" s="36">
        <f>Таблица16[[#This Row],[Денежный поток]]+Таблица16[[#This Row],[Купонный доход]]</f>
        <v>186488.63013698635</v>
      </c>
      <c r="J328" s="31">
        <f>Таблица16[[#This Row],[Общий денежный поток]]/((1+$L$2)^((Таблица16[[#This Row],[Названия строк]]-$A$2)/365))</f>
        <v>142175.19906914889</v>
      </c>
    </row>
    <row r="329" spans="1:10" x14ac:dyDescent="0.3">
      <c r="A329" s="23">
        <v>44053</v>
      </c>
      <c r="B329" s="24">
        <v>100</v>
      </c>
      <c r="C329" s="24">
        <f>VLOOKUP(Таблица16[[#This Row],[Названия строк]],Котировки[[&lt;DATE&gt;]:[&lt;VOL&gt;]],6,0)</f>
        <v>101.13</v>
      </c>
      <c r="D329" s="26">
        <f>INDEX(Купоны[Дата],MATCH($A329,Купоны[Дата],1))</f>
        <v>43931</v>
      </c>
      <c r="E329" s="24">
        <f>Купоны!$C$4*(A329-D329)/365*100</f>
        <v>2.6739726027397261</v>
      </c>
      <c r="F329" s="27">
        <f>-B329*(C329+E329)*Купоны!$G$10/100</f>
        <v>-103803.97260273973</v>
      </c>
      <c r="G329" s="34">
        <f>SUM($B$2:B329)</f>
        <v>750</v>
      </c>
      <c r="H329" s="31">
        <f>_xlfn.IFNA(VLOOKUP($A329,Купоны[[Дата]:[% от номинала]],3,0),0)*Купоны!$G$10/100*G329</f>
        <v>0</v>
      </c>
      <c r="I329" s="36">
        <f>Таблица16[[#This Row],[Денежный поток]]+Таблица16[[#This Row],[Купонный доход]]</f>
        <v>-103803.97260273973</v>
      </c>
      <c r="J329" s="31">
        <f>Таблица16[[#This Row],[Общий денежный поток]]/((1+$L$2)^((Таблица16[[#This Row],[Названия строк]]-$A$2)/365))</f>
        <v>-78928.261988584316</v>
      </c>
    </row>
    <row r="330" spans="1:10" x14ac:dyDescent="0.3">
      <c r="A330" s="23">
        <v>44054</v>
      </c>
      <c r="B330" s="24">
        <v>-390</v>
      </c>
      <c r="C330" s="24">
        <f>VLOOKUP(Таблица16[[#This Row],[Названия строк]],Котировки[[&lt;DATE&gt;]:[&lt;VOL&gt;]],6,0)</f>
        <v>101.12</v>
      </c>
      <c r="D330" s="26">
        <f>INDEX(Купоны[Дата],MATCH($A330,Купоны[Дата],1))</f>
        <v>43931</v>
      </c>
      <c r="E330" s="24">
        <f>Купоны!$C$4*(A330-D330)/365*100</f>
        <v>2.6958904109589041</v>
      </c>
      <c r="F330" s="27">
        <f>-B330*(C330+E330)*Купоны!$G$10/100</f>
        <v>404881.97260273976</v>
      </c>
      <c r="G330" s="34">
        <f>SUM($B$2:B330)</f>
        <v>360</v>
      </c>
      <c r="H330" s="31">
        <f>_xlfn.IFNA(VLOOKUP($A330,Купоны[[Дата]:[% от номинала]],3,0),0)*Купоны!$G$10/100*G330</f>
        <v>0</v>
      </c>
      <c r="I330" s="36">
        <f>Таблица16[[#This Row],[Денежный поток]]+Таблица16[[#This Row],[Купонный доход]]</f>
        <v>404881.97260273976</v>
      </c>
      <c r="J330" s="31">
        <f>Таблица16[[#This Row],[Общий денежный поток]]/((1+$L$2)^((Таблица16[[#This Row],[Названия строк]]-$A$2)/365))</f>
        <v>307773.84729403246</v>
      </c>
    </row>
    <row r="331" spans="1:10" x14ac:dyDescent="0.3">
      <c r="A331" s="23">
        <v>44056</v>
      </c>
      <c r="B331" s="24">
        <v>-350</v>
      </c>
      <c r="C331" s="24">
        <f>VLOOKUP(Таблица16[[#This Row],[Названия строк]],Котировки[[&lt;DATE&gt;]:[&lt;VOL&gt;]],6,0)</f>
        <v>101.13</v>
      </c>
      <c r="D331" s="26">
        <f>INDEX(Купоны[Дата],MATCH($A331,Купоны[Дата],1))</f>
        <v>43931</v>
      </c>
      <c r="E331" s="24">
        <f>Купоны!$C$4*(A331-D331)/365*100</f>
        <v>2.7397260273972601</v>
      </c>
      <c r="F331" s="27">
        <f>-B331*(C331+E331)*Купоны!$G$10/100</f>
        <v>363544.04109589034</v>
      </c>
      <c r="G331" s="34">
        <f>SUM($B$2:B331)</f>
        <v>10</v>
      </c>
      <c r="H331" s="31">
        <f>_xlfn.IFNA(VLOOKUP($A331,Купоны[[Дата]:[% от номинала]],3,0),0)*Купоны!$G$10/100*G331</f>
        <v>0</v>
      </c>
      <c r="I331" s="36">
        <f>Таблица16[[#This Row],[Денежный поток]]+Таблица16[[#This Row],[Купонный доход]]</f>
        <v>363544.04109589034</v>
      </c>
      <c r="J331" s="31">
        <f>Таблица16[[#This Row],[Общий денежный поток]]/((1+$L$2)^((Таблица16[[#This Row],[Названия строк]]-$A$2)/365))</f>
        <v>276203.84464757534</v>
      </c>
    </row>
    <row r="332" spans="1:10" x14ac:dyDescent="0.3">
      <c r="A332" s="23">
        <v>44057</v>
      </c>
      <c r="B332" s="24">
        <v>170</v>
      </c>
      <c r="C332" s="24">
        <f>VLOOKUP(Таблица16[[#This Row],[Названия строк]],Котировки[[&lt;DATE&gt;]:[&lt;VOL&gt;]],6,0)</f>
        <v>101.12</v>
      </c>
      <c r="D332" s="26">
        <f>INDEX(Купоны[Дата],MATCH($A332,Купоны[Дата],1))</f>
        <v>43931</v>
      </c>
      <c r="E332" s="24">
        <f>Купоны!$C$4*(A332-D332)/365*100</f>
        <v>2.7616438356164381</v>
      </c>
      <c r="F332" s="27">
        <f>-B332*(C332+E332)*Купоны!$G$10/100</f>
        <v>-176598.79452054796</v>
      </c>
      <c r="G332" s="34">
        <f>SUM($B$2:B332)</f>
        <v>180</v>
      </c>
      <c r="H332" s="31">
        <f>_xlfn.IFNA(VLOOKUP($A332,Купоны[[Дата]:[% от номинала]],3,0),0)*Купоны!$G$10/100*G332</f>
        <v>0</v>
      </c>
      <c r="I332" s="36">
        <f>Таблица16[[#This Row],[Денежный поток]]+Таблица16[[#This Row],[Купонный доход]]</f>
        <v>-176598.79452054796</v>
      </c>
      <c r="J332" s="31">
        <f>Таблица16[[#This Row],[Общий денежный поток]]/((1+$L$2)^((Таблица16[[#This Row],[Названия строк]]-$A$2)/365))</f>
        <v>-134135.93215605526</v>
      </c>
    </row>
    <row r="333" spans="1:10" x14ac:dyDescent="0.3">
      <c r="A333" s="23">
        <v>44060</v>
      </c>
      <c r="B333" s="24">
        <v>260</v>
      </c>
      <c r="C333" s="24">
        <f>VLOOKUP(Таблица16[[#This Row],[Названия строк]],Котировки[[&lt;DATE&gt;]:[&lt;VOL&gt;]],6,0)</f>
        <v>101.01</v>
      </c>
      <c r="D333" s="26">
        <f>INDEX(Купоны[Дата],MATCH($A333,Купоны[Дата],1))</f>
        <v>43931</v>
      </c>
      <c r="E333" s="24">
        <f>Купоны!$C$4*(A333-D333)/365*100</f>
        <v>2.8273972602739725</v>
      </c>
      <c r="F333" s="27">
        <f>-B333*(C333+E333)*Купоны!$G$10/100</f>
        <v>-269977.23287671234</v>
      </c>
      <c r="G333" s="34">
        <f>SUM($B$2:B333)</f>
        <v>440</v>
      </c>
      <c r="H333" s="31">
        <f>_xlfn.IFNA(VLOOKUP($A333,Купоны[[Дата]:[% от номинала]],3,0),0)*Купоны!$G$10/100*G333</f>
        <v>0</v>
      </c>
      <c r="I333" s="36">
        <f>Таблица16[[#This Row],[Денежный поток]]+Таблица16[[#This Row],[Купонный доход]]</f>
        <v>-269977.23287671234</v>
      </c>
      <c r="J333" s="31">
        <f>Таблица16[[#This Row],[Общий денежный поток]]/((1+$L$2)^((Таблица16[[#This Row],[Названия строк]]-$A$2)/365))</f>
        <v>-204898.44496634603</v>
      </c>
    </row>
    <row r="334" spans="1:10" x14ac:dyDescent="0.3">
      <c r="A334" s="23">
        <v>44064</v>
      </c>
      <c r="B334" s="24">
        <v>170</v>
      </c>
      <c r="C334" s="24">
        <f>VLOOKUP(Таблица16[[#This Row],[Названия строк]],Котировки[[&lt;DATE&gt;]:[&lt;VOL&gt;]],6,0)</f>
        <v>101.03</v>
      </c>
      <c r="D334" s="26">
        <f>INDEX(Купоны[Дата],MATCH($A334,Купоны[Дата],1))</f>
        <v>43931</v>
      </c>
      <c r="E334" s="24">
        <f>Купоны!$C$4*(A334-D334)/365*100</f>
        <v>2.9150684931506849</v>
      </c>
      <c r="F334" s="27">
        <f>-B334*(C334+E334)*Купоны!$G$10/100</f>
        <v>-176706.6164383562</v>
      </c>
      <c r="G334" s="34">
        <f>SUM($B$2:B334)</f>
        <v>610</v>
      </c>
      <c r="H334" s="31">
        <f>_xlfn.IFNA(VLOOKUP($A334,Купоны[[Дата]:[% от номинала]],3,0),0)*Купоны!$G$10/100*G334</f>
        <v>0</v>
      </c>
      <c r="I334" s="36">
        <f>Таблица16[[#This Row],[Денежный поток]]+Таблица16[[#This Row],[Купонный доход]]</f>
        <v>-176706.6164383562</v>
      </c>
      <c r="J334" s="31">
        <f>Таблица16[[#This Row],[Общий денежный поток]]/((1+$L$2)^((Таблица16[[#This Row],[Названия строк]]-$A$2)/365))</f>
        <v>-133968.64458638403</v>
      </c>
    </row>
    <row r="335" spans="1:10" x14ac:dyDescent="0.3">
      <c r="A335" s="23">
        <v>44069</v>
      </c>
      <c r="B335" s="24">
        <v>-500</v>
      </c>
      <c r="C335" s="24">
        <f>VLOOKUP(Таблица16[[#This Row],[Названия строк]],Котировки[[&lt;DATE&gt;]:[&lt;VOL&gt;]],6,0)</f>
        <v>100.91</v>
      </c>
      <c r="D335" s="26">
        <f>INDEX(Купоны[Дата],MATCH($A335,Купоны[Дата],1))</f>
        <v>43931</v>
      </c>
      <c r="E335" s="24">
        <f>Купоны!$C$4*(A335-D335)/365*100</f>
        <v>3.0246575342465754</v>
      </c>
      <c r="F335" s="27">
        <f>-B335*(C335+E335)*Купоны!$G$10/100</f>
        <v>519673.28767123283</v>
      </c>
      <c r="G335" s="34">
        <f>SUM($B$2:B335)</f>
        <v>110</v>
      </c>
      <c r="H335" s="31">
        <f>_xlfn.IFNA(VLOOKUP($A335,Купоны[[Дата]:[% от номинала]],3,0),0)*Купоны!$G$10/100*G335</f>
        <v>0</v>
      </c>
      <c r="I335" s="36">
        <f>Таблица16[[#This Row],[Денежный поток]]+Таблица16[[#This Row],[Купонный доход]]</f>
        <v>519673.28767123283</v>
      </c>
      <c r="J335" s="31">
        <f>Таблица16[[#This Row],[Общий денежный поток]]/((1+$L$2)^((Таблица16[[#This Row],[Названия строк]]-$A$2)/365))</f>
        <v>393463.35031134251</v>
      </c>
    </row>
    <row r="336" spans="1:10" x14ac:dyDescent="0.3">
      <c r="A336" s="23">
        <v>44071</v>
      </c>
      <c r="B336" s="24">
        <v>230</v>
      </c>
      <c r="C336" s="24">
        <f>VLOOKUP(Таблица16[[#This Row],[Названия строк]],Котировки[[&lt;DATE&gt;]:[&lt;VOL&gt;]],6,0)</f>
        <v>100.98</v>
      </c>
      <c r="D336" s="26">
        <f>INDEX(Купоны[Дата],MATCH($A336,Купоны[Дата],1))</f>
        <v>43931</v>
      </c>
      <c r="E336" s="24">
        <f>Купоны!$C$4*(A336-D336)/365*100</f>
        <v>3.0684931506849318</v>
      </c>
      <c r="F336" s="27">
        <f>-B336*(C336+E336)*Купоны!$G$10/100</f>
        <v>-239311.53424657535</v>
      </c>
      <c r="G336" s="34">
        <f>SUM($B$2:B336)</f>
        <v>340</v>
      </c>
      <c r="H336" s="31">
        <f>_xlfn.IFNA(VLOOKUP($A336,Купоны[[Дата]:[% от номинала]],3,0),0)*Купоны!$G$10/100*G336</f>
        <v>0</v>
      </c>
      <c r="I336" s="36">
        <f>Таблица16[[#This Row],[Денежный поток]]+Таблица16[[#This Row],[Купонный доход]]</f>
        <v>-239311.53424657535</v>
      </c>
      <c r="J336" s="31">
        <f>Таблица16[[#This Row],[Общий денежный поток]]/((1+$L$2)^((Таблица16[[#This Row],[Названия строк]]-$A$2)/365))</f>
        <v>-181095.19978266716</v>
      </c>
    </row>
    <row r="337" spans="1:10" x14ac:dyDescent="0.3">
      <c r="A337" s="23">
        <v>44074</v>
      </c>
      <c r="B337" s="24">
        <v>380</v>
      </c>
      <c r="C337" s="24">
        <f>VLOOKUP(Таблица16[[#This Row],[Названия строк]],Котировки[[&lt;DATE&gt;]:[&lt;VOL&gt;]],6,0)</f>
        <v>100.81</v>
      </c>
      <c r="D337" s="26">
        <f>INDEX(Купоны[Дата],MATCH($A337,Купоны[Дата],1))</f>
        <v>43931</v>
      </c>
      <c r="E337" s="24">
        <f>Купоны!$C$4*(A337-D337)/365*100</f>
        <v>3.1342465753424658</v>
      </c>
      <c r="F337" s="27">
        <f>-B337*(C337+E337)*Купоны!$G$10/100</f>
        <v>-394988.13698630134</v>
      </c>
      <c r="G337" s="34">
        <f>SUM($B$2:B337)</f>
        <v>720</v>
      </c>
      <c r="H337" s="31">
        <f>_xlfn.IFNA(VLOOKUP($A337,Купоны[[Дата]:[% от номинала]],3,0),0)*Купоны!$G$10/100*G337</f>
        <v>0</v>
      </c>
      <c r="I337" s="36">
        <f>Таблица16[[#This Row],[Денежный поток]]+Таблица16[[#This Row],[Купонный доход]]</f>
        <v>-394988.13698630134</v>
      </c>
      <c r="J337" s="31">
        <f>Таблица16[[#This Row],[Общий денежный поток]]/((1+$L$2)^((Таблица16[[#This Row],[Названия строк]]-$A$2)/365))</f>
        <v>-298663.04165674362</v>
      </c>
    </row>
    <row r="338" spans="1:10" x14ac:dyDescent="0.3">
      <c r="A338" s="23">
        <v>44075</v>
      </c>
      <c r="B338" s="24">
        <v>-60</v>
      </c>
      <c r="C338" s="24">
        <f>VLOOKUP(Таблица16[[#This Row],[Названия строк]],Котировки[[&lt;DATE&gt;]:[&lt;VOL&gt;]],6,0)</f>
        <v>100.9</v>
      </c>
      <c r="D338" s="26">
        <f>INDEX(Купоны[Дата],MATCH($A338,Купоны[Дата],1))</f>
        <v>43931</v>
      </c>
      <c r="E338" s="24">
        <f>Купоны!$C$4*(A338-D338)/365*100</f>
        <v>3.1561643835616437</v>
      </c>
      <c r="F338" s="27">
        <f>-B338*(C338+E338)*Купоны!$G$10/100</f>
        <v>62433.698630136991</v>
      </c>
      <c r="G338" s="34">
        <f>SUM($B$2:B338)</f>
        <v>660</v>
      </c>
      <c r="H338" s="31">
        <f>_xlfn.IFNA(VLOOKUP($A338,Купоны[[Дата]:[% от номинала]],3,0),0)*Купоны!$G$10/100*G338</f>
        <v>0</v>
      </c>
      <c r="I338" s="36">
        <f>Таблица16[[#This Row],[Денежный поток]]+Таблица16[[#This Row],[Купонный доход]]</f>
        <v>62433.698630136991</v>
      </c>
      <c r="J338" s="31">
        <f>Таблица16[[#This Row],[Общий денежный поток]]/((1+$L$2)^((Таблица16[[#This Row],[Названия строк]]-$A$2)/365))</f>
        <v>47195.56646393636</v>
      </c>
    </row>
    <row r="339" spans="1:10" x14ac:dyDescent="0.3">
      <c r="A339" s="23">
        <v>44076</v>
      </c>
      <c r="B339" s="24">
        <v>850</v>
      </c>
      <c r="C339" s="24">
        <f>VLOOKUP(Таблица16[[#This Row],[Названия строк]],Котировки[[&lt;DATE&gt;]:[&lt;VOL&gt;]],6,0)</f>
        <v>100.84</v>
      </c>
      <c r="D339" s="26">
        <f>INDEX(Купоны[Дата],MATCH($A339,Купоны[Дата],1))</f>
        <v>43931</v>
      </c>
      <c r="E339" s="24">
        <f>Купоны!$C$4*(A339-D339)/365*100</f>
        <v>3.1780821917808217</v>
      </c>
      <c r="F339" s="27">
        <f>-B339*(C339+E339)*Купоны!$G$10/100</f>
        <v>-884153.69863013702</v>
      </c>
      <c r="G339" s="34">
        <f>SUM($B$2:B339)</f>
        <v>1510</v>
      </c>
      <c r="H339" s="31">
        <f>_xlfn.IFNA(VLOOKUP($A339,Купоны[[Дата]:[% от номинала]],3,0),0)*Купоны!$G$10/100*G339</f>
        <v>0</v>
      </c>
      <c r="I339" s="36">
        <f>Таблица16[[#This Row],[Денежный поток]]+Таблица16[[#This Row],[Купонный доход]]</f>
        <v>-884153.69863013702</v>
      </c>
      <c r="J339" s="31">
        <f>Таблица16[[#This Row],[Общий денежный поток]]/((1+$L$2)^((Таблица16[[#This Row],[Названия строк]]-$A$2)/365))</f>
        <v>-668181.75876570796</v>
      </c>
    </row>
    <row r="340" spans="1:10" x14ac:dyDescent="0.3">
      <c r="A340" s="23">
        <v>44077</v>
      </c>
      <c r="B340" s="24">
        <v>-1400</v>
      </c>
      <c r="C340" s="24">
        <f>VLOOKUP(Таблица16[[#This Row],[Названия строк]],Котировки[[&lt;DATE&gt;]:[&lt;VOL&gt;]],6,0)</f>
        <v>100.88</v>
      </c>
      <c r="D340" s="26">
        <f>INDEX(Купоны[Дата],MATCH($A340,Купоны[Дата],1))</f>
        <v>43931</v>
      </c>
      <c r="E340" s="24">
        <f>Купоны!$C$4*(A340-D340)/365*100</f>
        <v>3.2</v>
      </c>
      <c r="F340" s="27">
        <f>-B340*(C340+E340)*Купоны!$G$10/100</f>
        <v>1457120</v>
      </c>
      <c r="G340" s="34">
        <f>SUM($B$2:B340)</f>
        <v>110</v>
      </c>
      <c r="H340" s="31">
        <f>_xlfn.IFNA(VLOOKUP($A340,Купоны[[Дата]:[% от номинала]],3,0),0)*Купоны!$G$10/100*G340</f>
        <v>0</v>
      </c>
      <c r="I340" s="36">
        <f>Таблица16[[#This Row],[Денежный поток]]+Таблица16[[#This Row],[Купонный доход]]</f>
        <v>1457120</v>
      </c>
      <c r="J340" s="31">
        <f>Таблица16[[#This Row],[Общий денежный поток]]/((1+$L$2)^((Таблица16[[#This Row],[Названия строк]]-$A$2)/365))</f>
        <v>1100897.471933058</v>
      </c>
    </row>
    <row r="341" spans="1:10" x14ac:dyDescent="0.3">
      <c r="A341" s="23">
        <v>44078</v>
      </c>
      <c r="B341" s="24">
        <v>640</v>
      </c>
      <c r="C341" s="24">
        <f>VLOOKUP(Таблица16[[#This Row],[Названия строк]],Котировки[[&lt;DATE&gt;]:[&lt;VOL&gt;]],6,0)</f>
        <v>100.93</v>
      </c>
      <c r="D341" s="26">
        <f>INDEX(Купоны[Дата],MATCH($A341,Купоны[Дата],1))</f>
        <v>43931</v>
      </c>
      <c r="E341" s="24">
        <f>Купоны!$C$4*(A341-D341)/365*100</f>
        <v>3.2219178082191782</v>
      </c>
      <c r="F341" s="27">
        <f>-B341*(C341+E341)*Купоны!$G$10/100</f>
        <v>-666572.27397260268</v>
      </c>
      <c r="G341" s="34">
        <f>SUM($B$2:B341)</f>
        <v>750</v>
      </c>
      <c r="H341" s="31">
        <f>_xlfn.IFNA(VLOOKUP($A341,Купоны[[Дата]:[% от номинала]],3,0),0)*Купоны!$G$10/100*G341</f>
        <v>0</v>
      </c>
      <c r="I341" s="36">
        <f>Таблица16[[#This Row],[Денежный поток]]+Таблица16[[#This Row],[Купонный доход]]</f>
        <v>-666572.27397260268</v>
      </c>
      <c r="J341" s="31">
        <f>Таблица16[[#This Row],[Общий денежный поток]]/((1+$L$2)^((Таблица16[[#This Row],[Названия строк]]-$A$2)/365))</f>
        <v>-503481.48951373395</v>
      </c>
    </row>
    <row r="342" spans="1:10" x14ac:dyDescent="0.3">
      <c r="A342" s="23">
        <v>44088</v>
      </c>
      <c r="B342" s="24">
        <v>380</v>
      </c>
      <c r="C342" s="24">
        <f>VLOOKUP(Таблица16[[#This Row],[Названия строк]],Котировки[[&lt;DATE&gt;]:[&lt;VOL&gt;]],6,0)</f>
        <v>100.79</v>
      </c>
      <c r="D342" s="26">
        <f>INDEX(Купоны[Дата],MATCH($A342,Купоны[Дата],1))</f>
        <v>43931</v>
      </c>
      <c r="E342" s="24">
        <f>Купоны!$C$4*(A342-D342)/365*100</f>
        <v>3.441095890410959</v>
      </c>
      <c r="F342" s="27">
        <f>-B342*(C342+E342)*Купоны!$G$10/100</f>
        <v>-396078.1643835617</v>
      </c>
      <c r="G342" s="34">
        <f>SUM($B$2:B342)</f>
        <v>1130</v>
      </c>
      <c r="H342" s="31">
        <f>_xlfn.IFNA(VLOOKUP($A342,Купоны[[Дата]:[% от номинала]],3,0),0)*Купоны!$G$10/100*G342</f>
        <v>0</v>
      </c>
      <c r="I342" s="36">
        <f>Таблица16[[#This Row],[Денежный поток]]+Таблица16[[#This Row],[Купонный доход]]</f>
        <v>-396078.1643835617</v>
      </c>
      <c r="J342" s="31">
        <f>Таблица16[[#This Row],[Общий денежный поток]]/((1+$L$2)^((Таблица16[[#This Row],[Названия строк]]-$A$2)/365))</f>
        <v>-298376.24409000063</v>
      </c>
    </row>
    <row r="343" spans="1:10" x14ac:dyDescent="0.3">
      <c r="A343" s="23">
        <v>44092</v>
      </c>
      <c r="B343" s="24">
        <v>-290</v>
      </c>
      <c r="C343" s="24">
        <f>VLOOKUP(Таблица16[[#This Row],[Названия строк]],Котировки[[&lt;DATE&gt;]:[&lt;VOL&gt;]],6,0)</f>
        <v>100.74</v>
      </c>
      <c r="D343" s="26">
        <f>INDEX(Купоны[Дата],MATCH($A343,Купоны[Дата],1))</f>
        <v>43931</v>
      </c>
      <c r="E343" s="24">
        <f>Купоны!$C$4*(A343-D343)/365*100</f>
        <v>3.5287671232876718</v>
      </c>
      <c r="F343" s="27">
        <f>-B343*(C343+E343)*Купоны!$G$10/100</f>
        <v>302379.42465753423</v>
      </c>
      <c r="G343" s="34">
        <f>SUM($B$2:B343)</f>
        <v>840</v>
      </c>
      <c r="H343" s="31">
        <f>_xlfn.IFNA(VLOOKUP($A343,Купоны[[Дата]:[% от номинала]],3,0),0)*Купоны!$G$10/100*G343</f>
        <v>0</v>
      </c>
      <c r="I343" s="36">
        <f>Таблица16[[#This Row],[Денежный поток]]+Таблица16[[#This Row],[Купонный доход]]</f>
        <v>302379.42465753423</v>
      </c>
      <c r="J343" s="31">
        <f>Таблица16[[#This Row],[Общий денежный поток]]/((1+$L$2)^((Таблица16[[#This Row],[Названия строк]]-$A$2)/365))</f>
        <v>227548.72700262218</v>
      </c>
    </row>
    <row r="344" spans="1:10" x14ac:dyDescent="0.3">
      <c r="A344" s="23">
        <v>44097</v>
      </c>
      <c r="B344" s="24">
        <v>440</v>
      </c>
      <c r="C344" s="24">
        <f>VLOOKUP(Таблица16[[#This Row],[Названия строк]],Котировки[[&lt;DATE&gt;]:[&lt;VOL&gt;]],6,0)</f>
        <v>100.82</v>
      </c>
      <c r="D344" s="26">
        <f>INDEX(Купоны[Дата],MATCH($A344,Купоны[Дата],1))</f>
        <v>43931</v>
      </c>
      <c r="E344" s="24">
        <f>Купоны!$C$4*(A344-D344)/365*100</f>
        <v>3.6383561643835618</v>
      </c>
      <c r="F344" s="27">
        <f>-B344*(C344+E344)*Купоны!$G$10/100</f>
        <v>-459616.7671232876</v>
      </c>
      <c r="G344" s="34">
        <f>SUM($B$2:B344)</f>
        <v>1280</v>
      </c>
      <c r="H344" s="31">
        <f>_xlfn.IFNA(VLOOKUP($A344,Купоны[[Дата]:[% от номинала]],3,0),0)*Купоны!$G$10/100*G344</f>
        <v>0</v>
      </c>
      <c r="I344" s="36">
        <f>Таблица16[[#This Row],[Денежный поток]]+Таблица16[[#This Row],[Купонный доход]]</f>
        <v>-459616.7671232876</v>
      </c>
      <c r="J344" s="31">
        <f>Таблица16[[#This Row],[Общий денежный поток]]/((1+$L$2)^((Таблица16[[#This Row],[Названия строк]]-$A$2)/365))</f>
        <v>-345415.305227342</v>
      </c>
    </row>
    <row r="345" spans="1:10" x14ac:dyDescent="0.3">
      <c r="A345" s="23">
        <v>44099</v>
      </c>
      <c r="B345" s="24">
        <v>-1100</v>
      </c>
      <c r="C345" s="24">
        <f>VLOOKUP(Таблица16[[#This Row],[Названия строк]],Котировки[[&lt;DATE&gt;]:[&lt;VOL&gt;]],6,0)</f>
        <v>100.75</v>
      </c>
      <c r="D345" s="26">
        <f>INDEX(Купоны[Дата],MATCH($A345,Купоны[Дата],1))</f>
        <v>43931</v>
      </c>
      <c r="E345" s="24">
        <f>Купоны!$C$4*(A345-D345)/365*100</f>
        <v>3.6821917808219173</v>
      </c>
      <c r="F345" s="27">
        <f>-B345*(C345+E345)*Купоны!$G$10/100</f>
        <v>1148754.1095890412</v>
      </c>
      <c r="G345" s="34">
        <f>SUM($B$2:B345)</f>
        <v>180</v>
      </c>
      <c r="H345" s="31">
        <f>_xlfn.IFNA(VLOOKUP($A345,Купоны[[Дата]:[% от номинала]],3,0),0)*Купоны!$G$10/100*G345</f>
        <v>0</v>
      </c>
      <c r="I345" s="36">
        <f>Таблица16[[#This Row],[Денежный поток]]+Таблица16[[#This Row],[Купонный доход]]</f>
        <v>1148754.1095890412</v>
      </c>
      <c r="J345" s="31">
        <f>Таблица16[[#This Row],[Общий денежный поток]]/((1+$L$2)^((Таблица16[[#This Row],[Названия строк]]-$A$2)/365))</f>
        <v>862863.7166288693</v>
      </c>
    </row>
    <row r="346" spans="1:10" x14ac:dyDescent="0.3">
      <c r="A346" s="23">
        <v>44106</v>
      </c>
      <c r="B346" s="24">
        <v>-30</v>
      </c>
      <c r="C346" s="24">
        <f>VLOOKUP(Таблица16[[#This Row],[Названия строк]],Котировки[[&lt;DATE&gt;]:[&lt;VOL&gt;]],6,0)</f>
        <v>100.7</v>
      </c>
      <c r="D346" s="26">
        <f>INDEX(Купоны[Дата],MATCH($A346,Купоны[Дата],1))</f>
        <v>43931</v>
      </c>
      <c r="E346" s="24">
        <f>Купоны!$C$4*(A346-D346)/365*100</f>
        <v>3.8356164383561646</v>
      </c>
      <c r="F346" s="27">
        <f>-B346*(C346+E346)*Купоны!$G$10/100</f>
        <v>31360.684931506854</v>
      </c>
      <c r="G346" s="34">
        <f>SUM($B$2:B346)</f>
        <v>150</v>
      </c>
      <c r="H346" s="31">
        <f>_xlfn.IFNA(VLOOKUP($A346,Купоны[[Дата]:[% от номинала]],3,0),0)*Купоны!$G$10/100*G346</f>
        <v>0</v>
      </c>
      <c r="I346" s="36">
        <f>Таблица16[[#This Row],[Денежный поток]]+Таблица16[[#This Row],[Купонный доход]]</f>
        <v>31360.684931506854</v>
      </c>
      <c r="J346" s="31">
        <f>Таблица16[[#This Row],[Общий денежный поток]]/((1+$L$2)^((Таблица16[[#This Row],[Названия строк]]-$A$2)/365))</f>
        <v>23512.219309233747</v>
      </c>
    </row>
    <row r="347" spans="1:10" x14ac:dyDescent="0.3">
      <c r="A347" s="23">
        <v>44113</v>
      </c>
      <c r="B347" s="24">
        <v>0</v>
      </c>
      <c r="C347" s="24">
        <f>VLOOKUP(Таблица16[[#This Row],[Названия строк]],Котировки[[&lt;DATE&gt;]:[&lt;VOL&gt;]],6,0)</f>
        <v>100.6</v>
      </c>
      <c r="D347" s="26">
        <f>INDEX(Купоны[Дата],MATCH($A347,Купоны[Дата],1))</f>
        <v>44113</v>
      </c>
      <c r="E347" s="24">
        <f>Купоны!$C$4*(A347-D347)/365*100</f>
        <v>0</v>
      </c>
      <c r="F347" s="27">
        <f>-B347*(C347+E347)*Купоны!$G$10/100</f>
        <v>0</v>
      </c>
      <c r="G347" s="34">
        <f>SUM($B$2:B347)</f>
        <v>150</v>
      </c>
      <c r="H347" s="31">
        <f>_xlfn.IFNA(VLOOKUP($A347,Купоны[[Дата]:[% от номинала]],3,0),0)*Купоны!$G$10/100*G347</f>
        <v>5983.5</v>
      </c>
      <c r="I347" s="36">
        <f>Таблица16[[#This Row],[Денежный поток]]+Таблица16[[#This Row],[Купонный доход]]</f>
        <v>5983.5</v>
      </c>
      <c r="J347" s="31">
        <f>Таблица16[[#This Row],[Общий денежный поток]]/((1+$L$2)^((Таблица16[[#This Row],[Названия строк]]-$A$2)/365))</f>
        <v>4477.713839869627</v>
      </c>
    </row>
    <row r="348" spans="1:10" x14ac:dyDescent="0.3">
      <c r="A348" s="23">
        <v>44118</v>
      </c>
      <c r="B348" s="24">
        <v>340</v>
      </c>
      <c r="C348" s="24">
        <f>VLOOKUP(Таблица16[[#This Row],[Названия строк]],Котировки[[&lt;DATE&gt;]:[&lt;VOL&gt;]],6,0)</f>
        <v>100.5</v>
      </c>
      <c r="D348" s="26">
        <f>INDEX(Купоны[Дата],MATCH($A348,Купоны[Дата],1))</f>
        <v>44113</v>
      </c>
      <c r="E348" s="24">
        <f>Купоны!$C$4*(A348-D348)/365*100</f>
        <v>0.10958904109589042</v>
      </c>
      <c r="F348" s="27">
        <f>-B348*(C348+E348)*Купоны!$G$10/100</f>
        <v>-342072.60273972602</v>
      </c>
      <c r="G348" s="34">
        <f>SUM($B$2:B348)</f>
        <v>490</v>
      </c>
      <c r="H348" s="31">
        <f>_xlfn.IFNA(VLOOKUP($A348,Купоны[[Дата]:[% от номинала]],3,0),0)*Купоны!$G$10/100*G348</f>
        <v>0</v>
      </c>
      <c r="I348" s="36">
        <f>Таблица16[[#This Row],[Денежный поток]]+Таблица16[[#This Row],[Купонный доход]]</f>
        <v>-342072.60273972602</v>
      </c>
      <c r="J348" s="31">
        <f>Таблица16[[#This Row],[Общий денежный поток]]/((1+$L$2)^((Таблица16[[#This Row],[Названия строк]]-$A$2)/365))</f>
        <v>-255648.27796028109</v>
      </c>
    </row>
    <row r="349" spans="1:10" x14ac:dyDescent="0.3">
      <c r="A349" s="23">
        <v>44120</v>
      </c>
      <c r="B349" s="24">
        <v>-370</v>
      </c>
      <c r="C349" s="24">
        <f>VLOOKUP(Таблица16[[#This Row],[Названия строк]],Котировки[[&lt;DATE&gt;]:[&lt;VOL&gt;]],6,0)</f>
        <v>100.48</v>
      </c>
      <c r="D349" s="26">
        <f>INDEX(Купоны[Дата],MATCH($A349,Купоны[Дата],1))</f>
        <v>44113</v>
      </c>
      <c r="E349" s="24">
        <f>Купоны!$C$4*(A349-D349)/365*100</f>
        <v>0.15342465753424658</v>
      </c>
      <c r="F349" s="27">
        <f>-B349*(C349+E349)*Купоны!$G$10/100</f>
        <v>372343.67123287672</v>
      </c>
      <c r="G349" s="34">
        <f>SUM($B$2:B349)</f>
        <v>120</v>
      </c>
      <c r="H349" s="31">
        <f>_xlfn.IFNA(VLOOKUP($A349,Купоны[[Дата]:[% от номинала]],3,0),0)*Купоны!$G$10/100*G349</f>
        <v>0</v>
      </c>
      <c r="I349" s="36">
        <f>Таблица16[[#This Row],[Денежный поток]]+Таблица16[[#This Row],[Купонный доход]]</f>
        <v>372343.67123287672</v>
      </c>
      <c r="J349" s="31">
        <f>Таблица16[[#This Row],[Общий денежный поток]]/((1+$L$2)^((Таблица16[[#This Row],[Названия строк]]-$A$2)/365))</f>
        <v>278123.6830572898</v>
      </c>
    </row>
    <row r="350" spans="1:10" x14ac:dyDescent="0.3">
      <c r="A350" s="23">
        <v>44124</v>
      </c>
      <c r="B350" s="24">
        <v>-120</v>
      </c>
      <c r="C350" s="24">
        <f>VLOOKUP(Таблица16[[#This Row],[Названия строк]],Котировки[[&lt;DATE&gt;]:[&lt;VOL&gt;]],6,0)</f>
        <v>100.43</v>
      </c>
      <c r="D350" s="26">
        <f>INDEX(Купоны[Дата],MATCH($A350,Купоны[Дата],1))</f>
        <v>44113</v>
      </c>
      <c r="E350" s="24">
        <f>Купоны!$C$4*(A350-D350)/365*100</f>
        <v>0.24109589041095891</v>
      </c>
      <c r="F350" s="27">
        <f>-B350*(C350+E350)*Купоны!$G$10/100</f>
        <v>120805.31506849318</v>
      </c>
      <c r="G350" s="34">
        <f>SUM($B$2:B350)</f>
        <v>0</v>
      </c>
      <c r="H350" s="31">
        <f>_xlfn.IFNA(VLOOKUP($A350,Купоны[[Дата]:[% от номинала]],3,0),0)*Купоны!$G$10/100*G350</f>
        <v>0</v>
      </c>
      <c r="I350" s="36">
        <f>Таблица16[[#This Row],[Денежный поток]]+Таблица16[[#This Row],[Купонный доход]]</f>
        <v>120805.31506849318</v>
      </c>
      <c r="J350" s="31">
        <f>Таблица16[[#This Row],[Общий денежный поток]]/((1+$L$2)^((Таблица16[[#This Row],[Названия строк]]-$A$2)/365))</f>
        <v>90140.273075524805</v>
      </c>
    </row>
    <row r="351" spans="1:10" ht="16.2" thickBot="1" x14ac:dyDescent="0.35">
      <c r="A351" s="23">
        <v>44173</v>
      </c>
      <c r="B351" s="24">
        <v>0</v>
      </c>
      <c r="C351" s="24">
        <v>0</v>
      </c>
      <c r="D351" s="26">
        <f>INDEX(Купоны[Дата],MATCH($A351,Купоны[Дата],1))</f>
        <v>44173</v>
      </c>
      <c r="E351" s="28">
        <f>Купоны!$C$4*(A351-D351)/365*100</f>
        <v>0</v>
      </c>
      <c r="F351" s="27">
        <f>-B351*(C351+E351)*Купоны!$G$10/100</f>
        <v>0</v>
      </c>
      <c r="G351" s="34">
        <f>SUM($B$2:B351)</f>
        <v>0</v>
      </c>
      <c r="H351" s="31">
        <f>_xlfn.IFNA(VLOOKUP($A351,Купоны[[Дата]:[% от номинала]],3,0),0)*Купоны!$G$10/100*G351</f>
        <v>0</v>
      </c>
      <c r="I351" s="36">
        <f>Таблица16[[#This Row],[Денежный поток]]+Таблица16[[#This Row],[Купонный доход]]</f>
        <v>0</v>
      </c>
      <c r="J351" s="31">
        <f>Таблица16[[#This Row],[Общий денежный поток]]/((1+$L$2)^((Таблица16[[#This Row],[Названия строк]]-$A$2)/365))</f>
        <v>0</v>
      </c>
    </row>
    <row r="352" spans="1:10" ht="16.2" thickBot="1" x14ac:dyDescent="0.35">
      <c r="A352" s="37" t="s">
        <v>40</v>
      </c>
      <c r="B352" s="28">
        <f>SUBTOTAL(109,Таблица16[Сумма по полю Количество (net)])</f>
        <v>0</v>
      </c>
      <c r="C352" s="28">
        <f>SUBTOTAL(109,Таблица16[Цена сделки])</f>
        <v>35311.310000000005</v>
      </c>
      <c r="D352" s="38" t="s">
        <v>40</v>
      </c>
      <c r="E352" s="28">
        <f>SUBTOTAL(109,Таблица16[НДК])</f>
        <v>685.17260273972579</v>
      </c>
      <c r="F352" s="29">
        <f>SUBTOTAL(109,Таблица16[Денежный поток])</f>
        <v>35065.273972602663</v>
      </c>
      <c r="G352" s="28">
        <f>SUBTOTAL(109,Таблица16[Открытая позиция])</f>
        <v>243700</v>
      </c>
      <c r="H352" s="35">
        <f>SUBTOTAL(109,Таблица16[Купонный доход])</f>
        <v>171527</v>
      </c>
      <c r="I352" s="39">
        <f>SUBTOTAL(109,Таблица16[Общий денежный поток])</f>
        <v>206592.27397260361</v>
      </c>
      <c r="J352" s="35">
        <f>SUBTOTAL(109,Таблица16[Чистая приведенная стоимость])</f>
        <v>4.3164181988686323E-6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274A-E259-4EDD-80F1-FA7CBF667FC7}">
  <dimension ref="A1:H20"/>
  <sheetViews>
    <sheetView tabSelected="1" workbookViewId="0">
      <selection activeCell="J14" sqref="J14"/>
    </sheetView>
  </sheetViews>
  <sheetFormatPr defaultRowHeight="15.6" x14ac:dyDescent="0.3"/>
  <cols>
    <col min="2" max="2" width="9.8984375" bestFit="1" customWidth="1"/>
  </cols>
  <sheetData>
    <row r="1" spans="1:8" x14ac:dyDescent="0.3">
      <c r="A1" s="46">
        <v>5</v>
      </c>
      <c r="B1" s="40" t="s">
        <v>41</v>
      </c>
      <c r="C1" s="40"/>
      <c r="D1" s="40"/>
      <c r="E1" s="40"/>
      <c r="F1" s="40"/>
      <c r="G1" s="40"/>
      <c r="H1" s="40"/>
    </row>
    <row r="2" spans="1:8" x14ac:dyDescent="0.3">
      <c r="B2" s="40"/>
      <c r="C2" s="40"/>
      <c r="D2" s="40"/>
      <c r="E2" s="40"/>
      <c r="F2" s="40"/>
      <c r="G2" s="40"/>
      <c r="H2" s="40"/>
    </row>
    <row r="3" spans="1:8" x14ac:dyDescent="0.3">
      <c r="B3" s="40"/>
      <c r="C3" s="40"/>
      <c r="D3" s="40"/>
      <c r="E3" s="40"/>
      <c r="F3" s="40"/>
      <c r="G3" s="40"/>
      <c r="H3" s="40"/>
    </row>
    <row r="4" spans="1:8" x14ac:dyDescent="0.3">
      <c r="B4" s="41"/>
      <c r="C4" s="41"/>
      <c r="D4" s="41"/>
      <c r="E4" s="41"/>
      <c r="F4" s="41"/>
      <c r="G4" s="41"/>
      <c r="H4" s="41"/>
    </row>
    <row r="5" spans="1:8" x14ac:dyDescent="0.3">
      <c r="B5" s="6">
        <v>43388</v>
      </c>
      <c r="C5">
        <f>VLOOKUP(B5,Таблица1[],5,0)</f>
        <v>6.5753424657534254E-2</v>
      </c>
    </row>
    <row r="7" spans="1:8" x14ac:dyDescent="0.3">
      <c r="A7" s="46">
        <v>6</v>
      </c>
      <c r="B7" s="40" t="s">
        <v>42</v>
      </c>
      <c r="C7" s="40"/>
      <c r="D7" s="40"/>
      <c r="E7" s="40"/>
      <c r="F7" s="40"/>
      <c r="G7" s="40"/>
      <c r="H7" s="40"/>
    </row>
    <row r="8" spans="1:8" x14ac:dyDescent="0.3">
      <c r="B8" s="40"/>
      <c r="C8" s="40"/>
      <c r="D8" s="40"/>
      <c r="E8" s="40"/>
      <c r="F8" s="40"/>
      <c r="G8" s="40"/>
      <c r="H8" s="40"/>
    </row>
    <row r="10" spans="1:8" x14ac:dyDescent="0.3">
      <c r="B10" s="6">
        <v>43273</v>
      </c>
      <c r="C10">
        <f>VLOOKUP(B10,Таблица1[],6,0)</f>
        <v>-1039642.4657534248</v>
      </c>
    </row>
    <row r="12" spans="1:8" x14ac:dyDescent="0.3">
      <c r="A12" s="46">
        <v>7</v>
      </c>
      <c r="B12" s="42" t="s">
        <v>43</v>
      </c>
      <c r="C12" s="42"/>
      <c r="D12" s="42"/>
      <c r="E12" s="42"/>
      <c r="F12" s="42"/>
      <c r="G12" s="42"/>
      <c r="H12" s="42"/>
    </row>
    <row r="13" spans="1:8" x14ac:dyDescent="0.3">
      <c r="B13" s="42"/>
      <c r="C13" s="42"/>
      <c r="D13" s="42"/>
      <c r="E13" s="42"/>
      <c r="F13" s="42"/>
      <c r="G13" s="42"/>
      <c r="H13" s="42"/>
    </row>
    <row r="15" spans="1:8" x14ac:dyDescent="0.3">
      <c r="B15" s="6">
        <v>43228</v>
      </c>
      <c r="C15">
        <f>VLOOKUP(B15,Таблица1[],7,0)</f>
        <v>350</v>
      </c>
    </row>
    <row r="17" spans="1:8" x14ac:dyDescent="0.3">
      <c r="A17" s="46">
        <v>8</v>
      </c>
      <c r="B17" s="40" t="s">
        <v>44</v>
      </c>
      <c r="C17" s="40"/>
      <c r="D17" s="40"/>
      <c r="E17" s="40"/>
      <c r="F17" s="40"/>
      <c r="G17" s="40"/>
      <c r="H17" s="40"/>
    </row>
    <row r="18" spans="1:8" x14ac:dyDescent="0.3">
      <c r="B18" s="40"/>
      <c r="C18" s="40"/>
      <c r="D18" s="40"/>
      <c r="E18" s="40"/>
      <c r="F18" s="40"/>
      <c r="G18" s="40"/>
      <c r="H18" s="40"/>
    </row>
    <row r="20" spans="1:8" x14ac:dyDescent="0.3">
      <c r="B20" s="6">
        <v>43567</v>
      </c>
      <c r="C20">
        <f>VLOOKUP(B20,Таблица1[],7,0)</f>
        <v>480</v>
      </c>
    </row>
  </sheetData>
  <mergeCells count="4">
    <mergeCell ref="B1:H3"/>
    <mergeCell ref="B7:H8"/>
    <mergeCell ref="B12:H13"/>
    <mergeCell ref="B17:H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X t 2 U x S f k 2 C j A A A A 9 Q A A A B I A H A B D b 2 5 m a W c v U G F j a 2 F n Z S 5 4 b W w g o h g A K K A U A A A A A A A A A A A A A A A A A A A A A A A A A A A A h Y + 9 D o I w H M R f h X S n R R h U 8 q c M r p I Y j c a 1 K R U a o Z h + W N 7 N w U f y F Y Q o 6 u Z 4 9 7 t L 7 h 6 3 O + R 9 2 w R X o Y 3 s V I Z m O E K B U L w r p a o y 5 O w p X K C c w o b x M 6 t E M I S V S X s j M 1 R b e 0 k J 8 d 5 j n + B O V y S O o h k 5 F u s d r 0 X L Q q m M Z Y o L 9 G m V / 1 u I w u E 1 h s Z 4 O c d J P E w C M n l Q S P X l I x v p j w k r 1 1 i n B d U u 3 O 6 B T B L I + w J 9 A l B L A w Q U A A I A C A A F e 3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t 2 U y i K R 7 g O A A A A E Q A A A B M A H A B G b 3 J t d W x h c y 9 T Z W N 0 a W 9 u M S 5 t I K I Y A C i g F A A A A A A A A A A A A A A A A A A A A A A A A A A A A C t O T S 7 J z M 9 T C I b Q h t Y A U E s B A i 0 A F A A C A A g A B X t 2 U x S f k 2 C j A A A A 9 Q A A A B I A A A A A A A A A A A A A A A A A A A A A A E N v b m Z p Z y 9 Q Y W N r Y W d l L n h t b F B L A Q I t A B Q A A g A I A A V 7 d l M P y u m r p A A A A O k A A A A T A A A A A A A A A A A A A A A A A O 8 A A A B b Q 2 9 u d G V u d F 9 U e X B l c 1 0 u e G 1 s U E s B A i 0 A F A A C A A g A B X t 2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h W p j t 1 l Z V F q n B 9 j Z 1 D e 9 I A A A A A A g A A A A A A E G Y A A A A B A A A g A A A A e e U H x i Y l U N V / 5 X X G / Q e J 5 + T s 1 7 r N o u W f V U G 4 q M d 0 X I g A A A A A D o A A A A A C A A A g A A A A 9 C Z 2 Q z L W O D w e z 0 g U j + 6 u B 3 L h L c x f M B 7 J Y s t s E r 3 Y i T t Q A A A A o b 0 o m / 6 1 K 1 I S h 5 Z J z S K 3 l 3 6 A t p G + h D U o G A E R n L N A W 8 w r g 1 T B g L 7 L T 5 7 m b 1 r u j x U j b M 8 i S R d 7 m o 4 Q D k e x / L X l f U R G 8 P g 9 y 6 o l n 6 c s X j + g M p h A A A A A w 8 Z W f H 9 O N B + w Y b l Q U E M 5 o v D m F E q n u o G W A e 7 n / q F Q e Q l 0 f O M a u g B 6 F + Y M D + c S y k 9 2 3 I N 3 R d S E E b n z B W j T k G B 7 5 A = = < / D a t a M a s h u p > 
</file>

<file path=customXml/itemProps1.xml><?xml version="1.0" encoding="utf-8"?>
<ds:datastoreItem xmlns:ds="http://schemas.openxmlformats.org/officeDocument/2006/customXml" ds:itemID="{856C9171-C615-44D1-AE89-1EDCC6D4CF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Сделки</vt:lpstr>
      <vt:lpstr>Котировки</vt:lpstr>
      <vt:lpstr>Купоны</vt:lpstr>
      <vt:lpstr>Сводная таблица</vt:lpstr>
      <vt:lpstr>Лист1</vt:lpstr>
      <vt:lpstr>Лист1 Подбор</vt:lpstr>
      <vt:lpstr>Тест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KatieHome</dc:creator>
  <cp:keywords/>
  <dc:description/>
  <cp:lastModifiedBy>Настя Кот</cp:lastModifiedBy>
  <cp:revision/>
  <dcterms:created xsi:type="dcterms:W3CDTF">2020-10-21T16:38:23Z</dcterms:created>
  <dcterms:modified xsi:type="dcterms:W3CDTF">2021-11-26T20:30:19Z</dcterms:modified>
  <cp:category/>
  <cp:contentStatus/>
</cp:coreProperties>
</file>