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Факультет ИТиАБД\ПИ19-3\Жевагина Анастасия Владимировна - 191758\Excel\4\"/>
    </mc:Choice>
  </mc:AlternateContent>
  <xr:revisionPtr revIDLastSave="0" documentId="13_ncr:1_{15512D60-DCA1-48D8-80A6-1D52A278A9E9}" xr6:coauthVersionLast="36" xr6:coauthVersionMax="47" xr10:uidLastSave="{00000000-0000-0000-0000-000000000000}"/>
  <bookViews>
    <workbookView xWindow="0" yWindow="0" windowWidth="28800" windowHeight="12225" activeTab="2" xr2:uid="{ADBAFD17-F738-40C0-B719-5CB91938BA06}"/>
  </bookViews>
  <sheets>
    <sheet name="Сбербанк" sheetId="1" r:id="rId1"/>
    <sheet name="ВТБ" sheetId="3" r:id="rId2"/>
    <sheet name="Газпром" sheetId="5" r:id="rId3"/>
  </sheets>
  <definedNames>
    <definedName name="k0" localSheetId="1">ВТБ!$J$2</definedName>
    <definedName name="k0" localSheetId="2">Газпром!$J$2</definedName>
    <definedName name="k0">Сбербанк!$J$2</definedName>
    <definedName name="k1_" localSheetId="1">ВТБ!$J$3</definedName>
    <definedName name="k1_" localSheetId="2">Газпром!$J$3</definedName>
    <definedName name="k1_">Сбербанк!$J$3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5" l="1"/>
  <c r="A95" i="5"/>
  <c r="M3" i="5" s="1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N4" i="5"/>
  <c r="M4" i="5"/>
  <c r="G4" i="5"/>
  <c r="F4" i="5"/>
  <c r="G3" i="5"/>
  <c r="F3" i="5"/>
  <c r="G2" i="5"/>
  <c r="F2" i="5"/>
  <c r="C2" i="3"/>
  <c r="J2" i="3"/>
  <c r="B95" i="3"/>
  <c r="N4" i="3" s="1"/>
  <c r="A95" i="3"/>
  <c r="L4" i="3" s="1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F81" i="3"/>
  <c r="G80" i="3"/>
  <c r="F80" i="3"/>
  <c r="G79" i="3"/>
  <c r="F79" i="3"/>
  <c r="G78" i="3"/>
  <c r="F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F70" i="3"/>
  <c r="G69" i="3"/>
  <c r="F69" i="3"/>
  <c r="G68" i="3"/>
  <c r="F68" i="3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M4" i="3"/>
  <c r="G4" i="3"/>
  <c r="F4" i="3"/>
  <c r="G3" i="3"/>
  <c r="F3" i="3"/>
  <c r="G2" i="3"/>
  <c r="F2" i="3"/>
  <c r="G95" i="5" l="1"/>
  <c r="N3" i="5" s="1"/>
  <c r="L4" i="5"/>
  <c r="F95" i="5"/>
  <c r="L3" i="5" s="1"/>
  <c r="G95" i="3"/>
  <c r="N3" i="3" s="1"/>
  <c r="F95" i="3"/>
  <c r="L3" i="3" s="1"/>
  <c r="M3" i="3"/>
  <c r="L6" i="5" l="1" a="1"/>
  <c r="L7" i="5" s="1"/>
  <c r="J2" i="5" s="1"/>
  <c r="L6" i="3" a="1"/>
  <c r="L7" i="3" s="1"/>
  <c r="L6" i="5" l="1"/>
  <c r="J3" i="5" s="1"/>
  <c r="C11" i="5" s="1"/>
  <c r="D11" i="5" s="1"/>
  <c r="E11" i="5" s="1"/>
  <c r="L6" i="3"/>
  <c r="J3" i="3" s="1"/>
  <c r="C86" i="3" s="1"/>
  <c r="D86" i="3" s="1"/>
  <c r="E86" i="3" s="1"/>
  <c r="C33" i="3"/>
  <c r="D33" i="3" s="1"/>
  <c r="E33" i="3" s="1"/>
  <c r="C13" i="3"/>
  <c r="D13" i="3" s="1"/>
  <c r="E13" i="3" s="1"/>
  <c r="C94" i="3"/>
  <c r="D94" i="3" s="1"/>
  <c r="E94" i="3" s="1"/>
  <c r="C91" i="3"/>
  <c r="D91" i="3" s="1"/>
  <c r="E91" i="3" s="1"/>
  <c r="C47" i="3"/>
  <c r="D47" i="3" s="1"/>
  <c r="E47" i="3" s="1"/>
  <c r="C11" i="3"/>
  <c r="D11" i="3" s="1"/>
  <c r="E11" i="3" s="1"/>
  <c r="C69" i="3"/>
  <c r="D69" i="3" s="1"/>
  <c r="E69" i="3" s="1"/>
  <c r="C38" i="3"/>
  <c r="D38" i="3" s="1"/>
  <c r="E38" i="3" s="1"/>
  <c r="C19" i="3"/>
  <c r="D19" i="3" s="1"/>
  <c r="E19" i="3" s="1"/>
  <c r="C32" i="3"/>
  <c r="D32" i="3" s="1"/>
  <c r="E32" i="3" s="1"/>
  <c r="C52" i="3"/>
  <c r="D52" i="3" s="1"/>
  <c r="E52" i="3" s="1"/>
  <c r="C64" i="3"/>
  <c r="D64" i="3" s="1"/>
  <c r="E64" i="3" s="1"/>
  <c r="C42" i="3"/>
  <c r="D42" i="3" s="1"/>
  <c r="E42" i="3" s="1"/>
  <c r="C60" i="3"/>
  <c r="D60" i="3" s="1"/>
  <c r="E60" i="3" s="1"/>
  <c r="C8" i="3"/>
  <c r="D8" i="3" s="1"/>
  <c r="E8" i="3" s="1"/>
  <c r="C77" i="3"/>
  <c r="D77" i="3" s="1"/>
  <c r="E77" i="3" s="1"/>
  <c r="C34" i="3"/>
  <c r="D34" i="3" s="1"/>
  <c r="E34" i="3" s="1"/>
  <c r="C3" i="3"/>
  <c r="D3" i="3" s="1"/>
  <c r="E3" i="3" s="1"/>
  <c r="C49" i="3"/>
  <c r="D49" i="3" s="1"/>
  <c r="E49" i="3" s="1"/>
  <c r="C73" i="3"/>
  <c r="D73" i="3" s="1"/>
  <c r="E73" i="3" s="1"/>
  <c r="C65" i="3"/>
  <c r="D65" i="3" s="1"/>
  <c r="E65" i="3" s="1"/>
  <c r="C72" i="3"/>
  <c r="D72" i="3" s="1"/>
  <c r="E72" i="3" s="1"/>
  <c r="C57" i="3"/>
  <c r="D57" i="3" s="1"/>
  <c r="E57" i="3" s="1"/>
  <c r="C59" i="3"/>
  <c r="D59" i="3" s="1"/>
  <c r="E59" i="3" s="1"/>
  <c r="C39" i="3"/>
  <c r="D39" i="3" s="1"/>
  <c r="E39" i="3" s="1"/>
  <c r="C30" i="3"/>
  <c r="D30" i="3" s="1"/>
  <c r="E30" i="3" s="1"/>
  <c r="C16" i="3"/>
  <c r="D16" i="3" s="1"/>
  <c r="E16" i="3" s="1"/>
  <c r="C80" i="3"/>
  <c r="D80" i="3" s="1"/>
  <c r="E80" i="3" s="1"/>
  <c r="C21" i="3"/>
  <c r="D21" i="3" s="1"/>
  <c r="E21" i="3" s="1"/>
  <c r="C85" i="3"/>
  <c r="D85" i="3" s="1"/>
  <c r="E85" i="3" s="1"/>
  <c r="C50" i="3"/>
  <c r="D50" i="3" s="1"/>
  <c r="E50" i="3" s="1"/>
  <c r="D2" i="3"/>
  <c r="C55" i="3"/>
  <c r="D55" i="3" s="1"/>
  <c r="E55" i="3" s="1"/>
  <c r="C27" i="3"/>
  <c r="D27" i="3" s="1"/>
  <c r="E27" i="3" s="1"/>
  <c r="C68" i="3"/>
  <c r="D68" i="3" s="1"/>
  <c r="E68" i="3" s="1"/>
  <c r="C81" i="3"/>
  <c r="D81" i="3" s="1"/>
  <c r="E81" i="3" s="1"/>
  <c r="C46" i="3"/>
  <c r="D46" i="3" s="1"/>
  <c r="E46" i="3" s="1"/>
  <c r="C17" i="3"/>
  <c r="D17" i="3" s="1"/>
  <c r="E17" i="3" s="1"/>
  <c r="C24" i="3"/>
  <c r="D24" i="3" s="1"/>
  <c r="E24" i="3" s="1"/>
  <c r="C88" i="3"/>
  <c r="D88" i="3" s="1"/>
  <c r="E88" i="3" s="1"/>
  <c r="C29" i="3"/>
  <c r="D29" i="3" s="1"/>
  <c r="E29" i="3" s="1"/>
  <c r="C93" i="3"/>
  <c r="D93" i="3" s="1"/>
  <c r="E93" i="3" s="1"/>
  <c r="C58" i="3"/>
  <c r="D58" i="3" s="1"/>
  <c r="E58" i="3" s="1"/>
  <c r="C6" i="3"/>
  <c r="D6" i="3" s="1"/>
  <c r="E6" i="3" s="1"/>
  <c r="C63" i="3"/>
  <c r="D63" i="3" s="1"/>
  <c r="E63" i="3" s="1"/>
  <c r="C12" i="3"/>
  <c r="D12" i="3" s="1"/>
  <c r="E12" i="3" s="1"/>
  <c r="C76" i="3"/>
  <c r="D76" i="3" s="1"/>
  <c r="E76" i="3" s="1"/>
  <c r="C89" i="3"/>
  <c r="D89" i="3" s="1"/>
  <c r="E89" i="3" s="1"/>
  <c r="C54" i="3"/>
  <c r="D54" i="3" s="1"/>
  <c r="E54" i="3" s="1"/>
  <c r="C25" i="3"/>
  <c r="D25" i="3" s="1"/>
  <c r="E25" i="3" s="1"/>
  <c r="C71" i="3"/>
  <c r="D71" i="3" s="1"/>
  <c r="E71" i="3" s="1"/>
  <c r="C4" i="3"/>
  <c r="D4" i="3" s="1"/>
  <c r="E4" i="3" s="1"/>
  <c r="C40" i="3"/>
  <c r="D40" i="3" s="1"/>
  <c r="E40" i="3" s="1"/>
  <c r="C45" i="3"/>
  <c r="D45" i="3" s="1"/>
  <c r="E45" i="3" s="1"/>
  <c r="C74" i="3"/>
  <c r="D74" i="3" s="1"/>
  <c r="E74" i="3" s="1"/>
  <c r="C79" i="3"/>
  <c r="D79" i="3" s="1"/>
  <c r="E79" i="3" s="1"/>
  <c r="C70" i="3"/>
  <c r="D70" i="3" s="1"/>
  <c r="E70" i="3" s="1"/>
  <c r="C75" i="3"/>
  <c r="D75" i="3" s="1"/>
  <c r="E75" i="3" s="1"/>
  <c r="C48" i="3"/>
  <c r="D48" i="3" s="1"/>
  <c r="E48" i="3" s="1"/>
  <c r="C43" i="3"/>
  <c r="D43" i="3" s="1"/>
  <c r="E43" i="3" s="1"/>
  <c r="C53" i="3"/>
  <c r="D53" i="3" s="1"/>
  <c r="E53" i="3" s="1"/>
  <c r="C18" i="3"/>
  <c r="D18" i="3" s="1"/>
  <c r="E18" i="3" s="1"/>
  <c r="C82" i="3"/>
  <c r="D82" i="3" s="1"/>
  <c r="E82" i="3" s="1"/>
  <c r="C23" i="3"/>
  <c r="D23" i="3" s="1"/>
  <c r="E23" i="3" s="1"/>
  <c r="C87" i="3"/>
  <c r="D87" i="3" s="1"/>
  <c r="E87" i="3" s="1"/>
  <c r="C36" i="3"/>
  <c r="D36" i="3" s="1"/>
  <c r="E36" i="3" s="1"/>
  <c r="C9" i="3"/>
  <c r="D9" i="3" s="1"/>
  <c r="E9" i="3" s="1"/>
  <c r="C14" i="3"/>
  <c r="D14" i="3" s="1"/>
  <c r="E14" i="3" s="1"/>
  <c r="C78" i="3"/>
  <c r="D78" i="3" s="1"/>
  <c r="E78" i="3" s="1"/>
  <c r="C37" i="3"/>
  <c r="D37" i="3" s="1"/>
  <c r="E37" i="3" s="1"/>
  <c r="C66" i="3"/>
  <c r="D66" i="3" s="1"/>
  <c r="E66" i="3" s="1"/>
  <c r="C7" i="3"/>
  <c r="D7" i="3" s="1"/>
  <c r="E7" i="3" s="1"/>
  <c r="C20" i="3"/>
  <c r="D20" i="3" s="1"/>
  <c r="E20" i="3" s="1"/>
  <c r="C84" i="3"/>
  <c r="D84" i="3" s="1"/>
  <c r="E84" i="3" s="1"/>
  <c r="C62" i="3"/>
  <c r="D62" i="3" s="1"/>
  <c r="E62" i="3" s="1"/>
  <c r="C67" i="3"/>
  <c r="D67" i="3" s="1"/>
  <c r="E67" i="3" s="1"/>
  <c r="C35" i="3"/>
  <c r="D35" i="3" s="1"/>
  <c r="E35" i="3" s="1"/>
  <c r="C10" i="3"/>
  <c r="D10" i="3" s="1"/>
  <c r="E10" i="3" s="1"/>
  <c r="C15" i="3"/>
  <c r="D15" i="3" s="1"/>
  <c r="E15" i="3" s="1"/>
  <c r="C28" i="3"/>
  <c r="D28" i="3" s="1"/>
  <c r="E28" i="3" s="1"/>
  <c r="C92" i="3"/>
  <c r="D92" i="3" s="1"/>
  <c r="E92" i="3" s="1"/>
  <c r="C5" i="3"/>
  <c r="D5" i="3" s="1"/>
  <c r="E5" i="3" s="1"/>
  <c r="C83" i="3"/>
  <c r="D83" i="3" s="1"/>
  <c r="E83" i="3" s="1"/>
  <c r="C56" i="3"/>
  <c r="D56" i="3" s="1"/>
  <c r="E56" i="3" s="1"/>
  <c r="C51" i="3"/>
  <c r="D51" i="3" s="1"/>
  <c r="E51" i="3" s="1"/>
  <c r="C61" i="3"/>
  <c r="D61" i="3" s="1"/>
  <c r="E61" i="3" s="1"/>
  <c r="C26" i="3"/>
  <c r="D26" i="3" s="1"/>
  <c r="E26" i="3" s="1"/>
  <c r="C90" i="3"/>
  <c r="D90" i="3" s="1"/>
  <c r="E90" i="3" s="1"/>
  <c r="C31" i="3"/>
  <c r="D31" i="3" s="1"/>
  <c r="E31" i="3" s="1"/>
  <c r="C44" i="3"/>
  <c r="D44" i="3" s="1"/>
  <c r="E44" i="3" s="1"/>
  <c r="C41" i="3"/>
  <c r="D41" i="3" s="1"/>
  <c r="E41" i="3" s="1"/>
  <c r="C22" i="3"/>
  <c r="D22" i="3" s="1"/>
  <c r="E22" i="3" s="1"/>
  <c r="C29" i="5" l="1"/>
  <c r="D29" i="5" s="1"/>
  <c r="E29" i="5" s="1"/>
  <c r="C72" i="5"/>
  <c r="D72" i="5" s="1"/>
  <c r="E72" i="5" s="1"/>
  <c r="C9" i="5"/>
  <c r="D9" i="5" s="1"/>
  <c r="E9" i="5" s="1"/>
  <c r="C60" i="5"/>
  <c r="D60" i="5" s="1"/>
  <c r="E60" i="5" s="1"/>
  <c r="C83" i="5"/>
  <c r="D83" i="5" s="1"/>
  <c r="E83" i="5" s="1"/>
  <c r="C65" i="5"/>
  <c r="D65" i="5" s="1"/>
  <c r="E65" i="5" s="1"/>
  <c r="C14" i="5"/>
  <c r="D14" i="5" s="1"/>
  <c r="E14" i="5" s="1"/>
  <c r="C36" i="5"/>
  <c r="D36" i="5" s="1"/>
  <c r="E36" i="5" s="1"/>
  <c r="C7" i="5"/>
  <c r="D7" i="5" s="1"/>
  <c r="E7" i="5" s="1"/>
  <c r="C90" i="5"/>
  <c r="D90" i="5" s="1"/>
  <c r="E90" i="5" s="1"/>
  <c r="C33" i="5"/>
  <c r="D33" i="5" s="1"/>
  <c r="E33" i="5" s="1"/>
  <c r="C51" i="5"/>
  <c r="D51" i="5" s="1"/>
  <c r="E51" i="5" s="1"/>
  <c r="C25" i="5"/>
  <c r="D25" i="5" s="1"/>
  <c r="E25" i="5" s="1"/>
  <c r="C2" i="5"/>
  <c r="D2" i="5" s="1"/>
  <c r="E2" i="5" s="1"/>
  <c r="C63" i="5"/>
  <c r="D63" i="5" s="1"/>
  <c r="E63" i="5" s="1"/>
  <c r="C86" i="5"/>
  <c r="D86" i="5" s="1"/>
  <c r="E86" i="5" s="1"/>
  <c r="C52" i="5"/>
  <c r="D52" i="5" s="1"/>
  <c r="E52" i="5" s="1"/>
  <c r="C43" i="5"/>
  <c r="D43" i="5" s="1"/>
  <c r="E43" i="5" s="1"/>
  <c r="C37" i="5"/>
  <c r="D37" i="5" s="1"/>
  <c r="E37" i="5" s="1"/>
  <c r="C59" i="5"/>
  <c r="D59" i="5" s="1"/>
  <c r="E59" i="5" s="1"/>
  <c r="C5" i="5"/>
  <c r="D5" i="5" s="1"/>
  <c r="E5" i="5" s="1"/>
  <c r="C87" i="5"/>
  <c r="D87" i="5" s="1"/>
  <c r="E87" i="5" s="1"/>
  <c r="C42" i="5"/>
  <c r="D42" i="5" s="1"/>
  <c r="E42" i="5" s="1"/>
  <c r="C79" i="5"/>
  <c r="D79" i="5" s="1"/>
  <c r="E79" i="5" s="1"/>
  <c r="C56" i="5"/>
  <c r="D56" i="5" s="1"/>
  <c r="E56" i="5" s="1"/>
  <c r="C15" i="5"/>
  <c r="D15" i="5" s="1"/>
  <c r="E15" i="5" s="1"/>
  <c r="C94" i="5"/>
  <c r="D94" i="5" s="1"/>
  <c r="E94" i="5" s="1"/>
  <c r="C28" i="5"/>
  <c r="D28" i="5" s="1"/>
  <c r="E28" i="5" s="1"/>
  <c r="C82" i="5"/>
  <c r="D82" i="5" s="1"/>
  <c r="E82" i="5" s="1"/>
  <c r="C49" i="5"/>
  <c r="D49" i="5" s="1"/>
  <c r="E49" i="5" s="1"/>
  <c r="C32" i="5"/>
  <c r="D32" i="5" s="1"/>
  <c r="E32" i="5" s="1"/>
  <c r="C38" i="5"/>
  <c r="D38" i="5" s="1"/>
  <c r="E38" i="5" s="1"/>
  <c r="C20" i="5"/>
  <c r="D20" i="5" s="1"/>
  <c r="E20" i="5" s="1"/>
  <c r="C74" i="5"/>
  <c r="D74" i="5" s="1"/>
  <c r="E74" i="5" s="1"/>
  <c r="C22" i="5"/>
  <c r="D22" i="5" s="1"/>
  <c r="E22" i="5" s="1"/>
  <c r="C88" i="5"/>
  <c r="D88" i="5" s="1"/>
  <c r="E88" i="5" s="1"/>
  <c r="C18" i="5"/>
  <c r="D18" i="5" s="1"/>
  <c r="E18" i="5" s="1"/>
  <c r="C24" i="5"/>
  <c r="D24" i="5" s="1"/>
  <c r="E24" i="5" s="1"/>
  <c r="C75" i="5"/>
  <c r="D75" i="5" s="1"/>
  <c r="E75" i="5" s="1"/>
  <c r="C41" i="5"/>
  <c r="D41" i="5" s="1"/>
  <c r="E41" i="5" s="1"/>
  <c r="C47" i="5"/>
  <c r="D47" i="5" s="1"/>
  <c r="E47" i="5" s="1"/>
  <c r="C10" i="5"/>
  <c r="D10" i="5" s="1"/>
  <c r="E10" i="5" s="1"/>
  <c r="C84" i="5"/>
  <c r="D84" i="5" s="1"/>
  <c r="E84" i="5" s="1"/>
  <c r="C92" i="5"/>
  <c r="D92" i="5" s="1"/>
  <c r="E92" i="5" s="1"/>
  <c r="C23" i="5"/>
  <c r="D23" i="5" s="1"/>
  <c r="E23" i="5" s="1"/>
  <c r="C69" i="5"/>
  <c r="D69" i="5" s="1"/>
  <c r="E69" i="5" s="1"/>
  <c r="C45" i="5"/>
  <c r="D45" i="5" s="1"/>
  <c r="E45" i="5" s="1"/>
  <c r="C66" i="5"/>
  <c r="D66" i="5" s="1"/>
  <c r="E66" i="5" s="1"/>
  <c r="C68" i="5"/>
  <c r="D68" i="5" s="1"/>
  <c r="E68" i="5" s="1"/>
  <c r="C8" i="5"/>
  <c r="D8" i="5" s="1"/>
  <c r="E8" i="5" s="1"/>
  <c r="C67" i="5"/>
  <c r="D67" i="5" s="1"/>
  <c r="E67" i="5" s="1"/>
  <c r="C62" i="5"/>
  <c r="D62" i="5" s="1"/>
  <c r="E62" i="5" s="1"/>
  <c r="C34" i="5"/>
  <c r="D34" i="5" s="1"/>
  <c r="E34" i="5" s="1"/>
  <c r="C19" i="5"/>
  <c r="D19" i="5" s="1"/>
  <c r="E19" i="5" s="1"/>
  <c r="C93" i="5"/>
  <c r="D93" i="5" s="1"/>
  <c r="E93" i="5" s="1"/>
  <c r="C91" i="5"/>
  <c r="D91" i="5" s="1"/>
  <c r="E91" i="5" s="1"/>
  <c r="C73" i="5"/>
  <c r="D73" i="5" s="1"/>
  <c r="E73" i="5" s="1"/>
  <c r="C55" i="5"/>
  <c r="D55" i="5" s="1"/>
  <c r="E55" i="5" s="1"/>
  <c r="C54" i="5"/>
  <c r="D54" i="5" s="1"/>
  <c r="E54" i="5" s="1"/>
  <c r="C61" i="5"/>
  <c r="D61" i="5" s="1"/>
  <c r="E61" i="5" s="1"/>
  <c r="C31" i="5"/>
  <c r="D31" i="5" s="1"/>
  <c r="E31" i="5" s="1"/>
  <c r="C80" i="5"/>
  <c r="D80" i="5" s="1"/>
  <c r="E80" i="5" s="1"/>
  <c r="C50" i="5"/>
  <c r="D50" i="5" s="1"/>
  <c r="E50" i="5" s="1"/>
  <c r="C48" i="5"/>
  <c r="D48" i="5" s="1"/>
  <c r="E48" i="5" s="1"/>
  <c r="C76" i="5"/>
  <c r="D76" i="5" s="1"/>
  <c r="E76" i="5" s="1"/>
  <c r="C16" i="5"/>
  <c r="D16" i="5" s="1"/>
  <c r="E16" i="5" s="1"/>
  <c r="C58" i="5"/>
  <c r="D58" i="5" s="1"/>
  <c r="E58" i="5" s="1"/>
  <c r="C70" i="5"/>
  <c r="D70" i="5" s="1"/>
  <c r="E70" i="5" s="1"/>
  <c r="C77" i="5"/>
  <c r="D77" i="5" s="1"/>
  <c r="E77" i="5" s="1"/>
  <c r="C44" i="5"/>
  <c r="D44" i="5" s="1"/>
  <c r="E44" i="5" s="1"/>
  <c r="C46" i="5"/>
  <c r="D46" i="5" s="1"/>
  <c r="E46" i="5" s="1"/>
  <c r="C53" i="5"/>
  <c r="D53" i="5" s="1"/>
  <c r="E53" i="5" s="1"/>
  <c r="C35" i="5"/>
  <c r="D35" i="5" s="1"/>
  <c r="E35" i="5" s="1"/>
  <c r="C3" i="5"/>
  <c r="D3" i="5" s="1"/>
  <c r="E3" i="5" s="1"/>
  <c r="C78" i="5"/>
  <c r="D78" i="5" s="1"/>
  <c r="E78" i="5" s="1"/>
  <c r="C85" i="5"/>
  <c r="D85" i="5" s="1"/>
  <c r="E85" i="5" s="1"/>
  <c r="C81" i="5"/>
  <c r="D81" i="5" s="1"/>
  <c r="E81" i="5" s="1"/>
  <c r="C13" i="5"/>
  <c r="D13" i="5" s="1"/>
  <c r="E13" i="5" s="1"/>
  <c r="C27" i="5"/>
  <c r="D27" i="5" s="1"/>
  <c r="E27" i="5" s="1"/>
  <c r="C57" i="5"/>
  <c r="D57" i="5" s="1"/>
  <c r="E57" i="5" s="1"/>
  <c r="C30" i="5"/>
  <c r="D30" i="5" s="1"/>
  <c r="E30" i="5" s="1"/>
  <c r="C6" i="5"/>
  <c r="D6" i="5" s="1"/>
  <c r="E6" i="5" s="1"/>
  <c r="C26" i="5"/>
  <c r="D26" i="5" s="1"/>
  <c r="E26" i="5" s="1"/>
  <c r="C12" i="5"/>
  <c r="D12" i="5" s="1"/>
  <c r="E12" i="5" s="1"/>
  <c r="C71" i="5"/>
  <c r="D71" i="5" s="1"/>
  <c r="E71" i="5" s="1"/>
  <c r="C89" i="5"/>
  <c r="D89" i="5" s="1"/>
  <c r="E89" i="5" s="1"/>
  <c r="C21" i="5"/>
  <c r="D21" i="5" s="1"/>
  <c r="E21" i="5" s="1"/>
  <c r="C17" i="5"/>
  <c r="D17" i="5" s="1"/>
  <c r="E17" i="5" s="1"/>
  <c r="C64" i="5"/>
  <c r="D64" i="5" s="1"/>
  <c r="E64" i="5" s="1"/>
  <c r="C39" i="5"/>
  <c r="D39" i="5" s="1"/>
  <c r="E39" i="5" s="1"/>
  <c r="C4" i="5"/>
  <c r="D4" i="5" s="1"/>
  <c r="E4" i="5" s="1"/>
  <c r="C40" i="5"/>
  <c r="D40" i="5" s="1"/>
  <c r="E40" i="5" s="1"/>
  <c r="C95" i="3"/>
  <c r="D95" i="3"/>
  <c r="E2" i="3"/>
  <c r="E95" i="3" s="1"/>
  <c r="E95" i="5" l="1"/>
  <c r="D95" i="5"/>
  <c r="C95" i="5"/>
  <c r="J2" i="1" l="1"/>
  <c r="J3" i="1"/>
  <c r="N4" i="1" l="1"/>
  <c r="N3" i="1"/>
  <c r="M4" i="1"/>
  <c r="M3" i="1"/>
  <c r="L4" i="1"/>
  <c r="L3" i="1"/>
  <c r="A96" i="1"/>
  <c r="B96" i="1"/>
  <c r="F96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C10" i="1"/>
  <c r="D10" i="1" s="1"/>
  <c r="E10" i="1" s="1"/>
  <c r="C53" i="1" l="1"/>
  <c r="D53" i="1" s="1"/>
  <c r="E53" i="1" s="1"/>
  <c r="C27" i="1"/>
  <c r="D27" i="1" s="1"/>
  <c r="E27" i="1" s="1"/>
  <c r="C26" i="1"/>
  <c r="D26" i="1" s="1"/>
  <c r="E26" i="1" s="1"/>
  <c r="G96" i="1"/>
  <c r="C29" i="1"/>
  <c r="D29" i="1" s="1"/>
  <c r="E29" i="1" s="1"/>
  <c r="C74" i="1"/>
  <c r="D74" i="1" s="1"/>
  <c r="E74" i="1" s="1"/>
  <c r="C64" i="1"/>
  <c r="D64" i="1" s="1"/>
  <c r="E64" i="1" s="1"/>
  <c r="C63" i="1"/>
  <c r="D63" i="1" s="1"/>
  <c r="E63" i="1" s="1"/>
  <c r="C14" i="1"/>
  <c r="D14" i="1" s="1"/>
  <c r="E14" i="1" s="1"/>
  <c r="C75" i="1"/>
  <c r="D75" i="1" s="1"/>
  <c r="E75" i="1" s="1"/>
  <c r="C30" i="1"/>
  <c r="D30" i="1" s="1"/>
  <c r="E30" i="1" s="1"/>
  <c r="C16" i="1"/>
  <c r="D16" i="1" s="1"/>
  <c r="E16" i="1" s="1"/>
  <c r="C62" i="1"/>
  <c r="D62" i="1" s="1"/>
  <c r="E62" i="1" s="1"/>
  <c r="C54" i="1"/>
  <c r="D54" i="1" s="1"/>
  <c r="E54" i="1" s="1"/>
  <c r="C15" i="1"/>
  <c r="D15" i="1" s="1"/>
  <c r="E15" i="1" s="1"/>
  <c r="C88" i="1"/>
  <c r="D88" i="1" s="1"/>
  <c r="E88" i="1" s="1"/>
  <c r="C51" i="1"/>
  <c r="D51" i="1" s="1"/>
  <c r="E51" i="1" s="1"/>
  <c r="C6" i="1"/>
  <c r="D6" i="1" s="1"/>
  <c r="E6" i="1" s="1"/>
  <c r="C87" i="1"/>
  <c r="D87" i="1" s="1"/>
  <c r="E87" i="1" s="1"/>
  <c r="C5" i="1"/>
  <c r="D5" i="1" s="1"/>
  <c r="E5" i="1" s="1"/>
  <c r="C50" i="1"/>
  <c r="D50" i="1" s="1"/>
  <c r="E50" i="1" s="1"/>
  <c r="C86" i="1"/>
  <c r="D86" i="1" s="1"/>
  <c r="E86" i="1" s="1"/>
  <c r="C40" i="1"/>
  <c r="D40" i="1" s="1"/>
  <c r="E40" i="1" s="1"/>
  <c r="C3" i="1"/>
  <c r="D3" i="1" s="1"/>
  <c r="E3" i="1" s="1"/>
  <c r="C78" i="1"/>
  <c r="D78" i="1" s="1"/>
  <c r="E78" i="1" s="1"/>
  <c r="C39" i="1"/>
  <c r="D39" i="1" s="1"/>
  <c r="E39" i="1" s="1"/>
  <c r="C2" i="1"/>
  <c r="C77" i="1"/>
  <c r="D77" i="1" s="1"/>
  <c r="E77" i="1" s="1"/>
  <c r="C38" i="1"/>
  <c r="D38" i="1" s="1"/>
  <c r="E38" i="1" s="1"/>
  <c r="C49" i="1"/>
  <c r="D49" i="1" s="1"/>
  <c r="E49" i="1" s="1"/>
  <c r="C90" i="1"/>
  <c r="D90" i="1" s="1"/>
  <c r="E90" i="1" s="1"/>
  <c r="C66" i="1"/>
  <c r="D66" i="1" s="1"/>
  <c r="E66" i="1" s="1"/>
  <c r="C42" i="1"/>
  <c r="D42" i="1" s="1"/>
  <c r="E42" i="1" s="1"/>
  <c r="C18" i="1"/>
  <c r="D18" i="1" s="1"/>
  <c r="E18" i="1" s="1"/>
  <c r="C73" i="1"/>
  <c r="D73" i="1" s="1"/>
  <c r="E73" i="1" s="1"/>
  <c r="C25" i="1"/>
  <c r="D25" i="1" s="1"/>
  <c r="E25" i="1" s="1"/>
  <c r="C89" i="1"/>
  <c r="D89" i="1" s="1"/>
  <c r="E89" i="1" s="1"/>
  <c r="C65" i="1"/>
  <c r="D65" i="1" s="1"/>
  <c r="E65" i="1" s="1"/>
  <c r="C41" i="1"/>
  <c r="D41" i="1" s="1"/>
  <c r="E41" i="1" s="1"/>
  <c r="C17" i="1"/>
  <c r="D17" i="1" s="1"/>
  <c r="E17" i="1" s="1"/>
  <c r="C85" i="1"/>
  <c r="D85" i="1" s="1"/>
  <c r="E85" i="1" s="1"/>
  <c r="C61" i="1"/>
  <c r="D61" i="1" s="1"/>
  <c r="E61" i="1" s="1"/>
  <c r="C37" i="1"/>
  <c r="D37" i="1" s="1"/>
  <c r="E37" i="1" s="1"/>
  <c r="C13" i="1"/>
  <c r="D13" i="1" s="1"/>
  <c r="E13" i="1" s="1"/>
  <c r="C76" i="1"/>
  <c r="D76" i="1" s="1"/>
  <c r="E76" i="1" s="1"/>
  <c r="C52" i="1"/>
  <c r="D52" i="1" s="1"/>
  <c r="E52" i="1" s="1"/>
  <c r="C28" i="1"/>
  <c r="D28" i="1" s="1"/>
  <c r="E28" i="1" s="1"/>
  <c r="C4" i="1"/>
  <c r="D4" i="1" s="1"/>
  <c r="E4" i="1" s="1"/>
  <c r="C84" i="1"/>
  <c r="D84" i="1" s="1"/>
  <c r="E84" i="1" s="1"/>
  <c r="C48" i="1"/>
  <c r="D48" i="1" s="1"/>
  <c r="E48" i="1" s="1"/>
  <c r="C24" i="1"/>
  <c r="D24" i="1" s="1"/>
  <c r="E24" i="1" s="1"/>
  <c r="C71" i="1"/>
  <c r="D71" i="1" s="1"/>
  <c r="E71" i="1" s="1"/>
  <c r="C23" i="1"/>
  <c r="D23" i="1" s="1"/>
  <c r="E23" i="1" s="1"/>
  <c r="C22" i="1"/>
  <c r="D22" i="1" s="1"/>
  <c r="E22" i="1" s="1"/>
  <c r="C93" i="1"/>
  <c r="D93" i="1" s="1"/>
  <c r="E93" i="1" s="1"/>
  <c r="C81" i="1"/>
  <c r="D81" i="1" s="1"/>
  <c r="E81" i="1" s="1"/>
  <c r="C69" i="1"/>
  <c r="D69" i="1" s="1"/>
  <c r="E69" i="1" s="1"/>
  <c r="C57" i="1"/>
  <c r="D57" i="1" s="1"/>
  <c r="E57" i="1" s="1"/>
  <c r="C45" i="1"/>
  <c r="D45" i="1" s="1"/>
  <c r="E45" i="1" s="1"/>
  <c r="C33" i="1"/>
  <c r="D33" i="1" s="1"/>
  <c r="E33" i="1" s="1"/>
  <c r="C21" i="1"/>
  <c r="D21" i="1" s="1"/>
  <c r="E21" i="1" s="1"/>
  <c r="C9" i="1"/>
  <c r="D9" i="1" s="1"/>
  <c r="E9" i="1" s="1"/>
  <c r="C92" i="1"/>
  <c r="D92" i="1" s="1"/>
  <c r="E92" i="1" s="1"/>
  <c r="C80" i="1"/>
  <c r="D80" i="1" s="1"/>
  <c r="E80" i="1" s="1"/>
  <c r="C68" i="1"/>
  <c r="D68" i="1" s="1"/>
  <c r="E68" i="1" s="1"/>
  <c r="C56" i="1"/>
  <c r="D56" i="1" s="1"/>
  <c r="E56" i="1" s="1"/>
  <c r="C44" i="1"/>
  <c r="D44" i="1" s="1"/>
  <c r="E44" i="1" s="1"/>
  <c r="C32" i="1"/>
  <c r="D32" i="1" s="1"/>
  <c r="E32" i="1" s="1"/>
  <c r="C20" i="1"/>
  <c r="D20" i="1" s="1"/>
  <c r="E20" i="1" s="1"/>
  <c r="C8" i="1"/>
  <c r="D8" i="1" s="1"/>
  <c r="E8" i="1" s="1"/>
  <c r="C12" i="1"/>
  <c r="D12" i="1" s="1"/>
  <c r="E12" i="1" s="1"/>
  <c r="C95" i="1"/>
  <c r="D95" i="1" s="1"/>
  <c r="E95" i="1" s="1"/>
  <c r="C91" i="1"/>
  <c r="D91" i="1" s="1"/>
  <c r="E91" i="1" s="1"/>
  <c r="C79" i="1"/>
  <c r="D79" i="1" s="1"/>
  <c r="E79" i="1" s="1"/>
  <c r="C67" i="1"/>
  <c r="D67" i="1" s="1"/>
  <c r="E67" i="1" s="1"/>
  <c r="C55" i="1"/>
  <c r="D55" i="1" s="1"/>
  <c r="E55" i="1" s="1"/>
  <c r="C43" i="1"/>
  <c r="D43" i="1" s="1"/>
  <c r="E43" i="1" s="1"/>
  <c r="C31" i="1"/>
  <c r="D31" i="1" s="1"/>
  <c r="E31" i="1" s="1"/>
  <c r="C19" i="1"/>
  <c r="D19" i="1" s="1"/>
  <c r="E19" i="1" s="1"/>
  <c r="C7" i="1"/>
  <c r="C72" i="1"/>
  <c r="D72" i="1" s="1"/>
  <c r="E72" i="1" s="1"/>
  <c r="C60" i="1"/>
  <c r="D60" i="1" s="1"/>
  <c r="E60" i="1" s="1"/>
  <c r="C36" i="1"/>
  <c r="D36" i="1" s="1"/>
  <c r="E36" i="1" s="1"/>
  <c r="C83" i="1"/>
  <c r="D83" i="1" s="1"/>
  <c r="E83" i="1" s="1"/>
  <c r="C59" i="1"/>
  <c r="D59" i="1" s="1"/>
  <c r="E59" i="1" s="1"/>
  <c r="C47" i="1"/>
  <c r="D47" i="1" s="1"/>
  <c r="E47" i="1" s="1"/>
  <c r="C35" i="1"/>
  <c r="D35" i="1" s="1"/>
  <c r="E35" i="1" s="1"/>
  <c r="C11" i="1"/>
  <c r="D11" i="1" s="1"/>
  <c r="E11" i="1" s="1"/>
  <c r="C94" i="1"/>
  <c r="D94" i="1" s="1"/>
  <c r="E94" i="1" s="1"/>
  <c r="C82" i="1"/>
  <c r="D82" i="1" s="1"/>
  <c r="E82" i="1" s="1"/>
  <c r="C70" i="1"/>
  <c r="D70" i="1" s="1"/>
  <c r="E70" i="1" s="1"/>
  <c r="C58" i="1"/>
  <c r="D58" i="1" s="1"/>
  <c r="E58" i="1" s="1"/>
  <c r="C46" i="1"/>
  <c r="D46" i="1" s="1"/>
  <c r="E46" i="1" s="1"/>
  <c r="C34" i="1"/>
  <c r="D34" i="1" s="1"/>
  <c r="E34" i="1" s="1"/>
  <c r="D2" i="1" l="1"/>
  <c r="C96" i="1"/>
  <c r="D7" i="1"/>
  <c r="E7" i="1" s="1"/>
  <c r="D96" i="1" l="1"/>
  <c r="E2" i="1"/>
  <c r="E96" i="1" s="1"/>
  <c r="L6" i="1" a="1"/>
  <c r="L7" i="1" l="1"/>
  <c r="L6" i="1"/>
</calcChain>
</file>

<file path=xl/sharedStrings.xml><?xml version="1.0" encoding="utf-8"?>
<sst xmlns="http://schemas.openxmlformats.org/spreadsheetml/2006/main" count="126" uniqueCount="45">
  <si>
    <t>Сбербанк-цена</t>
  </si>
  <si>
    <t>Сбербанк-объем</t>
  </si>
  <si>
    <t>k0</t>
  </si>
  <si>
    <t>k1</t>
  </si>
  <si>
    <t>h=k1*x+k0</t>
  </si>
  <si>
    <t>y-h</t>
  </si>
  <si>
    <t>(y-h)^2</t>
  </si>
  <si>
    <t>x^2</t>
  </si>
  <si>
    <t>x*y</t>
  </si>
  <si>
    <t xml:space="preserve"> k0</t>
  </si>
  <si>
    <t xml:space="preserve">     k1</t>
  </si>
  <si>
    <t>b</t>
  </si>
  <si>
    <t>ВЫВОД ИТОГОВ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</si>
  <si>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</si>
  <si>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</si>
  <si>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</si>
  <si>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</si>
  <si>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</si>
  <si>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</si>
  <si>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</si>
  <si>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</si>
  <si>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</si>
  <si>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</si>
  <si>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</si>
  <si>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</si>
  <si>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</si>
  <si>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</si>
  <si>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</si>
  <si>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</si>
  <si>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</si>
  <si>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</si>
  <si>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</si>
  <si>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</si>
  <si>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</si>
  <si>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</si>
  <si>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</si>
  <si>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</si>
  <si>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</si>
  <si>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</si>
  <si>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</si>
  <si>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</si>
  <si>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ВТБ-цена</t>
  </si>
  <si>
    <t>ВТБ-объем</t>
  </si>
  <si>
    <t>Газпром-цена</t>
  </si>
  <si>
    <t>Газпром-объем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</si>
</sst>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8" formatCode="#,##0.000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/>
      <right/>
      <top/>
      <bottom style="double">
        <color theme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2">
    <xf numFmtId="0" fontId="0" fillId="0" borderId="0" xfId="0"/>
    <xf numFmtId="4" fontId="0" fillId="0" borderId="0" xfId="0" applyNumberFormat="1" applyFont="1" applyBorder="1"/>
    <xf numFmtId="0" fontId="0" fillId="0" borderId="0" xfId="0" applyBorder="1"/>
    <xf numFmtId="3" fontId="19" fillId="0" borderId="0" xfId="0" applyNumberFormat="1" applyFont="1" applyFill="1" applyBorder="1"/>
    <xf numFmtId="0" fontId="19" fillId="0" borderId="0" xfId="0" applyFont="1" applyFill="1" applyBorder="1"/>
    <xf numFmtId="4" fontId="19" fillId="0" borderId="0" xfId="0" applyNumberFormat="1" applyFont="1" applyFill="1" applyBorder="1"/>
    <xf numFmtId="0" fontId="0" fillId="0" borderId="0" xfId="0"/>
    <xf numFmtId="4" fontId="0" fillId="0" borderId="0" xfId="0" applyNumberFormat="1"/>
    <xf numFmtId="164" fontId="0" fillId="0" borderId="0" xfId="0" applyNumberFormat="1"/>
    <xf numFmtId="4" fontId="18" fillId="0" borderId="0" xfId="0" applyNumberFormat="1" applyFont="1" applyFill="1" applyBorder="1"/>
    <xf numFmtId="3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  <xf numFmtId="0" fontId="0" fillId="0" borderId="0" xfId="0" applyNumberFormat="1" applyFont="1" applyFill="1" applyBorder="1"/>
    <xf numFmtId="168" fontId="19" fillId="0" borderId="0" xfId="0" applyNumberFormat="1" applyFont="1" applyFill="1" applyBorder="1"/>
    <xf numFmtId="0" fontId="0" fillId="0" borderId="0" xfId="0" applyFont="1" applyFill="1" applyBorder="1"/>
    <xf numFmtId="0" fontId="0" fillId="0" borderId="12" xfId="0" applyFont="1" applyFill="1" applyBorder="1"/>
    <xf numFmtId="0" fontId="0" fillId="0" borderId="12" xfId="0" applyNumberFormat="1" applyFont="1" applyFill="1" applyBorder="1"/>
    <xf numFmtId="0" fontId="0" fillId="0" borderId="13" xfId="0" applyFont="1" applyFill="1" applyBorder="1"/>
    <xf numFmtId="0" fontId="0" fillId="0" borderId="13" xfId="0" applyNumberFormat="1" applyFont="1" applyFill="1" applyBorder="1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 xr:uid="{00000000-0005-0000-0000-00002F000000}"/>
    <cellStyle name="60% — акцент2 2" xfId="37" xr:uid="{00000000-0005-0000-0000-000030000000}"/>
    <cellStyle name="60% — акцент3 2" xfId="38" xr:uid="{00000000-0005-0000-0000-000031000000}"/>
    <cellStyle name="60% — акцент4 2" xfId="39" xr:uid="{00000000-0005-0000-0000-000032000000}"/>
    <cellStyle name="60% — акцент5 2" xfId="40" xr:uid="{00000000-0005-0000-0000-000033000000}"/>
    <cellStyle name="60% — акцент6 2" xfId="41" xr:uid="{00000000-0005-0000-0000-000034000000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35000000}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border diagonalUp="0" diagonalDown="0">
        <left style="slantDashDot">
          <color theme="8"/>
        </left>
        <right style="slantDashDot">
          <color theme="8"/>
        </right>
        <top style="slantDashDot">
          <color theme="8"/>
        </top>
        <bottom style="slantDashDot">
          <color theme="8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rgb="FF000000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border diagonalUp="0" diagonalDown="0">
        <left style="slantDashDot">
          <color theme="9"/>
        </left>
        <right style="slantDashDot">
          <color theme="9"/>
        </right>
        <top style="slantDashDot">
          <color theme="9"/>
        </top>
        <bottom style="slantDashDot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8" formatCode="#,##0.0000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8" formatCode="#,##0.00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slantDashDot">
          <color rgb="FFFFC000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border diagonalUp="0" diagonalDown="0">
        <left style="slantDashDot">
          <color theme="4"/>
        </left>
        <right style="slantDashDot">
          <color theme="4"/>
        </right>
        <top style="slantDashDot">
          <color theme="4"/>
        </top>
        <bottom style="slantDashDot">
          <color theme="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fill>
        <patternFill patternType="none">
          <fgColor rgb="FF000000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Сбербанк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6-44F9-9779-339B516AF17F}"/>
            </c:ext>
          </c:extLst>
        </c:ser>
        <c:ser>
          <c:idx val="1"/>
          <c:order val="1"/>
          <c:tx>
            <c:v>Тренд</c:v>
          </c:tx>
          <c:spPr>
            <a:ln w="19050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Сбербанк!$C$2:$C$95</c:f>
              <c:numCache>
                <c:formatCode>#,##0.00</c:formatCode>
                <c:ptCount val="94"/>
                <c:pt idx="0">
                  <c:v>2542716886.4484205</c:v>
                </c:pt>
                <c:pt idx="1">
                  <c:v>2482216346.736577</c:v>
                </c:pt>
                <c:pt idx="2">
                  <c:v>2469566233.8877373</c:v>
                </c:pt>
                <c:pt idx="3">
                  <c:v>2383673800.9938025</c:v>
                </c:pt>
                <c:pt idx="4">
                  <c:v>2383215463.571743</c:v>
                </c:pt>
                <c:pt idx="5">
                  <c:v>2382757126.149684</c:v>
                </c:pt>
                <c:pt idx="6">
                  <c:v>2381382113.8835053</c:v>
                </c:pt>
                <c:pt idx="7">
                  <c:v>2374873722.4902616</c:v>
                </c:pt>
                <c:pt idx="8">
                  <c:v>2372215365.442317</c:v>
                </c:pt>
                <c:pt idx="9">
                  <c:v>2371298690.5981984</c:v>
                </c:pt>
                <c:pt idx="10">
                  <c:v>2363048617.0011287</c:v>
                </c:pt>
                <c:pt idx="11">
                  <c:v>2355715218.248178</c:v>
                </c:pt>
                <c:pt idx="12">
                  <c:v>2353698533.5911164</c:v>
                </c:pt>
                <c:pt idx="13">
                  <c:v>2350123501.6990533</c:v>
                </c:pt>
                <c:pt idx="14">
                  <c:v>2347190142.1978726</c:v>
                </c:pt>
                <c:pt idx="15">
                  <c:v>2341048420.7422767</c:v>
                </c:pt>
                <c:pt idx="16">
                  <c:v>2277797856.4980769</c:v>
                </c:pt>
                <c:pt idx="17">
                  <c:v>2271381132.5892448</c:v>
                </c:pt>
                <c:pt idx="18">
                  <c:v>2271381132.5892448</c:v>
                </c:pt>
                <c:pt idx="19">
                  <c:v>2237189160.9036126</c:v>
                </c:pt>
                <c:pt idx="20">
                  <c:v>2216105639.4888792</c:v>
                </c:pt>
                <c:pt idx="21">
                  <c:v>2210330587.9709306</c:v>
                </c:pt>
                <c:pt idx="22">
                  <c:v>2194013775.7456155</c:v>
                </c:pt>
                <c:pt idx="23">
                  <c:v>2187230381.8991361</c:v>
                </c:pt>
                <c:pt idx="24">
                  <c:v>2177880298.4891238</c:v>
                </c:pt>
                <c:pt idx="25">
                  <c:v>2173021921.8152943</c:v>
                </c:pt>
                <c:pt idx="26">
                  <c:v>2161380151.2949848</c:v>
                </c:pt>
                <c:pt idx="27">
                  <c:v>2148913373.4149685</c:v>
                </c:pt>
                <c:pt idx="28">
                  <c:v>2139746624.9737802</c:v>
                </c:pt>
                <c:pt idx="29">
                  <c:v>2138004942.7699547</c:v>
                </c:pt>
                <c:pt idx="30">
                  <c:v>2137454937.8634832</c:v>
                </c:pt>
                <c:pt idx="31">
                  <c:v>2118571436.074635</c:v>
                </c:pt>
                <c:pt idx="32">
                  <c:v>2117746428.7149282</c:v>
                </c:pt>
                <c:pt idx="33">
                  <c:v>2104179641.0219696</c:v>
                </c:pt>
                <c:pt idx="34">
                  <c:v>2102712961.2713792</c:v>
                </c:pt>
                <c:pt idx="35">
                  <c:v>2101154614.0363774</c:v>
                </c:pt>
                <c:pt idx="36">
                  <c:v>2087404491.3745947</c:v>
                </c:pt>
                <c:pt idx="37">
                  <c:v>2065129292.6625071</c:v>
                </c:pt>
                <c:pt idx="38">
                  <c:v>2041387414.1998291</c:v>
                </c:pt>
                <c:pt idx="39">
                  <c:v>2038545722.1830606</c:v>
                </c:pt>
                <c:pt idx="40">
                  <c:v>1913419605.9608397</c:v>
                </c:pt>
                <c:pt idx="41">
                  <c:v>1830827202.5057325</c:v>
                </c:pt>
                <c:pt idx="42">
                  <c:v>1826793833.1916099</c:v>
                </c:pt>
                <c:pt idx="43">
                  <c:v>1770418330.2783012</c:v>
                </c:pt>
                <c:pt idx="44">
                  <c:v>1730542974.5591321</c:v>
                </c:pt>
                <c:pt idx="45">
                  <c:v>1713676157.4273453</c:v>
                </c:pt>
                <c:pt idx="46">
                  <c:v>1711384470.3170483</c:v>
                </c:pt>
                <c:pt idx="47">
                  <c:v>1694792655.6384974</c:v>
                </c:pt>
                <c:pt idx="48">
                  <c:v>1616600291.4351606</c:v>
                </c:pt>
                <c:pt idx="49">
                  <c:v>1615958619.0442774</c:v>
                </c:pt>
                <c:pt idx="50">
                  <c:v>1591208398.2530692</c:v>
                </c:pt>
                <c:pt idx="51">
                  <c:v>1581124974.9677618</c:v>
                </c:pt>
                <c:pt idx="52">
                  <c:v>1537766254.8409407</c:v>
                </c:pt>
                <c:pt idx="53">
                  <c:v>1531624533.3853447</c:v>
                </c:pt>
                <c:pt idx="54">
                  <c:v>1467457294.2970262</c:v>
                </c:pt>
                <c:pt idx="55">
                  <c:v>1457832208.4337783</c:v>
                </c:pt>
                <c:pt idx="56">
                  <c:v>1377623159.5733802</c:v>
                </c:pt>
                <c:pt idx="57">
                  <c:v>1363781369.4271858</c:v>
                </c:pt>
                <c:pt idx="58">
                  <c:v>1338206141.2762702</c:v>
                </c:pt>
                <c:pt idx="59">
                  <c:v>1329864400.1947887</c:v>
                </c:pt>
                <c:pt idx="60">
                  <c:v>1306122521.732111</c:v>
                </c:pt>
                <c:pt idx="61">
                  <c:v>1282930648.1759043</c:v>
                </c:pt>
                <c:pt idx="62">
                  <c:v>1269455527.9673574</c:v>
                </c:pt>
                <c:pt idx="63">
                  <c:v>1267622178.27912</c:v>
                </c:pt>
                <c:pt idx="64">
                  <c:v>1237830245.8452578</c:v>
                </c:pt>
                <c:pt idx="65">
                  <c:v>1208038313.4113955</c:v>
                </c:pt>
                <c:pt idx="66">
                  <c:v>1183104757.6513634</c:v>
                </c:pt>
                <c:pt idx="67">
                  <c:v>1182188082.8072445</c:v>
                </c:pt>
                <c:pt idx="68">
                  <c:v>1141121049.7907205</c:v>
                </c:pt>
                <c:pt idx="69">
                  <c:v>1080437175.1100538</c:v>
                </c:pt>
                <c:pt idx="70">
                  <c:v>1076403805.7959306</c:v>
                </c:pt>
                <c:pt idx="71">
                  <c:v>1048536890.534718</c:v>
                </c:pt>
                <c:pt idx="72">
                  <c:v>1047620215.6905994</c:v>
                </c:pt>
                <c:pt idx="73">
                  <c:v>1014894923.7555571</c:v>
                </c:pt>
                <c:pt idx="74">
                  <c:v>1007653192.4870179</c:v>
                </c:pt>
                <c:pt idx="75">
                  <c:v>1005728175.3143685</c:v>
                </c:pt>
                <c:pt idx="76">
                  <c:v>990786375.35523152</c:v>
                </c:pt>
                <c:pt idx="77">
                  <c:v>989411363.08905339</c:v>
                </c:pt>
                <c:pt idx="78">
                  <c:v>981894629.36727881</c:v>
                </c:pt>
                <c:pt idx="79">
                  <c:v>981619626.91404319</c:v>
                </c:pt>
                <c:pt idx="80">
                  <c:v>973369553.31697369</c:v>
                </c:pt>
                <c:pt idx="81">
                  <c:v>965211147.2043159</c:v>
                </c:pt>
                <c:pt idx="82">
                  <c:v>958611088.32666039</c:v>
                </c:pt>
                <c:pt idx="83">
                  <c:v>907918969.44688869</c:v>
                </c:pt>
                <c:pt idx="84">
                  <c:v>906818959.63394594</c:v>
                </c:pt>
                <c:pt idx="85">
                  <c:v>905627282.33659148</c:v>
                </c:pt>
                <c:pt idx="86">
                  <c:v>901135575.60040951</c:v>
                </c:pt>
                <c:pt idx="87">
                  <c:v>892793834.51892805</c:v>
                </c:pt>
                <c:pt idx="88">
                  <c:v>859243535.22417831</c:v>
                </c:pt>
                <c:pt idx="89">
                  <c:v>734117419.00195742</c:v>
                </c:pt>
                <c:pt idx="90">
                  <c:v>721558973.63752937</c:v>
                </c:pt>
                <c:pt idx="91">
                  <c:v>710742210.47692728</c:v>
                </c:pt>
                <c:pt idx="92">
                  <c:v>621366413.17534065</c:v>
                </c:pt>
                <c:pt idx="93">
                  <c:v>548949100.48995304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6-44F9-9779-339B516AF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677167"/>
        <c:axId val="1383855471"/>
      </c:scatterChart>
      <c:valAx>
        <c:axId val="138167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5471"/>
        <c:crosses val="autoZero"/>
        <c:crossBetween val="midCat"/>
      </c:valAx>
      <c:valAx>
        <c:axId val="13838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67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Сбербанк-цена</a:t>
            </a:r>
            <a:r>
              <a:rPr lang="ru-RU" baseline="0"/>
              <a:t> </a:t>
            </a:r>
            <a:r>
              <a:rPr lang="ru-RU"/>
              <a:t>График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Сбербанк-цена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Сбербанк!$K$51:$K$144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3-4008-8D6E-28E34089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84632"/>
        <c:axId val="617938528"/>
      </c:scatterChart>
      <c:valAx>
        <c:axId val="24998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Сбербанк-цена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938528"/>
        <c:crosses val="autoZero"/>
        <c:crossBetween val="midCat"/>
      </c:valAx>
      <c:valAx>
        <c:axId val="617938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9846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Сбербанк-цена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Сбербанк-объем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8-45FD-A13A-E780E5CFE149}"/>
            </c:ext>
          </c:extLst>
        </c:ser>
        <c:ser>
          <c:idx val="1"/>
          <c:order val="1"/>
          <c:tx>
            <c:v>Предсказанное Сбербанк-объем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6">
                  <a:tint val="77000"/>
                </a:schemeClr>
              </a:solidFill>
              <a:ln w="6350" cap="flat" cmpd="sng" algn="ctr">
                <a:solidFill>
                  <a:schemeClr val="accent6">
                    <a:tint val="77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Сбербанк!$A$2:$A$95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Сбербанк!$J$51:$J$144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8-45FD-A13A-E780E5CFE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12576"/>
        <c:axId val="601814872"/>
      </c:scatterChart>
      <c:valAx>
        <c:axId val="60181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Сбербанк-цена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814872"/>
        <c:crosses val="autoZero"/>
        <c:crossBetween val="midCat"/>
      </c:valAx>
      <c:valAx>
        <c:axId val="601814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Сбербанк-объем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81257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ВТБ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ВТБ!$A$2:$A$94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General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B-4811-A814-38A8384C9238}"/>
            </c:ext>
          </c:extLst>
        </c:ser>
        <c:ser>
          <c:idx val="1"/>
          <c:order val="1"/>
          <c:tx>
            <c:v>Тренд</c:v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ВТБ!$A$2:$A$94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ВТБ!$C$2:$C$94</c:f>
              <c:numCache>
                <c:formatCode>#,##0.00</c:formatCode>
                <c:ptCount val="93"/>
                <c:pt idx="0">
                  <c:v>588887807588.24768</c:v>
                </c:pt>
                <c:pt idx="1">
                  <c:v>565339199297.17249</c:v>
                </c:pt>
                <c:pt idx="2">
                  <c:v>564705604455.26013</c:v>
                </c:pt>
                <c:pt idx="3">
                  <c:v>629965873172.23083</c:v>
                </c:pt>
                <c:pt idx="4">
                  <c:v>634295437925.29846</c:v>
                </c:pt>
                <c:pt idx="5">
                  <c:v>669037555090.1582</c:v>
                </c:pt>
                <c:pt idx="6">
                  <c:v>658372041917.96729</c:v>
                </c:pt>
                <c:pt idx="7">
                  <c:v>662596007530.71619</c:v>
                </c:pt>
                <c:pt idx="8">
                  <c:v>684877426137.9668</c:v>
                </c:pt>
                <c:pt idx="9">
                  <c:v>704202068816.29297</c:v>
                </c:pt>
                <c:pt idx="10">
                  <c:v>686461413242.74756</c:v>
                </c:pt>
                <c:pt idx="11">
                  <c:v>666080779161.23401</c:v>
                </c:pt>
                <c:pt idx="12">
                  <c:v>630388269733.50562</c:v>
                </c:pt>
                <c:pt idx="13">
                  <c:v>674951106948.00671</c:v>
                </c:pt>
                <c:pt idx="14">
                  <c:v>709904422393.50391</c:v>
                </c:pt>
                <c:pt idx="15">
                  <c:v>736621004894.14087</c:v>
                </c:pt>
                <c:pt idx="16">
                  <c:v>746652923224.41956</c:v>
                </c:pt>
                <c:pt idx="17">
                  <c:v>648973718429.60095</c:v>
                </c:pt>
                <c:pt idx="18">
                  <c:v>720781133846.33252</c:v>
                </c:pt>
                <c:pt idx="19">
                  <c:v>734509022087.76636</c:v>
                </c:pt>
                <c:pt idx="20">
                  <c:v>749292901732.3877</c:v>
                </c:pt>
                <c:pt idx="21">
                  <c:v>753094470783.86157</c:v>
                </c:pt>
                <c:pt idx="22">
                  <c:v>733136233263.62305</c:v>
                </c:pt>
                <c:pt idx="23">
                  <c:v>661645615267.84766</c:v>
                </c:pt>
                <c:pt idx="24">
                  <c:v>447279360420.84033</c:v>
                </c:pt>
                <c:pt idx="25">
                  <c:v>426793127199.00818</c:v>
                </c:pt>
                <c:pt idx="26">
                  <c:v>436719446388.96802</c:v>
                </c:pt>
                <c:pt idx="27">
                  <c:v>521198758643.94641</c:v>
                </c:pt>
                <c:pt idx="28">
                  <c:v>463119231468.6488</c:v>
                </c:pt>
                <c:pt idx="29">
                  <c:v>307360499498.53259</c:v>
                </c:pt>
                <c:pt idx="30">
                  <c:v>320560392038.37292</c:v>
                </c:pt>
                <c:pt idx="31">
                  <c:v>394479790261.479</c:v>
                </c:pt>
                <c:pt idx="32">
                  <c:v>426159532357.0957</c:v>
                </c:pt>
                <c:pt idx="33">
                  <c:v>439887420598.52979</c:v>
                </c:pt>
                <c:pt idx="34">
                  <c:v>390783820350.32373</c:v>
                </c:pt>
                <c:pt idx="35">
                  <c:v>405039704293.35132</c:v>
                </c:pt>
                <c:pt idx="36">
                  <c:v>313168452216.0625</c:v>
                </c:pt>
                <c:pt idx="37">
                  <c:v>376527936407.29602</c:v>
                </c:pt>
                <c:pt idx="38">
                  <c:v>379695910616.85767</c:v>
                </c:pt>
                <c:pt idx="39">
                  <c:v>345059392592.31665</c:v>
                </c:pt>
                <c:pt idx="40">
                  <c:v>415071622623.62988</c:v>
                </c:pt>
                <c:pt idx="41">
                  <c:v>432495480776.21912</c:v>
                </c:pt>
                <c:pt idx="42">
                  <c:v>436719446388.96802</c:v>
                </c:pt>
                <c:pt idx="43">
                  <c:v>442949795667.77271</c:v>
                </c:pt>
                <c:pt idx="44">
                  <c:v>431545088513.35071</c:v>
                </c:pt>
                <c:pt idx="45">
                  <c:v>393423798858.29175</c:v>
                </c:pt>
                <c:pt idx="46">
                  <c:v>439359424896.93616</c:v>
                </c:pt>
                <c:pt idx="47">
                  <c:v>421935566744.3468</c:v>
                </c:pt>
                <c:pt idx="48">
                  <c:v>373359962197.73438</c:v>
                </c:pt>
                <c:pt idx="49">
                  <c:v>426476329778.05188</c:v>
                </c:pt>
                <c:pt idx="50">
                  <c:v>456994481330.16284</c:v>
                </c:pt>
                <c:pt idx="51">
                  <c:v>455199295944.74451</c:v>
                </c:pt>
                <c:pt idx="52">
                  <c:v>450341735490.08325</c:v>
                </c:pt>
                <c:pt idx="53">
                  <c:v>456255287347.93176</c:v>
                </c:pt>
                <c:pt idx="54">
                  <c:v>478959102516.45715</c:v>
                </c:pt>
                <c:pt idx="55">
                  <c:v>524472331993.82678</c:v>
                </c:pt>
                <c:pt idx="56">
                  <c:v>473045550658.60864</c:v>
                </c:pt>
                <c:pt idx="57">
                  <c:v>504408495333.26941</c:v>
                </c:pt>
                <c:pt idx="58">
                  <c:v>521198758643.94641</c:v>
                </c:pt>
                <c:pt idx="59">
                  <c:v>618561166017.80884</c:v>
                </c:pt>
                <c:pt idx="60">
                  <c:v>655098468568.08691</c:v>
                </c:pt>
                <c:pt idx="61">
                  <c:v>633133847381.79248</c:v>
                </c:pt>
                <c:pt idx="62">
                  <c:v>597652536234.70166</c:v>
                </c:pt>
                <c:pt idx="63">
                  <c:v>609268441669.76123</c:v>
                </c:pt>
                <c:pt idx="64">
                  <c:v>584875040256.13623</c:v>
                </c:pt>
                <c:pt idx="65">
                  <c:v>627959489506.17505</c:v>
                </c:pt>
                <c:pt idx="66">
                  <c:v>647812127886.09497</c:v>
                </c:pt>
                <c:pt idx="67">
                  <c:v>644960951097.4895</c:v>
                </c:pt>
                <c:pt idx="68">
                  <c:v>717613159636.77075</c:v>
                </c:pt>
                <c:pt idx="69">
                  <c:v>724371504617.16907</c:v>
                </c:pt>
                <c:pt idx="70">
                  <c:v>768511945270.39514</c:v>
                </c:pt>
                <c:pt idx="71">
                  <c:v>760908807167.44714</c:v>
                </c:pt>
                <c:pt idx="72">
                  <c:v>797340510577.40649</c:v>
                </c:pt>
                <c:pt idx="73">
                  <c:v>755945647572.46716</c:v>
                </c:pt>
                <c:pt idx="74">
                  <c:v>775692686812.06836</c:v>
                </c:pt>
                <c:pt idx="75">
                  <c:v>778385464890.19568</c:v>
                </c:pt>
                <c:pt idx="76">
                  <c:v>779916652424.81726</c:v>
                </c:pt>
                <c:pt idx="77">
                  <c:v>767191956016.41113</c:v>
                </c:pt>
                <c:pt idx="78">
                  <c:v>733664228965.21655</c:v>
                </c:pt>
                <c:pt idx="79">
                  <c:v>705997254201.71118</c:v>
                </c:pt>
                <c:pt idx="80">
                  <c:v>746336125803.46338</c:v>
                </c:pt>
                <c:pt idx="81">
                  <c:v>704994062368.68335</c:v>
                </c:pt>
                <c:pt idx="82">
                  <c:v>699766904922.90649</c:v>
                </c:pt>
                <c:pt idx="83">
                  <c:v>676112697491.5127</c:v>
                </c:pt>
                <c:pt idx="84">
                  <c:v>670093546493.34546</c:v>
                </c:pt>
                <c:pt idx="85">
                  <c:v>664813589477.40942</c:v>
                </c:pt>
                <c:pt idx="86">
                  <c:v>697232525555.25732</c:v>
                </c:pt>
                <c:pt idx="87">
                  <c:v>810540403117.24683</c:v>
                </c:pt>
                <c:pt idx="88">
                  <c:v>786252600843.94067</c:v>
                </c:pt>
                <c:pt idx="89">
                  <c:v>771363122059.00073</c:v>
                </c:pt>
                <c:pt idx="90">
                  <c:v>784668613739.15979</c:v>
                </c:pt>
                <c:pt idx="91">
                  <c:v>745544132251.073</c:v>
                </c:pt>
                <c:pt idx="92">
                  <c:v>775164691110.47461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B-4811-A814-38A8384C9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677167"/>
        <c:axId val="1383855471"/>
      </c:scatterChart>
      <c:valAx>
        <c:axId val="1381677167"/>
        <c:scaling>
          <c:orientation val="minMax"/>
          <c:min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5471"/>
        <c:crosses val="autoZero"/>
        <c:crossBetween val="midCat"/>
      </c:valAx>
      <c:valAx>
        <c:axId val="13838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67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ВТБ-цена График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ВТБ!$A$2:$A$94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ВТБ!$K$51:$K$143</c:f>
              <c:numCache>
                <c:formatCode>General</c:formatCode>
                <c:ptCount val="93"/>
                <c:pt idx="0">
                  <c:v>-165122747588.24988</c:v>
                </c:pt>
                <c:pt idx="1">
                  <c:v>55320210702.824463</c:v>
                </c:pt>
                <c:pt idx="2">
                  <c:v>392030645544.73682</c:v>
                </c:pt>
                <c:pt idx="3">
                  <c:v>54123966827.768433</c:v>
                </c:pt>
                <c:pt idx="4">
                  <c:v>569292252074.70093</c:v>
                </c:pt>
                <c:pt idx="5">
                  <c:v>240891294909.84229</c:v>
                </c:pt>
                <c:pt idx="6">
                  <c:v>115572708082.03296</c:v>
                </c:pt>
                <c:pt idx="7">
                  <c:v>27393302469.28418</c:v>
                </c:pt>
                <c:pt idx="8">
                  <c:v>-260774806137.96558</c:v>
                </c:pt>
                <c:pt idx="9">
                  <c:v>65971991183.708984</c:v>
                </c:pt>
                <c:pt idx="10">
                  <c:v>408641916757.25366</c:v>
                </c:pt>
                <c:pt idx="11">
                  <c:v>451811650838.7666</c:v>
                </c:pt>
                <c:pt idx="12">
                  <c:v>252989740266.49365</c:v>
                </c:pt>
                <c:pt idx="13">
                  <c:v>-112722776948.00586</c:v>
                </c:pt>
                <c:pt idx="14">
                  <c:v>-178370592393.50195</c:v>
                </c:pt>
                <c:pt idx="15">
                  <c:v>981380775105.8623</c:v>
                </c:pt>
                <c:pt idx="16">
                  <c:v>834909756775.58386</c:v>
                </c:pt>
                <c:pt idx="17">
                  <c:v>688494091570.39893</c:v>
                </c:pt>
                <c:pt idx="18">
                  <c:v>499203476153.67004</c:v>
                </c:pt>
                <c:pt idx="19">
                  <c:v>329748437912.23657</c:v>
                </c:pt>
                <c:pt idx="20">
                  <c:v>-49813481732.384033</c:v>
                </c:pt>
                <c:pt idx="21">
                  <c:v>-218658260783.85791</c:v>
                </c:pt>
                <c:pt idx="22">
                  <c:v>-180460763263.62012</c:v>
                </c:pt>
                <c:pt idx="23">
                  <c:v>554290594732.15271</c:v>
                </c:pt>
                <c:pt idx="24">
                  <c:v>1454690639579.1523</c:v>
                </c:pt>
                <c:pt idx="25">
                  <c:v>45306022800.983765</c:v>
                </c:pt>
                <c:pt idx="26">
                  <c:v>-908886388.97570801</c:v>
                </c:pt>
                <c:pt idx="27">
                  <c:v>-140340298643.95105</c:v>
                </c:pt>
                <c:pt idx="28">
                  <c:v>207662268531.34448</c:v>
                </c:pt>
                <c:pt idx="29">
                  <c:v>738616170501.45508</c:v>
                </c:pt>
                <c:pt idx="30">
                  <c:v>437067007961.61511</c:v>
                </c:pt>
                <c:pt idx="31">
                  <c:v>-39185620261.488281</c:v>
                </c:pt>
                <c:pt idx="32">
                  <c:v>-128374142357.10376</c:v>
                </c:pt>
                <c:pt idx="33">
                  <c:v>-150933550598.53735</c:v>
                </c:pt>
                <c:pt idx="34">
                  <c:v>15585209649.666992</c:v>
                </c:pt>
                <c:pt idx="35">
                  <c:v>-111479784293.36011</c:v>
                </c:pt>
                <c:pt idx="36">
                  <c:v>35981977783.925415</c:v>
                </c:pt>
                <c:pt idx="37">
                  <c:v>16986293592.694092</c:v>
                </c:pt>
                <c:pt idx="38">
                  <c:v>-95314500616.867432</c:v>
                </c:pt>
                <c:pt idx="39">
                  <c:v>-41319542592.327637</c:v>
                </c:pt>
                <c:pt idx="40">
                  <c:v>-63590452623.638306</c:v>
                </c:pt>
                <c:pt idx="41">
                  <c:v>-158033820776.22705</c:v>
                </c:pt>
                <c:pt idx="42">
                  <c:v>-154145226388.97571</c:v>
                </c:pt>
                <c:pt idx="43">
                  <c:v>-290221165667.78027</c:v>
                </c:pt>
                <c:pt idx="44">
                  <c:v>-206086928513.35864</c:v>
                </c:pt>
                <c:pt idx="45">
                  <c:v>-33195288858.301025</c:v>
                </c:pt>
                <c:pt idx="46">
                  <c:v>-279878414896.94373</c:v>
                </c:pt>
                <c:pt idx="47">
                  <c:v>-187337206744.3551</c:v>
                </c:pt>
                <c:pt idx="48">
                  <c:v>179696127802.25562</c:v>
                </c:pt>
                <c:pt idx="49">
                  <c:v>-126382669778.05994</c:v>
                </c:pt>
                <c:pt idx="50">
                  <c:v>-320077761330.1698</c:v>
                </c:pt>
                <c:pt idx="51">
                  <c:v>-188788905944.75159</c:v>
                </c:pt>
                <c:pt idx="52">
                  <c:v>-242431515490.09045</c:v>
                </c:pt>
                <c:pt idx="53">
                  <c:v>-287750057347.93884</c:v>
                </c:pt>
                <c:pt idx="54">
                  <c:v>-226772802516.46338</c:v>
                </c:pt>
                <c:pt idx="55">
                  <c:v>-345372601993.8313</c:v>
                </c:pt>
                <c:pt idx="56">
                  <c:v>-268305700658.61511</c:v>
                </c:pt>
                <c:pt idx="57">
                  <c:v>-210991085333.27466</c:v>
                </c:pt>
                <c:pt idx="58">
                  <c:v>-355599468643.95105</c:v>
                </c:pt>
                <c:pt idx="59">
                  <c:v>-184718926017.80994</c:v>
                </c:pt>
                <c:pt idx="60">
                  <c:v>-235766158568.08667</c:v>
                </c:pt>
                <c:pt idx="61">
                  <c:v>-281006287381.79321</c:v>
                </c:pt>
                <c:pt idx="62">
                  <c:v>-18923496234.703613</c:v>
                </c:pt>
                <c:pt idx="63">
                  <c:v>-79055621669.762695</c:v>
                </c:pt>
                <c:pt idx="64">
                  <c:v>170047389743.86145</c:v>
                </c:pt>
                <c:pt idx="65">
                  <c:v>-125780239506.17603</c:v>
                </c:pt>
                <c:pt idx="66">
                  <c:v>-103955317886.09521</c:v>
                </c:pt>
                <c:pt idx="67">
                  <c:v>-345140371097.48975</c:v>
                </c:pt>
                <c:pt idx="68">
                  <c:v>-311892619636.76831</c:v>
                </c:pt>
                <c:pt idx="69">
                  <c:v>-331976314617.1665</c:v>
                </c:pt>
                <c:pt idx="70">
                  <c:v>-331047155270.39087</c:v>
                </c:pt>
                <c:pt idx="71">
                  <c:v>-301898687167.44312</c:v>
                </c:pt>
                <c:pt idx="72">
                  <c:v>-459732080577.40125</c:v>
                </c:pt>
                <c:pt idx="73">
                  <c:v>-433028517572.46338</c:v>
                </c:pt>
                <c:pt idx="74">
                  <c:v>-489002866812.06384</c:v>
                </c:pt>
                <c:pt idx="75">
                  <c:v>-478152354890.19116</c:v>
                </c:pt>
                <c:pt idx="76">
                  <c:v>-441271322424.81262</c:v>
                </c:pt>
                <c:pt idx="77">
                  <c:v>-262704426016.40698</c:v>
                </c:pt>
                <c:pt idx="78">
                  <c:v>-180957618965.21362</c:v>
                </c:pt>
                <c:pt idx="79">
                  <c:v>172969255798.29077</c:v>
                </c:pt>
                <c:pt idx="80">
                  <c:v>-157509985803.45996</c:v>
                </c:pt>
                <c:pt idx="81">
                  <c:v>105700017631.3186</c:v>
                </c:pt>
                <c:pt idx="82">
                  <c:v>-138688214922.90479</c:v>
                </c:pt>
                <c:pt idx="83">
                  <c:v>114859602508.48828</c:v>
                </c:pt>
                <c:pt idx="84">
                  <c:v>-270423566493.34473</c:v>
                </c:pt>
                <c:pt idx="85">
                  <c:v>134784960522.59106</c:v>
                </c:pt>
                <c:pt idx="86">
                  <c:v>-98289965555.255615</c:v>
                </c:pt>
                <c:pt idx="87">
                  <c:v>929588916882.75879</c:v>
                </c:pt>
                <c:pt idx="88">
                  <c:v>637589299156.06421</c:v>
                </c:pt>
                <c:pt idx="89">
                  <c:v>-218171042058.99634</c:v>
                </c:pt>
                <c:pt idx="90">
                  <c:v>-140109523739.15503</c:v>
                </c:pt>
                <c:pt idx="91">
                  <c:v>128058977748.93042</c:v>
                </c:pt>
                <c:pt idx="92">
                  <c:v>190686558889.52979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0-4D67-B7EB-C6468D7C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863168"/>
        <c:axId val="1339713296"/>
      </c:scatterChart>
      <c:valAx>
        <c:axId val="110386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ВТБ-цена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9713296"/>
        <c:crosses val="autoZero"/>
        <c:crossBetween val="midCat"/>
      </c:valAx>
      <c:valAx>
        <c:axId val="1339713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8631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>
                <a:effectLst/>
              </a:rPr>
              <a:t>ВТБ-цена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ВТБ-объем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1">
                  <a:shade val="76000"/>
                </a:schemeClr>
              </a:solidFill>
              <a:ln w="6350" cap="flat" cmpd="sng" algn="ctr">
                <a:solidFill>
                  <a:schemeClr val="accent1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ВТБ!$A$2:$A$94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ВТБ!$B$2:$B$94</c:f>
              <c:numCache>
                <c:formatCode>General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9-4FE0-B2CE-D11E7D192F35}"/>
            </c:ext>
          </c:extLst>
        </c:ser>
        <c:ser>
          <c:idx val="1"/>
          <c:order val="1"/>
          <c:tx>
            <c:v>Предсказанное ВТБ-объем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1">
                  <a:tint val="77000"/>
                </a:schemeClr>
              </a:solidFill>
              <a:ln w="6350" cap="flat" cmpd="sng" algn="ctr">
                <a:solidFill>
                  <a:schemeClr val="accent1">
                    <a:tint val="77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ВТБ!$A$2:$A$94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ВТБ!$J$51:$J$143</c:f>
              <c:numCache>
                <c:formatCode>General</c:formatCode>
                <c:ptCount val="93"/>
                <c:pt idx="0">
                  <c:v>588887807588.24988</c:v>
                </c:pt>
                <c:pt idx="1">
                  <c:v>565339199297.17554</c:v>
                </c:pt>
                <c:pt idx="2">
                  <c:v>564705604455.26318</c:v>
                </c:pt>
                <c:pt idx="3">
                  <c:v>629965873172.23157</c:v>
                </c:pt>
                <c:pt idx="4">
                  <c:v>634295437925.29907</c:v>
                </c:pt>
                <c:pt idx="5">
                  <c:v>669037555090.15771</c:v>
                </c:pt>
                <c:pt idx="6">
                  <c:v>658372041917.96704</c:v>
                </c:pt>
                <c:pt idx="7">
                  <c:v>662596007530.71582</c:v>
                </c:pt>
                <c:pt idx="8">
                  <c:v>684877426137.96558</c:v>
                </c:pt>
                <c:pt idx="9">
                  <c:v>704202068816.29102</c:v>
                </c:pt>
                <c:pt idx="10">
                  <c:v>686461413242.74634</c:v>
                </c:pt>
                <c:pt idx="11">
                  <c:v>666080779161.2334</c:v>
                </c:pt>
                <c:pt idx="12">
                  <c:v>630388269733.50635</c:v>
                </c:pt>
                <c:pt idx="13">
                  <c:v>674951106948.00586</c:v>
                </c:pt>
                <c:pt idx="14">
                  <c:v>709904422393.50195</c:v>
                </c:pt>
                <c:pt idx="15">
                  <c:v>736621004894.1377</c:v>
                </c:pt>
                <c:pt idx="16">
                  <c:v>746652923224.41614</c:v>
                </c:pt>
                <c:pt idx="17">
                  <c:v>648973718429.60107</c:v>
                </c:pt>
                <c:pt idx="18">
                  <c:v>720781133846.32996</c:v>
                </c:pt>
                <c:pt idx="19">
                  <c:v>734509022087.76343</c:v>
                </c:pt>
                <c:pt idx="20">
                  <c:v>749292901732.38403</c:v>
                </c:pt>
                <c:pt idx="21">
                  <c:v>753094470783.85791</c:v>
                </c:pt>
                <c:pt idx="22">
                  <c:v>733136233263.62012</c:v>
                </c:pt>
                <c:pt idx="23">
                  <c:v>661645615267.84729</c:v>
                </c:pt>
                <c:pt idx="24">
                  <c:v>447279360420.84766</c:v>
                </c:pt>
                <c:pt idx="25">
                  <c:v>426793127199.01624</c:v>
                </c:pt>
                <c:pt idx="26">
                  <c:v>436719446388.97571</c:v>
                </c:pt>
                <c:pt idx="27">
                  <c:v>521198758643.95105</c:v>
                </c:pt>
                <c:pt idx="28">
                  <c:v>463119231468.65552</c:v>
                </c:pt>
                <c:pt idx="29">
                  <c:v>307360499498.54492</c:v>
                </c:pt>
                <c:pt idx="30">
                  <c:v>320560392038.38489</c:v>
                </c:pt>
                <c:pt idx="31">
                  <c:v>394479790261.48828</c:v>
                </c:pt>
                <c:pt idx="32">
                  <c:v>426159532357.10376</c:v>
                </c:pt>
                <c:pt idx="33">
                  <c:v>439887420598.53735</c:v>
                </c:pt>
                <c:pt idx="34">
                  <c:v>390783820350.33301</c:v>
                </c:pt>
                <c:pt idx="35">
                  <c:v>405039704293.36011</c:v>
                </c:pt>
                <c:pt idx="36">
                  <c:v>313168452216.07458</c:v>
                </c:pt>
                <c:pt idx="37">
                  <c:v>376527936407.30591</c:v>
                </c:pt>
                <c:pt idx="38">
                  <c:v>379695910616.86743</c:v>
                </c:pt>
                <c:pt idx="39">
                  <c:v>345059392592.32764</c:v>
                </c:pt>
                <c:pt idx="40">
                  <c:v>415071622623.63831</c:v>
                </c:pt>
                <c:pt idx="41">
                  <c:v>432495480776.22705</c:v>
                </c:pt>
                <c:pt idx="42">
                  <c:v>436719446388.97571</c:v>
                </c:pt>
                <c:pt idx="43">
                  <c:v>442949795667.78027</c:v>
                </c:pt>
                <c:pt idx="44">
                  <c:v>431545088513.35864</c:v>
                </c:pt>
                <c:pt idx="45">
                  <c:v>393423798858.30103</c:v>
                </c:pt>
                <c:pt idx="46">
                  <c:v>439359424896.94373</c:v>
                </c:pt>
                <c:pt idx="47">
                  <c:v>421935566744.3551</c:v>
                </c:pt>
                <c:pt idx="48">
                  <c:v>373359962197.74438</c:v>
                </c:pt>
                <c:pt idx="49">
                  <c:v>426476329778.05994</c:v>
                </c:pt>
                <c:pt idx="50">
                  <c:v>456994481330.1698</c:v>
                </c:pt>
                <c:pt idx="51">
                  <c:v>455199295944.75159</c:v>
                </c:pt>
                <c:pt idx="52">
                  <c:v>450341735490.09045</c:v>
                </c:pt>
                <c:pt idx="53">
                  <c:v>456255287347.93884</c:v>
                </c:pt>
                <c:pt idx="54">
                  <c:v>478959102516.46338</c:v>
                </c:pt>
                <c:pt idx="55">
                  <c:v>524472331993.8313</c:v>
                </c:pt>
                <c:pt idx="56">
                  <c:v>473045550658.61511</c:v>
                </c:pt>
                <c:pt idx="57">
                  <c:v>504408495333.27466</c:v>
                </c:pt>
                <c:pt idx="58">
                  <c:v>521198758643.95105</c:v>
                </c:pt>
                <c:pt idx="59">
                  <c:v>618561166017.80994</c:v>
                </c:pt>
                <c:pt idx="60">
                  <c:v>655098468568.08667</c:v>
                </c:pt>
                <c:pt idx="61">
                  <c:v>633133847381.79321</c:v>
                </c:pt>
                <c:pt idx="62">
                  <c:v>597652536234.70361</c:v>
                </c:pt>
                <c:pt idx="63">
                  <c:v>609268441669.7627</c:v>
                </c:pt>
                <c:pt idx="64">
                  <c:v>584875040256.13855</c:v>
                </c:pt>
                <c:pt idx="65">
                  <c:v>627959489506.17603</c:v>
                </c:pt>
                <c:pt idx="66">
                  <c:v>647812127886.09521</c:v>
                </c:pt>
                <c:pt idx="67">
                  <c:v>644960951097.48975</c:v>
                </c:pt>
                <c:pt idx="68">
                  <c:v>717613159636.76831</c:v>
                </c:pt>
                <c:pt idx="69">
                  <c:v>724371504617.1665</c:v>
                </c:pt>
                <c:pt idx="70">
                  <c:v>768511945270.39087</c:v>
                </c:pt>
                <c:pt idx="71">
                  <c:v>760908807167.44312</c:v>
                </c:pt>
                <c:pt idx="72">
                  <c:v>797340510577.40125</c:v>
                </c:pt>
                <c:pt idx="73">
                  <c:v>755945647572.46338</c:v>
                </c:pt>
                <c:pt idx="74">
                  <c:v>775692686812.06384</c:v>
                </c:pt>
                <c:pt idx="75">
                  <c:v>778385464890.19116</c:v>
                </c:pt>
                <c:pt idx="76">
                  <c:v>779916652424.81262</c:v>
                </c:pt>
                <c:pt idx="77">
                  <c:v>767191956016.40698</c:v>
                </c:pt>
                <c:pt idx="78">
                  <c:v>733664228965.21362</c:v>
                </c:pt>
                <c:pt idx="79">
                  <c:v>705997254201.70923</c:v>
                </c:pt>
                <c:pt idx="80">
                  <c:v>746336125803.45996</c:v>
                </c:pt>
                <c:pt idx="81">
                  <c:v>704994062368.6814</c:v>
                </c:pt>
                <c:pt idx="82">
                  <c:v>699766904922.90479</c:v>
                </c:pt>
                <c:pt idx="83">
                  <c:v>676112697491.51172</c:v>
                </c:pt>
                <c:pt idx="84">
                  <c:v>670093546493.34473</c:v>
                </c:pt>
                <c:pt idx="85">
                  <c:v>664813589477.40894</c:v>
                </c:pt>
                <c:pt idx="86">
                  <c:v>697232525555.25562</c:v>
                </c:pt>
                <c:pt idx="87">
                  <c:v>810540403117.24121</c:v>
                </c:pt>
                <c:pt idx="88">
                  <c:v>786252600843.93579</c:v>
                </c:pt>
                <c:pt idx="89">
                  <c:v>771363122058.99634</c:v>
                </c:pt>
                <c:pt idx="90">
                  <c:v>784668613739.15503</c:v>
                </c:pt>
                <c:pt idx="91">
                  <c:v>745544132251.06958</c:v>
                </c:pt>
                <c:pt idx="92">
                  <c:v>775164691110.47021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29-4FE0-B2CE-D11E7D1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861568"/>
        <c:axId val="1104404576"/>
      </c:scatterChart>
      <c:valAx>
        <c:axId val="110386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ВТБ-цена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404576"/>
        <c:crosses val="autoZero"/>
        <c:crossBetween val="midCat"/>
      </c:valAx>
      <c:valAx>
        <c:axId val="110440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ВТБ-объем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38615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Газпром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</a:ln>
              <a:effectLst/>
            </c:spPr>
          </c:marker>
          <c:xVal>
            <c:numRef>
              <c:f>Газпром!$A$2:$A$94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Газпром!$B$2:$B$94</c:f>
              <c:numCache>
                <c:formatCode>General</c:formatCode>
                <c:ptCount val="93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A-4331-9DB1-5C1D111276EF}"/>
            </c:ext>
          </c:extLst>
        </c:ser>
        <c:ser>
          <c:idx val="1"/>
          <c:order val="1"/>
          <c:tx>
            <c:v>Тренд</c:v>
          </c:tx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xVal>
            <c:numRef>
              <c:f>Газпром!$A$2:$A$94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Газпром!$C$2:$C$94</c:f>
              <c:numCache>
                <c:formatCode>#,##0.00</c:formatCode>
                <c:ptCount val="93"/>
                <c:pt idx="0">
                  <c:v>747717655.31125844</c:v>
                </c:pt>
                <c:pt idx="1">
                  <c:v>743606150.27498341</c:v>
                </c:pt>
                <c:pt idx="2">
                  <c:v>731629157.3432256</c:v>
                </c:pt>
                <c:pt idx="3">
                  <c:v>723150774.28705597</c:v>
                </c:pt>
                <c:pt idx="4">
                  <c:v>697792237.01363266</c:v>
                </c:pt>
                <c:pt idx="5">
                  <c:v>695876939.63648582</c:v>
                </c:pt>
                <c:pt idx="6">
                  <c:v>659358602.97888744</c:v>
                </c:pt>
                <c:pt idx="7">
                  <c:v>709181872.08306551</c:v>
                </c:pt>
                <c:pt idx="8">
                  <c:v>717583643.24414921</c:v>
                </c:pt>
                <c:pt idx="9">
                  <c:v>748866833.73754644</c:v>
                </c:pt>
                <c:pt idx="10">
                  <c:v>764827645.21376967</c:v>
                </c:pt>
                <c:pt idx="11">
                  <c:v>746185417.40954101</c:v>
                </c:pt>
                <c:pt idx="12">
                  <c:v>735076692.62208974</c:v>
                </c:pt>
                <c:pt idx="13">
                  <c:v>751446100.87210417</c:v>
                </c:pt>
                <c:pt idx="14">
                  <c:v>736225871.04837775</c:v>
                </c:pt>
                <c:pt idx="15">
                  <c:v>726777070.65445375</c:v>
                </c:pt>
                <c:pt idx="16">
                  <c:v>709590468.85685682</c:v>
                </c:pt>
                <c:pt idx="17">
                  <c:v>742610195.63886702</c:v>
                </c:pt>
                <c:pt idx="18">
                  <c:v>761150274.24964786</c:v>
                </c:pt>
                <c:pt idx="19">
                  <c:v>717839016.2277689</c:v>
                </c:pt>
                <c:pt idx="20">
                  <c:v>717711329.73595905</c:v>
                </c:pt>
                <c:pt idx="21">
                  <c:v>732906022.26132345</c:v>
                </c:pt>
                <c:pt idx="22">
                  <c:v>742099449.671628</c:v>
                </c:pt>
                <c:pt idx="23">
                  <c:v>745572522.24885416</c:v>
                </c:pt>
                <c:pt idx="24">
                  <c:v>713523212.80459809</c:v>
                </c:pt>
                <c:pt idx="25">
                  <c:v>748024102.89160192</c:v>
                </c:pt>
                <c:pt idx="26">
                  <c:v>771339656.29606855</c:v>
                </c:pt>
                <c:pt idx="27">
                  <c:v>735459752.09751916</c:v>
                </c:pt>
                <c:pt idx="28">
                  <c:v>772744207.70597625</c:v>
                </c:pt>
                <c:pt idx="29">
                  <c:v>735715125.08113861</c:v>
                </c:pt>
                <c:pt idx="30">
                  <c:v>753208174.45907915</c:v>
                </c:pt>
                <c:pt idx="31">
                  <c:v>744653179.50782359</c:v>
                </c:pt>
                <c:pt idx="32">
                  <c:v>759183902.2757771</c:v>
                </c:pt>
                <c:pt idx="33">
                  <c:v>724351027.31006789</c:v>
                </c:pt>
                <c:pt idx="34">
                  <c:v>727415503.11350274</c:v>
                </c:pt>
                <c:pt idx="35">
                  <c:v>733161395.24494302</c:v>
                </c:pt>
                <c:pt idx="36">
                  <c:v>728283771.25780916</c:v>
                </c:pt>
                <c:pt idx="37">
                  <c:v>729586173.47426903</c:v>
                </c:pt>
                <c:pt idx="38">
                  <c:v>741844076.68800831</c:v>
                </c:pt>
                <c:pt idx="39">
                  <c:v>758060261.14785099</c:v>
                </c:pt>
                <c:pt idx="40">
                  <c:v>810973543.35382581</c:v>
                </c:pt>
                <c:pt idx="41">
                  <c:v>752314369.01641071</c:v>
                </c:pt>
                <c:pt idx="42">
                  <c:v>737017527.29759848</c:v>
                </c:pt>
                <c:pt idx="43">
                  <c:v>731373784.35960603</c:v>
                </c:pt>
                <c:pt idx="44">
                  <c:v>725372519.24454618</c:v>
                </c:pt>
                <c:pt idx="45">
                  <c:v>725244832.75273633</c:v>
                </c:pt>
                <c:pt idx="46">
                  <c:v>735306528.3073473</c:v>
                </c:pt>
                <c:pt idx="47">
                  <c:v>760741677.47585654</c:v>
                </c:pt>
                <c:pt idx="48">
                  <c:v>775425624.0339818</c:v>
                </c:pt>
                <c:pt idx="49">
                  <c:v>763295407.31205225</c:v>
                </c:pt>
                <c:pt idx="50">
                  <c:v>722946475.90016019</c:v>
                </c:pt>
                <c:pt idx="51">
                  <c:v>707368723.8993665</c:v>
                </c:pt>
                <c:pt idx="52">
                  <c:v>729969232.94969845</c:v>
                </c:pt>
                <c:pt idx="53">
                  <c:v>687909302.54755533</c:v>
                </c:pt>
                <c:pt idx="54">
                  <c:v>683338126.14076495</c:v>
                </c:pt>
                <c:pt idx="55">
                  <c:v>677234711.83225727</c:v>
                </c:pt>
                <c:pt idx="56">
                  <c:v>682010186.62594318</c:v>
                </c:pt>
                <c:pt idx="57">
                  <c:v>692812463.83305109</c:v>
                </c:pt>
                <c:pt idx="58">
                  <c:v>702261264.2269752</c:v>
                </c:pt>
                <c:pt idx="59">
                  <c:v>718222075.70319819</c:v>
                </c:pt>
                <c:pt idx="60">
                  <c:v>714008421.47347522</c:v>
                </c:pt>
                <c:pt idx="61">
                  <c:v>746849387.16695189</c:v>
                </c:pt>
                <c:pt idx="62">
                  <c:v>746338641.19971275</c:v>
                </c:pt>
                <c:pt idx="63">
                  <c:v>744219045.43567038</c:v>
                </c:pt>
                <c:pt idx="64">
                  <c:v>753412472.84597492</c:v>
                </c:pt>
                <c:pt idx="65">
                  <c:v>751037504.09831285</c:v>
                </c:pt>
                <c:pt idx="66">
                  <c:v>740848122.05189204</c:v>
                </c:pt>
                <c:pt idx="67">
                  <c:v>747947490.99651599</c:v>
                </c:pt>
                <c:pt idx="68">
                  <c:v>763678466.78748155</c:v>
                </c:pt>
                <c:pt idx="69">
                  <c:v>796008686.51371908</c:v>
                </c:pt>
                <c:pt idx="70">
                  <c:v>777775055.48328173</c:v>
                </c:pt>
                <c:pt idx="71">
                  <c:v>792637763.12994063</c:v>
                </c:pt>
                <c:pt idx="72">
                  <c:v>772744207.70597625</c:v>
                </c:pt>
                <c:pt idx="73">
                  <c:v>796544969.77932</c:v>
                </c:pt>
                <c:pt idx="74">
                  <c:v>786764184.50669062</c:v>
                </c:pt>
                <c:pt idx="75">
                  <c:v>762810198.64317501</c:v>
                </c:pt>
                <c:pt idx="76">
                  <c:v>799430684.49422121</c:v>
                </c:pt>
                <c:pt idx="77">
                  <c:v>930053965.61563087</c:v>
                </c:pt>
                <c:pt idx="78">
                  <c:v>975331595.61138058</c:v>
                </c:pt>
                <c:pt idx="79">
                  <c:v>985725276.04469705</c:v>
                </c:pt>
                <c:pt idx="80">
                  <c:v>973595059.3227675</c:v>
                </c:pt>
                <c:pt idx="81">
                  <c:v>957634247.84654438</c:v>
                </c:pt>
                <c:pt idx="82">
                  <c:v>1044716435.2608175</c:v>
                </c:pt>
                <c:pt idx="83">
                  <c:v>1038434259.8637761</c:v>
                </c:pt>
                <c:pt idx="84">
                  <c:v>1035523007.8505129</c:v>
                </c:pt>
                <c:pt idx="85">
                  <c:v>959677231.71550083</c:v>
                </c:pt>
                <c:pt idx="86">
                  <c:v>898260029.15499449</c:v>
                </c:pt>
                <c:pt idx="87">
                  <c:v>844018807.43419802</c:v>
                </c:pt>
                <c:pt idx="88">
                  <c:v>865955346.72711897</c:v>
                </c:pt>
                <c:pt idx="89">
                  <c:v>891364958.5972662</c:v>
                </c:pt>
                <c:pt idx="90">
                  <c:v>876961922.32112241</c:v>
                </c:pt>
                <c:pt idx="91">
                  <c:v>847032208.64090896</c:v>
                </c:pt>
                <c:pt idx="92">
                  <c:v>847823864.89012957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9A-4331-9DB1-5C1D11127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677167"/>
        <c:axId val="1383855471"/>
      </c:scatterChart>
      <c:valAx>
        <c:axId val="1381677167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3855471"/>
        <c:crosses val="autoZero"/>
        <c:crossBetween val="midCat"/>
      </c:valAx>
      <c:valAx>
        <c:axId val="13838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67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Газпром-цена График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Газпром!$A$2:$A$94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Газпром!$K$51:$K$143</c:f>
              <c:numCache>
                <c:formatCode>General</c:formatCode>
                <c:ptCount val="93"/>
                <c:pt idx="0">
                  <c:v>-108749195.31125689</c:v>
                </c:pt>
                <c:pt idx="1">
                  <c:v>-248322630.27498186</c:v>
                </c:pt>
                <c:pt idx="2">
                  <c:v>2141762.656775713</c:v>
                </c:pt>
                <c:pt idx="3">
                  <c:v>230822295.71294522</c:v>
                </c:pt>
                <c:pt idx="4">
                  <c:v>288529522.98636818</c:v>
                </c:pt>
                <c:pt idx="5">
                  <c:v>117898060.3635149</c:v>
                </c:pt>
                <c:pt idx="6">
                  <c:v>109934787.02111268</c:v>
                </c:pt>
                <c:pt idx="7">
                  <c:v>170280917.91693544</c:v>
                </c:pt>
                <c:pt idx="8">
                  <c:v>-82089133.244148254</c:v>
                </c:pt>
                <c:pt idx="9">
                  <c:v>286447696.26245499</c:v>
                </c:pt>
                <c:pt idx="10">
                  <c:v>355551424.78623223</c:v>
                </c:pt>
                <c:pt idx="11">
                  <c:v>289783862.59046054</c:v>
                </c:pt>
                <c:pt idx="12">
                  <c:v>315711367.37791157</c:v>
                </c:pt>
                <c:pt idx="13">
                  <c:v>305064589.1278975</c:v>
                </c:pt>
                <c:pt idx="14">
                  <c:v>373961058.95162368</c:v>
                </c:pt>
                <c:pt idx="15">
                  <c:v>1311537369.3455474</c:v>
                </c:pt>
                <c:pt idx="16">
                  <c:v>668107931.14314413</c:v>
                </c:pt>
                <c:pt idx="17">
                  <c:v>425660214.36113453</c:v>
                </c:pt>
                <c:pt idx="18">
                  <c:v>124763195.75035393</c:v>
                </c:pt>
                <c:pt idx="19">
                  <c:v>287120963.77223229</c:v>
                </c:pt>
                <c:pt idx="20">
                  <c:v>133583470.26404214</c:v>
                </c:pt>
                <c:pt idx="21">
                  <c:v>64990827.738677979</c:v>
                </c:pt>
                <c:pt idx="22">
                  <c:v>115834350.32837355</c:v>
                </c:pt>
                <c:pt idx="23">
                  <c:v>-53583262.248852491</c:v>
                </c:pt>
                <c:pt idx="24">
                  <c:v>270333297.19540286</c:v>
                </c:pt>
                <c:pt idx="25">
                  <c:v>-95921272.89160037</c:v>
                </c:pt>
                <c:pt idx="26">
                  <c:v>148180693.70393336</c:v>
                </c:pt>
                <c:pt idx="27">
                  <c:v>-17390462.097517729</c:v>
                </c:pt>
                <c:pt idx="28">
                  <c:v>48779252.29402566</c:v>
                </c:pt>
                <c:pt idx="29">
                  <c:v>-263623645.0811373</c:v>
                </c:pt>
                <c:pt idx="30">
                  <c:v>-220156224.4590776</c:v>
                </c:pt>
                <c:pt idx="31">
                  <c:v>-200784259.50782204</c:v>
                </c:pt>
                <c:pt idx="32">
                  <c:v>-104951992.27577543</c:v>
                </c:pt>
                <c:pt idx="33">
                  <c:v>-78093127.3100667</c:v>
                </c:pt>
                <c:pt idx="34">
                  <c:v>-27353.113501429558</c:v>
                </c:pt>
                <c:pt idx="35">
                  <c:v>52012454.755058289</c:v>
                </c:pt>
                <c:pt idx="36">
                  <c:v>-95625391.25780797</c:v>
                </c:pt>
                <c:pt idx="37">
                  <c:v>-115105773.47426772</c:v>
                </c:pt>
                <c:pt idx="38">
                  <c:v>-99230956.688006878</c:v>
                </c:pt>
                <c:pt idx="39">
                  <c:v>-26439481.147849321</c:v>
                </c:pt>
                <c:pt idx="40">
                  <c:v>130632996.64617682</c:v>
                </c:pt>
                <c:pt idx="41">
                  <c:v>-89637319.016409039</c:v>
                </c:pt>
                <c:pt idx="42">
                  <c:v>-198468227.29759705</c:v>
                </c:pt>
                <c:pt idx="43">
                  <c:v>-225841854.35960472</c:v>
                </c:pt>
                <c:pt idx="44">
                  <c:v>-252512169.24454486</c:v>
                </c:pt>
                <c:pt idx="45">
                  <c:v>-157708392.75273514</c:v>
                </c:pt>
                <c:pt idx="46">
                  <c:v>-325965048.30734599</c:v>
                </c:pt>
                <c:pt idx="47">
                  <c:v>-25420967.475854754</c:v>
                </c:pt>
                <c:pt idx="48">
                  <c:v>-94940704.033979774</c:v>
                </c:pt>
                <c:pt idx="49">
                  <c:v>-254823337.31205034</c:v>
                </c:pt>
                <c:pt idx="50">
                  <c:v>-104854255.90015912</c:v>
                </c:pt>
                <c:pt idx="51">
                  <c:v>47041566.100634456</c:v>
                </c:pt>
                <c:pt idx="52">
                  <c:v>20213167.050302982</c:v>
                </c:pt>
                <c:pt idx="53">
                  <c:v>-4753702.5475547314</c:v>
                </c:pt>
                <c:pt idx="54">
                  <c:v>-360916.14076447487</c:v>
                </c:pt>
                <c:pt idx="55">
                  <c:v>-104862351.83225679</c:v>
                </c:pt>
                <c:pt idx="56">
                  <c:v>-191925316.62594271</c:v>
                </c:pt>
                <c:pt idx="57">
                  <c:v>-77680623.833050251</c:v>
                </c:pt>
                <c:pt idx="58">
                  <c:v>-190604124.22697425</c:v>
                </c:pt>
                <c:pt idx="59">
                  <c:v>-47548875.703197122</c:v>
                </c:pt>
                <c:pt idx="60">
                  <c:v>-296696731.47347426</c:v>
                </c:pt>
                <c:pt idx="61">
                  <c:v>11781062.833049536</c:v>
                </c:pt>
                <c:pt idx="62">
                  <c:v>-71280331.199711204</c:v>
                </c:pt>
                <c:pt idx="63">
                  <c:v>-193882655.43566895</c:v>
                </c:pt>
                <c:pt idx="64">
                  <c:v>-98444862.845973253</c:v>
                </c:pt>
                <c:pt idx="65">
                  <c:v>-293435184.09831119</c:v>
                </c:pt>
                <c:pt idx="66">
                  <c:v>-301061292.05189061</c:v>
                </c:pt>
                <c:pt idx="67">
                  <c:v>-344536290.99651444</c:v>
                </c:pt>
                <c:pt idx="68">
                  <c:v>-322363836.78747964</c:v>
                </c:pt>
                <c:pt idx="69">
                  <c:v>-242056026.5137167</c:v>
                </c:pt>
                <c:pt idx="70">
                  <c:v>-69556815.483279705</c:v>
                </c:pt>
                <c:pt idx="71">
                  <c:v>-238549753.12993836</c:v>
                </c:pt>
                <c:pt idx="72">
                  <c:v>-336847757.70597434</c:v>
                </c:pt>
                <c:pt idx="73">
                  <c:v>-401927099.77931774</c:v>
                </c:pt>
                <c:pt idx="74">
                  <c:v>-392002324.50668848</c:v>
                </c:pt>
                <c:pt idx="75">
                  <c:v>-337903388.64317322</c:v>
                </c:pt>
                <c:pt idx="76">
                  <c:v>-223010004.49421883</c:v>
                </c:pt>
                <c:pt idx="77">
                  <c:v>147167124.38437343</c:v>
                </c:pt>
                <c:pt idx="78">
                  <c:v>-56972255.61137557</c:v>
                </c:pt>
                <c:pt idx="79">
                  <c:v>199735133.9553082</c:v>
                </c:pt>
                <c:pt idx="80">
                  <c:v>-257960339.32276249</c:v>
                </c:pt>
                <c:pt idx="81">
                  <c:v>-442710967.84653974</c:v>
                </c:pt>
                <c:pt idx="82">
                  <c:v>-281091375.26081133</c:v>
                </c:pt>
                <c:pt idx="83">
                  <c:v>458213940.13622975</c:v>
                </c:pt>
                <c:pt idx="84">
                  <c:v>-184787297.85050702</c:v>
                </c:pt>
                <c:pt idx="85">
                  <c:v>-16448191.715496063</c:v>
                </c:pt>
                <c:pt idx="86">
                  <c:v>170289500.84500933</c:v>
                </c:pt>
                <c:pt idx="87">
                  <c:v>1430237282.565805</c:v>
                </c:pt>
                <c:pt idx="88">
                  <c:v>285744353.27288437</c:v>
                </c:pt>
                <c:pt idx="89">
                  <c:v>227787601.40273762</c:v>
                </c:pt>
                <c:pt idx="90">
                  <c:v>72684057.678881049</c:v>
                </c:pt>
                <c:pt idx="91">
                  <c:v>-5360248.6409058571</c:v>
                </c:pt>
                <c:pt idx="92">
                  <c:v>-131671774.89012647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6-492D-9054-0BD890C9F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676048"/>
        <c:axId val="1405149872"/>
      </c:scatterChart>
      <c:valAx>
        <c:axId val="13506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Газпром-цена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5149872"/>
        <c:crosses val="autoZero"/>
        <c:crossBetween val="midCat"/>
      </c:valAx>
      <c:valAx>
        <c:axId val="1405149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6760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Газпром-объем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>
                  <a:shade val="76000"/>
                </a:schemeClr>
              </a:solidFill>
              <a:ln w="6350" cap="flat" cmpd="sng" algn="ctr">
                <a:solidFill>
                  <a:schemeClr val="accent5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Газпром!$A$2:$A$94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Газпром!$B$2:$B$94</c:f>
              <c:numCache>
                <c:formatCode>General</c:formatCode>
                <c:ptCount val="93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16-4AD0-8D67-DF12E9969AC7}"/>
            </c:ext>
          </c:extLst>
        </c:ser>
        <c:ser>
          <c:idx val="1"/>
          <c:order val="1"/>
          <c:tx>
            <c:v>Предсказанное Газпром-объем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>
                  <a:tint val="77000"/>
                </a:schemeClr>
              </a:solidFill>
              <a:ln w="6350" cap="flat" cmpd="sng" algn="ctr">
                <a:solidFill>
                  <a:schemeClr val="accent5">
                    <a:tint val="77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Газпром!$A$2:$A$94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Газпром!$J$51:$J$143</c:f>
              <c:numCache>
                <c:formatCode>General</c:formatCode>
                <c:ptCount val="93"/>
                <c:pt idx="0">
                  <c:v>747717655.31125689</c:v>
                </c:pt>
                <c:pt idx="1">
                  <c:v>743606150.27498186</c:v>
                </c:pt>
                <c:pt idx="2">
                  <c:v>731629157.34322429</c:v>
                </c:pt>
                <c:pt idx="3">
                  <c:v>723150774.28705478</c:v>
                </c:pt>
                <c:pt idx="4">
                  <c:v>697792237.01363182</c:v>
                </c:pt>
                <c:pt idx="5">
                  <c:v>695876939.6364851</c:v>
                </c:pt>
                <c:pt idx="6">
                  <c:v>659358602.97888732</c:v>
                </c:pt>
                <c:pt idx="7">
                  <c:v>709181872.08306456</c:v>
                </c:pt>
                <c:pt idx="8">
                  <c:v>717583643.24414825</c:v>
                </c:pt>
                <c:pt idx="9">
                  <c:v>748866833.73754501</c:v>
                </c:pt>
                <c:pt idx="10">
                  <c:v>764827645.21376777</c:v>
                </c:pt>
                <c:pt idx="11">
                  <c:v>746185417.40953946</c:v>
                </c:pt>
                <c:pt idx="12">
                  <c:v>735076692.62208843</c:v>
                </c:pt>
                <c:pt idx="13">
                  <c:v>751446100.8721025</c:v>
                </c:pt>
                <c:pt idx="14">
                  <c:v>736225871.04837632</c:v>
                </c:pt>
                <c:pt idx="15">
                  <c:v>726777070.65445256</c:v>
                </c:pt>
                <c:pt idx="16">
                  <c:v>709590468.85685587</c:v>
                </c:pt>
                <c:pt idx="17">
                  <c:v>742610195.63886547</c:v>
                </c:pt>
                <c:pt idx="18">
                  <c:v>761150274.24964607</c:v>
                </c:pt>
                <c:pt idx="19">
                  <c:v>717839016.22776771</c:v>
                </c:pt>
                <c:pt idx="20">
                  <c:v>717711329.73595786</c:v>
                </c:pt>
                <c:pt idx="21">
                  <c:v>732906022.26132202</c:v>
                </c:pt>
                <c:pt idx="22">
                  <c:v>742099449.67162645</c:v>
                </c:pt>
                <c:pt idx="23">
                  <c:v>745572522.24885249</c:v>
                </c:pt>
                <c:pt idx="24">
                  <c:v>713523212.80459714</c:v>
                </c:pt>
                <c:pt idx="25">
                  <c:v>748024102.89160037</c:v>
                </c:pt>
                <c:pt idx="26">
                  <c:v>771339656.29606664</c:v>
                </c:pt>
                <c:pt idx="27">
                  <c:v>735459752.09751773</c:v>
                </c:pt>
                <c:pt idx="28">
                  <c:v>772744207.70597434</c:v>
                </c:pt>
                <c:pt idx="29">
                  <c:v>735715125.0811373</c:v>
                </c:pt>
                <c:pt idx="30">
                  <c:v>753208174.4590776</c:v>
                </c:pt>
                <c:pt idx="31">
                  <c:v>744653179.50782204</c:v>
                </c:pt>
                <c:pt idx="32">
                  <c:v>759183902.27577543</c:v>
                </c:pt>
                <c:pt idx="33">
                  <c:v>724351027.3100667</c:v>
                </c:pt>
                <c:pt idx="34">
                  <c:v>727415503.11350143</c:v>
                </c:pt>
                <c:pt idx="35">
                  <c:v>733161395.24494171</c:v>
                </c:pt>
                <c:pt idx="36">
                  <c:v>728283771.25780797</c:v>
                </c:pt>
                <c:pt idx="37">
                  <c:v>729586173.47426772</c:v>
                </c:pt>
                <c:pt idx="38">
                  <c:v>741844076.68800688</c:v>
                </c:pt>
                <c:pt idx="39">
                  <c:v>758060261.14784932</c:v>
                </c:pt>
                <c:pt idx="40">
                  <c:v>810973543.35382318</c:v>
                </c:pt>
                <c:pt idx="41">
                  <c:v>752314369.01640904</c:v>
                </c:pt>
                <c:pt idx="42">
                  <c:v>737017527.29759705</c:v>
                </c:pt>
                <c:pt idx="43">
                  <c:v>731373784.35960472</c:v>
                </c:pt>
                <c:pt idx="44">
                  <c:v>725372519.24454486</c:v>
                </c:pt>
                <c:pt idx="45">
                  <c:v>725244832.75273514</c:v>
                </c:pt>
                <c:pt idx="46">
                  <c:v>735306528.30734599</c:v>
                </c:pt>
                <c:pt idx="47">
                  <c:v>760741677.47585475</c:v>
                </c:pt>
                <c:pt idx="48">
                  <c:v>775425624.03397977</c:v>
                </c:pt>
                <c:pt idx="49">
                  <c:v>763295407.31205034</c:v>
                </c:pt>
                <c:pt idx="50">
                  <c:v>722946475.90015912</c:v>
                </c:pt>
                <c:pt idx="51">
                  <c:v>707368723.89936554</c:v>
                </c:pt>
                <c:pt idx="52">
                  <c:v>729969232.94969702</c:v>
                </c:pt>
                <c:pt idx="53">
                  <c:v>687909302.54755473</c:v>
                </c:pt>
                <c:pt idx="54">
                  <c:v>683338126.14076447</c:v>
                </c:pt>
                <c:pt idx="55">
                  <c:v>677234711.83225679</c:v>
                </c:pt>
                <c:pt idx="56">
                  <c:v>682010186.62594271</c:v>
                </c:pt>
                <c:pt idx="57">
                  <c:v>692812463.83305025</c:v>
                </c:pt>
                <c:pt idx="58">
                  <c:v>702261264.22697425</c:v>
                </c:pt>
                <c:pt idx="59">
                  <c:v>718222075.70319712</c:v>
                </c:pt>
                <c:pt idx="60">
                  <c:v>714008421.47347426</c:v>
                </c:pt>
                <c:pt idx="61">
                  <c:v>746849387.16695046</c:v>
                </c:pt>
                <c:pt idx="62">
                  <c:v>746338641.1997112</c:v>
                </c:pt>
                <c:pt idx="63">
                  <c:v>744219045.43566895</c:v>
                </c:pt>
                <c:pt idx="64">
                  <c:v>753412472.84597325</c:v>
                </c:pt>
                <c:pt idx="65">
                  <c:v>751037504.09831119</c:v>
                </c:pt>
                <c:pt idx="66">
                  <c:v>740848122.05189061</c:v>
                </c:pt>
                <c:pt idx="67">
                  <c:v>747947490.99651444</c:v>
                </c:pt>
                <c:pt idx="68">
                  <c:v>763678466.78747964</c:v>
                </c:pt>
                <c:pt idx="69">
                  <c:v>796008686.5137167</c:v>
                </c:pt>
                <c:pt idx="70">
                  <c:v>777775055.48327971</c:v>
                </c:pt>
                <c:pt idx="71">
                  <c:v>792637763.12993836</c:v>
                </c:pt>
                <c:pt idx="72">
                  <c:v>772744207.70597434</c:v>
                </c:pt>
                <c:pt idx="73">
                  <c:v>796544969.77931774</c:v>
                </c:pt>
                <c:pt idx="74">
                  <c:v>786764184.50668848</c:v>
                </c:pt>
                <c:pt idx="75">
                  <c:v>762810198.64317322</c:v>
                </c:pt>
                <c:pt idx="76">
                  <c:v>799430684.49421883</c:v>
                </c:pt>
                <c:pt idx="77">
                  <c:v>930053965.61562657</c:v>
                </c:pt>
                <c:pt idx="78">
                  <c:v>975331595.61137557</c:v>
                </c:pt>
                <c:pt idx="79">
                  <c:v>985725276.0446918</c:v>
                </c:pt>
                <c:pt idx="80">
                  <c:v>973595059.32276249</c:v>
                </c:pt>
                <c:pt idx="81">
                  <c:v>957634247.84653974</c:v>
                </c:pt>
                <c:pt idx="82">
                  <c:v>1044716435.2608113</c:v>
                </c:pt>
                <c:pt idx="83">
                  <c:v>1038434259.8637702</c:v>
                </c:pt>
                <c:pt idx="84">
                  <c:v>1035523007.850507</c:v>
                </c:pt>
                <c:pt idx="85">
                  <c:v>959677231.71549606</c:v>
                </c:pt>
                <c:pt idx="86">
                  <c:v>898260029.15499067</c:v>
                </c:pt>
                <c:pt idx="87">
                  <c:v>844018807.43419504</c:v>
                </c:pt>
                <c:pt idx="88">
                  <c:v>865955346.72711563</c:v>
                </c:pt>
                <c:pt idx="89">
                  <c:v>891364958.59726238</c:v>
                </c:pt>
                <c:pt idx="90">
                  <c:v>876961922.32111895</c:v>
                </c:pt>
                <c:pt idx="91">
                  <c:v>847032208.64090586</c:v>
                </c:pt>
                <c:pt idx="92">
                  <c:v>847823864.89012647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16-4AD0-8D67-DF12E9969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676048"/>
        <c:axId val="1343317088"/>
      </c:scatterChart>
      <c:valAx>
        <c:axId val="13506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Газпром-цена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3317088"/>
        <c:crosses val="autoZero"/>
        <c:crossBetween val="midCat"/>
      </c:valAx>
      <c:valAx>
        <c:axId val="1343317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Газпром-объем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6760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180022</xdr:rowOff>
    </xdr:from>
    <xdr:to>
      <xdr:col>15</xdr:col>
      <xdr:colOff>0</xdr:colOff>
      <xdr:row>23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A7E1EC-1F00-47D7-AE22-7C6B7EDA2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17</xdr:col>
      <xdr:colOff>0</xdr:colOff>
      <xdr:row>58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5192974-65FF-4CDC-AA9E-483F17DEB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16</xdr:col>
      <xdr:colOff>601980</xdr:colOff>
      <xdr:row>70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3E24817-4CC8-4353-B8FB-6656AE0EF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68C7BE-1BC5-4146-AFB6-8368F6D10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761999</xdr:colOff>
      <xdr:row>47</xdr:row>
      <xdr:rowOff>0</xdr:rowOff>
    </xdr:from>
    <xdr:to>
      <xdr:col>16</xdr:col>
      <xdr:colOff>609599</xdr:colOff>
      <xdr:row>58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646F9F2-9B67-4A5B-BADD-CED35E419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17</xdr:col>
      <xdr:colOff>0</xdr:colOff>
      <xdr:row>70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63BEC9F-0AAD-484C-81BA-43663314B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180022</xdr:rowOff>
    </xdr:from>
    <xdr:to>
      <xdr:col>15</xdr:col>
      <xdr:colOff>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5300ED-3618-47C9-8240-363CA8603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761999</xdr:colOff>
      <xdr:row>47</xdr:row>
      <xdr:rowOff>0</xdr:rowOff>
    </xdr:from>
    <xdr:to>
      <xdr:col>16</xdr:col>
      <xdr:colOff>609599</xdr:colOff>
      <xdr:row>58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256887A-6B8F-4F2B-B8E7-752D4CBCC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761999</xdr:colOff>
      <xdr:row>59</xdr:row>
      <xdr:rowOff>0</xdr:rowOff>
    </xdr:from>
    <xdr:to>
      <xdr:col>16</xdr:col>
      <xdr:colOff>609599</xdr:colOff>
      <xdr:row>70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46D362C-7C27-4542-A8AA-B1E215C57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EC9C3-83AA-46B5-8F49-FBE3DCF3F356}" name="Таблица1" displayName="Таблица1" ref="A1:G96" totalsRowCount="1" headerRowDxfId="50" dataDxfId="49" tableBorderDxfId="31">
  <autoFilter ref="A1:G95" xr:uid="{42A6688D-4F0D-49D3-AECD-22017D426F09}"/>
  <tableColumns count="7">
    <tableColumn id="1" xr3:uid="{6496E79D-7888-4274-96F7-219F3B844E89}" name="Сбербанк-цена" totalsRowFunction="sum" dataDxfId="30" totalsRowDxfId="29"/>
    <tableColumn id="2" xr3:uid="{DB90D462-64B8-4E28-A0A3-04E24404DBEB}" name="Сбербанк-объем" totalsRowFunction="sum" dataDxfId="28" totalsRowDxfId="27"/>
    <tableColumn id="3" xr3:uid="{343C19EB-170F-4398-B01D-20138B8498CB}" name="h=k1*x+k0" totalsRowFunction="sum" dataDxfId="26" totalsRowDxfId="25">
      <calculatedColumnFormula>k1_*Таблица1[[#This Row],[Сбербанк-цена]]+k0</calculatedColumnFormula>
    </tableColumn>
    <tableColumn id="4" xr3:uid="{94A76DDA-4626-4806-987E-D2DB46183E9C}" name="y-h" totalsRowFunction="sum" dataDxfId="24" totalsRowDxfId="23">
      <calculatedColumnFormula>Таблица1[[#This Row],[Сбербанк-объем]]-Таблица1[[#This Row],[h=k1*x+k0]]</calculatedColumnFormula>
    </tableColumn>
    <tableColumn id="5" xr3:uid="{48EBD203-56E9-4E9D-A146-31E0F3D34020}" name="(y-h)^2" totalsRowFunction="sum" dataDxfId="22" totalsRowDxfId="21">
      <calculatedColumnFormula>Таблица1[[#This Row],[y-h]]^2</calculatedColumnFormula>
    </tableColumn>
    <tableColumn id="6" xr3:uid="{9B869F60-DA9C-4181-986B-1D4E5A9B2828}" name="x^2" totalsRowFunction="sum" dataDxfId="20" totalsRowDxfId="19">
      <calculatedColumnFormula>Таблица1[[#This Row],[Сбербанк-цена]]^2</calculatedColumnFormula>
    </tableColumn>
    <tableColumn id="7" xr3:uid="{906ED005-1CF5-4DD5-8C6A-EB378E9C3542}" name="x*y" totalsRowFunction="sum" dataDxfId="18" totalsRowDxfId="17">
      <calculatedColumnFormula>Таблица1[[#This Row],[Сбербанк-цена]]*Таблица1[[#This Row],[Сбербанк-объем]]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F5D30-8786-4D54-A7DF-19361C7791D7}" name="Таблица13" displayName="Таблица13" ref="A1:G95" totalsRowCount="1" headerRowDxfId="48" dataDxfId="47" tableBorderDxfId="46">
  <autoFilter ref="A1:G94" xr:uid="{42A6688D-4F0D-49D3-AECD-22017D426F09}"/>
  <tableColumns count="7">
    <tableColumn id="1" xr3:uid="{D92F7CC6-12C1-4B96-8649-74E6845FAFDC}" name="ВТБ-цена" totalsRowFunction="sum" dataDxfId="45" totalsRowDxfId="44"/>
    <tableColumn id="2" xr3:uid="{F0CB383B-4251-4CF3-98F9-EC27CFD65A7B}" name="ВТБ-объем" totalsRowFunction="sum" dataDxfId="43" totalsRowDxfId="42"/>
    <tableColumn id="3" xr3:uid="{18B1AA66-0461-4220-A803-6FEC1D025FB0}" name="h=k1*x+k0" totalsRowFunction="sum" dataDxfId="41" totalsRowDxfId="40">
      <calculatedColumnFormula>k1_*Таблица13[[#This Row],[ВТБ-цена]]+k0</calculatedColumnFormula>
    </tableColumn>
    <tableColumn id="4" xr3:uid="{05AA2B73-9C08-4323-9330-AB1AAC70E98A}" name="y-h" totalsRowFunction="sum" dataDxfId="39" totalsRowDxfId="38">
      <calculatedColumnFormula>Таблица13[[#This Row],[ВТБ-объем]]-Таблица13[[#This Row],[h=k1*x+k0]]</calculatedColumnFormula>
    </tableColumn>
    <tableColumn id="5" xr3:uid="{C67AE2D7-D189-4130-881A-FC450FF51DB3}" name="(y-h)^2" totalsRowFunction="sum" dataDxfId="37" totalsRowDxfId="36">
      <calculatedColumnFormula>Таблица13[[#This Row],[y-h]]^2</calculatedColumnFormula>
    </tableColumn>
    <tableColumn id="6" xr3:uid="{A7701C20-72C9-4DF3-83AC-6DCF75DA8D5B}" name="x^2" totalsRowFunction="sum" dataDxfId="35" totalsRowDxfId="34">
      <calculatedColumnFormula>Таблица13[[#This Row],[ВТБ-цена]]^2</calculatedColumnFormula>
    </tableColumn>
    <tableColumn id="7" xr3:uid="{3483A158-7F2F-4BD8-843E-7E2D6CE00B2B}" name="x*y" totalsRowFunction="sum" dataDxfId="33" totalsRowDxfId="32">
      <calculatedColumnFormula>Таблица13[[#This Row],[ВТБ-цена]]*Таблица13[[#This Row],[ВТБ-объем]]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14EAB4-F23A-4F3C-B8C1-C5DACE9A37E5}" name="Таблица14" displayName="Таблица14" ref="A1:G95" totalsRowCount="1" headerRowDxfId="16" dataDxfId="15" tableBorderDxfId="14">
  <autoFilter ref="A1:G94" xr:uid="{42A6688D-4F0D-49D3-AECD-22017D426F09}"/>
  <tableColumns count="7">
    <tableColumn id="1" xr3:uid="{AA3169ED-A1DC-4EF6-A9A5-585E6C531CA7}" name="Газпром-цена" totalsRowFunction="sum" dataDxfId="13" totalsRowDxfId="6"/>
    <tableColumn id="2" xr3:uid="{134FDEF2-51C7-450C-A86A-A4712E4E7157}" name="Газпром-объем" totalsRowFunction="sum" dataDxfId="12" totalsRowDxfId="5"/>
    <tableColumn id="3" xr3:uid="{36081CE6-32CB-41B7-8627-4B3644E3E59D}" name="h=k1*x+k0" totalsRowFunction="sum" dataDxfId="11" totalsRowDxfId="4">
      <calculatedColumnFormula>k1_*Таблица14[[#This Row],[Газпром-цена]]+k0</calculatedColumnFormula>
    </tableColumn>
    <tableColumn id="4" xr3:uid="{DE10092E-9366-4677-BB2E-E72F69CF2B2E}" name="y-h" totalsRowFunction="sum" dataDxfId="10" totalsRowDxfId="3">
      <calculatedColumnFormula>Таблица14[[#This Row],[Газпром-объем]]-Таблица14[[#This Row],[h=k1*x+k0]]</calculatedColumnFormula>
    </tableColumn>
    <tableColumn id="5" xr3:uid="{2CD935B6-FFA5-4A86-B5F6-3BBEF371F549}" name="(y-h)^2" totalsRowFunction="sum" dataDxfId="9" totalsRowDxfId="2">
      <calculatedColumnFormula>Таблица14[[#This Row],[y-h]]^2</calculatedColumnFormula>
    </tableColumn>
    <tableColumn id="6" xr3:uid="{63089A88-1C0D-4125-B16B-95845E84F675}" name="x^2" totalsRowFunction="sum" dataDxfId="8" totalsRowDxfId="1">
      <calculatedColumnFormula>Таблица14[[#This Row],[Газпром-цена]]^2</calculatedColumnFormula>
    </tableColumn>
    <tableColumn id="7" xr3:uid="{E899DE42-ED37-4D01-893E-2DCBD539EF31}" name="x*y" totalsRowFunction="sum" dataDxfId="7" totalsRowDxfId="0">
      <calculatedColumnFormula>Таблица14[[#This Row],[Газпром-цена]]*Таблица14[[#This Row],[Газпром-объем]]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E735-4386-49B0-96F3-F447A01673A8}">
  <dimension ref="A1:AB156"/>
  <sheetViews>
    <sheetView workbookViewId="0">
      <selection activeCell="H18" sqref="H18"/>
    </sheetView>
  </sheetViews>
  <sheetFormatPr defaultRowHeight="15" x14ac:dyDescent="0.25"/>
  <cols>
    <col min="1" max="1" width="17.140625" customWidth="1"/>
    <col min="2" max="2" width="18.85546875" customWidth="1"/>
    <col min="3" max="3" width="18.5703125" style="6" customWidth="1"/>
    <col min="4" max="4" width="17.140625" customWidth="1"/>
    <col min="5" max="5" width="30" customWidth="1"/>
    <col min="6" max="6" width="14.28515625" customWidth="1"/>
    <col min="7" max="7" width="21.42578125" customWidth="1"/>
    <col min="10" max="10" width="17.140625" customWidth="1"/>
    <col min="12" max="12" width="11.42578125" customWidth="1"/>
    <col min="13" max="13" width="9.85546875" bestFit="1" customWidth="1"/>
    <col min="14" max="14" width="20" customWidth="1"/>
  </cols>
  <sheetData>
    <row r="1" spans="1:14" x14ac:dyDescent="0.25">
      <c r="A1" s="4" t="s">
        <v>0</v>
      </c>
      <c r="B1" s="3" t="s">
        <v>1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14" x14ac:dyDescent="0.25">
      <c r="A2" s="5">
        <v>54.9</v>
      </c>
      <c r="B2" s="5">
        <v>4337561310</v>
      </c>
      <c r="C2" s="5">
        <f>k1_*Таблица1[[#This Row],[Сбербанк-цена]]+k0</f>
        <v>2542716886.4484205</v>
      </c>
      <c r="D2" s="5">
        <f>Таблица1[[#This Row],[Сбербанк-объем]]-Таблица1[[#This Row],[h=k1*x+k0]]</f>
        <v>1794844423.5515795</v>
      </c>
      <c r="E2" s="5">
        <f>Таблица1[[#This Row],[y-h]]^2</f>
        <v>3.2214665047542016E+18</v>
      </c>
      <c r="F2" s="5">
        <f>Таблица1[[#This Row],[Сбербанк-цена]]^2</f>
        <v>3014.0099999999998</v>
      </c>
      <c r="G2" s="5">
        <f>Таблица1[[#This Row],[Сбербанк-цена]]*Таблица1[[#This Row],[Сбербанк-объем]]</f>
        <v>238132115919</v>
      </c>
      <c r="I2" s="2" t="s">
        <v>2</v>
      </c>
      <c r="J2" s="1">
        <f>L7</f>
        <v>3045971375.8696613</v>
      </c>
      <c r="K2" s="2"/>
      <c r="L2" s="6" t="s">
        <v>9</v>
      </c>
      <c r="M2" s="6" t="s">
        <v>10</v>
      </c>
      <c r="N2" s="6" t="s">
        <v>11</v>
      </c>
    </row>
    <row r="3" spans="1:14" x14ac:dyDescent="0.25">
      <c r="A3" s="5">
        <v>61.5</v>
      </c>
      <c r="B3" s="5">
        <v>2691982770</v>
      </c>
      <c r="C3" s="5">
        <f>k1_*Таблица1[[#This Row],[Сбербанк-цена]]+k0</f>
        <v>2482216346.736577</v>
      </c>
      <c r="D3" s="5">
        <f>Таблица1[[#This Row],[Сбербанк-объем]]-Таблица1[[#This Row],[h=k1*x+k0]]</f>
        <v>209766423.26342297</v>
      </c>
      <c r="E3" s="5">
        <f>Таблица1[[#This Row],[y-h]]^2</f>
        <v>4.4001952328729512E+16</v>
      </c>
      <c r="F3" s="5">
        <f>Таблица1[[#This Row],[Сбербанк-цена]]^2</f>
        <v>3782.25</v>
      </c>
      <c r="G3" s="5">
        <f>Таблица1[[#This Row],[Сбербанк-цена]]*Таблица1[[#This Row],[Сбербанк-объем]]</f>
        <v>165556940355</v>
      </c>
      <c r="I3" s="2" t="s">
        <v>3</v>
      </c>
      <c r="J3" s="1">
        <f>L6</f>
        <v>-9166748.4411883578</v>
      </c>
      <c r="K3" s="2"/>
      <c r="L3" s="7">
        <f>Таблица1[[#Totals],[x^2]]</f>
        <v>2526861.3566999994</v>
      </c>
      <c r="M3" s="7">
        <f>Таблица1[[#Totals],[Сбербанк-цена]]</f>
        <v>14229.27</v>
      </c>
      <c r="N3" s="7">
        <f>Таблица1[[#Totals],[x*y]]</f>
        <v>20178846716892.094</v>
      </c>
    </row>
    <row r="4" spans="1:14" x14ac:dyDescent="0.25">
      <c r="A4" s="5">
        <v>62.88</v>
      </c>
      <c r="B4" s="5">
        <v>2785656310</v>
      </c>
      <c r="C4" s="5">
        <f>k1_*Таблица1[[#This Row],[Сбербанк-цена]]+k0</f>
        <v>2469566233.8877373</v>
      </c>
      <c r="D4" s="5">
        <f>Таблица1[[#This Row],[Сбербанк-объем]]-Таблица1[[#This Row],[h=k1*x+k0]]</f>
        <v>316090076.11226273</v>
      </c>
      <c r="E4" s="5">
        <f>Таблица1[[#This Row],[y-h]]^2</f>
        <v>9.9912936216656048E+16</v>
      </c>
      <c r="F4" s="5">
        <f>Таблица1[[#This Row],[Сбербанк-цена]]^2</f>
        <v>3953.8944000000001</v>
      </c>
      <c r="G4" s="5">
        <f>Таблица1[[#This Row],[Сбербанк-цена]]*Таблица1[[#This Row],[Сбербанк-объем]]</f>
        <v>175162068772.80002</v>
      </c>
      <c r="L4" s="7">
        <f>Таблица1[[#Totals],[Сбербанк-цена]]</f>
        <v>14229.27</v>
      </c>
      <c r="M4" s="6">
        <f>COUNT(Таблица1[Сбербанк-цена])</f>
        <v>94</v>
      </c>
      <c r="N4" s="7">
        <f>Таблица1[[#Totals],[Сбербанк-объем]]</f>
        <v>155885170740</v>
      </c>
    </row>
    <row r="5" spans="1:14" x14ac:dyDescent="0.25">
      <c r="A5" s="5">
        <v>72.25</v>
      </c>
      <c r="B5" s="5">
        <v>2030051460</v>
      </c>
      <c r="C5" s="5">
        <f>k1_*Таблица1[[#This Row],[Сбербанк-цена]]+k0</f>
        <v>2383673800.9938025</v>
      </c>
      <c r="D5" s="5">
        <f>Таблица1[[#This Row],[Сбербанк-объем]]-Таблица1[[#This Row],[h=k1*x+k0]]</f>
        <v>-353622340.99380255</v>
      </c>
      <c r="E5" s="5">
        <f>Таблица1[[#This Row],[y-h]]^2</f>
        <v>1.2504876004993717E+17</v>
      </c>
      <c r="F5" s="5">
        <f>Таблица1[[#This Row],[Сбербанк-цена]]^2</f>
        <v>5220.0625</v>
      </c>
      <c r="G5" s="5">
        <f>Таблица1[[#This Row],[Сбербанк-цена]]*Таблица1[[#This Row],[Сбербанк-объем]]</f>
        <v>146671217985</v>
      </c>
      <c r="L5" s="6"/>
      <c r="M5" s="6"/>
      <c r="N5" s="6"/>
    </row>
    <row r="6" spans="1:14" x14ac:dyDescent="0.25">
      <c r="A6" s="5">
        <v>72.3</v>
      </c>
      <c r="B6" s="5">
        <v>2690621070</v>
      </c>
      <c r="C6" s="5">
        <f>k1_*Таблица1[[#This Row],[Сбербанк-цена]]+k0</f>
        <v>2383215463.571743</v>
      </c>
      <c r="D6" s="5">
        <f>Таблица1[[#This Row],[Сбербанк-объем]]-Таблица1[[#This Row],[h=k1*x+k0]]</f>
        <v>307405606.42825699</v>
      </c>
      <c r="E6" s="5">
        <f>Таблица1[[#This Row],[y-h]]^2</f>
        <v>9.4498206863524432E+16</v>
      </c>
      <c r="F6" s="5">
        <f>Таблица1[[#This Row],[Сбербанк-цена]]^2</f>
        <v>5227.29</v>
      </c>
      <c r="G6" s="5">
        <f>Таблица1[[#This Row],[Сбербанк-цена]]*Таблица1[[#This Row],[Сбербанк-объем]]</f>
        <v>194531903361</v>
      </c>
      <c r="J6" s="10">
        <v>-10000000</v>
      </c>
      <c r="L6" s="8">
        <f t="array" ref="L6:L7">MMULT(MINVERSE(L3:M4),N3:N4)</f>
        <v>-9166748.4411883578</v>
      </c>
      <c r="M6" s="6"/>
      <c r="N6" s="6"/>
    </row>
    <row r="7" spans="1:14" x14ac:dyDescent="0.25">
      <c r="A7" s="5">
        <v>72.349999999999994</v>
      </c>
      <c r="B7" s="5">
        <v>1885405260</v>
      </c>
      <c r="C7" s="5">
        <f>k1_*Таблица1[[#This Row],[Сбербанк-цена]]+k0</f>
        <v>2382757126.149684</v>
      </c>
      <c r="D7" s="5">
        <f>Таблица1[[#This Row],[Сбербанк-объем]]-Таблица1[[#This Row],[h=k1*x+k0]]</f>
        <v>-497351866.14968395</v>
      </c>
      <c r="E7" s="5">
        <f>Таблица1[[#This Row],[y-h]]^2</f>
        <v>2.4735887876257315E+17</v>
      </c>
      <c r="F7" s="5">
        <f>Таблица1[[#This Row],[Сбербанк-цена]]^2</f>
        <v>5234.5224999999991</v>
      </c>
      <c r="G7" s="5">
        <f>Таблица1[[#This Row],[Сбербанк-цена]]*Таблица1[[#This Row],[Сбербанк-объем]]</f>
        <v>136409070560.99998</v>
      </c>
      <c r="J7" s="10">
        <v>4000000000</v>
      </c>
      <c r="L7" s="8">
        <v>3045971375.8696613</v>
      </c>
      <c r="M7" s="6"/>
      <c r="N7" s="6"/>
    </row>
    <row r="8" spans="1:14" x14ac:dyDescent="0.25">
      <c r="A8" s="5">
        <v>72.5</v>
      </c>
      <c r="B8" s="5">
        <v>4013046200</v>
      </c>
      <c r="C8" s="5">
        <f>k1_*Таблица1[[#This Row],[Сбербанк-цена]]+k0</f>
        <v>2381382113.8835053</v>
      </c>
      <c r="D8" s="5">
        <f>Таблица1[[#This Row],[Сбербанк-объем]]-Таблица1[[#This Row],[h=k1*x+k0]]</f>
        <v>1631664086.1164947</v>
      </c>
      <c r="E8" s="5">
        <f>Таблица1[[#This Row],[y-h]]^2</f>
        <v>2.6623276899223757E+18</v>
      </c>
      <c r="F8" s="5">
        <f>Таблица1[[#This Row],[Сбербанк-цена]]^2</f>
        <v>5256.25</v>
      </c>
      <c r="G8" s="5">
        <f>Таблица1[[#This Row],[Сбербанк-цена]]*Таблица1[[#This Row],[Сбербанк-объем]]</f>
        <v>290945849500</v>
      </c>
    </row>
    <row r="9" spans="1:14" x14ac:dyDescent="0.25">
      <c r="A9" s="5">
        <v>73.209999999999994</v>
      </c>
      <c r="B9" s="5">
        <v>3076887590</v>
      </c>
      <c r="C9" s="5">
        <f>k1_*Таблица1[[#This Row],[Сбербанк-цена]]+k0</f>
        <v>2374873722.4902616</v>
      </c>
      <c r="D9" s="5">
        <f>Таблица1[[#This Row],[Сбербанк-объем]]-Таблица1[[#This Row],[h=k1*x+k0]]</f>
        <v>702013867.50973845</v>
      </c>
      <c r="E9" s="5">
        <f>Таблица1[[#This Row],[y-h]]^2</f>
        <v>4.9282347017598061E+17</v>
      </c>
      <c r="F9" s="5">
        <f>Таблица1[[#This Row],[Сбербанк-цена]]^2</f>
        <v>5359.704099999999</v>
      </c>
      <c r="G9" s="5">
        <f>Таблица1[[#This Row],[Сбербанк-цена]]*Таблица1[[#This Row],[Сбербанк-объем]]</f>
        <v>225258940463.89999</v>
      </c>
    </row>
    <row r="10" spans="1:14" x14ac:dyDescent="0.25">
      <c r="A10" s="5">
        <v>73.5</v>
      </c>
      <c r="B10" s="5">
        <v>1830904250</v>
      </c>
      <c r="C10" s="5">
        <f>k1_*Таблица1[[#This Row],[Сбербанк-цена]]+k0</f>
        <v>2372215365.442317</v>
      </c>
      <c r="D10" s="5">
        <f>Таблица1[[#This Row],[Сбербанк-объем]]-Таблица1[[#This Row],[h=k1*x+k0]]</f>
        <v>-541311115.44231701</v>
      </c>
      <c r="E10" s="5">
        <f>Таблица1[[#This Row],[y-h]]^2</f>
        <v>2.9301772370140544E+17</v>
      </c>
      <c r="F10" s="5">
        <f>Таблица1[[#This Row],[Сбербанк-цена]]^2</f>
        <v>5402.25</v>
      </c>
      <c r="G10" s="5">
        <f>Таблица1[[#This Row],[Сбербанк-цена]]*Таблица1[[#This Row],[Сбербанк-объем]]</f>
        <v>134571462375</v>
      </c>
    </row>
    <row r="11" spans="1:14" x14ac:dyDescent="0.25">
      <c r="A11" s="5">
        <v>73.599999999999994</v>
      </c>
      <c r="B11" s="5">
        <v>2551370010</v>
      </c>
      <c r="C11" s="5">
        <f>k1_*Таблица1[[#This Row],[Сбербанк-цена]]+k0</f>
        <v>2371298690.5981984</v>
      </c>
      <c r="D11" s="5">
        <f>Таблица1[[#This Row],[Сбербанк-объем]]-Таблица1[[#This Row],[h=k1*x+k0]]</f>
        <v>180071319.40180159</v>
      </c>
      <c r="E11" s="5">
        <f>Таблица1[[#This Row],[y-h]]^2</f>
        <v>3.2425680071105644E+16</v>
      </c>
      <c r="F11" s="5">
        <f>Таблица1[[#This Row],[Сбербанк-цена]]^2</f>
        <v>5416.9599999999991</v>
      </c>
      <c r="G11" s="5">
        <f>Таблица1[[#This Row],[Сбербанк-цена]]*Таблица1[[#This Row],[Сбербанк-объем]]</f>
        <v>187780832736</v>
      </c>
    </row>
    <row r="12" spans="1:14" x14ac:dyDescent="0.25">
      <c r="A12" s="5">
        <v>74.5</v>
      </c>
      <c r="B12" s="5">
        <v>2488111940</v>
      </c>
      <c r="C12" s="5">
        <f>k1_*Таблица1[[#This Row],[Сбербанк-цена]]+k0</f>
        <v>2363048617.0011287</v>
      </c>
      <c r="D12" s="5">
        <f>Таблица1[[#This Row],[Сбербанк-объем]]-Таблица1[[#This Row],[h=k1*x+k0]]</f>
        <v>125063322.99887133</v>
      </c>
      <c r="E12" s="5">
        <f>Таблица1[[#This Row],[y-h]]^2</f>
        <v>1.5640834759520018E+16</v>
      </c>
      <c r="F12" s="5">
        <f>Таблица1[[#This Row],[Сбербанк-цена]]^2</f>
        <v>5550.25</v>
      </c>
      <c r="G12" s="5">
        <f>Таблица1[[#This Row],[Сбербанк-цена]]*Таблица1[[#This Row],[Сбербанк-объем]]</f>
        <v>185364339530</v>
      </c>
    </row>
    <row r="13" spans="1:14" x14ac:dyDescent="0.25">
      <c r="A13" s="5">
        <v>75.3</v>
      </c>
      <c r="B13" s="5">
        <v>2008042110</v>
      </c>
      <c r="C13" s="5">
        <f>k1_*Таблица1[[#This Row],[Сбербанк-цена]]+k0</f>
        <v>2355715218.248178</v>
      </c>
      <c r="D13" s="5">
        <f>Таблица1[[#This Row],[Сбербанк-объем]]-Таблица1[[#This Row],[h=k1*x+k0]]</f>
        <v>-347673108.24817801</v>
      </c>
      <c r="E13" s="5">
        <f>Таблица1[[#This Row],[y-h]]^2</f>
        <v>1.208765901989493E+17</v>
      </c>
      <c r="F13" s="5">
        <f>Таблица1[[#This Row],[Сбербанк-цена]]^2</f>
        <v>5670.0899999999992</v>
      </c>
      <c r="G13" s="5">
        <f>Таблица1[[#This Row],[Сбербанк-цена]]*Таблица1[[#This Row],[Сбербанк-объем]]</f>
        <v>151205570883</v>
      </c>
    </row>
    <row r="14" spans="1:14" x14ac:dyDescent="0.25">
      <c r="A14" s="5">
        <v>75.52</v>
      </c>
      <c r="B14" s="5">
        <v>2891411920</v>
      </c>
      <c r="C14" s="5">
        <f>k1_*Таблица1[[#This Row],[Сбербанк-цена]]+k0</f>
        <v>2353698533.5911164</v>
      </c>
      <c r="D14" s="5">
        <f>Таблица1[[#This Row],[Сбербанк-объем]]-Таблица1[[#This Row],[h=k1*x+k0]]</f>
        <v>537713386.40888357</v>
      </c>
      <c r="E14" s="5">
        <f>Таблица1[[#This Row],[y-h]]^2</f>
        <v>2.8913568592330931E+17</v>
      </c>
      <c r="F14" s="5">
        <f>Таблица1[[#This Row],[Сбербанк-цена]]^2</f>
        <v>5703.2703999999994</v>
      </c>
      <c r="G14" s="5">
        <f>Таблица1[[#This Row],[Сбербанк-цена]]*Таблица1[[#This Row],[Сбербанк-объем]]</f>
        <v>218359428198.39999</v>
      </c>
    </row>
    <row r="15" spans="1:14" x14ac:dyDescent="0.25">
      <c r="A15" s="5">
        <v>75.91</v>
      </c>
      <c r="B15" s="5">
        <v>3583789870</v>
      </c>
      <c r="C15" s="5">
        <f>k1_*Таблица1[[#This Row],[Сбербанк-цена]]+k0</f>
        <v>2350123501.6990533</v>
      </c>
      <c r="D15" s="5">
        <f>Таблица1[[#This Row],[Сбербанк-объем]]-Таблица1[[#This Row],[h=k1*x+k0]]</f>
        <v>1233666368.3009467</v>
      </c>
      <c r="E15" s="5">
        <f>Таблица1[[#This Row],[y-h]]^2</f>
        <v>1.5219327082768471E+18</v>
      </c>
      <c r="F15" s="5">
        <f>Таблица1[[#This Row],[Сбербанк-цена]]^2</f>
        <v>5762.3280999999997</v>
      </c>
      <c r="G15" s="5">
        <f>Таблица1[[#This Row],[Сбербанк-цена]]*Таблица1[[#This Row],[Сбербанк-объем]]</f>
        <v>272045489031.69998</v>
      </c>
    </row>
    <row r="16" spans="1:14" x14ac:dyDescent="0.25">
      <c r="A16" s="5">
        <v>76.23</v>
      </c>
      <c r="B16" s="5">
        <v>2905609940</v>
      </c>
      <c r="C16" s="5">
        <f>k1_*Таблица1[[#This Row],[Сбербанк-цена]]+k0</f>
        <v>2347190142.1978726</v>
      </c>
      <c r="D16" s="5">
        <f>Таблица1[[#This Row],[Сбербанк-объем]]-Таблица1[[#This Row],[h=k1*x+k0]]</f>
        <v>558419797.80212736</v>
      </c>
      <c r="E16" s="5">
        <f>Таблица1[[#This Row],[y-h]]^2</f>
        <v>3.1183267057736883E+17</v>
      </c>
      <c r="F16" s="5">
        <f>Таблица1[[#This Row],[Сбербанк-цена]]^2</f>
        <v>5811.0129000000006</v>
      </c>
      <c r="G16" s="5">
        <f>Таблица1[[#This Row],[Сбербанк-цена]]*Таблица1[[#This Row],[Сбербанк-объем]]</f>
        <v>221494645726.20001</v>
      </c>
    </row>
    <row r="17" spans="1:28" x14ac:dyDescent="0.25">
      <c r="A17" s="5">
        <v>76.900000000000006</v>
      </c>
      <c r="B17" s="5">
        <v>3217030850</v>
      </c>
      <c r="C17" s="5">
        <f>k1_*Таблица1[[#This Row],[Сбербанк-цена]]+k0</f>
        <v>2341048420.7422767</v>
      </c>
      <c r="D17" s="5">
        <f>Таблица1[[#This Row],[Сбербанк-объем]]-Таблица1[[#This Row],[h=k1*x+k0]]</f>
        <v>875982429.25772333</v>
      </c>
      <c r="E17" s="5">
        <f>Таблица1[[#This Row],[y-h]]^2</f>
        <v>7.6734521636826227E+17</v>
      </c>
      <c r="F17" s="5">
        <f>Таблица1[[#This Row],[Сбербанк-цена]]^2</f>
        <v>5913.6100000000006</v>
      </c>
      <c r="G17" s="5">
        <f>Таблица1[[#This Row],[Сбербанк-цена]]*Таблица1[[#This Row],[Сбербанк-объем]]</f>
        <v>247389672365.00003</v>
      </c>
    </row>
    <row r="18" spans="1:28" x14ac:dyDescent="0.25">
      <c r="A18" s="5">
        <v>83.8</v>
      </c>
      <c r="B18" s="5">
        <v>4898591710</v>
      </c>
      <c r="C18" s="5">
        <f>k1_*Таблица1[[#This Row],[Сбербанк-цена]]+k0</f>
        <v>2277797856.4980769</v>
      </c>
      <c r="D18" s="5">
        <f>Таблица1[[#This Row],[Сбербанк-объем]]-Таблица1[[#This Row],[h=k1*x+k0]]</f>
        <v>2620793853.5019231</v>
      </c>
      <c r="E18" s="5">
        <f>Таблица1[[#This Row],[y-h]]^2</f>
        <v>6.8685604225534597E+18</v>
      </c>
      <c r="F18" s="5">
        <f>Таблица1[[#This Row],[Сбербанк-цена]]^2</f>
        <v>7022.44</v>
      </c>
      <c r="G18" s="5">
        <f>Таблица1[[#This Row],[Сбербанк-цена]]*Таблица1[[#This Row],[Сбербанк-объем]]</f>
        <v>410501985298</v>
      </c>
    </row>
    <row r="19" spans="1:28" x14ac:dyDescent="0.25">
      <c r="A19" s="5">
        <v>84.5</v>
      </c>
      <c r="B19" s="5">
        <v>3001439250</v>
      </c>
      <c r="C19" s="5">
        <f>k1_*Таблица1[[#This Row],[Сбербанк-цена]]+k0</f>
        <v>2271381132.5892448</v>
      </c>
      <c r="D19" s="5">
        <f>Таблица1[[#This Row],[Сбербанк-объем]]-Таблица1[[#This Row],[h=k1*x+k0]]</f>
        <v>730058117.41075516</v>
      </c>
      <c r="E19" s="5">
        <f>Таблица1[[#This Row],[y-h]]^2</f>
        <v>5.3298485479733594E+17</v>
      </c>
      <c r="F19" s="5">
        <f>Таблица1[[#This Row],[Сбербанк-цена]]^2</f>
        <v>7140.25</v>
      </c>
      <c r="G19" s="5">
        <f>Таблица1[[#This Row],[Сбербанк-цена]]*Таблица1[[#This Row],[Сбербанк-объем]]</f>
        <v>253621616625</v>
      </c>
    </row>
    <row r="20" spans="1:28" x14ac:dyDescent="0.25">
      <c r="A20" s="5">
        <v>84.5</v>
      </c>
      <c r="B20" s="5">
        <v>2008494660</v>
      </c>
      <c r="C20" s="5">
        <f>k1_*Таблица1[[#This Row],[Сбербанк-цена]]+k0</f>
        <v>2271381132.5892448</v>
      </c>
      <c r="D20" s="5">
        <f>Таблица1[[#This Row],[Сбербанк-объем]]-Таблица1[[#This Row],[h=k1*x+k0]]</f>
        <v>-262886472.58924484</v>
      </c>
      <c r="E20" s="5">
        <f>Таблица1[[#This Row],[y-h]]^2</f>
        <v>6.9109297470415776E+16</v>
      </c>
      <c r="F20" s="5">
        <f>Таблица1[[#This Row],[Сбербанк-цена]]^2</f>
        <v>7140.25</v>
      </c>
      <c r="G20" s="5">
        <f>Таблица1[[#This Row],[Сбербанк-цена]]*Таблица1[[#This Row],[Сбербанк-объем]]</f>
        <v>169717798770</v>
      </c>
    </row>
    <row r="21" spans="1:28" x14ac:dyDescent="0.25">
      <c r="A21" s="5">
        <v>88.23</v>
      </c>
      <c r="B21" s="5">
        <v>1414145480</v>
      </c>
      <c r="C21" s="5">
        <f>k1_*Таблица1[[#This Row],[Сбербанк-цена]]+k0</f>
        <v>2237189160.9036126</v>
      </c>
      <c r="D21" s="5">
        <f>Таблица1[[#This Row],[Сбербанк-объем]]-Таблица1[[#This Row],[h=k1*x+k0]]</f>
        <v>-823043680.90361261</v>
      </c>
      <c r="E21" s="5">
        <f>Таблица1[[#This Row],[y-h]]^2</f>
        <v>6.7740090067536768E+17</v>
      </c>
      <c r="F21" s="5">
        <f>Таблица1[[#This Row],[Сбербанк-цена]]^2</f>
        <v>7784.5329000000011</v>
      </c>
      <c r="G21" s="5">
        <f>Таблица1[[#This Row],[Сбербанк-цена]]*Таблица1[[#This Row],[Сбербанк-объем]]</f>
        <v>124770055700.40001</v>
      </c>
    </row>
    <row r="22" spans="1:28" x14ac:dyDescent="0.25">
      <c r="A22" s="5">
        <v>90.53</v>
      </c>
      <c r="B22" s="5">
        <v>2849625200</v>
      </c>
      <c r="C22" s="5">
        <f>k1_*Таблица1[[#This Row],[Сбербанк-цена]]+k0</f>
        <v>2216105639.4888792</v>
      </c>
      <c r="D22" s="5">
        <f>Таблица1[[#This Row],[Сбербанк-объем]]-Таблица1[[#This Row],[h=k1*x+k0]]</f>
        <v>633519560.5111208</v>
      </c>
      <c r="E22" s="5">
        <f>Таблица1[[#This Row],[y-h]]^2</f>
        <v>4.0134703355020365E+17</v>
      </c>
      <c r="F22" s="5">
        <f>Таблица1[[#This Row],[Сбербанк-цена]]^2</f>
        <v>8195.6808999999994</v>
      </c>
      <c r="G22" s="5">
        <f>Таблица1[[#This Row],[Сбербанк-цена]]*Таблица1[[#This Row],[Сбербанк-объем]]</f>
        <v>257976569356</v>
      </c>
    </row>
    <row r="23" spans="1:28" x14ac:dyDescent="0.25">
      <c r="A23" s="5">
        <v>91.16</v>
      </c>
      <c r="B23" s="5">
        <v>1510458530</v>
      </c>
      <c r="C23" s="5">
        <f>k1_*Таблица1[[#This Row],[Сбербанк-цена]]+k0</f>
        <v>2210330587.9709306</v>
      </c>
      <c r="D23" s="5">
        <f>Таблица1[[#This Row],[Сбербанк-объем]]-Таблица1[[#This Row],[h=k1*x+k0]]</f>
        <v>-699872057.97093058</v>
      </c>
      <c r="E23" s="5">
        <f>Таблица1[[#This Row],[y-h]]^2</f>
        <v>4.898208975284656E+17</v>
      </c>
      <c r="F23" s="5">
        <f>Таблица1[[#This Row],[Сбербанк-цена]]^2</f>
        <v>8310.1455999999998</v>
      </c>
      <c r="G23" s="5">
        <f>Таблица1[[#This Row],[Сбербанк-цена]]*Таблица1[[#This Row],[Сбербанк-объем]]</f>
        <v>137693399594.79999</v>
      </c>
    </row>
    <row r="24" spans="1:28" x14ac:dyDescent="0.25">
      <c r="A24" s="5">
        <v>92.94</v>
      </c>
      <c r="B24" s="5">
        <v>1191987680</v>
      </c>
      <c r="C24" s="5">
        <f>k1_*Таблица1[[#This Row],[Сбербанк-цена]]+k0</f>
        <v>2194013775.7456155</v>
      </c>
      <c r="D24" s="5">
        <f>Таблица1[[#This Row],[Сбербанк-объем]]-Таблица1[[#This Row],[h=k1*x+k0]]</f>
        <v>-1002026095.7456155</v>
      </c>
      <c r="E24" s="5">
        <f>Таблица1[[#This Row],[y-h]]^2</f>
        <v>1.0040562965552014E+18</v>
      </c>
      <c r="F24" s="5">
        <f>Таблица1[[#This Row],[Сбербанк-цена]]^2</f>
        <v>8637.8436000000002</v>
      </c>
      <c r="G24" s="5">
        <f>Таблица1[[#This Row],[Сбербанк-цена]]*Таблица1[[#This Row],[Сбербанк-объем]]</f>
        <v>110783334979.2</v>
      </c>
    </row>
    <row r="25" spans="1:28" x14ac:dyDescent="0.25">
      <c r="A25" s="5">
        <v>93.68</v>
      </c>
      <c r="B25" s="5">
        <v>1603984540</v>
      </c>
      <c r="C25" s="5">
        <f>k1_*Таблица1[[#This Row],[Сбербанк-цена]]+k0</f>
        <v>2187230381.8991361</v>
      </c>
      <c r="D25" s="5">
        <f>Таблица1[[#This Row],[Сбербанк-объем]]-Таблица1[[#This Row],[h=k1*x+k0]]</f>
        <v>-583245841.89913607</v>
      </c>
      <c r="E25" s="5">
        <f>Таблица1[[#This Row],[y-h]]^2</f>
        <v>3.40175712092632E+17</v>
      </c>
      <c r="F25" s="5">
        <f>Таблица1[[#This Row],[Сбербанк-цена]]^2</f>
        <v>8775.9424000000017</v>
      </c>
      <c r="G25" s="5">
        <f>Таблица1[[#This Row],[Сбербанк-цена]]*Таблица1[[#This Row],[Сбербанк-объем]]</f>
        <v>150261271707.20001</v>
      </c>
    </row>
    <row r="26" spans="1:28" x14ac:dyDescent="0.25">
      <c r="A26" s="5">
        <v>94.7</v>
      </c>
      <c r="B26" s="5">
        <v>1427259190</v>
      </c>
      <c r="C26" s="5">
        <f>k1_*Таблица1[[#This Row],[Сбербанк-цена]]+k0</f>
        <v>2177880298.4891238</v>
      </c>
      <c r="D26" s="5">
        <f>Таблица1[[#This Row],[Сбербанк-объем]]-Таблица1[[#This Row],[h=k1*x+k0]]</f>
        <v>-750621108.48912382</v>
      </c>
      <c r="E26" s="5">
        <f>Таблица1[[#This Row],[y-h]]^2</f>
        <v>5.6343204850944102E+17</v>
      </c>
      <c r="F26" s="5">
        <f>Таблица1[[#This Row],[Сбербанк-цена]]^2</f>
        <v>8968.09</v>
      </c>
      <c r="G26" s="5">
        <f>Таблица1[[#This Row],[Сбербанк-цена]]*Таблица1[[#This Row],[Сбербанк-объем]]</f>
        <v>135161445293</v>
      </c>
    </row>
    <row r="27" spans="1:28" x14ac:dyDescent="0.25">
      <c r="A27" s="5">
        <v>95.23</v>
      </c>
      <c r="B27" s="5">
        <v>1721040080</v>
      </c>
      <c r="C27" s="5">
        <f>k1_*Таблица1[[#This Row],[Сбербанк-цена]]+k0</f>
        <v>2173021921.8152943</v>
      </c>
      <c r="D27" s="5">
        <f>Таблица1[[#This Row],[Сбербанк-объем]]-Таблица1[[#This Row],[h=k1*x+k0]]</f>
        <v>-451981841.81529427</v>
      </c>
      <c r="E27" s="5">
        <f>Таблица1[[#This Row],[y-h]]^2</f>
        <v>2.042875853307457E+17</v>
      </c>
      <c r="F27" s="5">
        <f>Таблица1[[#This Row],[Сбербанк-цена]]^2</f>
        <v>9068.7529000000013</v>
      </c>
      <c r="G27" s="5">
        <f>Таблица1[[#This Row],[Сбербанк-цена]]*Таблица1[[#This Row],[Сбербанк-объем]]</f>
        <v>163894646818.39999</v>
      </c>
      <c r="I27" t="s">
        <v>12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thickBot="1" x14ac:dyDescent="0.3">
      <c r="A28" s="5">
        <v>96.5</v>
      </c>
      <c r="B28" s="5">
        <v>2060145470</v>
      </c>
      <c r="C28" s="5">
        <f>k1_*Таблица1[[#This Row],[Сбербанк-цена]]+k0</f>
        <v>2161380151.2949848</v>
      </c>
      <c r="D28" s="5">
        <f>Таблица1[[#This Row],[Сбербанк-объем]]-Таблица1[[#This Row],[h=k1*x+k0]]</f>
        <v>-101234681.29498482</v>
      </c>
      <c r="E28" s="5">
        <f>Таблица1[[#This Row],[y-h]]^2</f>
        <v>1.0248460696897148E+16</v>
      </c>
      <c r="F28" s="5">
        <f>Таблица1[[#This Row],[Сбербанк-цена]]^2</f>
        <v>9312.25</v>
      </c>
      <c r="G28" s="5">
        <f>Таблица1[[#This Row],[Сбербанк-цена]]*Таблица1[[#This Row],[Сбербанк-объем]]</f>
        <v>198804037855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5">
        <v>97.86</v>
      </c>
      <c r="B29" s="5">
        <v>1926407650</v>
      </c>
      <c r="C29" s="5">
        <f>k1_*Таблица1[[#This Row],[Сбербанк-цена]]+k0</f>
        <v>2148913373.4149685</v>
      </c>
      <c r="D29" s="5">
        <f>Таблица1[[#This Row],[Сбербанк-объем]]-Таблица1[[#This Row],[h=k1*x+k0]]</f>
        <v>-222505723.41496849</v>
      </c>
      <c r="E29" s="5">
        <f>Таблица1[[#This Row],[y-h]]^2</f>
        <v>4.9508796952418456E+16</v>
      </c>
      <c r="F29" s="5">
        <f>Таблица1[[#This Row],[Сбербанк-цена]]^2</f>
        <v>9576.5795999999991</v>
      </c>
      <c r="G29" s="5">
        <f>Таблица1[[#This Row],[Сбербанк-цена]]*Таблица1[[#This Row],[Сбербанк-объем]]</f>
        <v>188518252629</v>
      </c>
      <c r="I29" s="14" t="s">
        <v>20</v>
      </c>
      <c r="J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5">
        <v>98.86</v>
      </c>
      <c r="B30" s="5">
        <v>1691490080</v>
      </c>
      <c r="C30" s="5">
        <f>k1_*Таблица1[[#This Row],[Сбербанк-цена]]+k0</f>
        <v>2139746624.9737802</v>
      </c>
      <c r="D30" s="5">
        <f>Таблица1[[#This Row],[Сбербанк-объем]]-Таблица1[[#This Row],[h=k1*x+k0]]</f>
        <v>-448256544.97378016</v>
      </c>
      <c r="E30" s="5">
        <f>Таблица1[[#This Row],[y-h]]^2</f>
        <v>2.0093393011183059E+17</v>
      </c>
      <c r="F30" s="5">
        <f>Таблица1[[#This Row],[Сбербанк-цена]]^2</f>
        <v>9773.2996000000003</v>
      </c>
      <c r="G30" s="5">
        <f>Таблица1[[#This Row],[Сбербанк-цена]]*Таблица1[[#This Row],[Сбербанк-объем]]</f>
        <v>167220709308.79999</v>
      </c>
      <c r="I30" s="11" t="s">
        <v>21</v>
      </c>
      <c r="J30" s="11">
        <v>0.67712511448216628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5">
        <v>99.05</v>
      </c>
      <c r="B31" s="5">
        <v>1514417130</v>
      </c>
      <c r="C31" s="5">
        <f>k1_*Таблица1[[#This Row],[Сбербанк-цена]]+k0</f>
        <v>2138004942.7699547</v>
      </c>
      <c r="D31" s="5">
        <f>Таблица1[[#This Row],[Сбербанк-объем]]-Таблица1[[#This Row],[h=k1*x+k0]]</f>
        <v>-623587812.76995468</v>
      </c>
      <c r="E31" s="5">
        <f>Таблица1[[#This Row],[y-h]]^2</f>
        <v>3.8886176023521606E+17</v>
      </c>
      <c r="F31" s="5">
        <f>Таблица1[[#This Row],[Сбербанк-цена]]^2</f>
        <v>9810.9025000000001</v>
      </c>
      <c r="G31" s="5">
        <f>Таблица1[[#This Row],[Сбербанк-цена]]*Таблица1[[#This Row],[Сбербанк-объем]]</f>
        <v>150003016726.5</v>
      </c>
      <c r="I31" s="11" t="s">
        <v>22</v>
      </c>
      <c r="J31" s="11">
        <v>0.45849842066248675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5">
        <v>99.11</v>
      </c>
      <c r="B32" s="5">
        <v>1576313810</v>
      </c>
      <c r="C32" s="5">
        <f>k1_*Таблица1[[#This Row],[Сбербанк-цена]]+k0</f>
        <v>2137454937.8634832</v>
      </c>
      <c r="D32" s="5">
        <f>Таблица1[[#This Row],[Сбербанк-объем]]-Таблица1[[#This Row],[h=k1*x+k0]]</f>
        <v>-561141127.86348319</v>
      </c>
      <c r="E32" s="5">
        <f>Таблица1[[#This Row],[y-h]]^2</f>
        <v>3.1487936537990202E+17</v>
      </c>
      <c r="F32" s="5">
        <f>Таблица1[[#This Row],[Сбербанк-цена]]^2</f>
        <v>9822.7921000000006</v>
      </c>
      <c r="G32" s="5">
        <f>Таблица1[[#This Row],[Сбербанк-цена]]*Таблица1[[#This Row],[Сбербанк-объем]]</f>
        <v>156228461709.10001</v>
      </c>
      <c r="I32" s="11" t="s">
        <v>23</v>
      </c>
      <c r="J32" s="11">
        <v>0.45261253393055728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5">
        <v>101.17</v>
      </c>
      <c r="B33" s="5">
        <v>1563416090</v>
      </c>
      <c r="C33" s="5">
        <f>k1_*Таблица1[[#This Row],[Сбербанк-цена]]+k0</f>
        <v>2118571436.074635</v>
      </c>
      <c r="D33" s="5">
        <f>Таблица1[[#This Row],[Сбербанк-объем]]-Таблица1[[#This Row],[h=k1*x+k0]]</f>
        <v>-555155346.07463503</v>
      </c>
      <c r="E33" s="5">
        <f>Таблица1[[#This Row],[y-h]]^2</f>
        <v>3.0819745827524781E+17</v>
      </c>
      <c r="F33" s="5">
        <f>Таблица1[[#This Row],[Сбербанк-цена]]^2</f>
        <v>10235.368899999999</v>
      </c>
      <c r="G33" s="5">
        <f>Таблица1[[#This Row],[Сбербанк-цена]]*Таблица1[[#This Row],[Сбербанк-объем]]</f>
        <v>158170805825.29999</v>
      </c>
      <c r="I33" s="11" t="s">
        <v>24</v>
      </c>
      <c r="J33" s="11">
        <v>634234755.45837009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 x14ac:dyDescent="0.3">
      <c r="A34" s="5">
        <v>101.26</v>
      </c>
      <c r="B34" s="5">
        <v>1880909280</v>
      </c>
      <c r="C34" s="5">
        <f>k1_*Таблица1[[#This Row],[Сбербанк-цена]]+k0</f>
        <v>2117746428.7149282</v>
      </c>
      <c r="D34" s="5">
        <f>Таблица1[[#This Row],[Сбербанк-объем]]-Таблица1[[#This Row],[h=k1*x+k0]]</f>
        <v>-236837148.71492815</v>
      </c>
      <c r="E34" s="5">
        <f>Таблица1[[#This Row],[y-h]]^2</f>
        <v>5.6091835011416992E+16</v>
      </c>
      <c r="F34" s="5">
        <f>Таблица1[[#This Row],[Сбербанк-цена]]^2</f>
        <v>10253.587600000001</v>
      </c>
      <c r="G34" s="5">
        <f>Таблица1[[#This Row],[Сбербанк-цена]]*Таблица1[[#This Row],[Сбербанк-объем]]</f>
        <v>190460873692.80002</v>
      </c>
      <c r="I34" s="12" t="s">
        <v>25</v>
      </c>
      <c r="J34" s="12">
        <v>94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5">
        <v>102.74</v>
      </c>
      <c r="B35" s="5">
        <v>1935002670</v>
      </c>
      <c r="C35" s="5">
        <f>k1_*Таблица1[[#This Row],[Сбербанк-цена]]+k0</f>
        <v>2104179641.0219696</v>
      </c>
      <c r="D35" s="5">
        <f>Таблица1[[#This Row],[Сбербанк-объем]]-Таблица1[[#This Row],[h=k1*x+k0]]</f>
        <v>-169176971.02196956</v>
      </c>
      <c r="E35" s="5">
        <f>Таблица1[[#This Row],[y-h]]^2</f>
        <v>2.8620847524168328E+16</v>
      </c>
      <c r="F35" s="5">
        <f>Таблица1[[#This Row],[Сбербанк-цена]]^2</f>
        <v>10555.507599999999</v>
      </c>
      <c r="G35" s="5">
        <f>Таблица1[[#This Row],[Сбербанк-цена]]*Таблица1[[#This Row],[Сбербанк-объем]]</f>
        <v>198802174315.79999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thickBot="1" x14ac:dyDescent="0.3">
      <c r="A36" s="5">
        <v>102.9</v>
      </c>
      <c r="B36" s="5">
        <v>2286927960</v>
      </c>
      <c r="C36" s="5">
        <f>k1_*Таблица1[[#This Row],[Сбербанк-цена]]+k0</f>
        <v>2102712961.2713792</v>
      </c>
      <c r="D36" s="5">
        <f>Таблица1[[#This Row],[Сбербанк-объем]]-Таблица1[[#This Row],[h=k1*x+k0]]</f>
        <v>184214998.72862077</v>
      </c>
      <c r="E36" s="5">
        <f>Таблица1[[#This Row],[y-h]]^2</f>
        <v>3.3935165756585752E+16</v>
      </c>
      <c r="F36" s="5">
        <f>Таблица1[[#This Row],[Сбербанк-цена]]^2</f>
        <v>10588.410000000002</v>
      </c>
      <c r="G36" s="5">
        <f>Таблица1[[#This Row],[Сбербанк-цена]]*Таблица1[[#This Row],[Сбербанк-объем]]</f>
        <v>235324887084</v>
      </c>
      <c r="I36" t="s">
        <v>13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5">
        <v>103.07</v>
      </c>
      <c r="B37" s="5">
        <v>1659044880</v>
      </c>
      <c r="C37" s="5">
        <f>k1_*Таблица1[[#This Row],[Сбербанк-цена]]+k0</f>
        <v>2101154614.0363774</v>
      </c>
      <c r="D37" s="5">
        <f>Таблица1[[#This Row],[Сбербанк-объем]]-Таблица1[[#This Row],[h=k1*x+k0]]</f>
        <v>-442109734.03637743</v>
      </c>
      <c r="E37" s="5">
        <f>Таблица1[[#This Row],[y-h]]^2</f>
        <v>1.9546101692971638E+17</v>
      </c>
      <c r="F37" s="5">
        <f>Таблица1[[#This Row],[Сбербанк-цена]]^2</f>
        <v>10623.424899999998</v>
      </c>
      <c r="G37" s="5">
        <f>Таблица1[[#This Row],[Сбербанк-цена]]*Таблица1[[#This Row],[Сбербанк-объем]]</f>
        <v>170997755781.59998</v>
      </c>
      <c r="I37" s="13"/>
      <c r="J37" s="13" t="s">
        <v>15</v>
      </c>
      <c r="K37" s="13" t="s">
        <v>14</v>
      </c>
      <c r="L37" s="13" t="s">
        <v>16</v>
      </c>
      <c r="M37" s="13" t="s">
        <v>17</v>
      </c>
      <c r="N37" s="13" t="s">
        <v>29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5">
        <v>104.57</v>
      </c>
      <c r="B38" s="5">
        <v>1612212000</v>
      </c>
      <c r="C38" s="5">
        <f>k1_*Таблица1[[#This Row],[Сбербанк-цена]]+k0</f>
        <v>2087404491.3745947</v>
      </c>
      <c r="D38" s="5">
        <f>Таблица1[[#This Row],[Сбербанк-объем]]-Таблица1[[#This Row],[h=k1*x+k0]]</f>
        <v>-475192491.37459469</v>
      </c>
      <c r="E38" s="5">
        <f>Таблица1[[#This Row],[y-h]]^2</f>
        <v>2.2580790385879424E+17</v>
      </c>
      <c r="F38" s="5">
        <f>Таблица1[[#This Row],[Сбербанк-цена]]^2</f>
        <v>10934.884899999999</v>
      </c>
      <c r="G38" s="5">
        <f>Таблица1[[#This Row],[Сбербанк-цена]]*Таблица1[[#This Row],[Сбербанк-объем]]</f>
        <v>168589008840</v>
      </c>
      <c r="I38" s="11" t="s">
        <v>26</v>
      </c>
      <c r="J38" s="11">
        <v>1</v>
      </c>
      <c r="K38" s="11">
        <v>3.1334734430407705E+19</v>
      </c>
      <c r="L38" s="11">
        <v>3.1334734430407705E+19</v>
      </c>
      <c r="M38" s="11">
        <v>77.897934762360492</v>
      </c>
      <c r="N38" s="11">
        <v>6.7373015992449662E-14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5">
        <v>107</v>
      </c>
      <c r="B39" s="5">
        <v>2184006710</v>
      </c>
      <c r="C39" s="5">
        <f>k1_*Таблица1[[#This Row],[Сбербанк-цена]]+k0</f>
        <v>2065129292.6625071</v>
      </c>
      <c r="D39" s="5">
        <f>Таблица1[[#This Row],[Сбербанк-объем]]-Таблица1[[#This Row],[h=k1*x+k0]]</f>
        <v>118877417.33749294</v>
      </c>
      <c r="E39" s="5">
        <f>Таблица1[[#This Row],[y-h]]^2</f>
        <v>1.4131840352832468E+16</v>
      </c>
      <c r="F39" s="5">
        <f>Таблица1[[#This Row],[Сбербанк-цена]]^2</f>
        <v>11449</v>
      </c>
      <c r="G39" s="5">
        <f>Таблица1[[#This Row],[Сбербанк-цена]]*Таблица1[[#This Row],[Сбербанк-объем]]</f>
        <v>233688717970</v>
      </c>
      <c r="I39" s="11" t="s">
        <v>27</v>
      </c>
      <c r="J39" s="11">
        <v>92</v>
      </c>
      <c r="K39" s="11">
        <v>3.7007342702883144E+19</v>
      </c>
      <c r="L39" s="11">
        <v>4.022537250313385E+17</v>
      </c>
      <c r="M39" s="11"/>
      <c r="N39" s="11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 x14ac:dyDescent="0.3">
      <c r="A40" s="5">
        <v>109.59</v>
      </c>
      <c r="B40" s="5">
        <v>1723351580</v>
      </c>
      <c r="C40" s="5">
        <f>k1_*Таблица1[[#This Row],[Сбербанк-цена]]+k0</f>
        <v>2041387414.1998291</v>
      </c>
      <c r="D40" s="5">
        <f>Таблица1[[#This Row],[Сбербанк-объем]]-Таблица1[[#This Row],[h=k1*x+k0]]</f>
        <v>-318035834.1998291</v>
      </c>
      <c r="E40" s="5">
        <f>Таблица1[[#This Row],[y-h]]^2</f>
        <v>1.0114679183518118E+17</v>
      </c>
      <c r="F40" s="5">
        <f>Таблица1[[#This Row],[Сбербанк-цена]]^2</f>
        <v>12009.9681</v>
      </c>
      <c r="G40" s="5">
        <f>Таблица1[[#This Row],[Сбербанк-цена]]*Таблица1[[#This Row],[Сбербанк-объем]]</f>
        <v>188862099652.20001</v>
      </c>
      <c r="I40" s="12" t="s">
        <v>19</v>
      </c>
      <c r="J40" s="12">
        <v>93</v>
      </c>
      <c r="K40" s="12">
        <v>6.8342077133290848E+19</v>
      </c>
      <c r="L40" s="12"/>
      <c r="M40" s="12"/>
      <c r="N40" s="1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thickBot="1" x14ac:dyDescent="0.3">
      <c r="A41" s="5">
        <v>109.9</v>
      </c>
      <c r="B41" s="5">
        <v>1959737430</v>
      </c>
      <c r="C41" s="5">
        <f>k1_*Таблица1[[#This Row],[Сбербанк-цена]]+k0</f>
        <v>2038545722.1830606</v>
      </c>
      <c r="D41" s="5">
        <f>Таблица1[[#This Row],[Сбербанк-объем]]-Таблица1[[#This Row],[h=k1*x+k0]]</f>
        <v>-78808292.183060646</v>
      </c>
      <c r="E41" s="5">
        <f>Таблица1[[#This Row],[y-h]]^2</f>
        <v>6210746916810658</v>
      </c>
      <c r="F41" s="5">
        <f>Таблица1[[#This Row],[Сбербанк-цена]]^2</f>
        <v>12078.010000000002</v>
      </c>
      <c r="G41" s="5">
        <f>Таблица1[[#This Row],[Сбербанк-цена]]*Таблица1[[#This Row],[Сбербанк-объем]]</f>
        <v>215375143557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5">
        <v>123.55</v>
      </c>
      <c r="B42" s="5">
        <v>2125196160</v>
      </c>
      <c r="C42" s="5">
        <f>k1_*Таблица1[[#This Row],[Сбербанк-цена]]+k0</f>
        <v>1913419605.9608397</v>
      </c>
      <c r="D42" s="5">
        <f>Таблица1[[#This Row],[Сбербанк-объем]]-Таблица1[[#This Row],[h=k1*x+k0]]</f>
        <v>211776554.03916025</v>
      </c>
      <c r="E42" s="5">
        <f>Таблица1[[#This Row],[y-h]]^2</f>
        <v>4.484930884070136E+16</v>
      </c>
      <c r="F42" s="5">
        <f>Таблица1[[#This Row],[Сбербанк-цена]]^2</f>
        <v>15264.602499999999</v>
      </c>
      <c r="G42" s="5">
        <f>Таблица1[[#This Row],[Сбербанк-цена]]*Таблица1[[#This Row],[Сбербанк-объем]]</f>
        <v>262567985568</v>
      </c>
      <c r="I42" s="13"/>
      <c r="J42" s="13" t="s">
        <v>30</v>
      </c>
      <c r="K42" s="13" t="s">
        <v>24</v>
      </c>
      <c r="L42" s="13" t="s">
        <v>31</v>
      </c>
      <c r="M42" s="13" t="s">
        <v>18</v>
      </c>
      <c r="N42" s="13" t="s">
        <v>32</v>
      </c>
      <c r="O42" s="13" t="s">
        <v>33</v>
      </c>
      <c r="P42" s="13" t="s">
        <v>34</v>
      </c>
      <c r="Q42" s="13" t="s">
        <v>35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5">
        <v>132.56</v>
      </c>
      <c r="B43" s="5">
        <v>1387771330</v>
      </c>
      <c r="C43" s="5">
        <f>k1_*Таблица1[[#This Row],[Сбербанк-цена]]+k0</f>
        <v>1830827202.5057325</v>
      </c>
      <c r="D43" s="5">
        <f>Таблица1[[#This Row],[Сбербанк-объем]]-Таблица1[[#This Row],[h=k1*x+k0]]</f>
        <v>-443055872.50573254</v>
      </c>
      <c r="E43" s="5">
        <f>Таблица1[[#This Row],[y-h]]^2</f>
        <v>1.9629850616181594E+17</v>
      </c>
      <c r="F43" s="5">
        <f>Таблица1[[#This Row],[Сбербанк-цена]]^2</f>
        <v>17572.153600000001</v>
      </c>
      <c r="G43" s="5">
        <f>Таблица1[[#This Row],[Сбербанк-цена]]*Таблица1[[#This Row],[Сбербанк-объем]]</f>
        <v>183962967504.80002</v>
      </c>
      <c r="I43" s="11" t="s">
        <v>28</v>
      </c>
      <c r="J43" s="11">
        <v>3045971375.8696556</v>
      </c>
      <c r="K43" s="11">
        <v>170286069.60317212</v>
      </c>
      <c r="L43" s="11">
        <v>17.887378474163306</v>
      </c>
      <c r="M43" s="11">
        <v>1.055399925080373E-31</v>
      </c>
      <c r="N43" s="11">
        <v>2707768543.0634079</v>
      </c>
      <c r="O43" s="11">
        <v>3384174208.6759033</v>
      </c>
      <c r="P43" s="11">
        <v>2707768543.0634079</v>
      </c>
      <c r="Q43" s="11">
        <v>3384174208.6759033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 x14ac:dyDescent="0.3">
      <c r="A44" s="5">
        <v>133</v>
      </c>
      <c r="B44" s="5">
        <v>1550840130</v>
      </c>
      <c r="C44" s="5">
        <f>k1_*Таблица1[[#This Row],[Сбербанк-цена]]+k0</f>
        <v>1826793833.1916099</v>
      </c>
      <c r="D44" s="5">
        <f>Таблица1[[#This Row],[Сбербанк-объем]]-Таблица1[[#This Row],[h=k1*x+k0]]</f>
        <v>-275953703.19160986</v>
      </c>
      <c r="E44" s="5">
        <f>Таблица1[[#This Row],[y-h]]^2</f>
        <v>7.6150446305163104E+16</v>
      </c>
      <c r="F44" s="5">
        <f>Таблица1[[#This Row],[Сбербанк-цена]]^2</f>
        <v>17689</v>
      </c>
      <c r="G44" s="5">
        <f>Таблица1[[#This Row],[Сбербанк-цена]]*Таблица1[[#This Row],[Сбербанк-объем]]</f>
        <v>206261737290</v>
      </c>
      <c r="I44" s="12" t="s">
        <v>36</v>
      </c>
      <c r="J44" s="12">
        <v>-9166748.4411883149</v>
      </c>
      <c r="K44" s="12">
        <v>1038609.6214564497</v>
      </c>
      <c r="L44" s="12">
        <v>-8.8259806685920328</v>
      </c>
      <c r="M44" s="12">
        <v>6.7373015992454016E-14</v>
      </c>
      <c r="N44" s="12">
        <v>-11229516.799016763</v>
      </c>
      <c r="O44" s="12">
        <v>-7103980.0833598673</v>
      </c>
      <c r="P44" s="12">
        <v>-11229516.799016763</v>
      </c>
      <c r="Q44" s="12">
        <v>-7103980.0833598673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5">
        <v>139.15</v>
      </c>
      <c r="B45" s="5">
        <v>1224653180</v>
      </c>
      <c r="C45" s="5">
        <f>k1_*Таблица1[[#This Row],[Сбербанк-цена]]+k0</f>
        <v>1770418330.2783012</v>
      </c>
      <c r="D45" s="5">
        <f>Таблица1[[#This Row],[Сбербанк-объем]]-Таблица1[[#This Row],[h=k1*x+k0]]</f>
        <v>-545765150.27830124</v>
      </c>
      <c r="E45" s="5">
        <f>Таблица1[[#This Row],[y-h]]^2</f>
        <v>2.978595992582967E+17</v>
      </c>
      <c r="F45" s="5">
        <f>Таблица1[[#This Row],[Сбербанк-цена]]^2</f>
        <v>19362.7225</v>
      </c>
      <c r="G45" s="5">
        <f>Таблица1[[#This Row],[Сбербанк-цена]]*Таблица1[[#This Row],[Сбербанк-объем]]</f>
        <v>170410489997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5">
        <v>143.5</v>
      </c>
      <c r="B46" s="5">
        <v>1150874110</v>
      </c>
      <c r="C46" s="5">
        <f>k1_*Таблица1[[#This Row],[Сбербанк-цена]]+k0</f>
        <v>1730542974.5591321</v>
      </c>
      <c r="D46" s="5">
        <f>Таблица1[[#This Row],[Сбербанк-объем]]-Таблица1[[#This Row],[h=k1*x+k0]]</f>
        <v>-579668864.5591321</v>
      </c>
      <c r="E46" s="5">
        <f>Таблица1[[#This Row],[y-h]]^2</f>
        <v>3.3601599253927341E+17</v>
      </c>
      <c r="F46" s="5">
        <f>Таблица1[[#This Row],[Сбербанк-цена]]^2</f>
        <v>20592.25</v>
      </c>
      <c r="G46" s="5">
        <f>Таблица1[[#This Row],[Сбербанк-цена]]*Таблица1[[#This Row],[Сбербанк-объем]]</f>
        <v>165150434785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5">
        <v>145.34</v>
      </c>
      <c r="B47" s="5">
        <v>1118608200</v>
      </c>
      <c r="C47" s="5">
        <f>k1_*Таблица1[[#This Row],[Сбербанк-цена]]+k0</f>
        <v>1713676157.4273453</v>
      </c>
      <c r="D47" s="5">
        <f>Таблица1[[#This Row],[Сбербанк-объем]]-Таблица1[[#This Row],[h=k1*x+k0]]</f>
        <v>-595067957.42734528</v>
      </c>
      <c r="E47" s="5">
        <f>Таблица1[[#This Row],[y-h]]^2</f>
        <v>3.5410587395675283E+17</v>
      </c>
      <c r="F47" s="5">
        <f>Таблица1[[#This Row],[Сбербанк-цена]]^2</f>
        <v>21123.7156</v>
      </c>
      <c r="G47" s="5">
        <f>Таблица1[[#This Row],[Сбербанк-цена]]*Таблица1[[#This Row],[Сбербанк-объем]]</f>
        <v>162578515788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5">
        <v>145.59</v>
      </c>
      <c r="B48" s="5">
        <v>1249106940</v>
      </c>
      <c r="C48" s="5">
        <f>k1_*Таблица1[[#This Row],[Сбербанк-цена]]+k0</f>
        <v>1711384470.3170483</v>
      </c>
      <c r="D48" s="5">
        <f>Таблица1[[#This Row],[Сбербанк-объем]]-Таблица1[[#This Row],[h=k1*x+k0]]</f>
        <v>-462277530.31704831</v>
      </c>
      <c r="E48" s="5">
        <f>Таблица1[[#This Row],[y-h]]^2</f>
        <v>2.1370051503602954E+17</v>
      </c>
      <c r="F48" s="5">
        <f>Таблица1[[#This Row],[Сбербанк-цена]]^2</f>
        <v>21196.448100000001</v>
      </c>
      <c r="G48" s="5">
        <f>Таблица1[[#This Row],[Сбербанк-цена]]*Таблица1[[#This Row],[Сбербанк-объем]]</f>
        <v>181857479394.60001</v>
      </c>
      <c r="I48" t="s">
        <v>37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thickBot="1" x14ac:dyDescent="0.3">
      <c r="A49" s="5">
        <v>147.4</v>
      </c>
      <c r="B49" s="5">
        <v>777345030</v>
      </c>
      <c r="C49" s="5">
        <f>k1_*Таблица1[[#This Row],[Сбербанк-цена]]+k0</f>
        <v>1694792655.6384974</v>
      </c>
      <c r="D49" s="5">
        <f>Таблица1[[#This Row],[Сбербанк-объем]]-Таблица1[[#This Row],[h=k1*x+k0]]</f>
        <v>-917447625.63849735</v>
      </c>
      <c r="E49" s="5">
        <f>Таблица1[[#This Row],[y-h]]^2</f>
        <v>8.4171014578971635E+17</v>
      </c>
      <c r="F49" s="5">
        <f>Таблица1[[#This Row],[Сбербанк-цена]]^2</f>
        <v>21726.760000000002</v>
      </c>
      <c r="G49" s="5">
        <f>Таблица1[[#This Row],[Сбербанк-цена]]*Таблица1[[#This Row],[Сбербанк-объем]]</f>
        <v>114580657422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5">
        <v>155.93</v>
      </c>
      <c r="B50" s="5">
        <v>825457660</v>
      </c>
      <c r="C50" s="5">
        <f>k1_*Таблица1[[#This Row],[Сбербанк-цена]]+k0</f>
        <v>1616600291.4351606</v>
      </c>
      <c r="D50" s="5">
        <f>Таблица1[[#This Row],[Сбербанк-объем]]-Таблица1[[#This Row],[h=k1*x+k0]]</f>
        <v>-791142631.43516064</v>
      </c>
      <c r="E50" s="5">
        <f>Таблица1[[#This Row],[y-h]]^2</f>
        <v>6.259066632741504E+17</v>
      </c>
      <c r="F50" s="5">
        <f>Таблица1[[#This Row],[Сбербанк-цена]]^2</f>
        <v>24314.164900000003</v>
      </c>
      <c r="G50" s="5">
        <f>Таблица1[[#This Row],[Сбербанк-цена]]*Таблица1[[#This Row],[Сбербанк-объем]]</f>
        <v>128713612923.8</v>
      </c>
      <c r="I50" s="13" t="s">
        <v>38</v>
      </c>
      <c r="J50" s="13" t="s">
        <v>39</v>
      </c>
      <c r="K50" s="13" t="s">
        <v>40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5">
        <v>156</v>
      </c>
      <c r="B51" s="5">
        <v>817013500</v>
      </c>
      <c r="C51" s="5">
        <f>k1_*Таблица1[[#This Row],[Сбербанк-цена]]+k0</f>
        <v>1615958619.0442774</v>
      </c>
      <c r="D51" s="5">
        <f>Таблица1[[#This Row],[Сбербанк-объем]]-Таблица1[[#This Row],[h=k1*x+k0]]</f>
        <v>-798945119.04427743</v>
      </c>
      <c r="E51" s="5">
        <f>Таблица1[[#This Row],[y-h]]^2</f>
        <v>6.3831330324467469E+17</v>
      </c>
      <c r="F51" s="5">
        <f>Таблица1[[#This Row],[Сбербанк-цена]]^2</f>
        <v>24336</v>
      </c>
      <c r="G51" s="5">
        <f>Таблица1[[#This Row],[Сбербанк-цена]]*Таблица1[[#This Row],[Сбербанк-объем]]</f>
        <v>127454106000</v>
      </c>
      <c r="I51" s="11">
        <v>1</v>
      </c>
      <c r="J51" s="11">
        <v>2542716886.4484172</v>
      </c>
      <c r="K51" s="11">
        <v>1794844423.5515828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5">
        <v>158.69999999999999</v>
      </c>
      <c r="B52" s="5">
        <v>1113951960</v>
      </c>
      <c r="C52" s="5">
        <f>k1_*Таблица1[[#This Row],[Сбербанк-цена]]+k0</f>
        <v>1591208398.2530692</v>
      </c>
      <c r="D52" s="5">
        <f>Таблица1[[#This Row],[Сбербанк-объем]]-Таблица1[[#This Row],[h=k1*x+k0]]</f>
        <v>-477256438.25306916</v>
      </c>
      <c r="E52" s="5">
        <f>Таблица1[[#This Row],[y-h]]^2</f>
        <v>2.2777370785400563E+17</v>
      </c>
      <c r="F52" s="5">
        <f>Таблица1[[#This Row],[Сбербанк-цена]]^2</f>
        <v>25185.689999999995</v>
      </c>
      <c r="G52" s="5">
        <f>Таблица1[[#This Row],[Сбербанк-цена]]*Таблица1[[#This Row],[Сбербанк-объем]]</f>
        <v>176784176052</v>
      </c>
      <c r="I52" s="11">
        <v>2</v>
      </c>
      <c r="J52" s="11">
        <v>2482216346.7365742</v>
      </c>
      <c r="K52" s="11">
        <v>209766423.26342583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5">
        <v>159.80000000000001</v>
      </c>
      <c r="B53" s="5">
        <v>980688220</v>
      </c>
      <c r="C53" s="5">
        <f>k1_*Таблица1[[#This Row],[Сбербанк-цена]]+k0</f>
        <v>1581124974.9677618</v>
      </c>
      <c r="D53" s="5">
        <f>Таблица1[[#This Row],[Сбербанк-объем]]-Таблица1[[#This Row],[h=k1*x+k0]]</f>
        <v>-600436754.96776175</v>
      </c>
      <c r="E53" s="5">
        <f>Таблица1[[#This Row],[y-h]]^2</f>
        <v>3.60524296716216E+17</v>
      </c>
      <c r="F53" s="5">
        <f>Таблица1[[#This Row],[Сбербанк-цена]]^2</f>
        <v>25536.040000000005</v>
      </c>
      <c r="G53" s="5">
        <f>Таблица1[[#This Row],[Сбербанк-цена]]*Таблица1[[#This Row],[Сбербанк-объем]]</f>
        <v>156713977556</v>
      </c>
      <c r="I53" s="11">
        <v>3</v>
      </c>
      <c r="J53" s="11">
        <v>2469566233.8877344</v>
      </c>
      <c r="K53" s="11">
        <v>316090076.11226559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5">
        <v>164.53</v>
      </c>
      <c r="B54" s="5">
        <v>1056892340</v>
      </c>
      <c r="C54" s="5">
        <f>k1_*Таблица1[[#This Row],[Сбербанк-цена]]+k0</f>
        <v>1537766254.8409407</v>
      </c>
      <c r="D54" s="5">
        <f>Таблица1[[#This Row],[Сбербанк-объем]]-Таблица1[[#This Row],[h=k1*x+k0]]</f>
        <v>-480873914.84094071</v>
      </c>
      <c r="E54" s="5">
        <f>Таблица1[[#This Row],[y-h]]^2</f>
        <v>2.3123972197445229E+17</v>
      </c>
      <c r="F54" s="5">
        <f>Таблица1[[#This Row],[Сбербанк-цена]]^2</f>
        <v>27070.120900000002</v>
      </c>
      <c r="G54" s="5">
        <f>Таблица1[[#This Row],[Сбербанк-цена]]*Таблица1[[#This Row],[Сбербанк-объем]]</f>
        <v>173890496700.20001</v>
      </c>
      <c r="I54" s="11">
        <v>4</v>
      </c>
      <c r="J54" s="11">
        <v>2383673800.9937997</v>
      </c>
      <c r="K54" s="11">
        <v>-353622340.99379969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5">
        <v>165.2</v>
      </c>
      <c r="B55" s="5">
        <v>965518550</v>
      </c>
      <c r="C55" s="5">
        <f>k1_*Таблица1[[#This Row],[Сбербанк-цена]]+k0</f>
        <v>1531624533.3853447</v>
      </c>
      <c r="D55" s="5">
        <f>Таблица1[[#This Row],[Сбербанк-объем]]-Таблица1[[#This Row],[h=k1*x+k0]]</f>
        <v>-566105983.38534474</v>
      </c>
      <c r="E55" s="5">
        <f>Таблица1[[#This Row],[y-h]]^2</f>
        <v>3.2047598442468819E+17</v>
      </c>
      <c r="F55" s="5">
        <f>Таблица1[[#This Row],[Сбербанк-цена]]^2</f>
        <v>27291.039999999997</v>
      </c>
      <c r="G55" s="5">
        <f>Таблица1[[#This Row],[Сбербанк-цена]]*Таблица1[[#This Row],[Сбербанк-объем]]</f>
        <v>159503664460</v>
      </c>
      <c r="I55" s="11">
        <v>5</v>
      </c>
      <c r="J55" s="11">
        <v>2383215463.5717406</v>
      </c>
      <c r="K55" s="11">
        <v>307405606.42825937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5">
        <v>172.2</v>
      </c>
      <c r="B56" s="5">
        <v>989614480</v>
      </c>
      <c r="C56" s="5">
        <f>k1_*Таблица1[[#This Row],[Сбербанк-цена]]+k0</f>
        <v>1467457294.2970262</v>
      </c>
      <c r="D56" s="5">
        <f>Таблица1[[#This Row],[Сбербанк-объем]]-Таблица1[[#This Row],[h=k1*x+k0]]</f>
        <v>-477842814.29702616</v>
      </c>
      <c r="E56" s="5">
        <f>Таблица1[[#This Row],[y-h]]^2</f>
        <v>2.2833375517530224E+17</v>
      </c>
      <c r="F56" s="5">
        <f>Таблица1[[#This Row],[Сбербанк-цена]]^2</f>
        <v>29652.839999999997</v>
      </c>
      <c r="G56" s="5">
        <f>Таблица1[[#This Row],[Сбербанк-цена]]*Таблица1[[#This Row],[Сбербанк-объем]]</f>
        <v>170411613456</v>
      </c>
      <c r="I56" s="11">
        <v>6</v>
      </c>
      <c r="J56" s="11">
        <v>2382757126.1496811</v>
      </c>
      <c r="K56" s="11">
        <v>-497351866.14968109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5">
        <v>173.25</v>
      </c>
      <c r="B57" s="5">
        <v>1204467020</v>
      </c>
      <c r="C57" s="5">
        <f>k1_*Таблица1[[#This Row],[Сбербанк-цена]]+k0</f>
        <v>1457832208.4337783</v>
      </c>
      <c r="D57" s="5">
        <f>Таблица1[[#This Row],[Сбербанк-объем]]-Таблица1[[#This Row],[h=k1*x+k0]]</f>
        <v>-253365188.43377829</v>
      </c>
      <c r="E57" s="5">
        <f>Таблица1[[#This Row],[y-h]]^2</f>
        <v>6.4193918710083976E+16</v>
      </c>
      <c r="F57" s="5">
        <f>Таблица1[[#This Row],[Сбербанк-цена]]^2</f>
        <v>30015.5625</v>
      </c>
      <c r="G57" s="5">
        <f>Таблица1[[#This Row],[Сбербанк-цена]]*Таблица1[[#This Row],[Сбербанк-объем]]</f>
        <v>208673911215</v>
      </c>
      <c r="I57" s="11">
        <v>7</v>
      </c>
      <c r="J57" s="11">
        <v>2381382113.883503</v>
      </c>
      <c r="K57" s="11">
        <v>1631664086.116497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5">
        <v>182</v>
      </c>
      <c r="B58" s="5">
        <v>1774159080</v>
      </c>
      <c r="C58" s="5">
        <f>k1_*Таблица1[[#This Row],[Сбербанк-цена]]+k0</f>
        <v>1377623159.5733802</v>
      </c>
      <c r="D58" s="5">
        <f>Таблица1[[#This Row],[Сбербанк-объем]]-Таблица1[[#This Row],[h=k1*x+k0]]</f>
        <v>396535920.42661977</v>
      </c>
      <c r="E58" s="5">
        <f>Таблица1[[#This Row],[y-h]]^2</f>
        <v>1.5724073618858653E+17</v>
      </c>
      <c r="F58" s="5">
        <f>Таблица1[[#This Row],[Сбербанк-цена]]^2</f>
        <v>33124</v>
      </c>
      <c r="G58" s="5">
        <f>Таблица1[[#This Row],[Сбербанк-цена]]*Таблица1[[#This Row],[Сбербанк-объем]]</f>
        <v>322896952560</v>
      </c>
      <c r="I58" s="11">
        <v>8</v>
      </c>
      <c r="J58" s="11">
        <v>2374873722.4902592</v>
      </c>
      <c r="K58" s="11">
        <v>702013867.50974083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5">
        <v>183.51</v>
      </c>
      <c r="B59" s="5">
        <v>1066034430</v>
      </c>
      <c r="C59" s="5">
        <f>k1_*Таблица1[[#This Row],[Сбербанк-цена]]+k0</f>
        <v>1363781369.4271858</v>
      </c>
      <c r="D59" s="5">
        <f>Таблица1[[#This Row],[Сбербанк-объем]]-Таблица1[[#This Row],[h=k1*x+k0]]</f>
        <v>-297746939.42718577</v>
      </c>
      <c r="E59" s="5">
        <f>Таблица1[[#This Row],[y-h]]^2</f>
        <v>8.865323993825624E+16</v>
      </c>
      <c r="F59" s="5">
        <f>Таблица1[[#This Row],[Сбербанк-цена]]^2</f>
        <v>33675.920099999996</v>
      </c>
      <c r="G59" s="5">
        <f>Таблица1[[#This Row],[Сбербанк-цена]]*Таблица1[[#This Row],[Сбербанк-объем]]</f>
        <v>195627978249.29999</v>
      </c>
      <c r="I59" s="11">
        <v>9</v>
      </c>
      <c r="J59" s="11">
        <v>2372215365.4423146</v>
      </c>
      <c r="K59" s="11">
        <v>-541311115.44231462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5">
        <v>186.3</v>
      </c>
      <c r="B60" s="5">
        <v>1147560770</v>
      </c>
      <c r="C60" s="5">
        <f>k1_*Таблица1[[#This Row],[Сбербанк-цена]]+k0</f>
        <v>1338206141.2762702</v>
      </c>
      <c r="D60" s="5">
        <f>Таблица1[[#This Row],[Сбербанк-объем]]-Таблица1[[#This Row],[h=k1*x+k0]]</f>
        <v>-190645371.27627015</v>
      </c>
      <c r="E60" s="5">
        <f>Таблица1[[#This Row],[y-h]]^2</f>
        <v>3.6345657589066888E+16</v>
      </c>
      <c r="F60" s="5">
        <f>Таблица1[[#This Row],[Сбербанк-цена]]^2</f>
        <v>34707.69</v>
      </c>
      <c r="G60" s="5">
        <f>Таблица1[[#This Row],[Сбербанк-цена]]*Таблица1[[#This Row],[Сбербанк-объем]]</f>
        <v>213790571451</v>
      </c>
      <c r="I60" s="11">
        <v>10</v>
      </c>
      <c r="J60" s="11">
        <v>2371298690.5981956</v>
      </c>
      <c r="K60" s="11">
        <v>180071319.40180445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5">
        <v>187.21</v>
      </c>
      <c r="B61" s="5">
        <v>3001736660</v>
      </c>
      <c r="C61" s="5">
        <f>k1_*Таблица1[[#This Row],[Сбербанк-цена]]+k0</f>
        <v>1329864400.1947887</v>
      </c>
      <c r="D61" s="5">
        <f>Таблица1[[#This Row],[Сбербанк-объем]]-Таблица1[[#This Row],[h=k1*x+k0]]</f>
        <v>1671872259.8052113</v>
      </c>
      <c r="E61" s="5">
        <f>Таблица1[[#This Row],[y-h]]^2</f>
        <v>2.7951568531061842E+18</v>
      </c>
      <c r="F61" s="5">
        <f>Таблица1[[#This Row],[Сбербанк-цена]]^2</f>
        <v>35047.5841</v>
      </c>
      <c r="G61" s="5">
        <f>Таблица1[[#This Row],[Сбербанк-цена]]*Таблица1[[#This Row],[Сбербанк-объем]]</f>
        <v>561955120118.59998</v>
      </c>
      <c r="I61" s="11">
        <v>11</v>
      </c>
      <c r="J61" s="11">
        <v>2363048617.0011263</v>
      </c>
      <c r="K61" s="11">
        <v>125063322.99887371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5">
        <v>189.8</v>
      </c>
      <c r="B62" s="5">
        <v>1809539820</v>
      </c>
      <c r="C62" s="5">
        <f>k1_*Таблица1[[#This Row],[Сбербанк-цена]]+k0</f>
        <v>1306122521.732111</v>
      </c>
      <c r="D62" s="5">
        <f>Таблица1[[#This Row],[Сбербанк-объем]]-Таблица1[[#This Row],[h=k1*x+k0]]</f>
        <v>503417298.26788902</v>
      </c>
      <c r="E62" s="5">
        <f>Таблица1[[#This Row],[y-h]]^2</f>
        <v>2.5342897619534074E+17</v>
      </c>
      <c r="F62" s="5">
        <f>Таблица1[[#This Row],[Сбербанк-цена]]^2</f>
        <v>36024.04</v>
      </c>
      <c r="G62" s="5">
        <f>Таблица1[[#This Row],[Сбербанк-цена]]*Таблица1[[#This Row],[Сбербанк-объем]]</f>
        <v>343450657836</v>
      </c>
      <c r="I62" s="11">
        <v>12</v>
      </c>
      <c r="J62" s="11">
        <v>2355715218.2481756</v>
      </c>
      <c r="K62" s="11">
        <v>-347673108.24817562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5">
        <v>192.33</v>
      </c>
      <c r="B63" s="5">
        <v>943835730</v>
      </c>
      <c r="C63" s="5">
        <f>k1_*Таблица1[[#This Row],[Сбербанк-цена]]+k0</f>
        <v>1282930648.1759043</v>
      </c>
      <c r="D63" s="5">
        <f>Таблица1[[#This Row],[Сбербанк-объем]]-Таблица1[[#This Row],[h=k1*x+k0]]</f>
        <v>-339094918.17590427</v>
      </c>
      <c r="E63" s="5">
        <f>Таблица1[[#This Row],[y-h]]^2</f>
        <v>1.1498536353272322E+17</v>
      </c>
      <c r="F63" s="5">
        <f>Таблица1[[#This Row],[Сбербанк-цена]]^2</f>
        <v>36990.828900000008</v>
      </c>
      <c r="G63" s="5">
        <f>Таблица1[[#This Row],[Сбербанк-цена]]*Таблица1[[#This Row],[Сбербанк-объем]]</f>
        <v>181527925950.90002</v>
      </c>
      <c r="I63" s="11">
        <v>13</v>
      </c>
      <c r="J63" s="11">
        <v>2353698533.591114</v>
      </c>
      <c r="K63" s="11">
        <v>537713386.40888596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5">
        <v>193.8</v>
      </c>
      <c r="B64" s="5">
        <v>745570010</v>
      </c>
      <c r="C64" s="5">
        <f>k1_*Таблица1[[#This Row],[Сбербанк-цена]]+k0</f>
        <v>1269455527.9673574</v>
      </c>
      <c r="D64" s="5">
        <f>Таблица1[[#This Row],[Сбербанк-объем]]-Таблица1[[#This Row],[h=k1*x+k0]]</f>
        <v>-523885517.9673574</v>
      </c>
      <c r="E64" s="5">
        <f>Таблица1[[#This Row],[y-h]]^2</f>
        <v>2.7445603593592634E+17</v>
      </c>
      <c r="F64" s="5">
        <f>Таблица1[[#This Row],[Сбербанк-цена]]^2</f>
        <v>37558.44</v>
      </c>
      <c r="G64" s="5">
        <f>Таблица1[[#This Row],[Сбербанк-цена]]*Таблица1[[#This Row],[Сбербанк-объем]]</f>
        <v>144491467938</v>
      </c>
      <c r="I64" s="11">
        <v>14</v>
      </c>
      <c r="J64" s="11">
        <v>2350123501.6990509</v>
      </c>
      <c r="K64" s="11">
        <v>1233666368.3009491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5">
        <v>194</v>
      </c>
      <c r="B65" s="5">
        <v>1567568800</v>
      </c>
      <c r="C65" s="5">
        <f>k1_*Таблица1[[#This Row],[Сбербанк-цена]]+k0</f>
        <v>1267622178.27912</v>
      </c>
      <c r="D65" s="5">
        <f>Таблица1[[#This Row],[Сбербанк-объем]]-Таблица1[[#This Row],[h=k1*x+k0]]</f>
        <v>299946621.72088003</v>
      </c>
      <c r="E65" s="5">
        <f>Таблица1[[#This Row],[y-h]]^2</f>
        <v>8.9967975881768704E+16</v>
      </c>
      <c r="F65" s="5">
        <f>Таблица1[[#This Row],[Сбербанк-цена]]^2</f>
        <v>37636</v>
      </c>
      <c r="G65" s="5">
        <f>Таблица1[[#This Row],[Сбербанк-цена]]*Таблица1[[#This Row],[Сбербанк-объем]]</f>
        <v>304108347200</v>
      </c>
      <c r="I65" s="11">
        <v>15</v>
      </c>
      <c r="J65" s="11">
        <v>2347190142.1978703</v>
      </c>
      <c r="K65" s="11">
        <v>558419797.80212975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5">
        <v>197.25</v>
      </c>
      <c r="B66" s="5">
        <v>1768222700</v>
      </c>
      <c r="C66" s="5">
        <f>k1_*Таблица1[[#This Row],[Сбербанк-цена]]+k0</f>
        <v>1237830245.8452578</v>
      </c>
      <c r="D66" s="5">
        <f>Таблица1[[#This Row],[Сбербанк-объем]]-Таблица1[[#This Row],[h=k1*x+k0]]</f>
        <v>530392454.15474224</v>
      </c>
      <c r="E66" s="5">
        <f>Таблица1[[#This Row],[y-h]]^2</f>
        <v>2.8131615542429034E+17</v>
      </c>
      <c r="F66" s="5">
        <f>Таблица1[[#This Row],[Сбербанк-цена]]^2</f>
        <v>38907.5625</v>
      </c>
      <c r="G66" s="5">
        <f>Таблица1[[#This Row],[Сбербанк-цена]]*Таблица1[[#This Row],[Сбербанк-объем]]</f>
        <v>348781927575</v>
      </c>
      <c r="I66" s="11">
        <v>16</v>
      </c>
      <c r="J66" s="11">
        <v>2341048420.7422743</v>
      </c>
      <c r="K66" s="11">
        <v>875982429.25772572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5">
        <v>200.5</v>
      </c>
      <c r="B67" s="5">
        <v>1359045230</v>
      </c>
      <c r="C67" s="5">
        <f>k1_*Таблица1[[#This Row],[Сбербанк-цена]]+k0</f>
        <v>1208038313.4113955</v>
      </c>
      <c r="D67" s="5">
        <f>Таблица1[[#This Row],[Сбербанк-объем]]-Таблица1[[#This Row],[h=k1*x+k0]]</f>
        <v>151006916.58860445</v>
      </c>
      <c r="E67" s="5">
        <f>Таблица1[[#This Row],[y-h]]^2</f>
        <v>2.280308885759774E+16</v>
      </c>
      <c r="F67" s="5">
        <f>Таблица1[[#This Row],[Сбербанк-цена]]^2</f>
        <v>40200.25</v>
      </c>
      <c r="G67" s="5">
        <f>Таблица1[[#This Row],[Сбербанк-цена]]*Таблица1[[#This Row],[Сбербанк-объем]]</f>
        <v>272488568615</v>
      </c>
      <c r="I67" s="11">
        <v>17</v>
      </c>
      <c r="J67" s="11">
        <v>2277797856.498075</v>
      </c>
      <c r="K67" s="11">
        <v>2620793853.501925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5">
        <v>203.22</v>
      </c>
      <c r="B68" s="5">
        <v>1522268370</v>
      </c>
      <c r="C68" s="5">
        <f>k1_*Таблица1[[#This Row],[Сбербанк-цена]]+k0</f>
        <v>1183104757.6513634</v>
      </c>
      <c r="D68" s="5">
        <f>Таблица1[[#This Row],[Сбербанк-объем]]-Таблица1[[#This Row],[h=k1*x+k0]]</f>
        <v>339163612.34863663</v>
      </c>
      <c r="E68" s="5">
        <f>Таблица1[[#This Row],[y-h]]^2</f>
        <v>1.1503195594137626E+17</v>
      </c>
      <c r="F68" s="5">
        <f>Таблица1[[#This Row],[Сбербанк-цена]]^2</f>
        <v>41298.368399999999</v>
      </c>
      <c r="G68" s="5">
        <f>Таблица1[[#This Row],[Сбербанк-цена]]*Таблица1[[#This Row],[Сбербанк-объем]]</f>
        <v>309355378151.40002</v>
      </c>
      <c r="I68" s="11">
        <v>18</v>
      </c>
      <c r="J68" s="11">
        <v>2271381132.5892429</v>
      </c>
      <c r="K68" s="11">
        <v>730058117.41075706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5">
        <v>203.32</v>
      </c>
      <c r="B69" s="5">
        <v>1723030800</v>
      </c>
      <c r="C69" s="5">
        <f>k1_*Таблица1[[#This Row],[Сбербанк-цена]]+k0</f>
        <v>1182188082.8072445</v>
      </c>
      <c r="D69" s="5">
        <f>Таблица1[[#This Row],[Сбербанк-объем]]-Таблица1[[#This Row],[h=k1*x+k0]]</f>
        <v>540842717.19275546</v>
      </c>
      <c r="E69" s="5">
        <f>Таблица1[[#This Row],[y-h]]^2</f>
        <v>2.9251084474044288E+17</v>
      </c>
      <c r="F69" s="5">
        <f>Таблица1[[#This Row],[Сбербанк-цена]]^2</f>
        <v>41339.022399999994</v>
      </c>
      <c r="G69" s="5">
        <f>Таблица1[[#This Row],[Сбербанк-цена]]*Таблица1[[#This Row],[Сбербанк-объем]]</f>
        <v>350326622256</v>
      </c>
      <c r="I69" s="11">
        <v>19</v>
      </c>
      <c r="J69" s="11">
        <v>2271381132.5892429</v>
      </c>
      <c r="K69" s="11">
        <v>-262886472.58924294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5">
        <v>207.8</v>
      </c>
      <c r="B70" s="5">
        <v>1316335610</v>
      </c>
      <c r="C70" s="5">
        <f>k1_*Таблица1[[#This Row],[Сбербанк-цена]]+k0</f>
        <v>1141121049.7907205</v>
      </c>
      <c r="D70" s="5">
        <f>Таблица1[[#This Row],[Сбербанк-объем]]-Таблица1[[#This Row],[h=k1*x+k0]]</f>
        <v>175214560.20927954</v>
      </c>
      <c r="E70" s="5">
        <f>Таблица1[[#This Row],[y-h]]^2</f>
        <v>3.0700142109331244E+16</v>
      </c>
      <c r="F70" s="5">
        <f>Таблица1[[#This Row],[Сбербанк-цена]]^2</f>
        <v>43180.840000000004</v>
      </c>
      <c r="G70" s="5">
        <f>Таблица1[[#This Row],[Сбербанк-цена]]*Таблица1[[#This Row],[Сбербанк-объем]]</f>
        <v>273534539758</v>
      </c>
      <c r="I70" s="11">
        <v>20</v>
      </c>
      <c r="J70" s="11">
        <v>2237189160.9036107</v>
      </c>
      <c r="K70" s="11">
        <v>-823043680.90361071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5">
        <v>214.42</v>
      </c>
      <c r="B71" s="5">
        <v>1071950350</v>
      </c>
      <c r="C71" s="5">
        <f>k1_*Таблица1[[#This Row],[Сбербанк-цена]]+k0</f>
        <v>1080437175.1100538</v>
      </c>
      <c r="D71" s="5">
        <f>Таблица1[[#This Row],[Сбербанк-объем]]-Таблица1[[#This Row],[h=k1*x+k0]]</f>
        <v>-8486825.1100537777</v>
      </c>
      <c r="E71" s="5">
        <f>Таблица1[[#This Row],[y-h]]^2</f>
        <v>72026200448639.313</v>
      </c>
      <c r="F71" s="5">
        <f>Таблица1[[#This Row],[Сбербанк-цена]]^2</f>
        <v>45975.936399999991</v>
      </c>
      <c r="G71" s="5">
        <f>Таблица1[[#This Row],[Сбербанк-цена]]*Таблица1[[#This Row],[Сбербанк-объем]]</f>
        <v>229847594047</v>
      </c>
      <c r="I71" s="11">
        <v>21</v>
      </c>
      <c r="J71" s="11">
        <v>2216105639.4888773</v>
      </c>
      <c r="K71" s="11">
        <v>633519560.5111227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5">
        <v>214.86</v>
      </c>
      <c r="B72" s="5">
        <v>1232290050</v>
      </c>
      <c r="C72" s="5">
        <f>k1_*Таблица1[[#This Row],[Сбербанк-цена]]+k0</f>
        <v>1076403805.7959306</v>
      </c>
      <c r="D72" s="5">
        <f>Таблица1[[#This Row],[Сбербанк-объем]]-Таблица1[[#This Row],[h=k1*x+k0]]</f>
        <v>155886244.20406938</v>
      </c>
      <c r="E72" s="5">
        <f>Таблица1[[#This Row],[y-h]]^2</f>
        <v>2.4300521132050752E+16</v>
      </c>
      <c r="F72" s="5">
        <f>Таблица1[[#This Row],[Сбербанк-цена]]^2</f>
        <v>46164.819600000003</v>
      </c>
      <c r="G72" s="5">
        <f>Таблица1[[#This Row],[Сбербанк-цена]]*Таблица1[[#This Row],[Сбербанк-объем]]</f>
        <v>264769840143.00003</v>
      </c>
      <c r="I72" s="11">
        <v>22</v>
      </c>
      <c r="J72" s="11">
        <v>2210330587.9709291</v>
      </c>
      <c r="K72" s="11">
        <v>-699872057.97092915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5">
        <v>217.9</v>
      </c>
      <c r="B73" s="5">
        <v>1181569160</v>
      </c>
      <c r="C73" s="5">
        <f>k1_*Таблица1[[#This Row],[Сбербанк-цена]]+k0</f>
        <v>1048536890.534718</v>
      </c>
      <c r="D73" s="5">
        <f>Таблица1[[#This Row],[Сбербанк-объем]]-Таблица1[[#This Row],[h=k1*x+k0]]</f>
        <v>133032269.46528196</v>
      </c>
      <c r="E73" s="5">
        <f>Таблица1[[#This Row],[y-h]]^2</f>
        <v>1.7697584719083392E+16</v>
      </c>
      <c r="F73" s="5">
        <f>Таблица1[[#This Row],[Сбербанк-цена]]^2</f>
        <v>47480.41</v>
      </c>
      <c r="G73" s="5">
        <f>Таблица1[[#This Row],[Сбербанк-цена]]*Таблица1[[#This Row],[Сбербанк-объем]]</f>
        <v>257463919964</v>
      </c>
      <c r="I73" s="11">
        <v>23</v>
      </c>
      <c r="J73" s="11">
        <v>2194013775.7456136</v>
      </c>
      <c r="K73" s="11">
        <v>-1002026095.7456136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5">
        <v>218</v>
      </c>
      <c r="B74" s="5">
        <v>1083180080</v>
      </c>
      <c r="C74" s="5">
        <f>k1_*Таблица1[[#This Row],[Сбербанк-цена]]+k0</f>
        <v>1047620215.6905994</v>
      </c>
      <c r="D74" s="5">
        <f>Таблица1[[#This Row],[Сбербанк-объем]]-Таблица1[[#This Row],[h=k1*x+k0]]</f>
        <v>35559864.309400558</v>
      </c>
      <c r="E74" s="5">
        <f>Таблица1[[#This Row],[y-h]]^2</f>
        <v>1264503949702979.8</v>
      </c>
      <c r="F74" s="5">
        <f>Таблица1[[#This Row],[Сбербанк-цена]]^2</f>
        <v>47524</v>
      </c>
      <c r="G74" s="5">
        <f>Таблица1[[#This Row],[Сбербанк-цена]]*Таблица1[[#This Row],[Сбербанк-объем]]</f>
        <v>236133257440</v>
      </c>
      <c r="I74" s="11">
        <v>24</v>
      </c>
      <c r="J74" s="11">
        <v>2187230381.8991342</v>
      </c>
      <c r="K74" s="11">
        <v>-583245841.89913416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5">
        <v>221.57</v>
      </c>
      <c r="B75" s="5">
        <v>1088082960</v>
      </c>
      <c r="C75" s="5">
        <f>k1_*Таблица1[[#This Row],[Сбербанк-цена]]+k0</f>
        <v>1014894923.7555571</v>
      </c>
      <c r="D75" s="5">
        <f>Таблица1[[#This Row],[Сбербанк-объем]]-Таблица1[[#This Row],[h=k1*x+k0]]</f>
        <v>73188036.24444294</v>
      </c>
      <c r="E75" s="5">
        <f>Таблица1[[#This Row],[y-h]]^2</f>
        <v>5356488649317893</v>
      </c>
      <c r="F75" s="5">
        <f>Таблица1[[#This Row],[Сбербанк-цена]]^2</f>
        <v>49093.264899999995</v>
      </c>
      <c r="G75" s="5">
        <f>Таблица1[[#This Row],[Сбербанк-цена]]*Таблица1[[#This Row],[Сбербанк-объем]]</f>
        <v>241086541447.19998</v>
      </c>
      <c r="I75" s="11">
        <v>25</v>
      </c>
      <c r="J75" s="11">
        <v>2177880298.4891224</v>
      </c>
      <c r="K75" s="11">
        <v>-750621108.48912239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5">
        <v>222.36</v>
      </c>
      <c r="B76" s="5">
        <v>1043698830</v>
      </c>
      <c r="C76" s="5">
        <f>k1_*Таблица1[[#This Row],[Сбербанк-цена]]+k0</f>
        <v>1007653192.4870179</v>
      </c>
      <c r="D76" s="5">
        <f>Таблица1[[#This Row],[Сбербанк-объем]]-Таблица1[[#This Row],[h=k1*x+k0]]</f>
        <v>36045637.51298213</v>
      </c>
      <c r="E76" s="5">
        <f>Таблица1[[#This Row],[y-h]]^2</f>
        <v>1299287983717304.5</v>
      </c>
      <c r="F76" s="5">
        <f>Таблица1[[#This Row],[Сбербанк-цена]]^2</f>
        <v>49443.969600000004</v>
      </c>
      <c r="G76" s="5">
        <f>Таблица1[[#This Row],[Сбербанк-цена]]*Таблица1[[#This Row],[Сбербанк-объем]]</f>
        <v>232076871838.80002</v>
      </c>
      <c r="I76" s="11">
        <v>26</v>
      </c>
      <c r="J76" s="11">
        <v>2173021921.8152924</v>
      </c>
      <c r="K76" s="11">
        <v>-451981841.81529236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5">
        <v>222.57</v>
      </c>
      <c r="B77" s="5">
        <v>115404410</v>
      </c>
      <c r="C77" s="5">
        <f>k1_*Таблица1[[#This Row],[Сбербанк-цена]]+k0</f>
        <v>1005728175.3143685</v>
      </c>
      <c r="D77" s="5">
        <f>Таблица1[[#This Row],[Сбербанк-объем]]-Таблица1[[#This Row],[h=k1*x+k0]]</f>
        <v>-890323765.31436849</v>
      </c>
      <c r="E77" s="5">
        <f>Таблица1[[#This Row],[y-h]]^2</f>
        <v>7.9267640708355469E+17</v>
      </c>
      <c r="F77" s="5">
        <f>Таблица1[[#This Row],[Сбербанк-цена]]^2</f>
        <v>49537.404899999994</v>
      </c>
      <c r="G77" s="5">
        <f>Таблица1[[#This Row],[Сбербанк-цена]]*Таблица1[[#This Row],[Сбербанк-объем]]</f>
        <v>25685559533.700001</v>
      </c>
      <c r="I77" s="11">
        <v>27</v>
      </c>
      <c r="J77" s="11">
        <v>2161380151.2949834</v>
      </c>
      <c r="K77" s="11">
        <v>-101234681.29498339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5">
        <v>224.2</v>
      </c>
      <c r="B78" s="5">
        <v>1024861980</v>
      </c>
      <c r="C78" s="5">
        <f>k1_*Таблица1[[#This Row],[Сбербанк-цена]]+k0</f>
        <v>990786375.35523152</v>
      </c>
      <c r="D78" s="5">
        <f>Таблица1[[#This Row],[Сбербанк-объем]]-Таблица1[[#This Row],[h=k1*x+k0]]</f>
        <v>34075604.644768476</v>
      </c>
      <c r="E78" s="5">
        <f>Таблица1[[#This Row],[y-h]]^2</f>
        <v>1161146831906567</v>
      </c>
      <c r="F78" s="5">
        <f>Таблица1[[#This Row],[Сбербанк-цена]]^2</f>
        <v>50265.639999999992</v>
      </c>
      <c r="G78" s="5">
        <f>Таблица1[[#This Row],[Сбербанк-цена]]*Таблица1[[#This Row],[Сбербанк-объем]]</f>
        <v>229774055916</v>
      </c>
      <c r="I78" s="11">
        <v>28</v>
      </c>
      <c r="J78" s="11">
        <v>2148913373.4149671</v>
      </c>
      <c r="K78" s="11">
        <v>-222505723.41496706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5">
        <v>224.35</v>
      </c>
      <c r="B79" s="5">
        <v>1254395580</v>
      </c>
      <c r="C79" s="5">
        <f>k1_*Таблица1[[#This Row],[Сбербанк-цена]]+k0</f>
        <v>989411363.08905339</v>
      </c>
      <c r="D79" s="5">
        <f>Таблица1[[#This Row],[Сбербанк-объем]]-Таблица1[[#This Row],[h=k1*x+k0]]</f>
        <v>264984216.91094661</v>
      </c>
      <c r="E79" s="5">
        <f>Таблица1[[#This Row],[y-h]]^2</f>
        <v>7.02166352119076E+16</v>
      </c>
      <c r="F79" s="5">
        <f>Таблица1[[#This Row],[Сбербанк-цена]]^2</f>
        <v>50332.922500000001</v>
      </c>
      <c r="G79" s="5">
        <f>Таблица1[[#This Row],[Сбербанк-цена]]*Таблица1[[#This Row],[Сбербанк-объем]]</f>
        <v>281423648373</v>
      </c>
      <c r="I79" s="11">
        <v>29</v>
      </c>
      <c r="J79" s="11">
        <v>2139746624.9737787</v>
      </c>
      <c r="K79" s="11">
        <v>-448256544.97377872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5">
        <v>225.17</v>
      </c>
      <c r="B80" s="5">
        <v>1567685270</v>
      </c>
      <c r="C80" s="5">
        <f>k1_*Таблица1[[#This Row],[Сбербанк-цена]]+k0</f>
        <v>981894629.36727881</v>
      </c>
      <c r="D80" s="5">
        <f>Таблица1[[#This Row],[Сбербанк-объем]]-Таблица1[[#This Row],[h=k1*x+k0]]</f>
        <v>585790640.63272119</v>
      </c>
      <c r="E80" s="5">
        <f>Таблица1[[#This Row],[y-h]]^2</f>
        <v>3.4315067465289389E+17</v>
      </c>
      <c r="F80" s="5">
        <f>Таблица1[[#This Row],[Сбербанк-цена]]^2</f>
        <v>50701.528899999998</v>
      </c>
      <c r="G80" s="5">
        <f>Таблица1[[#This Row],[Сбербанк-цена]]*Таблица1[[#This Row],[Сбербанк-объем]]</f>
        <v>352995692245.89996</v>
      </c>
      <c r="I80" s="11">
        <v>30</v>
      </c>
      <c r="J80" s="11">
        <v>2138004942.769953</v>
      </c>
      <c r="K80" s="11">
        <v>-623587812.76995301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5">
        <v>225.2</v>
      </c>
      <c r="B81" s="5">
        <v>683304570</v>
      </c>
      <c r="C81" s="5">
        <f>k1_*Таблица1[[#This Row],[Сбербанк-цена]]+k0</f>
        <v>981619626.91404319</v>
      </c>
      <c r="D81" s="5">
        <f>Таблица1[[#This Row],[Сбербанк-объем]]-Таблица1[[#This Row],[h=k1*x+k0]]</f>
        <v>-298315056.91404319</v>
      </c>
      <c r="E81" s="5">
        <f>Таблица1[[#This Row],[y-h]]^2</f>
        <v>8.8991873181628832E+16</v>
      </c>
      <c r="F81" s="5">
        <f>Таблица1[[#This Row],[Сбербанк-цена]]^2</f>
        <v>50715.039999999994</v>
      </c>
      <c r="G81" s="5">
        <f>Таблица1[[#This Row],[Сбербанк-цена]]*Таблица1[[#This Row],[Сбербанк-объем]]</f>
        <v>153880189164</v>
      </c>
      <c r="I81" s="11">
        <v>31</v>
      </c>
      <c r="J81" s="11">
        <v>2137454937.8634818</v>
      </c>
      <c r="K81" s="11">
        <v>-561141127.86348176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5">
        <v>226.1</v>
      </c>
      <c r="B82" s="5">
        <v>1324478990</v>
      </c>
      <c r="C82" s="5">
        <f>k1_*Таблица1[[#This Row],[Сбербанк-цена]]+k0</f>
        <v>973369553.31697369</v>
      </c>
      <c r="D82" s="5">
        <f>Таблица1[[#This Row],[Сбербанк-объем]]-Таблица1[[#This Row],[h=k1*x+k0]]</f>
        <v>351109436.68302631</v>
      </c>
      <c r="E82" s="5">
        <f>Таблица1[[#This Row],[y-h]]^2</f>
        <v>1.2327783652787206E+17</v>
      </c>
      <c r="F82" s="5">
        <f>Таблица1[[#This Row],[Сбербанк-цена]]^2</f>
        <v>51121.21</v>
      </c>
      <c r="G82" s="5">
        <f>Таблица1[[#This Row],[Сбербанк-цена]]*Таблица1[[#This Row],[Сбербанк-объем]]</f>
        <v>299464699639</v>
      </c>
      <c r="I82" s="11">
        <v>32</v>
      </c>
      <c r="J82" s="11">
        <v>2118571436.0746336</v>
      </c>
      <c r="K82" s="11">
        <v>-555155346.0746336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5">
        <v>226.99</v>
      </c>
      <c r="B83" s="5">
        <v>2377768000</v>
      </c>
      <c r="C83" s="5">
        <f>k1_*Таблица1[[#This Row],[Сбербанк-цена]]+k0</f>
        <v>965211147.2043159</v>
      </c>
      <c r="D83" s="5">
        <f>Таблица1[[#This Row],[Сбербанк-объем]]-Таблица1[[#This Row],[h=k1*x+k0]]</f>
        <v>1412556852.7956841</v>
      </c>
      <c r="E83" s="5">
        <f>Таблица1[[#This Row],[y-h]]^2</f>
        <v>1.9953168623800479E+18</v>
      </c>
      <c r="F83" s="5">
        <f>Таблица1[[#This Row],[Сбербанк-цена]]^2</f>
        <v>51524.460100000004</v>
      </c>
      <c r="G83" s="5">
        <f>Таблица1[[#This Row],[Сбербанк-цена]]*Таблица1[[#This Row],[Сбербанк-объем]]</f>
        <v>539729558320</v>
      </c>
      <c r="I83" s="11">
        <v>33</v>
      </c>
      <c r="J83" s="11">
        <v>2117746428.7149267</v>
      </c>
      <c r="K83" s="11">
        <v>-236837148.71492672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5">
        <v>227.71</v>
      </c>
      <c r="B84" s="5">
        <v>796864790</v>
      </c>
      <c r="C84" s="5">
        <f>k1_*Таблица1[[#This Row],[Сбербанк-цена]]+k0</f>
        <v>958611088.32666039</v>
      </c>
      <c r="D84" s="5">
        <f>Таблица1[[#This Row],[Сбербанк-объем]]-Таблица1[[#This Row],[h=k1*x+k0]]</f>
        <v>-161746298.32666039</v>
      </c>
      <c r="E84" s="5">
        <f>Таблица1[[#This Row],[y-h]]^2</f>
        <v>2.6161865022377024E+16</v>
      </c>
      <c r="F84" s="5">
        <f>Таблица1[[#This Row],[Сбербанк-цена]]^2</f>
        <v>51851.844100000002</v>
      </c>
      <c r="G84" s="5">
        <f>Таблица1[[#This Row],[Сбербанк-цена]]*Таблица1[[#This Row],[Сбербанк-объем]]</f>
        <v>181454081330.89999</v>
      </c>
      <c r="I84" s="11">
        <v>34</v>
      </c>
      <c r="J84" s="11">
        <v>2104179641.0219681</v>
      </c>
      <c r="K84" s="11">
        <v>-169176971.02196813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5">
        <v>233.24</v>
      </c>
      <c r="B85" s="5">
        <v>1029175370</v>
      </c>
      <c r="C85" s="5">
        <f>k1_*Таблица1[[#This Row],[Сбербанк-цена]]+k0</f>
        <v>907918969.44688869</v>
      </c>
      <c r="D85" s="5">
        <f>Таблица1[[#This Row],[Сбербанк-объем]]-Таблица1[[#This Row],[h=k1*x+k0]]</f>
        <v>121256400.55311131</v>
      </c>
      <c r="E85" s="5">
        <f>Таблица1[[#This Row],[y-h]]^2</f>
        <v>1.4703114675096574E+16</v>
      </c>
      <c r="F85" s="5">
        <f>Таблица1[[#This Row],[Сбербанк-цена]]^2</f>
        <v>54400.897600000004</v>
      </c>
      <c r="G85" s="5">
        <f>Таблица1[[#This Row],[Сбербанк-цена]]*Таблица1[[#This Row],[Сбербанк-объем]]</f>
        <v>240044863298.80002</v>
      </c>
      <c r="I85" s="11">
        <v>35</v>
      </c>
      <c r="J85" s="11">
        <v>2102712961.271378</v>
      </c>
      <c r="K85" s="11">
        <v>184214998.72862196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5">
        <v>233.36</v>
      </c>
      <c r="B86" s="5">
        <v>919822790</v>
      </c>
      <c r="C86" s="5">
        <f>k1_*Таблица1[[#This Row],[Сбербанк-цена]]+k0</f>
        <v>906818959.63394594</v>
      </c>
      <c r="D86" s="5">
        <f>Таблица1[[#This Row],[Сбербанк-объем]]-Таблица1[[#This Row],[h=k1*x+k0]]</f>
        <v>13003830.366054058</v>
      </c>
      <c r="E86" s="5">
        <f>Таблица1[[#This Row],[y-h]]^2</f>
        <v>169099604189109.63</v>
      </c>
      <c r="F86" s="5">
        <f>Таблица1[[#This Row],[Сбербанк-цена]]^2</f>
        <v>54456.88960000001</v>
      </c>
      <c r="G86" s="5">
        <f>Таблица1[[#This Row],[Сбербанк-цена]]*Таблица1[[#This Row],[Сбербанк-объем]]</f>
        <v>214649846274.40002</v>
      </c>
      <c r="I86" s="11">
        <v>36</v>
      </c>
      <c r="J86" s="11">
        <v>2101154614.036376</v>
      </c>
      <c r="K86" s="11">
        <v>-442109734.036376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5">
        <v>233.49</v>
      </c>
      <c r="B87" s="5">
        <v>780046580</v>
      </c>
      <c r="C87" s="5">
        <f>k1_*Таблица1[[#This Row],[Сбербанк-цена]]+k0</f>
        <v>905627282.33659148</v>
      </c>
      <c r="D87" s="5">
        <f>Таблица1[[#This Row],[Сбербанк-объем]]-Таблица1[[#This Row],[h=k1*x+k0]]</f>
        <v>-125580702.33659148</v>
      </c>
      <c r="E87" s="5">
        <f>Таблица1[[#This Row],[y-h]]^2</f>
        <v>1.5770512799351594E+16</v>
      </c>
      <c r="F87" s="5">
        <f>Таблица1[[#This Row],[Сбербанк-цена]]^2</f>
        <v>54517.580100000006</v>
      </c>
      <c r="G87" s="5">
        <f>Таблица1[[#This Row],[Сбербанк-цена]]*Таблица1[[#This Row],[Сбербанк-объем]]</f>
        <v>182133075964.20001</v>
      </c>
      <c r="I87" s="11">
        <v>37</v>
      </c>
      <c r="J87" s="11">
        <v>2087404491.3745937</v>
      </c>
      <c r="K87" s="11">
        <v>-475192491.37459373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5">
        <v>233.98</v>
      </c>
      <c r="B88" s="5">
        <v>643074600</v>
      </c>
      <c r="C88" s="5">
        <f>k1_*Таблица1[[#This Row],[Сбербанк-цена]]+k0</f>
        <v>901135575.60040951</v>
      </c>
      <c r="D88" s="5">
        <f>Таблица1[[#This Row],[Сбербанк-объем]]-Таблица1[[#This Row],[h=k1*x+k0]]</f>
        <v>-258060975.60040951</v>
      </c>
      <c r="E88" s="5">
        <f>Таблица1[[#This Row],[y-h]]^2</f>
        <v>6.6595467127835152E+16</v>
      </c>
      <c r="F88" s="5">
        <f>Таблица1[[#This Row],[Сбербанк-цена]]^2</f>
        <v>54746.640399999997</v>
      </c>
      <c r="G88" s="5">
        <f>Таблица1[[#This Row],[Сбербанк-цена]]*Таблица1[[#This Row],[Сбербанк-объем]]</f>
        <v>150466594908</v>
      </c>
      <c r="I88" s="11">
        <v>38</v>
      </c>
      <c r="J88" s="11">
        <v>2065129292.6625059</v>
      </c>
      <c r="K88" s="11">
        <v>118877417.33749413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5">
        <v>234.89</v>
      </c>
      <c r="B89" s="5">
        <v>894393040</v>
      </c>
      <c r="C89" s="5">
        <f>k1_*Таблица1[[#This Row],[Сбербанк-цена]]+k0</f>
        <v>892793834.51892805</v>
      </c>
      <c r="D89" s="5">
        <f>Таблица1[[#This Row],[Сбербанк-объем]]-Таблица1[[#This Row],[h=k1*x+k0]]</f>
        <v>1599205.481071949</v>
      </c>
      <c r="E89" s="5">
        <f>Таблица1[[#This Row],[y-h]]^2</f>
        <v>2557458170690.564</v>
      </c>
      <c r="F89" s="5">
        <f>Таблица1[[#This Row],[Сбербанк-цена]]^2</f>
        <v>55173.312099999996</v>
      </c>
      <c r="G89" s="5">
        <f>Таблица1[[#This Row],[Сбербанк-цена]]*Таблица1[[#This Row],[Сбербанк-объем]]</f>
        <v>210083981165.59998</v>
      </c>
      <c r="I89" s="11">
        <v>39</v>
      </c>
      <c r="J89" s="11">
        <v>2041387414.1998281</v>
      </c>
      <c r="K89" s="11">
        <v>-318035834.19982815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5">
        <v>238.55</v>
      </c>
      <c r="B90" s="5">
        <v>1023004980</v>
      </c>
      <c r="C90" s="5">
        <f>k1_*Таблица1[[#This Row],[Сбербанк-цена]]+k0</f>
        <v>859243535.22417831</v>
      </c>
      <c r="D90" s="5">
        <f>Таблица1[[#This Row],[Сбербанк-объем]]-Таблица1[[#This Row],[h=k1*x+k0]]</f>
        <v>163761444.77582169</v>
      </c>
      <c r="E90" s="5">
        <f>Таблица1[[#This Row],[y-h]]^2</f>
        <v>2.6817810795064496E+16</v>
      </c>
      <c r="F90" s="5">
        <f>Таблица1[[#This Row],[Сбербанк-цена]]^2</f>
        <v>56906.102500000008</v>
      </c>
      <c r="G90" s="5">
        <f>Таблица1[[#This Row],[Сбербанк-цена]]*Таблица1[[#This Row],[Сбербанк-объем]]</f>
        <v>244037837979</v>
      </c>
      <c r="I90" s="11">
        <v>40</v>
      </c>
      <c r="J90" s="11">
        <v>2038545722.1830597</v>
      </c>
      <c r="K90" s="11">
        <v>-78808292.183059692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5">
        <v>252.2</v>
      </c>
      <c r="B91" s="5">
        <v>747137520</v>
      </c>
      <c r="C91" s="5">
        <f>k1_*Таблица1[[#This Row],[Сбербанк-цена]]+k0</f>
        <v>734117419.00195742</v>
      </c>
      <c r="D91" s="5">
        <f>Таблица1[[#This Row],[Сбербанк-объем]]-Таблица1[[#This Row],[h=k1*x+k0]]</f>
        <v>13020100.998042583</v>
      </c>
      <c r="E91" s="5">
        <f>Таблица1[[#This Row],[y-h]]^2</f>
        <v>169523029999229.47</v>
      </c>
      <c r="F91" s="5">
        <f>Таблица1[[#This Row],[Сбербанк-цена]]^2</f>
        <v>63604.84</v>
      </c>
      <c r="G91" s="5">
        <f>Таблица1[[#This Row],[Сбербанк-цена]]*Таблица1[[#This Row],[Сбербанк-объем]]</f>
        <v>188428082544</v>
      </c>
      <c r="I91" s="11">
        <v>41</v>
      </c>
      <c r="J91" s="11">
        <v>1913419605.9608393</v>
      </c>
      <c r="K91" s="11">
        <v>211776554.03916073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5">
        <v>253.57</v>
      </c>
      <c r="B92" s="5">
        <v>993704870</v>
      </c>
      <c r="C92" s="5">
        <f>k1_*Таблица1[[#This Row],[Сбербанк-цена]]+k0</f>
        <v>721558973.63752937</v>
      </c>
      <c r="D92" s="5">
        <f>Таблица1[[#This Row],[Сбербанк-объем]]-Таблица1[[#This Row],[h=k1*x+k0]]</f>
        <v>272145896.36247063</v>
      </c>
      <c r="E92" s="5">
        <f>Таблица1[[#This Row],[y-h]]^2</f>
        <v>7.4063388906932608E+16</v>
      </c>
      <c r="F92" s="5">
        <f>Таблица1[[#This Row],[Сбербанк-цена]]^2</f>
        <v>64297.744899999998</v>
      </c>
      <c r="G92" s="5">
        <f>Таблица1[[#This Row],[Сбербанк-цена]]*Таблица1[[#This Row],[Сбербанк-объем]]</f>
        <v>251973743885.89999</v>
      </c>
      <c r="I92" s="11">
        <v>42</v>
      </c>
      <c r="J92" s="11">
        <v>1830827202.5057325</v>
      </c>
      <c r="K92" s="11">
        <v>-443055872.50573254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5">
        <v>254.75</v>
      </c>
      <c r="B93" s="5">
        <v>666344120</v>
      </c>
      <c r="C93" s="5">
        <f>k1_*Таблица1[[#This Row],[Сбербанк-цена]]+k0</f>
        <v>710742210.47692728</v>
      </c>
      <c r="D93" s="5">
        <f>Таблица1[[#This Row],[Сбербанк-объем]]-Таблица1[[#This Row],[h=k1*x+k0]]</f>
        <v>-44398090.47692728</v>
      </c>
      <c r="E93" s="5">
        <f>Таблица1[[#This Row],[y-h]]^2</f>
        <v>1971190437997420.8</v>
      </c>
      <c r="F93" s="5">
        <f>Таблица1[[#This Row],[Сбербанк-цена]]^2</f>
        <v>64897.5625</v>
      </c>
      <c r="G93" s="5">
        <f>Таблица1[[#This Row],[Сбербанк-цена]]*Таблица1[[#This Row],[Сбербанк-объем]]</f>
        <v>169751164570</v>
      </c>
      <c r="I93" s="11">
        <v>43</v>
      </c>
      <c r="J93" s="11">
        <v>1826793833.1916096</v>
      </c>
      <c r="K93" s="11">
        <v>-275953703.19160962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5">
        <v>264.5</v>
      </c>
      <c r="B94" s="5">
        <v>840068720</v>
      </c>
      <c r="C94" s="5">
        <f>k1_*Таблица1[[#This Row],[Сбербанк-цена]]+k0</f>
        <v>621366413.17534065</v>
      </c>
      <c r="D94" s="5">
        <f>Таблица1[[#This Row],[Сбербанк-объем]]-Таблица1[[#This Row],[h=k1*x+k0]]</f>
        <v>218702306.82465935</v>
      </c>
      <c r="E94" s="5">
        <f>Таблица1[[#This Row],[y-h]]^2</f>
        <v>4.783069901042744E+16</v>
      </c>
      <c r="F94" s="5">
        <f>Таблица1[[#This Row],[Сбербанк-цена]]^2</f>
        <v>69960.25</v>
      </c>
      <c r="G94" s="5">
        <f>Таблица1[[#This Row],[Сбербанк-цена]]*Таблица1[[#This Row],[Сбербанк-объем]]</f>
        <v>222198176440</v>
      </c>
      <c r="I94" s="11">
        <v>44</v>
      </c>
      <c r="J94" s="11">
        <v>1770418330.2783015</v>
      </c>
      <c r="K94" s="11">
        <v>-545765150.27830148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5">
        <v>272.39999999999998</v>
      </c>
      <c r="B95" s="5">
        <v>1032064390</v>
      </c>
      <c r="C95" s="5">
        <f>k1_*Таблица1[[#This Row],[Сбербанк-цена]]+k0</f>
        <v>548949100.48995304</v>
      </c>
      <c r="D95" s="5">
        <f>Таблица1[[#This Row],[Сбербанк-объем]]-Таблица1[[#This Row],[h=k1*x+k0]]</f>
        <v>483115289.51004696</v>
      </c>
      <c r="E95" s="5">
        <f>Таблица1[[#This Row],[y-h]]^2</f>
        <v>2.3340038295837648E+17</v>
      </c>
      <c r="F95" s="5">
        <f>Таблица1[[#This Row],[Сбербанк-цена]]^2</f>
        <v>74201.759999999995</v>
      </c>
      <c r="G95" s="5">
        <f>Таблица1[[#This Row],[Сбербанк-цена]]*Таблица1[[#This Row],[Сбербанк-объем]]</f>
        <v>281134339836</v>
      </c>
      <c r="I95" s="11">
        <v>45</v>
      </c>
      <c r="J95" s="11">
        <v>1730542974.5591323</v>
      </c>
      <c r="K95" s="11">
        <v>-579668864.55913234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5">
        <f>SUBTOTAL(109,Таблица1[Сбербанк-цена])</f>
        <v>14229.27</v>
      </c>
      <c r="B96" s="5">
        <f>SUBTOTAL(109,Таблица1[Сбербанк-объем])</f>
        <v>155885170740</v>
      </c>
      <c r="C96" s="5">
        <f>SUBTOTAL(109,Таблица1[h=k1*x+k0])</f>
        <v>155885170739.99994</v>
      </c>
      <c r="D96" s="5">
        <f>SUBTOTAL(109,Таблица1[y-h])</f>
        <v>1.0156631469726563E-4</v>
      </c>
      <c r="E96" s="5">
        <f>SUBTOTAL(109,Таблица1[(y-h)^2])</f>
        <v>3.7007342702883201E+19</v>
      </c>
      <c r="F96" s="5">
        <f>SUBTOTAL(109,Таблица1[x^2])</f>
        <v>2526861.3566999994</v>
      </c>
      <c r="G96" s="5">
        <f>SUBTOTAL(109,Таблица1[x*y])</f>
        <v>20178846716892.094</v>
      </c>
      <c r="I96" s="11">
        <v>46</v>
      </c>
      <c r="J96" s="11">
        <v>1713676157.427346</v>
      </c>
      <c r="K96" s="11">
        <v>-595067957.42734599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9"/>
      <c r="B97" s="9"/>
      <c r="C97" s="9"/>
      <c r="D97" s="9"/>
      <c r="E97" s="9"/>
      <c r="F97" s="9"/>
      <c r="G97" s="9"/>
      <c r="I97" s="11">
        <v>47</v>
      </c>
      <c r="J97" s="11">
        <v>1711384470.3170488</v>
      </c>
      <c r="K97" s="11">
        <v>-462277530.31704879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I98" s="11">
        <v>48</v>
      </c>
      <c r="J98" s="11">
        <v>1694792655.6384978</v>
      </c>
      <c r="K98" s="11">
        <v>-917447625.63849783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I99" s="11">
        <v>49</v>
      </c>
      <c r="J99" s="11">
        <v>1616600291.4351616</v>
      </c>
      <c r="K99" s="11">
        <v>-791142631.43516159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I100" s="11">
        <v>50</v>
      </c>
      <c r="J100" s="11">
        <v>1615958619.0442784</v>
      </c>
      <c r="K100" s="11">
        <v>-798945119.04427838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7"/>
      <c r="I101" s="11">
        <v>51</v>
      </c>
      <c r="J101" s="11">
        <v>1591208398.2530701</v>
      </c>
      <c r="K101" s="11">
        <v>-477256438.25307012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I102" s="11">
        <v>52</v>
      </c>
      <c r="J102" s="11">
        <v>1581124974.9677627</v>
      </c>
      <c r="K102" s="11">
        <v>-600436754.96776271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I103" s="11">
        <v>53</v>
      </c>
      <c r="J103" s="11">
        <v>1537766254.8409421</v>
      </c>
      <c r="K103" s="11">
        <v>-480873914.84094214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I104" s="11">
        <v>54</v>
      </c>
      <c r="J104" s="11">
        <v>1531624533.3853462</v>
      </c>
      <c r="K104" s="11">
        <v>-566105983.38534617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I105" s="11">
        <v>55</v>
      </c>
      <c r="J105" s="11">
        <v>1467457294.2970278</v>
      </c>
      <c r="K105" s="11">
        <v>-477842814.29702783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I106" s="11">
        <v>56</v>
      </c>
      <c r="J106" s="11">
        <v>1457832208.43378</v>
      </c>
      <c r="K106" s="11">
        <v>-253365188.43377995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I107" s="11">
        <v>57</v>
      </c>
      <c r="J107" s="11">
        <v>1377623159.5733824</v>
      </c>
      <c r="K107" s="11">
        <v>396535920.42661762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I108" s="11">
        <v>58</v>
      </c>
      <c r="J108" s="11">
        <v>1363781369.4271879</v>
      </c>
      <c r="K108" s="11">
        <v>-297746939.42718792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I109" s="11">
        <v>59</v>
      </c>
      <c r="J109" s="11">
        <v>1338206141.2762725</v>
      </c>
      <c r="K109" s="11">
        <v>-190645371.27627254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I110" s="11">
        <v>60</v>
      </c>
      <c r="J110" s="11">
        <v>1329864400.1947911</v>
      </c>
      <c r="K110" s="11">
        <v>1671872259.8052089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I111" s="11">
        <v>61</v>
      </c>
      <c r="J111" s="11">
        <v>1306122521.7321134</v>
      </c>
      <c r="K111" s="11">
        <v>503417298.26788664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I112" s="11">
        <v>62</v>
      </c>
      <c r="J112" s="11">
        <v>1282930648.1759069</v>
      </c>
      <c r="K112" s="11">
        <v>-339094918.1759069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9:28" x14ac:dyDescent="0.25">
      <c r="I113" s="11">
        <v>63</v>
      </c>
      <c r="J113" s="11">
        <v>1269455527.96736</v>
      </c>
      <c r="K113" s="11">
        <v>-523885517.96736002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9:28" x14ac:dyDescent="0.25">
      <c r="I114" s="11">
        <v>64</v>
      </c>
      <c r="J114" s="11">
        <v>1267622178.2791226</v>
      </c>
      <c r="K114" s="11">
        <v>299946621.72087741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9:28" x14ac:dyDescent="0.25">
      <c r="I115" s="11">
        <v>65</v>
      </c>
      <c r="J115" s="11">
        <v>1237830245.8452604</v>
      </c>
      <c r="K115" s="11">
        <v>530392454.15473962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9:28" x14ac:dyDescent="0.25">
      <c r="I116" s="11">
        <v>66</v>
      </c>
      <c r="J116" s="11">
        <v>1208038313.4113984</v>
      </c>
      <c r="K116" s="11">
        <v>151006916.58860159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9:28" x14ac:dyDescent="0.25">
      <c r="I117" s="11">
        <v>67</v>
      </c>
      <c r="J117" s="11">
        <v>1183104757.6513662</v>
      </c>
      <c r="K117" s="11">
        <v>339163612.34863377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9:28" x14ac:dyDescent="0.25">
      <c r="I118" s="11">
        <v>68</v>
      </c>
      <c r="J118" s="11">
        <v>1182188082.8072474</v>
      </c>
      <c r="K118" s="11">
        <v>540842717.1927526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9:28" x14ac:dyDescent="0.25">
      <c r="I119" s="11">
        <v>69</v>
      </c>
      <c r="J119" s="11">
        <v>1141121049.7907236</v>
      </c>
      <c r="K119" s="11">
        <v>175214560.20927644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9:28" x14ac:dyDescent="0.25">
      <c r="I120" s="11">
        <v>70</v>
      </c>
      <c r="J120" s="11">
        <v>1080437175.1100574</v>
      </c>
      <c r="K120" s="11">
        <v>-8486825.110057354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9:28" x14ac:dyDescent="0.25">
      <c r="I121" s="11">
        <v>71</v>
      </c>
      <c r="J121" s="11">
        <v>1076403805.7959342</v>
      </c>
      <c r="K121" s="11">
        <v>155886244.2040658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9:28" x14ac:dyDescent="0.25">
      <c r="I122" s="11">
        <v>72</v>
      </c>
      <c r="J122" s="11">
        <v>1048536890.5347219</v>
      </c>
      <c r="K122" s="11">
        <v>133032269.46527815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9:28" x14ac:dyDescent="0.25">
      <c r="I123" s="11">
        <v>73</v>
      </c>
      <c r="J123" s="11">
        <v>1047620215.690603</v>
      </c>
      <c r="K123" s="11">
        <v>35559864.309396982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9:28" x14ac:dyDescent="0.25">
      <c r="I124" s="11">
        <v>74</v>
      </c>
      <c r="J124" s="11">
        <v>1014894923.7555606</v>
      </c>
      <c r="K124" s="11">
        <v>73188036.244439363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9:28" x14ac:dyDescent="0.25">
      <c r="I125" s="11">
        <v>75</v>
      </c>
      <c r="J125" s="11">
        <v>1007653192.4870217</v>
      </c>
      <c r="K125" s="11">
        <v>36045637.512978315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9:28" x14ac:dyDescent="0.25">
      <c r="I126" s="11">
        <v>76</v>
      </c>
      <c r="J126" s="11">
        <v>1005728175.3143723</v>
      </c>
      <c r="K126" s="11">
        <v>-890323765.3143723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9:28" x14ac:dyDescent="0.25">
      <c r="I127" s="11">
        <v>77</v>
      </c>
      <c r="J127" s="11">
        <v>990786375.35523558</v>
      </c>
      <c r="K127" s="11">
        <v>34075604.644764423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9:28" x14ac:dyDescent="0.25">
      <c r="I128" s="11">
        <v>78</v>
      </c>
      <c r="J128" s="11">
        <v>989411363.08905721</v>
      </c>
      <c r="K128" s="11">
        <v>264984216.91094279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9:28" x14ac:dyDescent="0.25">
      <c r="I129" s="11">
        <v>79</v>
      </c>
      <c r="J129" s="11">
        <v>981894629.36728287</v>
      </c>
      <c r="K129" s="11">
        <v>585790640.63271713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9:28" x14ac:dyDescent="0.25">
      <c r="I130" s="11">
        <v>80</v>
      </c>
      <c r="J130" s="11">
        <v>981619626.91404724</v>
      </c>
      <c r="K130" s="11">
        <v>-298315056.91404724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9:28" x14ac:dyDescent="0.25">
      <c r="I131" s="11">
        <v>81</v>
      </c>
      <c r="J131" s="11">
        <v>973369553.31697774</v>
      </c>
      <c r="K131" s="11">
        <v>351109436.68302226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9:28" x14ac:dyDescent="0.25">
      <c r="I132" s="11">
        <v>82</v>
      </c>
      <c r="J132" s="11">
        <v>965211147.20431995</v>
      </c>
      <c r="K132" s="11">
        <v>1412556852.79568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9:28" x14ac:dyDescent="0.25">
      <c r="I133" s="11">
        <v>83</v>
      </c>
      <c r="J133" s="11">
        <v>958611088.32666445</v>
      </c>
      <c r="K133" s="11">
        <v>-161746298.32666445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9:28" x14ac:dyDescent="0.25">
      <c r="I134" s="11">
        <v>84</v>
      </c>
      <c r="J134" s="11">
        <v>907918969.44689298</v>
      </c>
      <c r="K134" s="11">
        <v>121256400.55310702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9:28" x14ac:dyDescent="0.25">
      <c r="I135" s="11">
        <v>85</v>
      </c>
      <c r="J135" s="11">
        <v>906818959.63395023</v>
      </c>
      <c r="K135" s="11">
        <v>13003830.366049767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9:28" x14ac:dyDescent="0.25">
      <c r="I136" s="11">
        <v>86</v>
      </c>
      <c r="J136" s="11">
        <v>905627282.33659577</v>
      </c>
      <c r="K136" s="11">
        <v>-125580702.33659577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9:28" x14ac:dyDescent="0.25">
      <c r="I137" s="11">
        <v>87</v>
      </c>
      <c r="J137" s="11">
        <v>901135575.6004138</v>
      </c>
      <c r="K137" s="11">
        <v>-258060975.6004138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9:28" x14ac:dyDescent="0.25">
      <c r="I138" s="11">
        <v>88</v>
      </c>
      <c r="J138" s="11">
        <v>892793834.51893234</v>
      </c>
      <c r="K138" s="11">
        <v>1599205.4810676575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9:28" x14ac:dyDescent="0.25">
      <c r="I139" s="11">
        <v>89</v>
      </c>
      <c r="J139" s="11">
        <v>859243535.22418308</v>
      </c>
      <c r="K139" s="11">
        <v>163761444.77581692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9:28" x14ac:dyDescent="0.25">
      <c r="I140" s="11">
        <v>90</v>
      </c>
      <c r="J140" s="11">
        <v>734117419.00196266</v>
      </c>
      <c r="K140" s="11">
        <v>13020100.998037338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9:28" x14ac:dyDescent="0.25">
      <c r="I141" s="11">
        <v>91</v>
      </c>
      <c r="J141" s="11">
        <v>721558973.63753462</v>
      </c>
      <c r="K141" s="11">
        <v>272145896.36246538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9:28" x14ac:dyDescent="0.25">
      <c r="I142" s="11">
        <v>92</v>
      </c>
      <c r="J142" s="11">
        <v>710742210.47693253</v>
      </c>
      <c r="K142" s="11">
        <v>-44398090.476932526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9:28" x14ac:dyDescent="0.25">
      <c r="I143" s="11">
        <v>93</v>
      </c>
      <c r="J143" s="11">
        <v>621366413.17534637</v>
      </c>
      <c r="K143" s="11">
        <v>218702306.82465363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9:28" ht="15.75" thickBot="1" x14ac:dyDescent="0.3">
      <c r="I144" s="12">
        <v>94</v>
      </c>
      <c r="J144" s="12">
        <v>548949100.48995876</v>
      </c>
      <c r="K144" s="12">
        <v>483115289.51004124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9:28" x14ac:dyDescent="0.2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9:28" x14ac:dyDescent="0.25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9:28" x14ac:dyDescent="0.25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9:28" x14ac:dyDescent="0.25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9:28" x14ac:dyDescent="0.25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9:28" x14ac:dyDescent="0.25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9:28" x14ac:dyDescent="0.25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9:28" x14ac:dyDescent="0.25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9:28" x14ac:dyDescent="0.25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9:28" x14ac:dyDescent="0.25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9:28" x14ac:dyDescent="0.2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9:28" x14ac:dyDescent="0.25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049C-15AB-44E6-9333-884B58262026}">
  <dimension ref="A1:AB155"/>
  <sheetViews>
    <sheetView workbookViewId="0">
      <selection activeCell="H5" sqref="H5"/>
    </sheetView>
  </sheetViews>
  <sheetFormatPr defaultRowHeight="15" x14ac:dyDescent="0.25"/>
  <cols>
    <col min="1" max="1" width="17.140625" style="6" customWidth="1"/>
    <col min="2" max="2" width="20" style="6" customWidth="1"/>
    <col min="3" max="3" width="19.28515625" style="6" customWidth="1"/>
    <col min="4" max="4" width="18.5703125" style="6" customWidth="1"/>
    <col min="5" max="5" width="32.85546875" style="6" customWidth="1"/>
    <col min="6" max="6" width="14.28515625" style="6" customWidth="1"/>
    <col min="7" max="7" width="21.42578125" style="6" customWidth="1"/>
    <col min="8" max="9" width="9.140625" style="6"/>
    <col min="10" max="10" width="20.7109375" style="6" customWidth="1"/>
    <col min="11" max="11" width="9.140625" style="6"/>
    <col min="12" max="12" width="11.42578125" style="6" customWidth="1"/>
    <col min="13" max="13" width="9.85546875" style="6" bestFit="1" customWidth="1"/>
    <col min="14" max="14" width="20" style="6" customWidth="1"/>
    <col min="15" max="16384" width="9.140625" style="6"/>
  </cols>
  <sheetData>
    <row r="1" spans="1:14" x14ac:dyDescent="0.25">
      <c r="A1" s="4" t="s">
        <v>41</v>
      </c>
      <c r="B1" s="3" t="s">
        <v>42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14" x14ac:dyDescent="0.25">
      <c r="A2" s="17">
        <v>5.3589999999999999E-2</v>
      </c>
      <c r="B2" s="15">
        <v>423765060000</v>
      </c>
      <c r="C2" s="5">
        <f>k1_*Таблица13[[#This Row],[ВТБ-цена]]+k0</f>
        <v>588887807588.24768</v>
      </c>
      <c r="D2" s="5">
        <f>Таблица13[[#This Row],[ВТБ-объем]]-Таблица13[[#This Row],[h=k1*x+k0]]</f>
        <v>-165122747588.24768</v>
      </c>
      <c r="E2" s="5">
        <f>Таблица13[[#This Row],[y-h]]^2</f>
        <v>2.7265521771092153E+22</v>
      </c>
      <c r="F2" s="16">
        <f>Таблица13[[#This Row],[ВТБ-цена]]^2</f>
        <v>2.8718881E-3</v>
      </c>
      <c r="G2" s="5">
        <f>Таблица13[[#This Row],[ВТБ-цена]]*Таблица13[[#This Row],[ВТБ-объем]]</f>
        <v>22709569565.399998</v>
      </c>
      <c r="I2" s="2" t="s">
        <v>2</v>
      </c>
      <c r="J2" s="1">
        <f>L7</f>
        <v>1154793600556.2832</v>
      </c>
      <c r="K2" s="2"/>
      <c r="L2" s="6" t="s">
        <v>9</v>
      </c>
      <c r="M2" s="6" t="s">
        <v>10</v>
      </c>
      <c r="N2" s="6" t="s">
        <v>11</v>
      </c>
    </row>
    <row r="3" spans="1:14" x14ac:dyDescent="0.25">
      <c r="A3" s="17">
        <v>5.5820000000000002E-2</v>
      </c>
      <c r="B3" s="15">
        <v>620659410000</v>
      </c>
      <c r="C3" s="5">
        <f>k1_*Таблица13[[#This Row],[ВТБ-цена]]+k0</f>
        <v>565339199297.17249</v>
      </c>
      <c r="D3" s="5">
        <f>Таблица13[[#This Row],[ВТБ-объем]]-Таблица13[[#This Row],[h=k1*x+k0]]</f>
        <v>55320210702.827515</v>
      </c>
      <c r="E3" s="5">
        <f>Таблица13[[#This Row],[y-h]]^2</f>
        <v>3.0603257122052317E+21</v>
      </c>
      <c r="F3" s="16">
        <f>Таблица13[[#This Row],[ВТБ-цена]]^2</f>
        <v>3.1158724000000001E-3</v>
      </c>
      <c r="G3" s="5">
        <f>Таблица13[[#This Row],[ВТБ-цена]]*Таблица13[[#This Row],[ВТБ-объем]]</f>
        <v>34645208266.200005</v>
      </c>
      <c r="I3" s="2" t="s">
        <v>3</v>
      </c>
      <c r="J3" s="1">
        <f>L6</f>
        <v>-10559914031872.281</v>
      </c>
      <c r="K3" s="2"/>
      <c r="L3" s="7">
        <f>Таблица13[[#Totals],[x^2]]</f>
        <v>0.27839685029999989</v>
      </c>
      <c r="M3" s="7">
        <f>Таблица13[[#Totals],[ВТБ-цена]]</f>
        <v>4.9276200000000028</v>
      </c>
      <c r="N3" s="7">
        <f>Таблица13[[#Totals],[x*y]]</f>
        <v>2750537236061.1494</v>
      </c>
    </row>
    <row r="4" spans="1:14" x14ac:dyDescent="0.25">
      <c r="A4" s="17">
        <v>5.5879999999999999E-2</v>
      </c>
      <c r="B4" s="15">
        <v>956736250000</v>
      </c>
      <c r="C4" s="5">
        <f>k1_*Таблица13[[#This Row],[ВТБ-цена]]+k0</f>
        <v>564705604455.26013</v>
      </c>
      <c r="D4" s="5">
        <f>Таблица13[[#This Row],[ВТБ-объем]]-Таблица13[[#This Row],[h=k1*x+k0]]</f>
        <v>392030645544.73987</v>
      </c>
      <c r="E4" s="5">
        <f>Таблица13[[#This Row],[y-h]]^2</f>
        <v>1.5368802704622547E+23</v>
      </c>
      <c r="F4" s="16">
        <f>Таблица13[[#This Row],[ВТБ-цена]]^2</f>
        <v>3.1225744000000001E-3</v>
      </c>
      <c r="G4" s="5">
        <f>Таблица13[[#This Row],[ВТБ-цена]]*Таблица13[[#This Row],[ВТБ-объем]]</f>
        <v>53462421650</v>
      </c>
      <c r="L4" s="7">
        <f>Таблица13[[#Totals],[ВТБ-цена]]</f>
        <v>4.9276200000000028</v>
      </c>
      <c r="M4" s="6">
        <f>COUNT(Таблица13[ВТБ-цена])</f>
        <v>93</v>
      </c>
      <c r="N4" s="7">
        <f>Таблица13[[#Totals],[ВТБ-объем]]</f>
        <v>55360561270000</v>
      </c>
    </row>
    <row r="5" spans="1:14" x14ac:dyDescent="0.25">
      <c r="A5" s="17">
        <v>4.9700000000000001E-2</v>
      </c>
      <c r="B5" s="15">
        <v>684089840000</v>
      </c>
      <c r="C5" s="5">
        <f>k1_*Таблица13[[#This Row],[ВТБ-цена]]+k0</f>
        <v>629965873172.23083</v>
      </c>
      <c r="D5" s="5">
        <f>Таблица13[[#This Row],[ВТБ-объем]]-Таблица13[[#This Row],[h=k1*x+k0]]</f>
        <v>54123966827.769165</v>
      </c>
      <c r="E5" s="5">
        <f>Таблица13[[#This Row],[y-h]]^2</f>
        <v>2.9294037851734572E+21</v>
      </c>
      <c r="F5" s="16">
        <f>Таблица13[[#This Row],[ВТБ-цена]]^2</f>
        <v>2.4700900000000003E-3</v>
      </c>
      <c r="G5" s="5">
        <f>Таблица13[[#This Row],[ВТБ-цена]]*Таблица13[[#This Row],[ВТБ-объем]]</f>
        <v>33999265048</v>
      </c>
    </row>
    <row r="6" spans="1:14" x14ac:dyDescent="0.25">
      <c r="A6" s="17">
        <v>4.929E-2</v>
      </c>
      <c r="B6" s="15">
        <v>1203587690000</v>
      </c>
      <c r="C6" s="5">
        <f>k1_*Таблица13[[#This Row],[ВТБ-цена]]+k0</f>
        <v>634295437925.29846</v>
      </c>
      <c r="D6" s="5">
        <f>Таблица13[[#This Row],[ВТБ-объем]]-Таблица13[[#This Row],[h=k1*x+k0]]</f>
        <v>569292252074.70154</v>
      </c>
      <c r="E6" s="5">
        <f>Таблица13[[#This Row],[y-h]]^2</f>
        <v>3.240936682722855E+23</v>
      </c>
      <c r="F6" s="16">
        <f>Таблица13[[#This Row],[ВТБ-цена]]^2</f>
        <v>2.4295040999999999E-3</v>
      </c>
      <c r="G6" s="5">
        <f>Таблица13[[#This Row],[ВТБ-цена]]*Таблица13[[#This Row],[ВТБ-объем]]</f>
        <v>59324837240.099998</v>
      </c>
      <c r="J6" s="10"/>
      <c r="L6" s="8">
        <f t="array" ref="L6:L7">MMULT(MINVERSE(L3:M4),N3:N4)</f>
        <v>-10559914031872.281</v>
      </c>
    </row>
    <row r="7" spans="1:14" x14ac:dyDescent="0.25">
      <c r="A7" s="17">
        <v>4.5999999999999999E-2</v>
      </c>
      <c r="B7" s="15">
        <v>909928850000</v>
      </c>
      <c r="C7" s="5">
        <f>k1_*Таблица13[[#This Row],[ВТБ-цена]]+k0</f>
        <v>669037555090.1582</v>
      </c>
      <c r="D7" s="5">
        <f>Таблица13[[#This Row],[ВТБ-объем]]-Таблица13[[#This Row],[h=k1*x+k0]]</f>
        <v>240891294909.8418</v>
      </c>
      <c r="E7" s="5">
        <f>Таблица13[[#This Row],[y-h]]^2</f>
        <v>5.8028615963340368E+22</v>
      </c>
      <c r="F7" s="16">
        <f>Таблица13[[#This Row],[ВТБ-цена]]^2</f>
        <v>2.1159999999999998E-3</v>
      </c>
      <c r="G7" s="5">
        <f>Таблица13[[#This Row],[ВТБ-цена]]*Таблица13[[#This Row],[ВТБ-объем]]</f>
        <v>41856727100</v>
      </c>
      <c r="J7" s="10"/>
      <c r="L7" s="8">
        <v>1154793600556.2832</v>
      </c>
    </row>
    <row r="8" spans="1:14" x14ac:dyDescent="0.25">
      <c r="A8" s="17">
        <v>4.7010000000000003E-2</v>
      </c>
      <c r="B8" s="15">
        <v>773944750000</v>
      </c>
      <c r="C8" s="5">
        <f>k1_*Таблица13[[#This Row],[ВТБ-цена]]+k0</f>
        <v>658372041917.96729</v>
      </c>
      <c r="D8" s="5">
        <f>Таблица13[[#This Row],[ВТБ-объем]]-Таблица13[[#This Row],[h=k1*x+k0]]</f>
        <v>115572708082.03271</v>
      </c>
      <c r="E8" s="5">
        <f>Таблица13[[#This Row],[y-h]]^2</f>
        <v>1.335705085341475E+22</v>
      </c>
      <c r="F8" s="16">
        <f>Таблица13[[#This Row],[ВТБ-цена]]^2</f>
        <v>2.2099401000000001E-3</v>
      </c>
      <c r="G8" s="5">
        <f>Таблица13[[#This Row],[ВТБ-цена]]*Таблица13[[#This Row],[ВТБ-объем]]</f>
        <v>36383142697.5</v>
      </c>
    </row>
    <row r="9" spans="1:14" x14ac:dyDescent="0.25">
      <c r="A9" s="17">
        <v>4.6609999999999999E-2</v>
      </c>
      <c r="B9" s="15">
        <v>689989310000</v>
      </c>
      <c r="C9" s="5">
        <f>k1_*Таблица13[[#This Row],[ВТБ-цена]]+k0</f>
        <v>662596007530.71619</v>
      </c>
      <c r="D9" s="5">
        <f>Таблица13[[#This Row],[ВТБ-объем]]-Таблица13[[#This Row],[h=k1*x+k0]]</f>
        <v>27393302469.283813</v>
      </c>
      <c r="E9" s="5">
        <f>Таблица13[[#This Row],[y-h]]^2</f>
        <v>7.5039302017367068E+20</v>
      </c>
      <c r="F9" s="16">
        <f>Таблица13[[#This Row],[ВТБ-цена]]^2</f>
        <v>2.1724920999999999E-3</v>
      </c>
      <c r="G9" s="5">
        <f>Таблица13[[#This Row],[ВТБ-цена]]*Таблица13[[#This Row],[ВТБ-объем]]</f>
        <v>32160401739.099998</v>
      </c>
    </row>
    <row r="10" spans="1:14" x14ac:dyDescent="0.25">
      <c r="A10" s="17">
        <v>4.4499999999999998E-2</v>
      </c>
      <c r="B10" s="15">
        <v>424102620000</v>
      </c>
      <c r="C10" s="5">
        <f>k1_*Таблица13[[#This Row],[ВТБ-цена]]+k0</f>
        <v>684877426137.9668</v>
      </c>
      <c r="D10" s="5">
        <f>Таблица13[[#This Row],[ВТБ-объем]]-Таблица13[[#This Row],[h=k1*x+k0]]</f>
        <v>-260774806137.9668</v>
      </c>
      <c r="E10" s="5">
        <f>Таблица13[[#This Row],[y-h]]^2</f>
        <v>6.8003499516294167E+22</v>
      </c>
      <c r="F10" s="16">
        <f>Таблица13[[#This Row],[ВТБ-цена]]^2</f>
        <v>1.9802499999999998E-3</v>
      </c>
      <c r="G10" s="5">
        <f>Таблица13[[#This Row],[ВТБ-цена]]*Таблица13[[#This Row],[ВТБ-объем]]</f>
        <v>18872566590</v>
      </c>
    </row>
    <row r="11" spans="1:14" x14ac:dyDescent="0.25">
      <c r="A11" s="17">
        <v>4.267E-2</v>
      </c>
      <c r="B11" s="15">
        <v>770174060000</v>
      </c>
      <c r="C11" s="5">
        <f>k1_*Таблица13[[#This Row],[ВТБ-цена]]+k0</f>
        <v>704202068816.29297</v>
      </c>
      <c r="D11" s="5">
        <f>Таблица13[[#This Row],[ВТБ-объем]]-Таблица13[[#This Row],[h=k1*x+k0]]</f>
        <v>65971991183.707031</v>
      </c>
      <c r="E11" s="5">
        <f>Таблица13[[#This Row],[y-h]]^2</f>
        <v>4.3523036207431182E+21</v>
      </c>
      <c r="F11" s="16">
        <f>Таблица13[[#This Row],[ВТБ-цена]]^2</f>
        <v>1.8207289000000001E-3</v>
      </c>
      <c r="G11" s="5">
        <f>Таблица13[[#This Row],[ВТБ-цена]]*Таблица13[[#This Row],[ВТБ-объем]]</f>
        <v>32863327140.200001</v>
      </c>
    </row>
    <row r="12" spans="1:14" x14ac:dyDescent="0.25">
      <c r="A12" s="17">
        <v>4.4350000000000001E-2</v>
      </c>
      <c r="B12" s="15">
        <v>1095103330000</v>
      </c>
      <c r="C12" s="5">
        <f>k1_*Таблица13[[#This Row],[ВТБ-цена]]+k0</f>
        <v>686461413242.74756</v>
      </c>
      <c r="D12" s="5">
        <f>Таблица13[[#This Row],[ВТБ-объем]]-Таблица13[[#This Row],[h=k1*x+k0]]</f>
        <v>408641916757.25244</v>
      </c>
      <c r="E12" s="5">
        <f>Таблица13[[#This Row],[y-h]]^2</f>
        <v>1.6698821613104124E+23</v>
      </c>
      <c r="F12" s="16">
        <f>Таблица13[[#This Row],[ВТБ-цена]]^2</f>
        <v>1.9669225E-3</v>
      </c>
      <c r="G12" s="5">
        <f>Таблица13[[#This Row],[ВТБ-цена]]*Таблица13[[#This Row],[ВТБ-объем]]</f>
        <v>48567832685.5</v>
      </c>
    </row>
    <row r="13" spans="1:14" x14ac:dyDescent="0.25">
      <c r="A13" s="17">
        <v>4.6280000000000002E-2</v>
      </c>
      <c r="B13" s="15">
        <v>1117892430000</v>
      </c>
      <c r="C13" s="5">
        <f>k1_*Таблица13[[#This Row],[ВТБ-цена]]+k0</f>
        <v>666080779161.23401</v>
      </c>
      <c r="D13" s="5">
        <f>Таблица13[[#This Row],[ВТБ-объем]]-Таблица13[[#This Row],[h=k1*x+k0]]</f>
        <v>451811650838.76599</v>
      </c>
      <c r="E13" s="5">
        <f>Таблица13[[#This Row],[y-h]]^2</f>
        <v>2.0413376783365098E+23</v>
      </c>
      <c r="F13" s="16">
        <f>Таблица13[[#This Row],[ВТБ-цена]]^2</f>
        <v>2.1418384000000002E-3</v>
      </c>
      <c r="G13" s="5">
        <f>Таблица13[[#This Row],[ВТБ-цена]]*Таблица13[[#This Row],[ВТБ-объем]]</f>
        <v>51736061660.400002</v>
      </c>
    </row>
    <row r="14" spans="1:14" x14ac:dyDescent="0.25">
      <c r="A14" s="17">
        <v>4.9660000000000003E-2</v>
      </c>
      <c r="B14" s="15">
        <v>883378010000</v>
      </c>
      <c r="C14" s="5">
        <f>k1_*Таблица13[[#This Row],[ВТБ-цена]]+k0</f>
        <v>630388269733.50562</v>
      </c>
      <c r="D14" s="5">
        <f>Таблица13[[#This Row],[ВТБ-объем]]-Таблица13[[#This Row],[h=k1*x+k0]]</f>
        <v>252989740266.49438</v>
      </c>
      <c r="E14" s="5">
        <f>Таблица13[[#This Row],[y-h]]^2</f>
        <v>6.4003808680108286E+22</v>
      </c>
      <c r="F14" s="16">
        <f>Таблица13[[#This Row],[ВТБ-цена]]^2</f>
        <v>2.4661156000000003E-3</v>
      </c>
      <c r="G14" s="5">
        <f>Таблица13[[#This Row],[ВТБ-цена]]*Таблица13[[#This Row],[ВТБ-объем]]</f>
        <v>43868551976.600006</v>
      </c>
    </row>
    <row r="15" spans="1:14" x14ac:dyDescent="0.25">
      <c r="A15" s="17">
        <v>4.5440000000000001E-2</v>
      </c>
      <c r="B15" s="15">
        <v>562228330000</v>
      </c>
      <c r="C15" s="5">
        <f>k1_*Таблица13[[#This Row],[ВТБ-цена]]+k0</f>
        <v>674951106948.00671</v>
      </c>
      <c r="D15" s="5">
        <f>Таблица13[[#This Row],[ВТБ-объем]]-Таблица13[[#This Row],[h=k1*x+k0]]</f>
        <v>-112722776948.00671</v>
      </c>
      <c r="E15" s="5">
        <f>Таблица13[[#This Row],[y-h]]^2</f>
        <v>1.2706424442870074E+22</v>
      </c>
      <c r="F15" s="16">
        <f>Таблица13[[#This Row],[ВТБ-цена]]^2</f>
        <v>2.0647936000000003E-3</v>
      </c>
      <c r="G15" s="5">
        <f>Таблица13[[#This Row],[ВТБ-цена]]*Таблица13[[#This Row],[ВТБ-объем]]</f>
        <v>25547655315.200001</v>
      </c>
    </row>
    <row r="16" spans="1:14" x14ac:dyDescent="0.25">
      <c r="A16" s="17">
        <v>4.2130000000000001E-2</v>
      </c>
      <c r="B16" s="15">
        <v>531533830000</v>
      </c>
      <c r="C16" s="5">
        <f>k1_*Таблица13[[#This Row],[ВТБ-цена]]+k0</f>
        <v>709904422393.50391</v>
      </c>
      <c r="D16" s="5">
        <f>Таблица13[[#This Row],[ВТБ-объем]]-Таблица13[[#This Row],[h=k1*x+k0]]</f>
        <v>-178370592393.50391</v>
      </c>
      <c r="E16" s="5">
        <f>Таблица13[[#This Row],[y-h]]^2</f>
        <v>3.1816068230809515E+22</v>
      </c>
      <c r="F16" s="16">
        <f>Таблица13[[#This Row],[ВТБ-цена]]^2</f>
        <v>1.7749369000000001E-3</v>
      </c>
      <c r="G16" s="5">
        <f>Таблица13[[#This Row],[ВТБ-цена]]*Таблица13[[#This Row],[ВТБ-объем]]</f>
        <v>22393520257.900002</v>
      </c>
    </row>
    <row r="17" spans="1:28" x14ac:dyDescent="0.25">
      <c r="A17" s="17">
        <v>3.9600000000000003E-2</v>
      </c>
      <c r="B17" s="15">
        <v>1718001780000</v>
      </c>
      <c r="C17" s="5">
        <f>k1_*Таблица13[[#This Row],[ВТБ-цена]]+k0</f>
        <v>736621004894.14087</v>
      </c>
      <c r="D17" s="5">
        <f>Таблица13[[#This Row],[ВТБ-объем]]-Таблица13[[#This Row],[h=k1*x+k0]]</f>
        <v>981380775105.85913</v>
      </c>
      <c r="E17" s="5">
        <f>Таблица13[[#This Row],[y-h]]^2</f>
        <v>9.6310822574737685E+23</v>
      </c>
      <c r="F17" s="16">
        <f>Таблица13[[#This Row],[ВТБ-цена]]^2</f>
        <v>1.5681600000000003E-3</v>
      </c>
      <c r="G17" s="5">
        <f>Таблица13[[#This Row],[ВТБ-цена]]*Таблица13[[#This Row],[ВТБ-объем]]</f>
        <v>68032870488.000008</v>
      </c>
    </row>
    <row r="18" spans="1:28" x14ac:dyDescent="0.25">
      <c r="A18" s="17">
        <v>3.8649999999999997E-2</v>
      </c>
      <c r="B18" s="15">
        <v>1581562680000</v>
      </c>
      <c r="C18" s="5">
        <f>k1_*Таблица13[[#This Row],[ВТБ-цена]]+k0</f>
        <v>746652923224.41956</v>
      </c>
      <c r="D18" s="5">
        <f>Таблица13[[#This Row],[ВТБ-объем]]-Таблица13[[#This Row],[h=k1*x+k0]]</f>
        <v>834909756775.58044</v>
      </c>
      <c r="E18" s="5">
        <f>Таблица13[[#This Row],[y-h]]^2</f>
        <v>6.9707430195905892E+23</v>
      </c>
      <c r="F18" s="16">
        <f>Таблица13[[#This Row],[ВТБ-цена]]^2</f>
        <v>1.4938224999999999E-3</v>
      </c>
      <c r="G18" s="5">
        <f>Таблица13[[#This Row],[ВТБ-цена]]*Таблица13[[#This Row],[ВТБ-объем]]</f>
        <v>61127397581.999992</v>
      </c>
    </row>
    <row r="19" spans="1:28" x14ac:dyDescent="0.25">
      <c r="A19" s="17">
        <v>4.7899999999999998E-2</v>
      </c>
      <c r="B19" s="15">
        <v>1337467810000</v>
      </c>
      <c r="C19" s="5">
        <f>k1_*Таблица13[[#This Row],[ВТБ-цена]]+k0</f>
        <v>648973718429.60095</v>
      </c>
      <c r="D19" s="5">
        <f>Таблица13[[#This Row],[ВТБ-объем]]-Таблица13[[#This Row],[h=k1*x+k0]]</f>
        <v>688494091570.39905</v>
      </c>
      <c r="E19" s="5">
        <f>Таблица13[[#This Row],[y-h]]^2</f>
        <v>4.7402411412734903E+23</v>
      </c>
      <c r="F19" s="16">
        <f>Таблица13[[#This Row],[ВТБ-цена]]^2</f>
        <v>2.2944099999999998E-3</v>
      </c>
      <c r="G19" s="5">
        <f>Таблица13[[#This Row],[ВТБ-цена]]*Таблица13[[#This Row],[ВТБ-объем]]</f>
        <v>64064708099</v>
      </c>
    </row>
    <row r="20" spans="1:28" x14ac:dyDescent="0.25">
      <c r="A20" s="17">
        <v>4.1099999999999998E-2</v>
      </c>
      <c r="B20" s="15">
        <v>1219984610000</v>
      </c>
      <c r="C20" s="5">
        <f>k1_*Таблица13[[#This Row],[ВТБ-цена]]+k0</f>
        <v>720781133846.33252</v>
      </c>
      <c r="D20" s="5">
        <f>Таблица13[[#This Row],[ВТБ-объем]]-Таблица13[[#This Row],[h=k1*x+k0]]</f>
        <v>499203476153.66748</v>
      </c>
      <c r="E20" s="5">
        <f>Таблица13[[#This Row],[y-h]]^2</f>
        <v>2.4920411060390524E+23</v>
      </c>
      <c r="F20" s="16">
        <f>Таблица13[[#This Row],[ВТБ-цена]]^2</f>
        <v>1.6892099999999998E-3</v>
      </c>
      <c r="G20" s="5">
        <f>Таблица13[[#This Row],[ВТБ-цена]]*Таблица13[[#This Row],[ВТБ-объем]]</f>
        <v>50141367471</v>
      </c>
    </row>
    <row r="21" spans="1:28" x14ac:dyDescent="0.25">
      <c r="A21" s="17">
        <v>3.9800000000000002E-2</v>
      </c>
      <c r="B21" s="15">
        <v>1064257460000</v>
      </c>
      <c r="C21" s="5">
        <f>k1_*Таблица13[[#This Row],[ВТБ-цена]]+k0</f>
        <v>734509022087.76636</v>
      </c>
      <c r="D21" s="5">
        <f>Таблица13[[#This Row],[ВТБ-объем]]-Таблица13[[#This Row],[h=k1*x+k0]]</f>
        <v>329748437912.23364</v>
      </c>
      <c r="E21" s="5">
        <f>Таблица13[[#This Row],[y-h]]^2</f>
        <v>1.087340323055582E+23</v>
      </c>
      <c r="F21" s="16">
        <f>Таблица13[[#This Row],[ВТБ-цена]]^2</f>
        <v>1.5840400000000001E-3</v>
      </c>
      <c r="G21" s="5">
        <f>Таблица13[[#This Row],[ВТБ-цена]]*Таблица13[[#This Row],[ВТБ-объем]]</f>
        <v>42357446908</v>
      </c>
    </row>
    <row r="22" spans="1:28" x14ac:dyDescent="0.25">
      <c r="A22" s="17">
        <v>3.8399999999999997E-2</v>
      </c>
      <c r="B22" s="15">
        <v>699479420000</v>
      </c>
      <c r="C22" s="5">
        <f>k1_*Таблица13[[#This Row],[ВТБ-цена]]+k0</f>
        <v>749292901732.3877</v>
      </c>
      <c r="D22" s="5">
        <f>Таблица13[[#This Row],[ВТБ-объем]]-Таблица13[[#This Row],[h=k1*x+k0]]</f>
        <v>-49813481732.387695</v>
      </c>
      <c r="E22" s="5">
        <f>Таблица13[[#This Row],[y-h]]^2</f>
        <v>2.4813829623029228E+21</v>
      </c>
      <c r="F22" s="16">
        <f>Таблица13[[#This Row],[ВТБ-цена]]^2</f>
        <v>1.4745599999999998E-3</v>
      </c>
      <c r="G22" s="5">
        <f>Таблица13[[#This Row],[ВТБ-цена]]*Таблица13[[#This Row],[ВТБ-объем]]</f>
        <v>26860009727.999996</v>
      </c>
    </row>
    <row r="23" spans="1:28" x14ac:dyDescent="0.25">
      <c r="A23" s="17">
        <v>3.8039999999999997E-2</v>
      </c>
      <c r="B23" s="15">
        <v>534436210000</v>
      </c>
      <c r="C23" s="5">
        <f>k1_*Таблица13[[#This Row],[ВТБ-цена]]+k0</f>
        <v>753094470783.86157</v>
      </c>
      <c r="D23" s="5">
        <f>Таблица13[[#This Row],[ВТБ-объем]]-Таблица13[[#This Row],[h=k1*x+k0]]</f>
        <v>-218658260783.86157</v>
      </c>
      <c r="E23" s="5">
        <f>Таблица13[[#This Row],[y-h]]^2</f>
        <v>4.7811435009023215E+22</v>
      </c>
      <c r="F23" s="16">
        <f>Таблица13[[#This Row],[ВТБ-цена]]^2</f>
        <v>1.4470415999999998E-3</v>
      </c>
      <c r="G23" s="5">
        <f>Таблица13[[#This Row],[ВТБ-цена]]*Таблица13[[#This Row],[ВТБ-объем]]</f>
        <v>20329953428.399998</v>
      </c>
    </row>
    <row r="24" spans="1:28" x14ac:dyDescent="0.25">
      <c r="A24" s="17">
        <v>3.993E-2</v>
      </c>
      <c r="B24" s="15">
        <v>552675470000</v>
      </c>
      <c r="C24" s="5">
        <f>k1_*Таблица13[[#This Row],[ВТБ-цена]]+k0</f>
        <v>733136233263.62305</v>
      </c>
      <c r="D24" s="5">
        <f>Таблица13[[#This Row],[ВТБ-объем]]-Таблица13[[#This Row],[h=k1*x+k0]]</f>
        <v>-180460763263.62305</v>
      </c>
      <c r="E24" s="5">
        <f>Таблица13[[#This Row],[y-h]]^2</f>
        <v>3.2566087077689402E+22</v>
      </c>
      <c r="F24" s="16">
        <f>Таблица13[[#This Row],[ВТБ-цена]]^2</f>
        <v>1.5944049000000001E-3</v>
      </c>
      <c r="G24" s="5">
        <f>Таблица13[[#This Row],[ВТБ-цена]]*Таблица13[[#This Row],[ВТБ-объем]]</f>
        <v>22068331517.099998</v>
      </c>
    </row>
    <row r="25" spans="1:28" x14ac:dyDescent="0.25">
      <c r="A25" s="17">
        <v>4.6699999999999998E-2</v>
      </c>
      <c r="B25" s="15">
        <v>1215936210000</v>
      </c>
      <c r="C25" s="5">
        <f>k1_*Таблица13[[#This Row],[ВТБ-цена]]+k0</f>
        <v>661645615267.84766</v>
      </c>
      <c r="D25" s="5">
        <f>Таблица13[[#This Row],[ВТБ-объем]]-Таблица13[[#This Row],[h=k1*x+k0]]</f>
        <v>554290594732.15234</v>
      </c>
      <c r="E25" s="5">
        <f>Таблица13[[#This Row],[y-h]]^2</f>
        <v>3.0723806340852317E+23</v>
      </c>
      <c r="F25" s="16">
        <f>Таблица13[[#This Row],[ВТБ-цена]]^2</f>
        <v>2.18089E-3</v>
      </c>
      <c r="G25" s="5">
        <f>Таблица13[[#This Row],[ВТБ-цена]]*Таблица13[[#This Row],[ВТБ-объем]]</f>
        <v>56784221007</v>
      </c>
    </row>
    <row r="26" spans="1:28" x14ac:dyDescent="0.25">
      <c r="A26" s="17">
        <v>6.7000000000000004E-2</v>
      </c>
      <c r="B26" s="15">
        <v>1901970000000</v>
      </c>
      <c r="C26" s="5">
        <f>k1_*Таблица13[[#This Row],[ВТБ-цена]]+k0</f>
        <v>447279360420.84033</v>
      </c>
      <c r="D26" s="5">
        <f>Таблица13[[#This Row],[ВТБ-объем]]-Таблица13[[#This Row],[h=k1*x+k0]]</f>
        <v>1454690639579.1597</v>
      </c>
      <c r="E26" s="5">
        <f>Таблица13[[#This Row],[y-h]]^2</f>
        <v>2.1161248568792247E+24</v>
      </c>
      <c r="F26" s="16">
        <f>Таблица13[[#This Row],[ВТБ-цена]]^2</f>
        <v>4.4890000000000008E-3</v>
      </c>
      <c r="G26" s="5">
        <f>Таблица13[[#This Row],[ВТБ-цена]]*Таблица13[[#This Row],[ВТБ-объем]]</f>
        <v>127431990000</v>
      </c>
    </row>
    <row r="27" spans="1:28" x14ac:dyDescent="0.25">
      <c r="A27" s="17">
        <v>6.8940000000000001E-2</v>
      </c>
      <c r="B27" s="15">
        <v>472099150000</v>
      </c>
      <c r="C27" s="5">
        <f>k1_*Таблица13[[#This Row],[ВТБ-цена]]+k0</f>
        <v>426793127199.00818</v>
      </c>
      <c r="D27" s="5">
        <f>Таблица13[[#This Row],[ВТБ-объем]]-Таблица13[[#This Row],[h=k1*x+k0]]</f>
        <v>45306022800.991821</v>
      </c>
      <c r="E27" s="5">
        <f>Таблица13[[#This Row],[y-h]]^2</f>
        <v>2.0526357020439908E+21</v>
      </c>
      <c r="F27" s="16">
        <f>Таблица13[[#This Row],[ВТБ-цена]]^2</f>
        <v>4.7527236000000006E-3</v>
      </c>
      <c r="G27" s="5">
        <f>Таблица13[[#This Row],[ВТБ-цена]]*Таблица13[[#This Row],[ВТБ-объем]]</f>
        <v>32546515401</v>
      </c>
      <c r="I27" t="s">
        <v>12</v>
      </c>
      <c r="J27"/>
      <c r="K27"/>
      <c r="L27"/>
      <c r="M27"/>
      <c r="N27"/>
      <c r="O27"/>
      <c r="P27"/>
      <c r="Q2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thickBot="1" x14ac:dyDescent="0.3">
      <c r="A28" s="17">
        <v>6.8000000000000005E-2</v>
      </c>
      <c r="B28" s="15">
        <v>435810560000</v>
      </c>
      <c r="C28" s="5">
        <f>k1_*Таблица13[[#This Row],[ВТБ-цена]]+k0</f>
        <v>436719446388.96802</v>
      </c>
      <c r="D28" s="5">
        <f>Таблица13[[#This Row],[ВТБ-объем]]-Таблица13[[#This Row],[h=k1*x+k0]]</f>
        <v>-908886388.96801758</v>
      </c>
      <c r="E28" s="5">
        <f>Таблица13[[#This Row],[y-h]]^2</f>
        <v>8.260744680513225E+17</v>
      </c>
      <c r="F28" s="16">
        <f>Таблица13[[#This Row],[ВТБ-цена]]^2</f>
        <v>4.6240000000000005E-3</v>
      </c>
      <c r="G28" s="5">
        <f>Таблица13[[#This Row],[ВТБ-цена]]*Таблица13[[#This Row],[ВТБ-объем]]</f>
        <v>29635118080.000004</v>
      </c>
      <c r="I28"/>
      <c r="J28"/>
      <c r="K28"/>
      <c r="L28"/>
      <c r="M28"/>
      <c r="N28"/>
      <c r="O28"/>
      <c r="P28"/>
      <c r="Q28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17">
        <v>0.06</v>
      </c>
      <c r="B29" s="15">
        <v>380858460000</v>
      </c>
      <c r="C29" s="5">
        <f>k1_*Таблица13[[#This Row],[ВТБ-цена]]+k0</f>
        <v>521198758643.94641</v>
      </c>
      <c r="D29" s="5">
        <f>Таблица13[[#This Row],[ВТБ-объем]]-Таблица13[[#This Row],[h=k1*x+k0]]</f>
        <v>-140340298643.94641</v>
      </c>
      <c r="E29" s="5">
        <f>Таблица13[[#This Row],[y-h]]^2</f>
        <v>1.9695399423472065E+22</v>
      </c>
      <c r="F29" s="16">
        <f>Таблица13[[#This Row],[ВТБ-цена]]^2</f>
        <v>3.5999999999999999E-3</v>
      </c>
      <c r="G29" s="5">
        <f>Таблица13[[#This Row],[ВТБ-цена]]*Таблица13[[#This Row],[ВТБ-объем]]</f>
        <v>22851507600</v>
      </c>
      <c r="I29" s="14" t="s">
        <v>20</v>
      </c>
      <c r="J29" s="14"/>
      <c r="K29"/>
      <c r="L29"/>
      <c r="M29"/>
      <c r="N29"/>
      <c r="O29"/>
      <c r="P29"/>
      <c r="Q2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7">
        <v>6.5500000000000003E-2</v>
      </c>
      <c r="B30" s="15">
        <v>670781500000</v>
      </c>
      <c r="C30" s="5">
        <f>k1_*Таблица13[[#This Row],[ВТБ-цена]]+k0</f>
        <v>463119231468.6488</v>
      </c>
      <c r="D30" s="5">
        <f>Таблица13[[#This Row],[ВТБ-объем]]-Таблица13[[#This Row],[h=k1*x+k0]]</f>
        <v>207662268531.3512</v>
      </c>
      <c r="E30" s="5">
        <f>Таблица13[[#This Row],[y-h]]^2</f>
        <v>4.312361777158701E+22</v>
      </c>
      <c r="F30" s="16">
        <f>Таблица13[[#This Row],[ВТБ-цена]]^2</f>
        <v>4.2902500000000007E-3</v>
      </c>
      <c r="G30" s="5">
        <f>Таблица13[[#This Row],[ВТБ-цена]]*Таблица13[[#This Row],[ВТБ-объем]]</f>
        <v>43936188250</v>
      </c>
      <c r="I30" s="11" t="s">
        <v>21</v>
      </c>
      <c r="J30" s="11">
        <v>0.37840417474659732</v>
      </c>
      <c r="K30"/>
      <c r="L30"/>
      <c r="M30"/>
      <c r="N30"/>
      <c r="O30"/>
      <c r="P30"/>
      <c r="Q30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7">
        <v>8.0250000000000002E-2</v>
      </c>
      <c r="B31" s="15">
        <v>1045976670000</v>
      </c>
      <c r="C31" s="5">
        <f>k1_*Таблица13[[#This Row],[ВТБ-цена]]+k0</f>
        <v>307360499498.53259</v>
      </c>
      <c r="D31" s="5">
        <f>Таблица13[[#This Row],[ВТБ-объем]]-Таблица13[[#This Row],[h=k1*x+k0]]</f>
        <v>738616170501.46741</v>
      </c>
      <c r="E31" s="5">
        <f>Таблица13[[#This Row],[y-h]]^2</f>
        <v>5.4555384732625279E+23</v>
      </c>
      <c r="F31" s="16">
        <f>Таблица13[[#This Row],[ВТБ-цена]]^2</f>
        <v>6.4400625000000005E-3</v>
      </c>
      <c r="G31" s="5">
        <f>Таблица13[[#This Row],[ВТБ-цена]]*Таблица13[[#This Row],[ВТБ-объем]]</f>
        <v>83939627767.5</v>
      </c>
      <c r="I31" s="11" t="s">
        <v>22</v>
      </c>
      <c r="J31" s="11">
        <v>0.14318971946565337</v>
      </c>
      <c r="K31"/>
      <c r="L31"/>
      <c r="M31"/>
      <c r="N31"/>
      <c r="O31"/>
      <c r="P31"/>
      <c r="Q3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7">
        <v>7.9000000000000001E-2</v>
      </c>
      <c r="B32" s="15">
        <v>757627400000</v>
      </c>
      <c r="C32" s="5">
        <f>k1_*Таблица13[[#This Row],[ВТБ-цена]]+k0</f>
        <v>320560392038.37292</v>
      </c>
      <c r="D32" s="5">
        <f>Таблица13[[#This Row],[ВТБ-объем]]-Таблица13[[#This Row],[h=k1*x+k0]]</f>
        <v>437067007961.62708</v>
      </c>
      <c r="E32" s="5">
        <f>Таблица13[[#This Row],[y-h]]^2</f>
        <v>1.9102756944852897E+23</v>
      </c>
      <c r="F32" s="16">
        <f>Таблица13[[#This Row],[ВТБ-цена]]^2</f>
        <v>6.241E-3</v>
      </c>
      <c r="G32" s="5">
        <f>Таблица13[[#This Row],[ВТБ-цена]]*Таблица13[[#This Row],[ВТБ-объем]]</f>
        <v>59852564600</v>
      </c>
      <c r="I32" s="11" t="s">
        <v>23</v>
      </c>
      <c r="J32" s="11">
        <v>0.13377422187736385</v>
      </c>
      <c r="K32"/>
      <c r="L32"/>
      <c r="M32"/>
      <c r="N32"/>
      <c r="O32"/>
      <c r="P32"/>
      <c r="Q3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17">
        <v>7.1999999999999995E-2</v>
      </c>
      <c r="B33" s="15">
        <v>355294170000</v>
      </c>
      <c r="C33" s="5">
        <f>k1_*Таблица13[[#This Row],[ВТБ-цена]]+k0</f>
        <v>394479790261.479</v>
      </c>
      <c r="D33" s="5">
        <f>Таблица13[[#This Row],[ВТБ-объем]]-Таблица13[[#This Row],[h=k1*x+k0]]</f>
        <v>-39185620261.479004</v>
      </c>
      <c r="E33" s="5">
        <f>Таблица13[[#This Row],[y-h]]^2</f>
        <v>1.5355128352768338E+21</v>
      </c>
      <c r="F33" s="16">
        <f>Таблица13[[#This Row],[ВТБ-цена]]^2</f>
        <v>5.1839999999999994E-3</v>
      </c>
      <c r="G33" s="5">
        <f>Таблица13[[#This Row],[ВТБ-цена]]*Таблица13[[#This Row],[ВТБ-объем]]</f>
        <v>25581180239.999996</v>
      </c>
      <c r="I33" s="11" t="s">
        <v>24</v>
      </c>
      <c r="J33" s="11">
        <v>356226176461.3667</v>
      </c>
      <c r="K33"/>
      <c r="L33"/>
      <c r="M33"/>
      <c r="N33"/>
      <c r="O33"/>
      <c r="P33"/>
      <c r="Q3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 x14ac:dyDescent="0.3">
      <c r="A34" s="17">
        <v>6.9000000000000006E-2</v>
      </c>
      <c r="B34" s="15">
        <v>297785390000</v>
      </c>
      <c r="C34" s="5">
        <f>k1_*Таблица13[[#This Row],[ВТБ-цена]]+k0</f>
        <v>426159532357.0957</v>
      </c>
      <c r="D34" s="5">
        <f>Таблица13[[#This Row],[ВТБ-объем]]-Таблица13[[#This Row],[h=k1*x+k0]]</f>
        <v>-128374142357.0957</v>
      </c>
      <c r="E34" s="5">
        <f>Таблица13[[#This Row],[y-h]]^2</f>
        <v>1.6479920425919874E+22</v>
      </c>
      <c r="F34" s="16">
        <f>Таблица13[[#This Row],[ВТБ-цена]]^2</f>
        <v>4.7610000000000005E-3</v>
      </c>
      <c r="G34" s="5">
        <f>Таблица13[[#This Row],[ВТБ-цена]]*Таблица13[[#This Row],[ВТБ-объем]]</f>
        <v>20547191910</v>
      </c>
      <c r="I34" s="12" t="s">
        <v>25</v>
      </c>
      <c r="J34" s="12">
        <v>93</v>
      </c>
      <c r="K34"/>
      <c r="L34"/>
      <c r="M34"/>
      <c r="N34"/>
      <c r="O34"/>
      <c r="P34"/>
      <c r="Q3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17">
        <v>6.7699999999999996E-2</v>
      </c>
      <c r="B35" s="15">
        <v>288953870000</v>
      </c>
      <c r="C35" s="5">
        <f>k1_*Таблица13[[#This Row],[ВТБ-цена]]+k0</f>
        <v>439887420598.52979</v>
      </c>
      <c r="D35" s="5">
        <f>Таблица13[[#This Row],[ВТБ-объем]]-Таблица13[[#This Row],[h=k1*x+k0]]</f>
        <v>-150933550598.52979</v>
      </c>
      <c r="E35" s="5">
        <f>Таблица13[[#This Row],[y-h]]^2</f>
        <v>2.2780936696278951E+22</v>
      </c>
      <c r="F35" s="16">
        <f>Таблица13[[#This Row],[ВТБ-цена]]^2</f>
        <v>4.5832899999999994E-3</v>
      </c>
      <c r="G35" s="5">
        <f>Таблица13[[#This Row],[ВТБ-цена]]*Таблица13[[#This Row],[ВТБ-объем]]</f>
        <v>19562176999</v>
      </c>
      <c r="I35"/>
      <c r="J35"/>
      <c r="K35"/>
      <c r="L35"/>
      <c r="M35"/>
      <c r="N35"/>
      <c r="O35"/>
      <c r="P35"/>
      <c r="Q35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thickBot="1" x14ac:dyDescent="0.3">
      <c r="A36" s="17">
        <v>7.2349999999999998E-2</v>
      </c>
      <c r="B36" s="15">
        <v>406369030000</v>
      </c>
      <c r="C36" s="5">
        <f>k1_*Таблица13[[#This Row],[ВТБ-цена]]+k0</f>
        <v>390783820350.32373</v>
      </c>
      <c r="D36" s="5">
        <f>Таблица13[[#This Row],[ВТБ-объем]]-Таблица13[[#This Row],[h=k1*x+k0]]</f>
        <v>15585209649.67627</v>
      </c>
      <c r="E36" s="5">
        <f>Таблица13[[#This Row],[y-h]]^2</f>
        <v>2.4289875982436231E+20</v>
      </c>
      <c r="F36" s="16">
        <f>Таблица13[[#This Row],[ВТБ-цена]]^2</f>
        <v>5.2345224999999999E-3</v>
      </c>
      <c r="G36" s="5">
        <f>Таблица13[[#This Row],[ВТБ-цена]]*Таблица13[[#This Row],[ВТБ-объем]]</f>
        <v>29400799320.5</v>
      </c>
      <c r="I36" t="s">
        <v>13</v>
      </c>
      <c r="J36"/>
      <c r="K36"/>
      <c r="L36"/>
      <c r="M36"/>
      <c r="N36"/>
      <c r="O36"/>
      <c r="P36"/>
      <c r="Q36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17">
        <v>7.0999999999999994E-2</v>
      </c>
      <c r="B37" s="15">
        <v>293559920000</v>
      </c>
      <c r="C37" s="5">
        <f>k1_*Таблица13[[#This Row],[ВТБ-цена]]+k0</f>
        <v>405039704293.35132</v>
      </c>
      <c r="D37" s="5">
        <f>Таблица13[[#This Row],[ВТБ-объем]]-Таблица13[[#This Row],[h=k1*x+k0]]</f>
        <v>-111479784293.35132</v>
      </c>
      <c r="E37" s="5">
        <f>Таблица13[[#This Row],[y-h]]^2</f>
        <v>1.2427742306092139E+22</v>
      </c>
      <c r="F37" s="16">
        <f>Таблица13[[#This Row],[ВТБ-цена]]^2</f>
        <v>5.0409999999999995E-3</v>
      </c>
      <c r="G37" s="5">
        <f>Таблица13[[#This Row],[ВТБ-цена]]*Таблица13[[#This Row],[ВТБ-объем]]</f>
        <v>20842754320</v>
      </c>
      <c r="I37" s="13"/>
      <c r="J37" s="13" t="s">
        <v>15</v>
      </c>
      <c r="K37" s="13" t="s">
        <v>14</v>
      </c>
      <c r="L37" s="13" t="s">
        <v>16</v>
      </c>
      <c r="M37" s="13" t="s">
        <v>17</v>
      </c>
      <c r="N37" s="13" t="s">
        <v>29</v>
      </c>
      <c r="O37"/>
      <c r="P37"/>
      <c r="Q37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17">
        <v>7.9699999999999993E-2</v>
      </c>
      <c r="B38" s="15">
        <v>349150430000</v>
      </c>
      <c r="C38" s="5">
        <f>k1_*Таблица13[[#This Row],[ВТБ-цена]]+k0</f>
        <v>313168452216.0625</v>
      </c>
      <c r="D38" s="5">
        <f>Таблица13[[#This Row],[ВТБ-объем]]-Таблица13[[#This Row],[h=k1*x+k0]]</f>
        <v>35981977783.9375</v>
      </c>
      <c r="E38" s="5">
        <f>Таблица13[[#This Row],[y-h]]^2</f>
        <v>1.2947027252437718E+21</v>
      </c>
      <c r="F38" s="16">
        <f>Таблица13[[#This Row],[ВТБ-цена]]^2</f>
        <v>6.3520899999999986E-3</v>
      </c>
      <c r="G38" s="5">
        <f>Таблица13[[#This Row],[ВТБ-цена]]*Таблица13[[#This Row],[ВТБ-объем]]</f>
        <v>27827289270.999996</v>
      </c>
      <c r="I38" s="11" t="s">
        <v>26</v>
      </c>
      <c r="J38" s="11">
        <v>1</v>
      </c>
      <c r="K38" s="11">
        <v>1.9298351866551813E+24</v>
      </c>
      <c r="L38" s="11">
        <v>1.9298351866551813E+24</v>
      </c>
      <c r="M38" s="11">
        <v>15.207875964382897</v>
      </c>
      <c r="N38" s="11">
        <v>1.8408231159666114E-4</v>
      </c>
      <c r="O38"/>
      <c r="P38"/>
      <c r="Q38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17">
        <v>7.3700000000000002E-2</v>
      </c>
      <c r="B39" s="15">
        <v>393514230000</v>
      </c>
      <c r="C39" s="5">
        <f>k1_*Таблица13[[#This Row],[ВТБ-цена]]+k0</f>
        <v>376527936407.29602</v>
      </c>
      <c r="D39" s="5">
        <f>Таблица13[[#This Row],[ВТБ-объем]]-Таблица13[[#This Row],[h=k1*x+k0]]</f>
        <v>16986293592.703979</v>
      </c>
      <c r="E39" s="5">
        <f>Таблица13[[#This Row],[y-h]]^2</f>
        <v>2.8853417001753628E+20</v>
      </c>
      <c r="F39" s="16">
        <f>Таблица13[[#This Row],[ВТБ-цена]]^2</f>
        <v>5.4316900000000003E-3</v>
      </c>
      <c r="G39" s="5">
        <f>Таблица13[[#This Row],[ВТБ-цена]]*Таблица13[[#This Row],[ВТБ-объем]]</f>
        <v>29001998751</v>
      </c>
      <c r="I39" s="11" t="s">
        <v>27</v>
      </c>
      <c r="J39" s="11">
        <v>91</v>
      </c>
      <c r="K39" s="11">
        <v>1.1547635080461914E+25</v>
      </c>
      <c r="L39" s="11">
        <v>1.2689708879628477E+23</v>
      </c>
      <c r="M39" s="11"/>
      <c r="N39" s="11"/>
      <c r="O39"/>
      <c r="P39"/>
      <c r="Q3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 x14ac:dyDescent="0.3">
      <c r="A40" s="17">
        <v>7.3400000000000007E-2</v>
      </c>
      <c r="B40" s="15">
        <v>284381410000</v>
      </c>
      <c r="C40" s="5">
        <f>k1_*Таблица13[[#This Row],[ВТБ-цена]]+k0</f>
        <v>379695910616.85767</v>
      </c>
      <c r="D40" s="5">
        <f>Таблица13[[#This Row],[ВТБ-объем]]-Таблица13[[#This Row],[h=k1*x+k0]]</f>
        <v>-95314500616.857666</v>
      </c>
      <c r="E40" s="5">
        <f>Таблица13[[#This Row],[y-h]]^2</f>
        <v>9.0848540278409606E+21</v>
      </c>
      <c r="F40" s="16">
        <f>Таблица13[[#This Row],[ВТБ-цена]]^2</f>
        <v>5.3875600000000013E-3</v>
      </c>
      <c r="G40" s="5">
        <f>Таблица13[[#This Row],[ВТБ-цена]]*Таблица13[[#This Row],[ВТБ-объем]]</f>
        <v>20873595494.000004</v>
      </c>
      <c r="I40" s="12" t="s">
        <v>19</v>
      </c>
      <c r="J40" s="12">
        <v>92</v>
      </c>
      <c r="K40" s="12">
        <v>1.3477470267117095E+25</v>
      </c>
      <c r="L40" s="12"/>
      <c r="M40" s="12"/>
      <c r="N40" s="12"/>
      <c r="O40"/>
      <c r="P40"/>
      <c r="Q4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thickBot="1" x14ac:dyDescent="0.3">
      <c r="A41" s="17">
        <v>7.6679999999999998E-2</v>
      </c>
      <c r="B41" s="15">
        <v>303739850000</v>
      </c>
      <c r="C41" s="5">
        <f>k1_*Таблица13[[#This Row],[ВТБ-цена]]+k0</f>
        <v>345059392592.31665</v>
      </c>
      <c r="D41" s="5">
        <f>Таблица13[[#This Row],[ВТБ-объем]]-Таблица13[[#This Row],[h=k1*x+k0]]</f>
        <v>-41319542592.31665</v>
      </c>
      <c r="E41" s="5">
        <f>Таблица13[[#This Row],[y-h]]^2</f>
        <v>1.7073046000382698E+21</v>
      </c>
      <c r="F41" s="16">
        <f>Таблица13[[#This Row],[ВТБ-цена]]^2</f>
        <v>5.8798224E-3</v>
      </c>
      <c r="G41" s="5">
        <f>Таблица13[[#This Row],[ВТБ-цена]]*Таблица13[[#This Row],[ВТБ-объем]]</f>
        <v>23290771698</v>
      </c>
      <c r="I41"/>
      <c r="J41"/>
      <c r="K41"/>
      <c r="L41"/>
      <c r="M41"/>
      <c r="N41"/>
      <c r="O41"/>
      <c r="P41"/>
      <c r="Q4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17">
        <v>7.0050000000000001E-2</v>
      </c>
      <c r="B42" s="15">
        <v>351481170000</v>
      </c>
      <c r="C42" s="5">
        <f>k1_*Таблица13[[#This Row],[ВТБ-цена]]+k0</f>
        <v>415071622623.62988</v>
      </c>
      <c r="D42" s="5">
        <f>Таблица13[[#This Row],[ВТБ-объем]]-Таблица13[[#This Row],[h=k1*x+k0]]</f>
        <v>-63590452623.629883</v>
      </c>
      <c r="E42" s="5">
        <f>Таблица13[[#This Row],[y-h]]^2</f>
        <v>4.0437456648781169E+21</v>
      </c>
      <c r="F42" s="16">
        <f>Таблица13[[#This Row],[ВТБ-цена]]^2</f>
        <v>4.9070025000000003E-3</v>
      </c>
      <c r="G42" s="5">
        <f>Таблица13[[#This Row],[ВТБ-цена]]*Таблица13[[#This Row],[ВТБ-объем]]</f>
        <v>24621255958.5</v>
      </c>
      <c r="I42" s="13"/>
      <c r="J42" s="13" t="s">
        <v>30</v>
      </c>
      <c r="K42" s="13" t="s">
        <v>24</v>
      </c>
      <c r="L42" s="13" t="s">
        <v>31</v>
      </c>
      <c r="M42" s="13" t="s">
        <v>18</v>
      </c>
      <c r="N42" s="13" t="s">
        <v>32</v>
      </c>
      <c r="O42" s="13" t="s">
        <v>33</v>
      </c>
      <c r="P42" s="13" t="s">
        <v>34</v>
      </c>
      <c r="Q42" s="13" t="s">
        <v>35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17">
        <v>6.8400000000000002E-2</v>
      </c>
      <c r="B43" s="15">
        <v>274461660000</v>
      </c>
      <c r="C43" s="5">
        <f>k1_*Таблица13[[#This Row],[ВТБ-цена]]+k0</f>
        <v>432495480776.21912</v>
      </c>
      <c r="D43" s="5">
        <f>Таблица13[[#This Row],[ВТБ-объем]]-Таблица13[[#This Row],[h=k1*x+k0]]</f>
        <v>-158033820776.21912</v>
      </c>
      <c r="E43" s="5">
        <f>Таблица13[[#This Row],[y-h]]^2</f>
        <v>2.4974688509130143E+22</v>
      </c>
      <c r="F43" s="16">
        <f>Таблица13[[#This Row],[ВТБ-цена]]^2</f>
        <v>4.67856E-3</v>
      </c>
      <c r="G43" s="5">
        <f>Таблица13[[#This Row],[ВТБ-цена]]*Таблица13[[#This Row],[ВТБ-объем]]</f>
        <v>18773177544</v>
      </c>
      <c r="I43" s="11" t="s">
        <v>28</v>
      </c>
      <c r="J43" s="11">
        <v>1154793600556.2651</v>
      </c>
      <c r="K43" s="11">
        <v>148155161491.34708</v>
      </c>
      <c r="L43" s="11">
        <v>7.7944878121827044</v>
      </c>
      <c r="M43" s="11">
        <v>1.0180549958162381E-11</v>
      </c>
      <c r="N43" s="11">
        <v>860501572460.65198</v>
      </c>
      <c r="O43" s="11">
        <v>1449085628651.8784</v>
      </c>
      <c r="P43" s="11">
        <v>860501572460.65198</v>
      </c>
      <c r="Q43" s="11">
        <v>1449085628651.8784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 x14ac:dyDescent="0.3">
      <c r="A44" s="17">
        <v>6.8000000000000005E-2</v>
      </c>
      <c r="B44" s="15">
        <v>282574220000</v>
      </c>
      <c r="C44" s="5">
        <f>k1_*Таблица13[[#This Row],[ВТБ-цена]]+k0</f>
        <v>436719446388.96802</v>
      </c>
      <c r="D44" s="5">
        <f>Таблица13[[#This Row],[ВТБ-объем]]-Таблица13[[#This Row],[h=k1*x+k0]]</f>
        <v>-154145226388.96802</v>
      </c>
      <c r="E44" s="5">
        <f>Таблица13[[#This Row],[y-h]]^2</f>
        <v>2.3760750818506203E+22</v>
      </c>
      <c r="F44" s="16">
        <f>Таблица13[[#This Row],[ВТБ-цена]]^2</f>
        <v>4.6240000000000005E-3</v>
      </c>
      <c r="G44" s="5">
        <f>Таблица13[[#This Row],[ВТБ-цена]]*Таблица13[[#This Row],[ВТБ-объем]]</f>
        <v>19215046960</v>
      </c>
      <c r="I44" s="12" t="s">
        <v>36</v>
      </c>
      <c r="J44" s="12">
        <v>-10559914031871.902</v>
      </c>
      <c r="K44" s="12">
        <v>2707859343823.334</v>
      </c>
      <c r="L44" s="12">
        <v>-3.8997276782338113</v>
      </c>
      <c r="M44" s="12">
        <v>1.8408231159666355E-4</v>
      </c>
      <c r="N44" s="12">
        <v>-15938743969821.568</v>
      </c>
      <c r="O44" s="12">
        <v>-5181084093922.2363</v>
      </c>
      <c r="P44" s="12">
        <v>-15938743969821.568</v>
      </c>
      <c r="Q44" s="12">
        <v>-5181084093922.2363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17">
        <v>6.7409999999999998E-2</v>
      </c>
      <c r="B45" s="15">
        <v>152728630000</v>
      </c>
      <c r="C45" s="5">
        <f>k1_*Таблица13[[#This Row],[ВТБ-цена]]+k0</f>
        <v>442949795667.77271</v>
      </c>
      <c r="D45" s="5">
        <f>Таблица13[[#This Row],[ВТБ-объем]]-Таблица13[[#This Row],[h=k1*x+k0]]</f>
        <v>-290221165667.77271</v>
      </c>
      <c r="E45" s="5">
        <f>Таблица13[[#This Row],[y-h]]^2</f>
        <v>8.4228325001560775E+22</v>
      </c>
      <c r="F45" s="16">
        <f>Таблица13[[#This Row],[ВТБ-цена]]^2</f>
        <v>4.5441080999999994E-3</v>
      </c>
      <c r="G45" s="5">
        <f>Таблица13[[#This Row],[ВТБ-цена]]*Таблица13[[#This Row],[ВТБ-объем]]</f>
        <v>10295436948.299999</v>
      </c>
      <c r="I45"/>
      <c r="J45"/>
      <c r="K45"/>
      <c r="L45"/>
      <c r="M45"/>
      <c r="N45"/>
      <c r="O45"/>
      <c r="P45"/>
      <c r="Q45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17">
        <v>6.8489999999999995E-2</v>
      </c>
      <c r="B46" s="15">
        <v>225458160000</v>
      </c>
      <c r="C46" s="5">
        <f>k1_*Таблица13[[#This Row],[ВТБ-цена]]+k0</f>
        <v>431545088513.35071</v>
      </c>
      <c r="D46" s="5">
        <f>Таблица13[[#This Row],[ВТБ-объем]]-Таблица13[[#This Row],[h=k1*x+k0]]</f>
        <v>-206086928513.35071</v>
      </c>
      <c r="E46" s="5">
        <f>Таблица13[[#This Row],[y-h]]^2</f>
        <v>4.2471822104066922E+22</v>
      </c>
      <c r="F46" s="16">
        <f>Таблица13[[#This Row],[ВТБ-цена]]^2</f>
        <v>4.6908800999999993E-3</v>
      </c>
      <c r="G46" s="5">
        <f>Таблица13[[#This Row],[ВТБ-цена]]*Таблица13[[#This Row],[ВТБ-объем]]</f>
        <v>15441629378.4</v>
      </c>
      <c r="I46"/>
      <c r="J46"/>
      <c r="K46"/>
      <c r="L46"/>
      <c r="M46"/>
      <c r="N46"/>
      <c r="O46"/>
      <c r="P46"/>
      <c r="Q46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17">
        <v>7.2099999999999997E-2</v>
      </c>
      <c r="B47" s="15">
        <v>360228510000</v>
      </c>
      <c r="C47" s="5">
        <f>k1_*Таблица13[[#This Row],[ВТБ-цена]]+k0</f>
        <v>393423798858.29175</v>
      </c>
      <c r="D47" s="5">
        <f>Таблица13[[#This Row],[ВТБ-объем]]-Таблица13[[#This Row],[h=k1*x+k0]]</f>
        <v>-33195288858.291748</v>
      </c>
      <c r="E47" s="5">
        <f>Таблица13[[#This Row],[y-h]]^2</f>
        <v>1.1019272023854282E+21</v>
      </c>
      <c r="F47" s="16">
        <f>Таблица13[[#This Row],[ВТБ-цена]]^2</f>
        <v>5.1984099999999997E-3</v>
      </c>
      <c r="G47" s="5">
        <f>Таблица13[[#This Row],[ВТБ-цена]]*Таблица13[[#This Row],[ВТБ-объем]]</f>
        <v>25972475571</v>
      </c>
      <c r="I47"/>
      <c r="J47"/>
      <c r="K47"/>
      <c r="L47"/>
      <c r="M47"/>
      <c r="N47"/>
      <c r="O47"/>
      <c r="P47"/>
      <c r="Q47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17">
        <v>6.7750000000000005E-2</v>
      </c>
      <c r="B48" s="15">
        <v>159481010000</v>
      </c>
      <c r="C48" s="5">
        <f>k1_*Таблица13[[#This Row],[ВТБ-цена]]+k0</f>
        <v>439359424896.93616</v>
      </c>
      <c r="D48" s="5">
        <f>Таблица13[[#This Row],[ВТБ-объем]]-Таблица13[[#This Row],[h=k1*x+k0]]</f>
        <v>-279878414896.93616</v>
      </c>
      <c r="E48" s="5">
        <f>Таблица13[[#This Row],[y-h]]^2</f>
        <v>7.8331927125221536E+22</v>
      </c>
      <c r="F48" s="16">
        <f>Таблица13[[#This Row],[ВТБ-цена]]^2</f>
        <v>4.5900625000000004E-3</v>
      </c>
      <c r="G48" s="5">
        <f>Таблица13[[#This Row],[ВТБ-цена]]*Таблица13[[#This Row],[ВТБ-объем]]</f>
        <v>10804838427.5</v>
      </c>
      <c r="I48" t="s">
        <v>37</v>
      </c>
      <c r="J48"/>
      <c r="K48"/>
      <c r="L48"/>
      <c r="M48"/>
      <c r="N48"/>
      <c r="O48"/>
      <c r="P48"/>
      <c r="Q48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thickBot="1" x14ac:dyDescent="0.3">
      <c r="A49" s="17">
        <v>6.9400000000000003E-2</v>
      </c>
      <c r="B49" s="15">
        <v>234598360000</v>
      </c>
      <c r="C49" s="5">
        <f>k1_*Таблица13[[#This Row],[ВТБ-цена]]+k0</f>
        <v>421935566744.3468</v>
      </c>
      <c r="D49" s="5">
        <f>Таблица13[[#This Row],[ВТБ-объем]]-Таблица13[[#This Row],[h=k1*x+k0]]</f>
        <v>-187337206744.3468</v>
      </c>
      <c r="E49" s="5">
        <f>Таблица13[[#This Row],[y-h]]^2</f>
        <v>3.5095229030774136E+22</v>
      </c>
      <c r="F49" s="16">
        <f>Таблица13[[#This Row],[ВТБ-цена]]^2</f>
        <v>4.8163600000000004E-3</v>
      </c>
      <c r="G49" s="5">
        <f>Таблица13[[#This Row],[ВТБ-цена]]*Таблица13[[#This Row],[ВТБ-объем]]</f>
        <v>16281126184</v>
      </c>
      <c r="I49"/>
      <c r="J49"/>
      <c r="K49"/>
      <c r="L49"/>
      <c r="M49"/>
      <c r="N49"/>
      <c r="O49"/>
      <c r="P49"/>
      <c r="Q4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17">
        <v>7.3999999999999996E-2</v>
      </c>
      <c r="B50" s="15">
        <v>553056090000</v>
      </c>
      <c r="C50" s="5">
        <f>k1_*Таблица13[[#This Row],[ВТБ-цена]]+k0</f>
        <v>373359962197.73438</v>
      </c>
      <c r="D50" s="5">
        <f>Таблица13[[#This Row],[ВТБ-объем]]-Таблица13[[#This Row],[h=k1*x+k0]]</f>
        <v>179696127802.26563</v>
      </c>
      <c r="E50" s="5">
        <f>Таблица13[[#This Row],[y-h]]^2</f>
        <v>3.2290698347128182E+22</v>
      </c>
      <c r="F50" s="16">
        <f>Таблица13[[#This Row],[ВТБ-цена]]^2</f>
        <v>5.4759999999999991E-3</v>
      </c>
      <c r="G50" s="5">
        <f>Таблица13[[#This Row],[ВТБ-цена]]*Таблица13[[#This Row],[ВТБ-объем]]</f>
        <v>40926150660</v>
      </c>
      <c r="I50" s="13" t="s">
        <v>38</v>
      </c>
      <c r="J50" s="13" t="s">
        <v>39</v>
      </c>
      <c r="K50" s="13" t="s">
        <v>40</v>
      </c>
      <c r="L50"/>
      <c r="M50"/>
      <c r="N50"/>
      <c r="O50"/>
      <c r="P50"/>
      <c r="Q50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17">
        <v>6.8970000000000004E-2</v>
      </c>
      <c r="B51" s="15">
        <v>300093660000</v>
      </c>
      <c r="C51" s="5">
        <f>k1_*Таблица13[[#This Row],[ВТБ-цена]]+k0</f>
        <v>426476329778.05188</v>
      </c>
      <c r="D51" s="5">
        <f>Таблица13[[#This Row],[ВТБ-объем]]-Таблица13[[#This Row],[h=k1*x+k0]]</f>
        <v>-126382669778.05188</v>
      </c>
      <c r="E51" s="5">
        <f>Таблица13[[#This Row],[y-h]]^2</f>
        <v>1.5972579220228107E+22</v>
      </c>
      <c r="F51" s="16">
        <f>Таблица13[[#This Row],[ВТБ-цена]]^2</f>
        <v>4.7568609000000006E-3</v>
      </c>
      <c r="G51" s="5">
        <f>Таблица13[[#This Row],[ВТБ-цена]]*Таблица13[[#This Row],[ВТБ-объем]]</f>
        <v>20697459730.200001</v>
      </c>
      <c r="I51" s="11">
        <v>1</v>
      </c>
      <c r="J51" s="11">
        <v>588887807588.24988</v>
      </c>
      <c r="K51" s="11">
        <v>-165122747588.24988</v>
      </c>
      <c r="L51"/>
      <c r="M51"/>
      <c r="N51"/>
      <c r="O51"/>
      <c r="P51"/>
      <c r="Q51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17">
        <v>6.608E-2</v>
      </c>
      <c r="B52" s="15">
        <v>136916720000</v>
      </c>
      <c r="C52" s="5">
        <f>k1_*Таблица13[[#This Row],[ВТБ-цена]]+k0</f>
        <v>456994481330.16284</v>
      </c>
      <c r="D52" s="5">
        <f>Таблица13[[#This Row],[ВТБ-объем]]-Таблица13[[#This Row],[h=k1*x+k0]]</f>
        <v>-320077761330.16284</v>
      </c>
      <c r="E52" s="5">
        <f>Таблица13[[#This Row],[y-h]]^2</f>
        <v>1.0244977329812869E+23</v>
      </c>
      <c r="F52" s="16">
        <f>Таблица13[[#This Row],[ВТБ-цена]]^2</f>
        <v>4.3665663999999998E-3</v>
      </c>
      <c r="G52" s="5">
        <f>Таблица13[[#This Row],[ВТБ-цена]]*Таблица13[[#This Row],[ВТБ-объем]]</f>
        <v>9047456857.6000004</v>
      </c>
      <c r="I52" s="11">
        <v>2</v>
      </c>
      <c r="J52" s="11">
        <v>565339199297.17554</v>
      </c>
      <c r="K52" s="11">
        <v>55320210702.824463</v>
      </c>
      <c r="L52"/>
      <c r="M52"/>
      <c r="N52"/>
      <c r="O52"/>
      <c r="P52"/>
      <c r="Q5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17">
        <v>6.6250000000000003E-2</v>
      </c>
      <c r="B53" s="15">
        <v>266410390000</v>
      </c>
      <c r="C53" s="5">
        <f>k1_*Таблица13[[#This Row],[ВТБ-цена]]+k0</f>
        <v>455199295944.74451</v>
      </c>
      <c r="D53" s="5">
        <f>Таблица13[[#This Row],[ВТБ-объем]]-Таблица13[[#This Row],[h=k1*x+k0]]</f>
        <v>-188788905944.74451</v>
      </c>
      <c r="E53" s="5">
        <f>Таблица13[[#This Row],[y-h]]^2</f>
        <v>3.5641251007813588E+22</v>
      </c>
      <c r="F53" s="16">
        <f>Таблица13[[#This Row],[ВТБ-цена]]^2</f>
        <v>4.3890625000000006E-3</v>
      </c>
      <c r="G53" s="5">
        <f>Таблица13[[#This Row],[ВТБ-цена]]*Таблица13[[#This Row],[ВТБ-объем]]</f>
        <v>17649688337.5</v>
      </c>
      <c r="I53" s="11">
        <v>3</v>
      </c>
      <c r="J53" s="11">
        <v>564705604455.26318</v>
      </c>
      <c r="K53" s="11">
        <v>392030645544.73682</v>
      </c>
      <c r="L53"/>
      <c r="M53"/>
      <c r="N53"/>
      <c r="O53"/>
      <c r="P53"/>
      <c r="Q53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17">
        <v>6.6710000000000005E-2</v>
      </c>
      <c r="B54" s="15">
        <v>207910220000</v>
      </c>
      <c r="C54" s="5">
        <f>k1_*Таблица13[[#This Row],[ВТБ-цена]]+k0</f>
        <v>450341735490.08325</v>
      </c>
      <c r="D54" s="5">
        <f>Таблица13[[#This Row],[ВТБ-объем]]-Таблица13[[#This Row],[h=k1*x+k0]]</f>
        <v>-242431515490.08325</v>
      </c>
      <c r="E54" s="5">
        <f>Таблица13[[#This Row],[y-h]]^2</f>
        <v>5.8773039702818475E+22</v>
      </c>
      <c r="F54" s="16">
        <f>Таблица13[[#This Row],[ВТБ-цена]]^2</f>
        <v>4.4502241000000005E-3</v>
      </c>
      <c r="G54" s="5">
        <f>Таблица13[[#This Row],[ВТБ-цена]]*Таблица13[[#This Row],[ВТБ-объем]]</f>
        <v>13869690776.200001</v>
      </c>
      <c r="I54" s="11">
        <v>4</v>
      </c>
      <c r="J54" s="11">
        <v>629965873172.23157</v>
      </c>
      <c r="K54" s="11">
        <v>54123966827.768433</v>
      </c>
      <c r="L54"/>
      <c r="M54"/>
      <c r="N54"/>
      <c r="O54"/>
      <c r="P54"/>
      <c r="Q54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17">
        <v>6.615E-2</v>
      </c>
      <c r="B55" s="15">
        <v>168505230000</v>
      </c>
      <c r="C55" s="5">
        <f>k1_*Таблица13[[#This Row],[ВТБ-цена]]+k0</f>
        <v>456255287347.93176</v>
      </c>
      <c r="D55" s="5">
        <f>Таблица13[[#This Row],[ВТБ-объем]]-Таблица13[[#This Row],[h=k1*x+k0]]</f>
        <v>-287750057347.93176</v>
      </c>
      <c r="E55" s="5">
        <f>Таблица13[[#This Row],[y-h]]^2</f>
        <v>8.2800095503738017E+22</v>
      </c>
      <c r="F55" s="16">
        <f>Таблица13[[#This Row],[ВТБ-цена]]^2</f>
        <v>4.3758225000000003E-3</v>
      </c>
      <c r="G55" s="5">
        <f>Таблица13[[#This Row],[ВТБ-цена]]*Таблица13[[#This Row],[ВТБ-объем]]</f>
        <v>11146620964.5</v>
      </c>
      <c r="I55" s="11">
        <v>5</v>
      </c>
      <c r="J55" s="11">
        <v>634295437925.29907</v>
      </c>
      <c r="K55" s="11">
        <v>569292252074.70093</v>
      </c>
      <c r="L55"/>
      <c r="M55"/>
      <c r="N55"/>
      <c r="O55"/>
      <c r="P55"/>
      <c r="Q55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17">
        <v>6.4000000000000001E-2</v>
      </c>
      <c r="B56" s="15">
        <v>252186300000</v>
      </c>
      <c r="C56" s="5">
        <f>k1_*Таблица13[[#This Row],[ВТБ-цена]]+k0</f>
        <v>478959102516.45715</v>
      </c>
      <c r="D56" s="5">
        <f>Таблица13[[#This Row],[ВТБ-объем]]-Таблица13[[#This Row],[h=k1*x+k0]]</f>
        <v>-226772802516.45715</v>
      </c>
      <c r="E56" s="5">
        <f>Таблица13[[#This Row],[y-h]]^2</f>
        <v>5.1425903961168079E+22</v>
      </c>
      <c r="F56" s="16">
        <f>Таблица13[[#This Row],[ВТБ-цена]]^2</f>
        <v>4.0959999999999998E-3</v>
      </c>
      <c r="G56" s="5">
        <f>Таблица13[[#This Row],[ВТБ-цена]]*Таблица13[[#This Row],[ВТБ-объем]]</f>
        <v>16139923200</v>
      </c>
      <c r="I56" s="11">
        <v>6</v>
      </c>
      <c r="J56" s="11">
        <v>669037555090.15771</v>
      </c>
      <c r="K56" s="11">
        <v>240891294909.84229</v>
      </c>
      <c r="L56"/>
      <c r="M56"/>
      <c r="N56"/>
      <c r="O56"/>
      <c r="P56"/>
      <c r="Q56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17">
        <v>5.969E-2</v>
      </c>
      <c r="B57" s="15">
        <v>179099730000</v>
      </c>
      <c r="C57" s="5">
        <f>k1_*Таблица13[[#This Row],[ВТБ-цена]]+k0</f>
        <v>524472331993.82678</v>
      </c>
      <c r="D57" s="5">
        <f>Таблица13[[#This Row],[ВТБ-объем]]-Таблица13[[#This Row],[h=k1*x+k0]]</f>
        <v>-345372601993.82678</v>
      </c>
      <c r="E57" s="5">
        <f>Таблица13[[#This Row],[y-h]]^2</f>
        <v>1.1928223420798629E+23</v>
      </c>
      <c r="F57" s="16">
        <f>Таблица13[[#This Row],[ВТБ-цена]]^2</f>
        <v>3.5628960999999999E-3</v>
      </c>
      <c r="G57" s="5">
        <f>Таблица13[[#This Row],[ВТБ-цена]]*Таблица13[[#This Row],[ВТБ-объем]]</f>
        <v>10690462883.700001</v>
      </c>
      <c r="I57" s="11">
        <v>7</v>
      </c>
      <c r="J57" s="11">
        <v>658372041917.96704</v>
      </c>
      <c r="K57" s="11">
        <v>115572708082.03296</v>
      </c>
      <c r="L57"/>
      <c r="M57"/>
      <c r="N57"/>
      <c r="O57"/>
      <c r="P57"/>
      <c r="Q57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17">
        <v>6.4560000000000006E-2</v>
      </c>
      <c r="B58" s="15">
        <v>204739850000</v>
      </c>
      <c r="C58" s="5">
        <f>k1_*Таблица13[[#This Row],[ВТБ-цена]]+k0</f>
        <v>473045550658.60864</v>
      </c>
      <c r="D58" s="5">
        <f>Таблица13[[#This Row],[ВТБ-объем]]-Таблица13[[#This Row],[h=k1*x+k0]]</f>
        <v>-268305700658.60864</v>
      </c>
      <c r="E58" s="5">
        <f>Таблица13[[#This Row],[y-h]]^2</f>
        <v>7.1987949005906909E+22</v>
      </c>
      <c r="F58" s="16">
        <f>Таблица13[[#This Row],[ВТБ-цена]]^2</f>
        <v>4.1679936000000011E-3</v>
      </c>
      <c r="G58" s="5">
        <f>Таблица13[[#This Row],[ВТБ-цена]]*Таблица13[[#This Row],[ВТБ-объем]]</f>
        <v>13218004716.000002</v>
      </c>
      <c r="I58" s="11">
        <v>8</v>
      </c>
      <c r="J58" s="11">
        <v>662596007530.71582</v>
      </c>
      <c r="K58" s="11">
        <v>27393302469.28418</v>
      </c>
      <c r="L58"/>
      <c r="M58"/>
      <c r="N58"/>
      <c r="O58"/>
      <c r="P58"/>
      <c r="Q58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17">
        <v>6.1589999999999999E-2</v>
      </c>
      <c r="B59" s="15">
        <v>293417410000</v>
      </c>
      <c r="C59" s="5">
        <f>k1_*Таблица13[[#This Row],[ВТБ-цена]]+k0</f>
        <v>504408495333.26941</v>
      </c>
      <c r="D59" s="5">
        <f>Таблица13[[#This Row],[ВТБ-объем]]-Таблица13[[#This Row],[h=k1*x+k0]]</f>
        <v>-210991085333.26941</v>
      </c>
      <c r="E59" s="5">
        <f>Таблица13[[#This Row],[y-h]]^2</f>
        <v>4.4517238090110972E+22</v>
      </c>
      <c r="F59" s="16">
        <f>Таблица13[[#This Row],[ВТБ-цена]]^2</f>
        <v>3.7933280999999999E-3</v>
      </c>
      <c r="G59" s="5">
        <f>Таблица13[[#This Row],[ВТБ-цена]]*Таблица13[[#This Row],[ВТБ-объем]]</f>
        <v>18071578281.900002</v>
      </c>
      <c r="I59" s="11">
        <v>9</v>
      </c>
      <c r="J59" s="11">
        <v>684877426137.96558</v>
      </c>
      <c r="K59" s="11">
        <v>-260774806137.96558</v>
      </c>
      <c r="L59"/>
      <c r="M59"/>
      <c r="N59"/>
      <c r="O59"/>
      <c r="P59"/>
      <c r="Q59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17">
        <v>0.06</v>
      </c>
      <c r="B60" s="15">
        <v>165599290000</v>
      </c>
      <c r="C60" s="5">
        <f>k1_*Таблица13[[#This Row],[ВТБ-цена]]+k0</f>
        <v>521198758643.94641</v>
      </c>
      <c r="D60" s="5">
        <f>Таблица13[[#This Row],[ВТБ-объем]]-Таблица13[[#This Row],[h=k1*x+k0]]</f>
        <v>-355599468643.94641</v>
      </c>
      <c r="E60" s="5">
        <f>Таблица13[[#This Row],[y-h]]^2</f>
        <v>1.2645098209985703E+23</v>
      </c>
      <c r="F60" s="16">
        <f>Таблица13[[#This Row],[ВТБ-цена]]^2</f>
        <v>3.5999999999999999E-3</v>
      </c>
      <c r="G60" s="5">
        <f>Таблица13[[#This Row],[ВТБ-цена]]*Таблица13[[#This Row],[ВТБ-объем]]</f>
        <v>9935957400</v>
      </c>
      <c r="I60" s="11">
        <v>10</v>
      </c>
      <c r="J60" s="11">
        <v>704202068816.29102</v>
      </c>
      <c r="K60" s="11">
        <v>65971991183.708984</v>
      </c>
      <c r="L60"/>
      <c r="M60"/>
      <c r="N60"/>
      <c r="O60"/>
      <c r="P60"/>
      <c r="Q60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17">
        <v>5.0779999999999999E-2</v>
      </c>
      <c r="B61" s="15">
        <v>433842240000</v>
      </c>
      <c r="C61" s="5">
        <f>k1_*Таблица13[[#This Row],[ВТБ-цена]]+k0</f>
        <v>618561166017.80884</v>
      </c>
      <c r="D61" s="5">
        <f>Таблица13[[#This Row],[ВТБ-объем]]-Таблица13[[#This Row],[h=k1*x+k0]]</f>
        <v>-184718926017.80884</v>
      </c>
      <c r="E61" s="5">
        <f>Таблица13[[#This Row],[y-h]]^2</f>
        <v>3.4121081629172736E+22</v>
      </c>
      <c r="F61" s="16">
        <f>Таблица13[[#This Row],[ВТБ-цена]]^2</f>
        <v>2.5786083999999997E-3</v>
      </c>
      <c r="G61" s="5">
        <f>Таблица13[[#This Row],[ВТБ-цена]]*Таблица13[[#This Row],[ВТБ-объем]]</f>
        <v>22030508947.200001</v>
      </c>
      <c r="I61" s="11">
        <v>11</v>
      </c>
      <c r="J61" s="11">
        <v>686461413242.74634</v>
      </c>
      <c r="K61" s="11">
        <v>408641916757.25366</v>
      </c>
      <c r="L61"/>
      <c r="M61"/>
      <c r="N61"/>
      <c r="O61"/>
      <c r="P61"/>
      <c r="Q61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17">
        <v>4.7320000000000001E-2</v>
      </c>
      <c r="B62" s="15">
        <v>419332310000</v>
      </c>
      <c r="C62" s="5">
        <f>k1_*Таблица13[[#This Row],[ВТБ-цена]]+k0</f>
        <v>655098468568.08691</v>
      </c>
      <c r="D62" s="5">
        <f>Таблица13[[#This Row],[ВТБ-объем]]-Таблица13[[#This Row],[h=k1*x+k0]]</f>
        <v>-235766158568.08691</v>
      </c>
      <c r="E62" s="5">
        <f>Таблица13[[#This Row],[y-h]]^2</f>
        <v>5.5585681525952301E+22</v>
      </c>
      <c r="F62" s="16">
        <f>Таблица13[[#This Row],[ВТБ-цена]]^2</f>
        <v>2.2391824000000003E-3</v>
      </c>
      <c r="G62" s="5">
        <f>Таблица13[[#This Row],[ВТБ-цена]]*Таблица13[[#This Row],[ВТБ-объем]]</f>
        <v>19842804909.200001</v>
      </c>
      <c r="I62" s="11">
        <v>12</v>
      </c>
      <c r="J62" s="11">
        <v>666080779161.2334</v>
      </c>
      <c r="K62" s="11">
        <v>451811650838.7666</v>
      </c>
      <c r="L62"/>
      <c r="M62"/>
      <c r="N62"/>
      <c r="O62"/>
      <c r="P62"/>
      <c r="Q6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17">
        <v>4.9399999999999999E-2</v>
      </c>
      <c r="B63" s="15">
        <v>352127560000</v>
      </c>
      <c r="C63" s="5">
        <f>k1_*Таблица13[[#This Row],[ВТБ-цена]]+k0</f>
        <v>633133847381.79248</v>
      </c>
      <c r="D63" s="5">
        <f>Таблица13[[#This Row],[ВТБ-объем]]-Таблица13[[#This Row],[h=k1*x+k0]]</f>
        <v>-281006287381.79248</v>
      </c>
      <c r="E63" s="5">
        <f>Таблица13[[#This Row],[y-h]]^2</f>
        <v>7.896453354809855E+22</v>
      </c>
      <c r="F63" s="16">
        <f>Таблица13[[#This Row],[ВТБ-цена]]^2</f>
        <v>2.4403599999999999E-3</v>
      </c>
      <c r="G63" s="5">
        <f>Таблица13[[#This Row],[ВТБ-цена]]*Таблица13[[#This Row],[ВТБ-объем]]</f>
        <v>17395101464</v>
      </c>
      <c r="I63" s="11">
        <v>13</v>
      </c>
      <c r="J63" s="11">
        <v>630388269733.50635</v>
      </c>
      <c r="K63" s="11">
        <v>252989740266.49365</v>
      </c>
      <c r="L63"/>
      <c r="M63"/>
      <c r="N63"/>
      <c r="O63"/>
      <c r="P63"/>
      <c r="Q63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17">
        <v>5.2760000000000001E-2</v>
      </c>
      <c r="B64" s="15">
        <v>578729040000</v>
      </c>
      <c r="C64" s="5">
        <f>k1_*Таблица13[[#This Row],[ВТБ-цена]]+k0</f>
        <v>597652536234.70166</v>
      </c>
      <c r="D64" s="5">
        <f>Таблица13[[#This Row],[ВТБ-объем]]-Таблица13[[#This Row],[h=k1*x+k0]]</f>
        <v>-18923496234.70166</v>
      </c>
      <c r="E64" s="5">
        <f>Таблица13[[#This Row],[y-h]]^2</f>
        <v>3.5809870974476793E+20</v>
      </c>
      <c r="F64" s="16">
        <f>Таблица13[[#This Row],[ВТБ-цена]]^2</f>
        <v>2.7836176000000002E-3</v>
      </c>
      <c r="G64" s="5">
        <f>Таблица13[[#This Row],[ВТБ-цена]]*Таблица13[[#This Row],[ВТБ-объем]]</f>
        <v>30533744150.400002</v>
      </c>
      <c r="I64" s="11">
        <v>14</v>
      </c>
      <c r="J64" s="11">
        <v>674951106948.00586</v>
      </c>
      <c r="K64" s="11">
        <v>-112722776948.00586</v>
      </c>
      <c r="L64"/>
      <c r="M64"/>
      <c r="N64"/>
      <c r="O64"/>
      <c r="P64"/>
      <c r="Q6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17">
        <v>5.1659999999999998E-2</v>
      </c>
      <c r="B65" s="15">
        <v>530212820000</v>
      </c>
      <c r="C65" s="5">
        <f>k1_*Таблица13[[#This Row],[ВТБ-цена]]+k0</f>
        <v>609268441669.76123</v>
      </c>
      <c r="D65" s="5">
        <f>Таблица13[[#This Row],[ВТБ-объем]]-Таблица13[[#This Row],[h=k1*x+k0]]</f>
        <v>-79055621669.76123</v>
      </c>
      <c r="E65" s="5">
        <f>Таблица13[[#This Row],[y-h]]^2</f>
        <v>6.2497913175924214E+21</v>
      </c>
      <c r="F65" s="16">
        <f>Таблица13[[#This Row],[ВТБ-цена]]^2</f>
        <v>2.6687555999999999E-3</v>
      </c>
      <c r="G65" s="5">
        <f>Таблица13[[#This Row],[ВТБ-цена]]*Таблица13[[#This Row],[ВТБ-объем]]</f>
        <v>27390794281.199997</v>
      </c>
      <c r="I65" s="11">
        <v>15</v>
      </c>
      <c r="J65" s="11">
        <v>709904422393.50195</v>
      </c>
      <c r="K65" s="11">
        <v>-178370592393.50195</v>
      </c>
      <c r="L65"/>
      <c r="M65"/>
      <c r="N65"/>
      <c r="O65"/>
      <c r="P65"/>
      <c r="Q6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17">
        <v>5.3969999999999997E-2</v>
      </c>
      <c r="B66" s="15">
        <v>754922430000</v>
      </c>
      <c r="C66" s="5">
        <f>k1_*Таблица13[[#This Row],[ВТБ-цена]]+k0</f>
        <v>584875040256.13623</v>
      </c>
      <c r="D66" s="5">
        <f>Таблица13[[#This Row],[ВТБ-объем]]-Таблица13[[#This Row],[h=k1*x+k0]]</f>
        <v>170047389743.86377</v>
      </c>
      <c r="E66" s="5">
        <f>Таблица13[[#This Row],[y-h]]^2</f>
        <v>2.8916114758701507E+22</v>
      </c>
      <c r="F66" s="16">
        <f>Таблица13[[#This Row],[ВТБ-цена]]^2</f>
        <v>2.9127608999999998E-3</v>
      </c>
      <c r="G66" s="5">
        <f>Таблица13[[#This Row],[ВТБ-цена]]*Таблица13[[#This Row],[ВТБ-объем]]</f>
        <v>40743163547.099998</v>
      </c>
      <c r="I66" s="11">
        <v>16</v>
      </c>
      <c r="J66" s="11">
        <v>736621004894.1377</v>
      </c>
      <c r="K66" s="11">
        <v>981380775105.8623</v>
      </c>
      <c r="L66"/>
      <c r="M66"/>
      <c r="N66"/>
      <c r="O66"/>
      <c r="P66"/>
      <c r="Q66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17">
        <v>4.9889999999999997E-2</v>
      </c>
      <c r="B67" s="15">
        <v>502179250000</v>
      </c>
      <c r="C67" s="5">
        <f>k1_*Таблица13[[#This Row],[ВТБ-цена]]+k0</f>
        <v>627959489506.17505</v>
      </c>
      <c r="D67" s="5">
        <f>Таблица13[[#This Row],[ВТБ-объем]]-Таблица13[[#This Row],[h=k1*x+k0]]</f>
        <v>-125780239506.17505</v>
      </c>
      <c r="E67" s="5">
        <f>Таблица13[[#This Row],[y-h]]^2</f>
        <v>1.5820668650230758E+22</v>
      </c>
      <c r="F67" s="16">
        <f>Таблица13[[#This Row],[ВТБ-цена]]^2</f>
        <v>2.4890120999999997E-3</v>
      </c>
      <c r="G67" s="5">
        <f>Таблица13[[#This Row],[ВТБ-цена]]*Таблица13[[#This Row],[ВТБ-объем]]</f>
        <v>25053722782.5</v>
      </c>
      <c r="I67" s="11">
        <v>17</v>
      </c>
      <c r="J67" s="11">
        <v>746652923224.41614</v>
      </c>
      <c r="K67" s="11">
        <v>834909756775.58386</v>
      </c>
      <c r="L67"/>
      <c r="M67"/>
      <c r="N67"/>
      <c r="O67"/>
      <c r="P67"/>
      <c r="Q67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17">
        <v>4.8009999999999997E-2</v>
      </c>
      <c r="B68" s="15">
        <v>543856810000</v>
      </c>
      <c r="C68" s="5">
        <f>k1_*Таблица13[[#This Row],[ВТБ-цена]]+k0</f>
        <v>647812127886.09497</v>
      </c>
      <c r="D68" s="5">
        <f>Таблица13[[#This Row],[ВТБ-объем]]-Таблица13[[#This Row],[h=k1*x+k0]]</f>
        <v>-103955317886.09497</v>
      </c>
      <c r="E68" s="5">
        <f>Таблица13[[#This Row],[y-h]]^2</f>
        <v>1.0806708116799057E+22</v>
      </c>
      <c r="F68" s="16">
        <f>Таблица13[[#This Row],[ВТБ-цена]]^2</f>
        <v>2.3049600999999996E-3</v>
      </c>
      <c r="G68" s="5">
        <f>Таблица13[[#This Row],[ВТБ-цена]]*Таблица13[[#This Row],[ВТБ-объем]]</f>
        <v>26110565448.099998</v>
      </c>
      <c r="I68" s="11">
        <v>18</v>
      </c>
      <c r="J68" s="11">
        <v>648973718429.60107</v>
      </c>
      <c r="K68" s="11">
        <v>688494091570.39893</v>
      </c>
      <c r="L68"/>
      <c r="M68"/>
      <c r="N68"/>
      <c r="O68"/>
      <c r="P68"/>
      <c r="Q68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17">
        <v>4.8280000000000003E-2</v>
      </c>
      <c r="B69" s="15">
        <v>299820580000</v>
      </c>
      <c r="C69" s="5">
        <f>k1_*Таблица13[[#This Row],[ВТБ-цена]]+k0</f>
        <v>644960951097.4895</v>
      </c>
      <c r="D69" s="5">
        <f>Таблица13[[#This Row],[ВТБ-объем]]-Таблица13[[#This Row],[h=k1*x+k0]]</f>
        <v>-345140371097.4895</v>
      </c>
      <c r="E69" s="5">
        <f>Таблица13[[#This Row],[y-h]]^2</f>
        <v>1.1912187576131276E+23</v>
      </c>
      <c r="F69" s="16">
        <f>Таблица13[[#This Row],[ВТБ-цена]]^2</f>
        <v>2.3309584000000003E-3</v>
      </c>
      <c r="G69" s="5">
        <f>Таблица13[[#This Row],[ВТБ-цена]]*Таблица13[[#This Row],[ВТБ-объем]]</f>
        <v>14475337602.400002</v>
      </c>
      <c r="I69" s="11">
        <v>19</v>
      </c>
      <c r="J69" s="11">
        <v>720781133846.32996</v>
      </c>
      <c r="K69" s="11">
        <v>499203476153.67004</v>
      </c>
      <c r="L69"/>
      <c r="M69"/>
      <c r="N69"/>
      <c r="O69"/>
      <c r="P69"/>
      <c r="Q6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17">
        <v>4.1399999999999999E-2</v>
      </c>
      <c r="B70" s="15">
        <v>405720540000</v>
      </c>
      <c r="C70" s="5">
        <f>k1_*Таблица13[[#This Row],[ВТБ-цена]]+k0</f>
        <v>717613159636.77075</v>
      </c>
      <c r="D70" s="5">
        <f>Таблица13[[#This Row],[ВТБ-объем]]-Таблица13[[#This Row],[h=k1*x+k0]]</f>
        <v>-311892619636.77075</v>
      </c>
      <c r="E70" s="5">
        <f>Таблица13[[#This Row],[y-h]]^2</f>
        <v>9.7277006183887356E+22</v>
      </c>
      <c r="F70" s="16">
        <f>Таблица13[[#This Row],[ВТБ-цена]]^2</f>
        <v>1.71396E-3</v>
      </c>
      <c r="G70" s="5">
        <f>Таблица13[[#This Row],[ВТБ-цена]]*Таблица13[[#This Row],[ВТБ-объем]]</f>
        <v>16796830356</v>
      </c>
      <c r="I70" s="11">
        <v>20</v>
      </c>
      <c r="J70" s="11">
        <v>734509022087.76343</v>
      </c>
      <c r="K70" s="11">
        <v>329748437912.23657</v>
      </c>
      <c r="L70"/>
      <c r="M70"/>
      <c r="N70"/>
      <c r="O70"/>
      <c r="P70"/>
      <c r="Q70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17">
        <v>4.0759999999999998E-2</v>
      </c>
      <c r="B71" s="15">
        <v>392395190000</v>
      </c>
      <c r="C71" s="5">
        <f>k1_*Таблица13[[#This Row],[ВТБ-цена]]+k0</f>
        <v>724371504617.16907</v>
      </c>
      <c r="D71" s="5">
        <f>Таблица13[[#This Row],[ВТБ-объем]]-Таблица13[[#This Row],[h=k1*x+k0]]</f>
        <v>-331976314617.16907</v>
      </c>
      <c r="E71" s="5">
        <f>Таблица13[[#This Row],[y-h]]^2</f>
        <v>1.1020827346679762E+23</v>
      </c>
      <c r="F71" s="16">
        <f>Таблица13[[#This Row],[ВТБ-цена]]^2</f>
        <v>1.6613775999999999E-3</v>
      </c>
      <c r="G71" s="5">
        <f>Таблица13[[#This Row],[ВТБ-цена]]*Таблица13[[#This Row],[ВТБ-объем]]</f>
        <v>15994027944.4</v>
      </c>
      <c r="I71" s="11">
        <v>21</v>
      </c>
      <c r="J71" s="11">
        <v>749292901732.38403</v>
      </c>
      <c r="K71" s="11">
        <v>-49813481732.384033</v>
      </c>
      <c r="L71"/>
      <c r="M71"/>
      <c r="N71"/>
      <c r="O71"/>
      <c r="P71"/>
      <c r="Q71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17">
        <v>3.6580000000000001E-2</v>
      </c>
      <c r="B72" s="15">
        <v>437464790000</v>
      </c>
      <c r="C72" s="5">
        <f>k1_*Таблица13[[#This Row],[ВТБ-цена]]+k0</f>
        <v>768511945270.39514</v>
      </c>
      <c r="D72" s="5">
        <f>Таблица13[[#This Row],[ВТБ-объем]]-Таблица13[[#This Row],[h=k1*x+k0]]</f>
        <v>-331047155270.39514</v>
      </c>
      <c r="E72" s="5">
        <f>Таблица13[[#This Row],[y-h]]^2</f>
        <v>1.0959221901262111E+23</v>
      </c>
      <c r="F72" s="16">
        <f>Таблица13[[#This Row],[ВТБ-цена]]^2</f>
        <v>1.3380964000000001E-3</v>
      </c>
      <c r="G72" s="5">
        <f>Таблица13[[#This Row],[ВТБ-цена]]*Таблица13[[#This Row],[ВТБ-объем]]</f>
        <v>16002462018.200001</v>
      </c>
      <c r="I72" s="11">
        <v>22</v>
      </c>
      <c r="J72" s="11">
        <v>753094470783.85791</v>
      </c>
      <c r="K72" s="11">
        <v>-218658260783.85791</v>
      </c>
      <c r="L72"/>
      <c r="M72"/>
      <c r="N72"/>
      <c r="O72"/>
      <c r="P72"/>
      <c r="Q7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17">
        <v>3.73E-2</v>
      </c>
      <c r="B73" s="15">
        <v>459010120000</v>
      </c>
      <c r="C73" s="5">
        <f>k1_*Таблица13[[#This Row],[ВТБ-цена]]+k0</f>
        <v>760908807167.44714</v>
      </c>
      <c r="D73" s="5">
        <f>Таблица13[[#This Row],[ВТБ-объем]]-Таблица13[[#This Row],[h=k1*x+k0]]</f>
        <v>-301898687167.44714</v>
      </c>
      <c r="E73" s="5">
        <f>Таблица13[[#This Row],[y-h]]^2</f>
        <v>9.114281731342811E+22</v>
      </c>
      <c r="F73" s="16">
        <f>Таблица13[[#This Row],[ВТБ-цена]]^2</f>
        <v>1.3912899999999999E-3</v>
      </c>
      <c r="G73" s="5">
        <f>Таблица13[[#This Row],[ВТБ-цена]]*Таблица13[[#This Row],[ВТБ-объем]]</f>
        <v>17121077476</v>
      </c>
      <c r="I73" s="11">
        <v>23</v>
      </c>
      <c r="J73" s="11">
        <v>733136233263.62012</v>
      </c>
      <c r="K73" s="11">
        <v>-180460763263.62012</v>
      </c>
      <c r="L73"/>
      <c r="M73"/>
      <c r="N73"/>
      <c r="O73"/>
      <c r="P73"/>
      <c r="Q73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17">
        <v>3.3849999999999998E-2</v>
      </c>
      <c r="B74" s="15">
        <v>337608430000</v>
      </c>
      <c r="C74" s="5">
        <f>k1_*Таблица13[[#This Row],[ВТБ-цена]]+k0</f>
        <v>797340510577.40649</v>
      </c>
      <c r="D74" s="5">
        <f>Таблица13[[#This Row],[ВТБ-объем]]-Таблица13[[#This Row],[h=k1*x+k0]]</f>
        <v>-459732080577.40649</v>
      </c>
      <c r="E74" s="5">
        <f>Таблица13[[#This Row],[y-h]]^2</f>
        <v>2.1135358591203096E+23</v>
      </c>
      <c r="F74" s="16">
        <f>Таблица13[[#This Row],[ВТБ-цена]]^2</f>
        <v>1.1458224999999999E-3</v>
      </c>
      <c r="G74" s="5">
        <f>Таблица13[[#This Row],[ВТБ-цена]]*Таблица13[[#This Row],[ВТБ-объем]]</f>
        <v>11428045355.5</v>
      </c>
      <c r="I74" s="11">
        <v>24</v>
      </c>
      <c r="J74" s="11">
        <v>661645615267.84729</v>
      </c>
      <c r="K74" s="11">
        <v>554290594732.15271</v>
      </c>
      <c r="L74"/>
      <c r="M74"/>
      <c r="N74"/>
      <c r="O74"/>
      <c r="P74"/>
      <c r="Q74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17">
        <v>3.7769999999999998E-2</v>
      </c>
      <c r="B75" s="15">
        <v>322917130000</v>
      </c>
      <c r="C75" s="5">
        <f>k1_*Таблица13[[#This Row],[ВТБ-цена]]+k0</f>
        <v>755945647572.46716</v>
      </c>
      <c r="D75" s="5">
        <f>Таблица13[[#This Row],[ВТБ-объем]]-Таблица13[[#This Row],[h=k1*x+k0]]</f>
        <v>-433028517572.46716</v>
      </c>
      <c r="E75" s="5">
        <f>Таблица13[[#This Row],[y-h]]^2</f>
        <v>1.8751369703100851E+23</v>
      </c>
      <c r="F75" s="16">
        <f>Таблица13[[#This Row],[ВТБ-цена]]^2</f>
        <v>1.4265729E-3</v>
      </c>
      <c r="G75" s="5">
        <f>Таблица13[[#This Row],[ВТБ-цена]]*Таблица13[[#This Row],[ВТБ-объем]]</f>
        <v>12196580000.099998</v>
      </c>
      <c r="I75" s="11">
        <v>25</v>
      </c>
      <c r="J75" s="11">
        <v>447279360420.84766</v>
      </c>
      <c r="K75" s="11">
        <v>1454690639579.1523</v>
      </c>
      <c r="L75"/>
      <c r="M75"/>
      <c r="N75"/>
      <c r="O75"/>
      <c r="P75"/>
      <c r="Q75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17">
        <v>3.5900000000000001E-2</v>
      </c>
      <c r="B76" s="15">
        <v>286689820000</v>
      </c>
      <c r="C76" s="5">
        <f>k1_*Таблица13[[#This Row],[ВТБ-цена]]+k0</f>
        <v>775692686812.06836</v>
      </c>
      <c r="D76" s="5">
        <f>Таблица13[[#This Row],[ВТБ-объем]]-Таблица13[[#This Row],[h=k1*x+k0]]</f>
        <v>-489002866812.06836</v>
      </c>
      <c r="E76" s="5">
        <f>Таблица13[[#This Row],[y-h]]^2</f>
        <v>2.3912380375042147E+23</v>
      </c>
      <c r="F76" s="16">
        <f>Таблица13[[#This Row],[ВТБ-цена]]^2</f>
        <v>1.28881E-3</v>
      </c>
      <c r="G76" s="5">
        <f>Таблица13[[#This Row],[ВТБ-цена]]*Таблица13[[#This Row],[ВТБ-объем]]</f>
        <v>10292164538</v>
      </c>
      <c r="I76" s="11">
        <v>26</v>
      </c>
      <c r="J76" s="11">
        <v>426793127199.01624</v>
      </c>
      <c r="K76" s="11">
        <v>45306022800.983765</v>
      </c>
      <c r="L76"/>
      <c r="M76"/>
      <c r="N76"/>
      <c r="O76"/>
      <c r="P76"/>
      <c r="Q76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17">
        <v>3.5645000000000003E-2</v>
      </c>
      <c r="B77" s="15">
        <v>300233110000</v>
      </c>
      <c r="C77" s="5">
        <f>k1_*Таблица13[[#This Row],[ВТБ-цена]]+k0</f>
        <v>778385464890.19568</v>
      </c>
      <c r="D77" s="5">
        <f>Таблица13[[#This Row],[ВТБ-объем]]-Таблица13[[#This Row],[h=k1*x+k0]]</f>
        <v>-478152354890.19568</v>
      </c>
      <c r="E77" s="5">
        <f>Таблица13[[#This Row],[y-h]]^2</f>
        <v>2.2862967448703963E+23</v>
      </c>
      <c r="F77" s="16">
        <f>Таблица13[[#This Row],[ВТБ-цена]]^2</f>
        <v>1.2705660250000002E-3</v>
      </c>
      <c r="G77" s="5">
        <f>Таблица13[[#This Row],[ВТБ-цена]]*Таблица13[[#This Row],[ВТБ-объем]]</f>
        <v>10701809205.950001</v>
      </c>
      <c r="I77" s="11">
        <v>27</v>
      </c>
      <c r="J77" s="11">
        <v>436719446388.97571</v>
      </c>
      <c r="K77" s="11">
        <v>-908886388.97570801</v>
      </c>
      <c r="L77"/>
      <c r="M77"/>
      <c r="N77"/>
      <c r="O77"/>
      <c r="P77"/>
      <c r="Q77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17">
        <v>3.5499999999999997E-2</v>
      </c>
      <c r="B78" s="15">
        <v>338645330000</v>
      </c>
      <c r="C78" s="5">
        <f>k1_*Таблица13[[#This Row],[ВТБ-цена]]+k0</f>
        <v>779916652424.81726</v>
      </c>
      <c r="D78" s="5">
        <f>Таблица13[[#This Row],[ВТБ-объем]]-Таблица13[[#This Row],[h=k1*x+k0]]</f>
        <v>-441271322424.81726</v>
      </c>
      <c r="E78" s="5">
        <f>Таблица13[[#This Row],[y-h]]^2</f>
        <v>1.9472037999454702E+23</v>
      </c>
      <c r="F78" s="16">
        <f>Таблица13[[#This Row],[ВТБ-цена]]^2</f>
        <v>1.2602499999999999E-3</v>
      </c>
      <c r="G78" s="5">
        <f>Таблица13[[#This Row],[ВТБ-цена]]*Таблица13[[#This Row],[ВТБ-объем]]</f>
        <v>12021909214.999998</v>
      </c>
      <c r="I78" s="11">
        <v>28</v>
      </c>
      <c r="J78" s="11">
        <v>521198758643.95105</v>
      </c>
      <c r="K78" s="11">
        <v>-140340298643.95105</v>
      </c>
      <c r="L78"/>
      <c r="M78"/>
      <c r="N78"/>
      <c r="O78"/>
      <c r="P78"/>
      <c r="Q78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17">
        <v>3.6705000000000002E-2</v>
      </c>
      <c r="B79" s="15">
        <v>504487530000</v>
      </c>
      <c r="C79" s="5">
        <f>k1_*Таблица13[[#This Row],[ВТБ-цена]]+k0</f>
        <v>767191956016.41113</v>
      </c>
      <c r="D79" s="5">
        <f>Таблица13[[#This Row],[ВТБ-объем]]-Таблица13[[#This Row],[h=k1*x+k0]]</f>
        <v>-262704426016.41113</v>
      </c>
      <c r="E79" s="5">
        <f>Таблица13[[#This Row],[y-h]]^2</f>
        <v>6.9013615448612034E+22</v>
      </c>
      <c r="F79" s="16">
        <f>Таблица13[[#This Row],[ВТБ-цена]]^2</f>
        <v>1.347257025E-3</v>
      </c>
      <c r="G79" s="5">
        <f>Таблица13[[#This Row],[ВТБ-цена]]*Таблица13[[#This Row],[ВТБ-объем]]</f>
        <v>18517214788.650002</v>
      </c>
      <c r="I79" s="11">
        <v>29</v>
      </c>
      <c r="J79" s="11">
        <v>463119231468.65552</v>
      </c>
      <c r="K79" s="11">
        <v>207662268531.34448</v>
      </c>
      <c r="L79"/>
      <c r="M79"/>
      <c r="N79"/>
      <c r="O79"/>
      <c r="P79"/>
      <c r="Q7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17">
        <v>3.9879999999999999E-2</v>
      </c>
      <c r="B80" s="15">
        <v>552706610000</v>
      </c>
      <c r="C80" s="5">
        <f>k1_*Таблица13[[#This Row],[ВТБ-цена]]+k0</f>
        <v>733664228965.21655</v>
      </c>
      <c r="D80" s="5">
        <f>Таблица13[[#This Row],[ВТБ-объем]]-Таблица13[[#This Row],[h=k1*x+k0]]</f>
        <v>-180957618965.21655</v>
      </c>
      <c r="E80" s="5">
        <f>Таблица13[[#This Row],[y-h]]^2</f>
        <v>3.2745659861560503E+22</v>
      </c>
      <c r="F80" s="16">
        <f>Таблица13[[#This Row],[ВТБ-цена]]^2</f>
        <v>1.5904144E-3</v>
      </c>
      <c r="G80" s="5">
        <f>Таблица13[[#This Row],[ВТБ-цена]]*Таблица13[[#This Row],[ВТБ-объем]]</f>
        <v>22041939606.799999</v>
      </c>
      <c r="I80" s="11">
        <v>30</v>
      </c>
      <c r="J80" s="11">
        <v>307360499498.54492</v>
      </c>
      <c r="K80" s="11">
        <v>738616170501.45508</v>
      </c>
      <c r="L80"/>
      <c r="M80"/>
      <c r="N80"/>
      <c r="O80"/>
      <c r="P80"/>
      <c r="Q80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17">
        <v>4.2500000000000003E-2</v>
      </c>
      <c r="B81" s="15">
        <v>878966510000</v>
      </c>
      <c r="C81" s="5">
        <f>k1_*Таблица13[[#This Row],[ВТБ-цена]]+k0</f>
        <v>705997254201.71118</v>
      </c>
      <c r="D81" s="5">
        <f>Таблица13[[#This Row],[ВТБ-объем]]-Таблица13[[#This Row],[h=k1*x+k0]]</f>
        <v>172969255798.28882</v>
      </c>
      <c r="E81" s="5">
        <f>Таблица13[[#This Row],[y-h]]^2</f>
        <v>2.9918363451413869E+22</v>
      </c>
      <c r="F81" s="16">
        <f>Таблица13[[#This Row],[ВТБ-цена]]^2</f>
        <v>1.8062500000000003E-3</v>
      </c>
      <c r="G81" s="5">
        <f>Таблица13[[#This Row],[ВТБ-цена]]*Таблица13[[#This Row],[ВТБ-объем]]</f>
        <v>37356076675</v>
      </c>
      <c r="I81" s="11">
        <v>31</v>
      </c>
      <c r="J81" s="11">
        <v>320560392038.38489</v>
      </c>
      <c r="K81" s="11">
        <v>437067007961.61511</v>
      </c>
      <c r="L81"/>
      <c r="M81"/>
      <c r="N81"/>
      <c r="O81"/>
      <c r="P81"/>
      <c r="Q81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17">
        <v>3.8679999999999999E-2</v>
      </c>
      <c r="B82" s="15">
        <v>588826140000</v>
      </c>
      <c r="C82" s="5">
        <f>k1_*Таблица13[[#This Row],[ВТБ-цена]]+k0</f>
        <v>746336125803.46338</v>
      </c>
      <c r="D82" s="5">
        <f>Таблица13[[#This Row],[ВТБ-объем]]-Таблица13[[#This Row],[h=k1*x+k0]]</f>
        <v>-157509985803.46338</v>
      </c>
      <c r="E82" s="5">
        <f>Таблица13[[#This Row],[y-h]]^2</f>
        <v>2.4809395627807235E+22</v>
      </c>
      <c r="F82" s="16">
        <f>Таблица13[[#This Row],[ВТБ-цена]]^2</f>
        <v>1.4961423999999999E-3</v>
      </c>
      <c r="G82" s="5">
        <f>Таблица13[[#This Row],[ВТБ-цена]]*Таблица13[[#This Row],[ВТБ-объем]]</f>
        <v>22775795095.200001</v>
      </c>
      <c r="I82" s="11">
        <v>32</v>
      </c>
      <c r="J82" s="11">
        <v>394479790261.48828</v>
      </c>
      <c r="K82" s="11">
        <v>-39185620261.488281</v>
      </c>
      <c r="L82"/>
      <c r="M82"/>
      <c r="N82"/>
      <c r="O82"/>
      <c r="P82"/>
      <c r="Q8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17">
        <v>4.2595000000000001E-2</v>
      </c>
      <c r="B83" s="15">
        <v>810694080000</v>
      </c>
      <c r="C83" s="5">
        <f>k1_*Таблица13[[#This Row],[ВТБ-цена]]+k0</f>
        <v>704994062368.68335</v>
      </c>
      <c r="D83" s="5">
        <f>Таблица13[[#This Row],[ВТБ-объем]]-Таблица13[[#This Row],[h=k1*x+k0]]</f>
        <v>105700017631.31665</v>
      </c>
      <c r="E83" s="5">
        <f>Таблица13[[#This Row],[y-h]]^2</f>
        <v>1.1172493727260652E+22</v>
      </c>
      <c r="F83" s="16">
        <f>Таблица13[[#This Row],[ВТБ-цена]]^2</f>
        <v>1.814334025E-3</v>
      </c>
      <c r="G83" s="5">
        <f>Таблица13[[#This Row],[ВТБ-цена]]*Таблица13[[#This Row],[ВТБ-объем]]</f>
        <v>34531514337.599998</v>
      </c>
      <c r="I83" s="11">
        <v>33</v>
      </c>
      <c r="J83" s="11">
        <v>426159532357.10376</v>
      </c>
      <c r="K83" s="11">
        <v>-128374142357.10376</v>
      </c>
      <c r="L83"/>
      <c r="M83"/>
      <c r="N83"/>
      <c r="O83"/>
      <c r="P83"/>
      <c r="Q83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17">
        <v>4.3090000000000003E-2</v>
      </c>
      <c r="B84" s="15">
        <v>561078690000</v>
      </c>
      <c r="C84" s="5">
        <f>k1_*Таблица13[[#This Row],[ВТБ-цена]]+k0</f>
        <v>699766904922.90649</v>
      </c>
      <c r="D84" s="5">
        <f>Таблица13[[#This Row],[ВТБ-объем]]-Таблица13[[#This Row],[h=k1*x+k0]]</f>
        <v>-138688214922.90649</v>
      </c>
      <c r="E84" s="5">
        <f>Таблица13[[#This Row],[y-h]]^2</f>
        <v>1.9234420958502303E+22</v>
      </c>
      <c r="F84" s="16">
        <f>Таблица13[[#This Row],[ВТБ-цена]]^2</f>
        <v>1.8567481000000003E-3</v>
      </c>
      <c r="G84" s="5">
        <f>Таблица13[[#This Row],[ВТБ-цена]]*Таблица13[[#This Row],[ВТБ-объем]]</f>
        <v>24176880752.100002</v>
      </c>
      <c r="I84" s="11">
        <v>34</v>
      </c>
      <c r="J84" s="11">
        <v>439887420598.53735</v>
      </c>
      <c r="K84" s="11">
        <v>-150933550598.53735</v>
      </c>
      <c r="L84"/>
      <c r="M84"/>
      <c r="N84"/>
      <c r="O84"/>
      <c r="P84"/>
      <c r="Q84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17">
        <v>4.5330000000000002E-2</v>
      </c>
      <c r="B85" s="15">
        <v>790972300000</v>
      </c>
      <c r="C85" s="5">
        <f>k1_*Таблица13[[#This Row],[ВТБ-цена]]+k0</f>
        <v>676112697491.5127</v>
      </c>
      <c r="D85" s="5">
        <f>Таблица13[[#This Row],[ВТБ-объем]]-Таблица13[[#This Row],[h=k1*x+k0]]</f>
        <v>114859602508.4873</v>
      </c>
      <c r="E85" s="5">
        <f>Таблица13[[#This Row],[y-h]]^2</f>
        <v>1.3192728288407702E+22</v>
      </c>
      <c r="F85" s="16">
        <f>Таблица13[[#This Row],[ВТБ-цена]]^2</f>
        <v>2.0548089000000003E-3</v>
      </c>
      <c r="G85" s="5">
        <f>Таблица13[[#This Row],[ВТБ-цена]]*Таблица13[[#This Row],[ВТБ-объем]]</f>
        <v>35854774359</v>
      </c>
      <c r="I85" s="11">
        <v>35</v>
      </c>
      <c r="J85" s="11">
        <v>390783820350.33301</v>
      </c>
      <c r="K85" s="11">
        <v>15585209649.666992</v>
      </c>
      <c r="L85"/>
      <c r="M85"/>
      <c r="N85"/>
      <c r="O85"/>
      <c r="P85"/>
      <c r="Q85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17">
        <v>4.5900000000000003E-2</v>
      </c>
      <c r="B86" s="15">
        <v>399669980000</v>
      </c>
      <c r="C86" s="5">
        <f>k1_*Таблица13[[#This Row],[ВТБ-цена]]+k0</f>
        <v>670093546493.34546</v>
      </c>
      <c r="D86" s="5">
        <f>Таблица13[[#This Row],[ВТБ-объем]]-Таблица13[[#This Row],[h=k1*x+k0]]</f>
        <v>-270423566493.34546</v>
      </c>
      <c r="E86" s="5">
        <f>Таблица13[[#This Row],[y-h]]^2</f>
        <v>7.3128905314980833E+22</v>
      </c>
      <c r="F86" s="16">
        <f>Таблица13[[#This Row],[ВТБ-цена]]^2</f>
        <v>2.1068100000000002E-3</v>
      </c>
      <c r="G86" s="5">
        <f>Таблица13[[#This Row],[ВТБ-цена]]*Таблица13[[#This Row],[ВТБ-объем]]</f>
        <v>18344852082</v>
      </c>
      <c r="I86" s="11">
        <v>36</v>
      </c>
      <c r="J86" s="11">
        <v>405039704293.36011</v>
      </c>
      <c r="K86" s="11">
        <v>-111479784293.36011</v>
      </c>
      <c r="L86"/>
      <c r="M86"/>
      <c r="N86"/>
      <c r="O86"/>
      <c r="P86"/>
      <c r="Q86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17">
        <v>4.6399999999999997E-2</v>
      </c>
      <c r="B87" s="15">
        <v>799598550000</v>
      </c>
      <c r="C87" s="5">
        <f>k1_*Таблица13[[#This Row],[ВТБ-цена]]+k0</f>
        <v>664813589477.40942</v>
      </c>
      <c r="D87" s="5">
        <f>Таблица13[[#This Row],[ВТБ-объем]]-Таблица13[[#This Row],[h=k1*x+k0]]</f>
        <v>134784960522.59058</v>
      </c>
      <c r="E87" s="5">
        <f>Таблица13[[#This Row],[y-h]]^2</f>
        <v>1.8166985583076301E+22</v>
      </c>
      <c r="F87" s="16">
        <f>Таблица13[[#This Row],[ВТБ-цена]]^2</f>
        <v>2.1529599999999998E-3</v>
      </c>
      <c r="G87" s="5">
        <f>Таблица13[[#This Row],[ВТБ-цена]]*Таблица13[[#This Row],[ВТБ-объем]]</f>
        <v>37101372720</v>
      </c>
      <c r="I87" s="11">
        <v>37</v>
      </c>
      <c r="J87" s="11">
        <v>313168452216.07458</v>
      </c>
      <c r="K87" s="11">
        <v>35981977783.925415</v>
      </c>
      <c r="L87"/>
      <c r="M87"/>
      <c r="N87"/>
      <c r="O87"/>
      <c r="P87"/>
      <c r="Q87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17">
        <v>4.333E-2</v>
      </c>
      <c r="B88" s="15">
        <v>598942560000</v>
      </c>
      <c r="C88" s="5">
        <f>k1_*Таблица13[[#This Row],[ВТБ-цена]]+k0</f>
        <v>697232525555.25732</v>
      </c>
      <c r="D88" s="5">
        <f>Таблица13[[#This Row],[ВТБ-объем]]-Таблица13[[#This Row],[h=k1*x+k0]]</f>
        <v>-98289965555.257324</v>
      </c>
      <c r="E88" s="5">
        <f>Таблица13[[#This Row],[y-h]]^2</f>
        <v>9.6609173288536716E+21</v>
      </c>
      <c r="F88" s="16">
        <f>Таблица13[[#This Row],[ВТБ-цена]]^2</f>
        <v>1.8774888999999999E-3</v>
      </c>
      <c r="G88" s="5">
        <f>Таблица13[[#This Row],[ВТБ-цена]]*Таблица13[[#This Row],[ВТБ-объем]]</f>
        <v>25952181124.799999</v>
      </c>
      <c r="I88" s="11">
        <v>38</v>
      </c>
      <c r="J88" s="11">
        <v>376527936407.30591</v>
      </c>
      <c r="K88" s="11">
        <v>16986293592.694092</v>
      </c>
      <c r="L88"/>
      <c r="M88"/>
      <c r="N88"/>
      <c r="O88"/>
      <c r="P88"/>
      <c r="Q88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17">
        <v>3.2599999999999997E-2</v>
      </c>
      <c r="B89" s="15">
        <v>1740129320000</v>
      </c>
      <c r="C89" s="5">
        <f>k1_*Таблица13[[#This Row],[ВТБ-цена]]+k0</f>
        <v>810540403117.24683</v>
      </c>
      <c r="D89" s="5">
        <f>Таблица13[[#This Row],[ВТБ-объем]]-Таблица13[[#This Row],[h=k1*x+k0]]</f>
        <v>929588916882.75317</v>
      </c>
      <c r="E89" s="5">
        <f>Таблица13[[#This Row],[y-h]]^2</f>
        <v>8.6413555439125019E+23</v>
      </c>
      <c r="F89" s="16">
        <f>Таблица13[[#This Row],[ВТБ-цена]]^2</f>
        <v>1.0627599999999998E-3</v>
      </c>
      <c r="G89" s="5">
        <f>Таблица13[[#This Row],[ВТБ-цена]]*Таблица13[[#This Row],[ВТБ-объем]]</f>
        <v>56728215831.999992</v>
      </c>
      <c r="I89" s="11">
        <v>39</v>
      </c>
      <c r="J89" s="11">
        <v>379695910616.86743</v>
      </c>
      <c r="K89" s="11">
        <v>-95314500616.867432</v>
      </c>
      <c r="L89"/>
      <c r="M89"/>
      <c r="N89"/>
      <c r="O89"/>
      <c r="P89"/>
      <c r="Q8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17">
        <v>3.49E-2</v>
      </c>
      <c r="B90" s="15">
        <v>1423841900000</v>
      </c>
      <c r="C90" s="5">
        <f>k1_*Таблица13[[#This Row],[ВТБ-цена]]+k0</f>
        <v>786252600843.94067</v>
      </c>
      <c r="D90" s="5">
        <f>Таблица13[[#This Row],[ВТБ-объем]]-Таблица13[[#This Row],[h=k1*x+k0]]</f>
        <v>637589299156.05933</v>
      </c>
      <c r="E90" s="5">
        <f>Таблица13[[#This Row],[y-h]]^2</f>
        <v>4.0652011439831491E+23</v>
      </c>
      <c r="F90" s="16">
        <f>Таблица13[[#This Row],[ВТБ-цена]]^2</f>
        <v>1.2180100000000001E-3</v>
      </c>
      <c r="G90" s="5">
        <f>Таблица13[[#This Row],[ВТБ-цена]]*Таблица13[[#This Row],[ВТБ-объем]]</f>
        <v>49692082310</v>
      </c>
      <c r="I90" s="11">
        <v>40</v>
      </c>
      <c r="J90" s="11">
        <v>345059392592.32764</v>
      </c>
      <c r="K90" s="11">
        <v>-41319542592.327637</v>
      </c>
      <c r="L90"/>
      <c r="M90"/>
      <c r="N90"/>
      <c r="O90"/>
      <c r="P90"/>
      <c r="Q90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17">
        <v>3.6310000000000002E-2</v>
      </c>
      <c r="B91" s="15">
        <v>553192080000</v>
      </c>
      <c r="C91" s="5">
        <f>k1_*Таблица13[[#This Row],[ВТБ-цена]]+k0</f>
        <v>771363122059.00073</v>
      </c>
      <c r="D91" s="5">
        <f>Таблица13[[#This Row],[ВТБ-объем]]-Таблица13[[#This Row],[h=k1*x+k0]]</f>
        <v>-218171042059.00073</v>
      </c>
      <c r="E91" s="5">
        <f>Таблица13[[#This Row],[y-h]]^2</f>
        <v>4.759860359311027E+22</v>
      </c>
      <c r="F91" s="16">
        <f>Таблица13[[#This Row],[ВТБ-цена]]^2</f>
        <v>1.3184161000000002E-3</v>
      </c>
      <c r="G91" s="5">
        <f>Таблица13[[#This Row],[ВТБ-цена]]*Таблица13[[#This Row],[ВТБ-объем]]</f>
        <v>20086404424.799999</v>
      </c>
      <c r="I91" s="11">
        <v>41</v>
      </c>
      <c r="J91" s="11">
        <v>415071622623.63831</v>
      </c>
      <c r="K91" s="11">
        <v>-63590452623.638306</v>
      </c>
      <c r="L91"/>
      <c r="M91"/>
      <c r="N91"/>
      <c r="O91"/>
      <c r="P91"/>
      <c r="Q91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17">
        <v>3.5049999999999998E-2</v>
      </c>
      <c r="B92" s="15">
        <v>644559090000</v>
      </c>
      <c r="C92" s="5">
        <f>k1_*Таблица13[[#This Row],[ВТБ-цена]]+k0</f>
        <v>784668613739.15979</v>
      </c>
      <c r="D92" s="5">
        <f>Таблица13[[#This Row],[ВТБ-объем]]-Таблица13[[#This Row],[h=k1*x+k0]]</f>
        <v>-140109523739.15979</v>
      </c>
      <c r="E92" s="5">
        <f>Таблица13[[#This Row],[y-h]]^2</f>
        <v>1.9630678642414181E+22</v>
      </c>
      <c r="F92" s="16">
        <f>Таблица13[[#This Row],[ВТБ-цена]]^2</f>
        <v>1.2285024999999998E-3</v>
      </c>
      <c r="G92" s="5">
        <f>Таблица13[[#This Row],[ВТБ-цена]]*Таблица13[[#This Row],[ВТБ-объем]]</f>
        <v>22591796104.5</v>
      </c>
      <c r="I92" s="11">
        <v>42</v>
      </c>
      <c r="J92" s="11">
        <v>432495480776.22705</v>
      </c>
      <c r="K92" s="11">
        <v>-158033820776.22705</v>
      </c>
      <c r="L92"/>
      <c r="M92"/>
      <c r="N92"/>
      <c r="O92"/>
      <c r="P92"/>
      <c r="Q9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17">
        <v>3.8754999999999998E-2</v>
      </c>
      <c r="B93" s="15">
        <v>873603110000</v>
      </c>
      <c r="C93" s="5">
        <f>k1_*Таблица13[[#This Row],[ВТБ-цена]]+k0</f>
        <v>745544132251.073</v>
      </c>
      <c r="D93" s="5">
        <f>Таблица13[[#This Row],[ВТБ-объем]]-Таблица13[[#This Row],[h=k1*x+k0]]</f>
        <v>128058977748.927</v>
      </c>
      <c r="E93" s="5">
        <f>Таблица13[[#This Row],[y-h]]^2</f>
        <v>1.6399101782100181E+22</v>
      </c>
      <c r="F93" s="16">
        <f>Таблица13[[#This Row],[ВТБ-цена]]^2</f>
        <v>1.5019500249999998E-3</v>
      </c>
      <c r="G93" s="5">
        <f>Таблица13[[#This Row],[ВТБ-цена]]*Таблица13[[#This Row],[ВТБ-объем]]</f>
        <v>33856488528.049999</v>
      </c>
      <c r="I93" s="11">
        <v>43</v>
      </c>
      <c r="J93" s="11">
        <v>436719446388.97571</v>
      </c>
      <c r="K93" s="11">
        <v>-154145226388.97571</v>
      </c>
      <c r="L93"/>
      <c r="M93"/>
      <c r="N93"/>
      <c r="O93"/>
      <c r="P93"/>
      <c r="Q9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thickBot="1" x14ac:dyDescent="0.3">
      <c r="A94" s="18">
        <v>3.5950000000000003E-2</v>
      </c>
      <c r="B94" s="19">
        <v>965851250000</v>
      </c>
      <c r="C94" s="5">
        <f>k1_*Таблица13[[#This Row],[ВТБ-цена]]+k0</f>
        <v>775164691110.47461</v>
      </c>
      <c r="D94" s="5">
        <f>Таблица13[[#This Row],[ВТБ-объем]]-Таблица13[[#This Row],[h=k1*x+k0]]</f>
        <v>190686558889.52539</v>
      </c>
      <c r="E94" s="5">
        <f>Таблица13[[#This Row],[y-h]]^2</f>
        <v>3.6361363741128434E+22</v>
      </c>
      <c r="F94" s="16">
        <f>Таблица13[[#This Row],[ВТБ-цена]]^2</f>
        <v>1.2924025000000002E-3</v>
      </c>
      <c r="G94" s="5">
        <f>Таблица13[[#This Row],[ВТБ-цена]]*Таблица13[[#This Row],[ВТБ-объем]]</f>
        <v>34722352437.5</v>
      </c>
      <c r="I94" s="11">
        <v>44</v>
      </c>
      <c r="J94" s="11">
        <v>442949795667.78027</v>
      </c>
      <c r="K94" s="11">
        <v>-290221165667.78027</v>
      </c>
      <c r="L94"/>
      <c r="M94"/>
      <c r="N94"/>
      <c r="O94"/>
      <c r="P94"/>
      <c r="Q94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thickTop="1" x14ac:dyDescent="0.25">
      <c r="A95" s="5">
        <f>SUBTOTAL(109,Таблица13[ВТБ-цена])</f>
        <v>4.9276200000000028</v>
      </c>
      <c r="B95" s="5">
        <f>SUBTOTAL(109,Таблица13[ВТБ-объем])</f>
        <v>55360561270000</v>
      </c>
      <c r="C95" s="5">
        <f>SUBTOTAL(109,Таблица13[h=k1*x+k0])</f>
        <v>55360561269999.867</v>
      </c>
      <c r="D95" s="5">
        <f>SUBTOTAL(109,Таблица13[y-h])</f>
        <v>0.1566162109375</v>
      </c>
      <c r="E95" s="5">
        <f>SUBTOTAL(109,Таблица13[(y-h)^2])</f>
        <v>1.1547635080461912E+25</v>
      </c>
      <c r="F95" s="16">
        <f>SUBTOTAL(109,Таблица13[x^2])</f>
        <v>0.27839685029999989</v>
      </c>
      <c r="G95" s="5">
        <f>SUBTOTAL(109,Таблица13[x*y])</f>
        <v>2750537236061.1494</v>
      </c>
      <c r="I95" s="11">
        <v>45</v>
      </c>
      <c r="J95" s="11">
        <v>431545088513.35864</v>
      </c>
      <c r="K95" s="11">
        <v>-206086928513.35864</v>
      </c>
      <c r="L95"/>
      <c r="M95"/>
      <c r="N95"/>
      <c r="O95"/>
      <c r="P95"/>
      <c r="Q95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9"/>
      <c r="B96" s="9"/>
      <c r="C96" s="9"/>
      <c r="D96" s="9"/>
      <c r="E96" s="9"/>
      <c r="F96" s="9"/>
      <c r="G96" s="9"/>
      <c r="I96" s="11">
        <v>46</v>
      </c>
      <c r="J96" s="11">
        <v>393423798858.30103</v>
      </c>
      <c r="K96" s="11">
        <v>-33195288858.301025</v>
      </c>
      <c r="L96"/>
      <c r="M96"/>
      <c r="N96"/>
      <c r="O96"/>
      <c r="P96"/>
      <c r="Q96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I97" s="11">
        <v>47</v>
      </c>
      <c r="J97" s="11">
        <v>439359424896.94373</v>
      </c>
      <c r="K97" s="11">
        <v>-279878414896.94373</v>
      </c>
      <c r="L97"/>
      <c r="M97"/>
      <c r="N97"/>
      <c r="O97"/>
      <c r="P97"/>
      <c r="Q97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I98" s="11">
        <v>48</v>
      </c>
      <c r="J98" s="11">
        <v>421935566744.3551</v>
      </c>
      <c r="K98" s="11">
        <v>-187337206744.3551</v>
      </c>
      <c r="L98"/>
      <c r="M98"/>
      <c r="N98"/>
      <c r="O98"/>
      <c r="P98"/>
      <c r="Q98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I99" s="11">
        <v>49</v>
      </c>
      <c r="J99" s="11">
        <v>373359962197.74438</v>
      </c>
      <c r="K99" s="11">
        <v>179696127802.25562</v>
      </c>
      <c r="L99"/>
      <c r="M99"/>
      <c r="N99"/>
      <c r="O99"/>
      <c r="P99"/>
      <c r="Q99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7"/>
      <c r="I100" s="11">
        <v>50</v>
      </c>
      <c r="J100" s="11">
        <v>426476329778.05994</v>
      </c>
      <c r="K100" s="11">
        <v>-126382669778.05994</v>
      </c>
      <c r="L100"/>
      <c r="M100"/>
      <c r="N100"/>
      <c r="O100"/>
      <c r="P100"/>
      <c r="Q100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I101" s="11">
        <v>51</v>
      </c>
      <c r="J101" s="11">
        <v>456994481330.1698</v>
      </c>
      <c r="K101" s="11">
        <v>-320077761330.1698</v>
      </c>
      <c r="L101"/>
      <c r="M101"/>
      <c r="N101"/>
      <c r="O101"/>
      <c r="P101"/>
      <c r="Q101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I102" s="11">
        <v>52</v>
      </c>
      <c r="J102" s="11">
        <v>455199295944.75159</v>
      </c>
      <c r="K102" s="11">
        <v>-188788905944.75159</v>
      </c>
      <c r="L102"/>
      <c r="M102"/>
      <c r="N102"/>
      <c r="O102"/>
      <c r="P102"/>
      <c r="Q10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I103" s="11">
        <v>53</v>
      </c>
      <c r="J103" s="11">
        <v>450341735490.09045</v>
      </c>
      <c r="K103" s="11">
        <v>-242431515490.09045</v>
      </c>
      <c r="L103"/>
      <c r="M103"/>
      <c r="N103"/>
      <c r="O103"/>
      <c r="P103"/>
      <c r="Q10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I104" s="11">
        <v>54</v>
      </c>
      <c r="J104" s="11">
        <v>456255287347.93884</v>
      </c>
      <c r="K104" s="11">
        <v>-287750057347.93884</v>
      </c>
      <c r="L104"/>
      <c r="M104"/>
      <c r="N104"/>
      <c r="O104"/>
      <c r="P104"/>
      <c r="Q104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I105" s="11">
        <v>55</v>
      </c>
      <c r="J105" s="11">
        <v>478959102516.46338</v>
      </c>
      <c r="K105" s="11">
        <v>-226772802516.46338</v>
      </c>
      <c r="L105"/>
      <c r="M105"/>
      <c r="N105"/>
      <c r="O105"/>
      <c r="P105"/>
      <c r="Q10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I106" s="11">
        <v>56</v>
      </c>
      <c r="J106" s="11">
        <v>524472331993.8313</v>
      </c>
      <c r="K106" s="11">
        <v>-345372601993.8313</v>
      </c>
      <c r="L106"/>
      <c r="M106"/>
      <c r="N106"/>
      <c r="O106"/>
      <c r="P106"/>
      <c r="Q106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I107" s="11">
        <v>57</v>
      </c>
      <c r="J107" s="11">
        <v>473045550658.61511</v>
      </c>
      <c r="K107" s="11">
        <v>-268305700658.61511</v>
      </c>
      <c r="L107"/>
      <c r="M107"/>
      <c r="N107"/>
      <c r="O107"/>
      <c r="P107"/>
      <c r="Q107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I108" s="11">
        <v>58</v>
      </c>
      <c r="J108" s="11">
        <v>504408495333.27466</v>
      </c>
      <c r="K108" s="11">
        <v>-210991085333.27466</v>
      </c>
      <c r="L108"/>
      <c r="M108"/>
      <c r="N108"/>
      <c r="O108"/>
      <c r="P108"/>
      <c r="Q108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I109" s="11">
        <v>59</v>
      </c>
      <c r="J109" s="11">
        <v>521198758643.95105</v>
      </c>
      <c r="K109" s="11">
        <v>-355599468643.95105</v>
      </c>
      <c r="L109"/>
      <c r="M109"/>
      <c r="N109"/>
      <c r="O109"/>
      <c r="P109"/>
      <c r="Q109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I110" s="11">
        <v>60</v>
      </c>
      <c r="J110" s="11">
        <v>618561166017.80994</v>
      </c>
      <c r="K110" s="11">
        <v>-184718926017.80994</v>
      </c>
      <c r="L110"/>
      <c r="M110"/>
      <c r="N110"/>
      <c r="O110"/>
      <c r="P110"/>
      <c r="Q110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I111" s="11">
        <v>61</v>
      </c>
      <c r="J111" s="11">
        <v>655098468568.08667</v>
      </c>
      <c r="K111" s="11">
        <v>-235766158568.08667</v>
      </c>
      <c r="L111"/>
      <c r="M111"/>
      <c r="N111"/>
      <c r="O111"/>
      <c r="P111"/>
      <c r="Q111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I112" s="11">
        <v>62</v>
      </c>
      <c r="J112" s="11">
        <v>633133847381.79321</v>
      </c>
      <c r="K112" s="11">
        <v>-281006287381.79321</v>
      </c>
      <c r="L112"/>
      <c r="M112"/>
      <c r="N112"/>
      <c r="O112"/>
      <c r="P112"/>
      <c r="Q11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9:28" x14ac:dyDescent="0.25">
      <c r="I113" s="11">
        <v>63</v>
      </c>
      <c r="J113" s="11">
        <v>597652536234.70361</v>
      </c>
      <c r="K113" s="11">
        <v>-18923496234.703613</v>
      </c>
      <c r="L113"/>
      <c r="M113"/>
      <c r="N113"/>
      <c r="O113"/>
      <c r="P113"/>
      <c r="Q113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9:28" x14ac:dyDescent="0.25">
      <c r="I114" s="11">
        <v>64</v>
      </c>
      <c r="J114" s="11">
        <v>609268441669.7627</v>
      </c>
      <c r="K114" s="11">
        <v>-79055621669.762695</v>
      </c>
      <c r="L114"/>
      <c r="M114"/>
      <c r="N114"/>
      <c r="O114"/>
      <c r="P114"/>
      <c r="Q114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9:28" x14ac:dyDescent="0.25">
      <c r="I115" s="11">
        <v>65</v>
      </c>
      <c r="J115" s="11">
        <v>584875040256.13855</v>
      </c>
      <c r="K115" s="11">
        <v>170047389743.86145</v>
      </c>
      <c r="L115"/>
      <c r="M115"/>
      <c r="N115"/>
      <c r="O115"/>
      <c r="P115"/>
      <c r="Q115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9:28" x14ac:dyDescent="0.25">
      <c r="I116" s="11">
        <v>66</v>
      </c>
      <c r="J116" s="11">
        <v>627959489506.17603</v>
      </c>
      <c r="K116" s="11">
        <v>-125780239506.17603</v>
      </c>
      <c r="L116"/>
      <c r="M116"/>
      <c r="N116"/>
      <c r="O116"/>
      <c r="P116"/>
      <c r="Q116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9:28" x14ac:dyDescent="0.25">
      <c r="I117" s="11">
        <v>67</v>
      </c>
      <c r="J117" s="11">
        <v>647812127886.09521</v>
      </c>
      <c r="K117" s="11">
        <v>-103955317886.09521</v>
      </c>
      <c r="L117"/>
      <c r="M117"/>
      <c r="N117"/>
      <c r="O117"/>
      <c r="P117"/>
      <c r="Q117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9:28" x14ac:dyDescent="0.25">
      <c r="I118" s="11">
        <v>68</v>
      </c>
      <c r="J118" s="11">
        <v>644960951097.48975</v>
      </c>
      <c r="K118" s="11">
        <v>-345140371097.48975</v>
      </c>
      <c r="L118"/>
      <c r="M118"/>
      <c r="N118"/>
      <c r="O118"/>
      <c r="P118"/>
      <c r="Q11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9:28" x14ac:dyDescent="0.25">
      <c r="I119" s="11">
        <v>69</v>
      </c>
      <c r="J119" s="11">
        <v>717613159636.76831</v>
      </c>
      <c r="K119" s="11">
        <v>-311892619636.76831</v>
      </c>
      <c r="L119"/>
      <c r="M119"/>
      <c r="N119"/>
      <c r="O119"/>
      <c r="P119"/>
      <c r="Q119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9:28" x14ac:dyDescent="0.25">
      <c r="I120" s="11">
        <v>70</v>
      </c>
      <c r="J120" s="11">
        <v>724371504617.1665</v>
      </c>
      <c r="K120" s="11">
        <v>-331976314617.1665</v>
      </c>
      <c r="L120"/>
      <c r="M120"/>
      <c r="N120"/>
      <c r="O120"/>
      <c r="P120"/>
      <c r="Q120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9:28" x14ac:dyDescent="0.25">
      <c r="I121" s="11">
        <v>71</v>
      </c>
      <c r="J121" s="11">
        <v>768511945270.39087</v>
      </c>
      <c r="K121" s="11">
        <v>-331047155270.39087</v>
      </c>
      <c r="L121"/>
      <c r="M121"/>
      <c r="N121"/>
      <c r="O121"/>
      <c r="P121"/>
      <c r="Q121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9:28" x14ac:dyDescent="0.25">
      <c r="I122" s="11">
        <v>72</v>
      </c>
      <c r="J122" s="11">
        <v>760908807167.44312</v>
      </c>
      <c r="K122" s="11">
        <v>-301898687167.44312</v>
      </c>
      <c r="L122"/>
      <c r="M122"/>
      <c r="N122"/>
      <c r="O122"/>
      <c r="P122"/>
      <c r="Q12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9:28" x14ac:dyDescent="0.25">
      <c r="I123" s="11">
        <v>73</v>
      </c>
      <c r="J123" s="11">
        <v>797340510577.40125</v>
      </c>
      <c r="K123" s="11">
        <v>-459732080577.40125</v>
      </c>
      <c r="L123"/>
      <c r="M123"/>
      <c r="N123"/>
      <c r="O123"/>
      <c r="P123"/>
      <c r="Q123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9:28" x14ac:dyDescent="0.25">
      <c r="I124" s="11">
        <v>74</v>
      </c>
      <c r="J124" s="11">
        <v>755945647572.46338</v>
      </c>
      <c r="K124" s="11">
        <v>-433028517572.46338</v>
      </c>
      <c r="L124"/>
      <c r="M124"/>
      <c r="N124"/>
      <c r="O124"/>
      <c r="P124"/>
      <c r="Q124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9:28" x14ac:dyDescent="0.25">
      <c r="I125" s="11">
        <v>75</v>
      </c>
      <c r="J125" s="11">
        <v>775692686812.06384</v>
      </c>
      <c r="K125" s="11">
        <v>-489002866812.06384</v>
      </c>
      <c r="L125"/>
      <c r="M125"/>
      <c r="N125"/>
      <c r="O125"/>
      <c r="P125"/>
      <c r="Q125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9:28" x14ac:dyDescent="0.25">
      <c r="I126" s="11">
        <v>76</v>
      </c>
      <c r="J126" s="11">
        <v>778385464890.19116</v>
      </c>
      <c r="K126" s="11">
        <v>-478152354890.19116</v>
      </c>
      <c r="L126"/>
      <c r="M126"/>
      <c r="N126"/>
      <c r="O126"/>
      <c r="P126"/>
      <c r="Q126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9:28" x14ac:dyDescent="0.25">
      <c r="I127" s="11">
        <v>77</v>
      </c>
      <c r="J127" s="11">
        <v>779916652424.81262</v>
      </c>
      <c r="K127" s="11">
        <v>-441271322424.81262</v>
      </c>
      <c r="L127"/>
      <c r="M127"/>
      <c r="N127"/>
      <c r="O127"/>
      <c r="P127"/>
      <c r="Q127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9:28" x14ac:dyDescent="0.25">
      <c r="I128" s="11">
        <v>78</v>
      </c>
      <c r="J128" s="11">
        <v>767191956016.40698</v>
      </c>
      <c r="K128" s="11">
        <v>-262704426016.40698</v>
      </c>
      <c r="L128"/>
      <c r="M128"/>
      <c r="N128"/>
      <c r="O128"/>
      <c r="P128"/>
      <c r="Q128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9:28" x14ac:dyDescent="0.25">
      <c r="I129" s="11">
        <v>79</v>
      </c>
      <c r="J129" s="11">
        <v>733664228965.21362</v>
      </c>
      <c r="K129" s="11">
        <v>-180957618965.21362</v>
      </c>
      <c r="L129"/>
      <c r="M129"/>
      <c r="N129"/>
      <c r="O129"/>
      <c r="P129"/>
      <c r="Q12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9:28" x14ac:dyDescent="0.25">
      <c r="I130" s="11">
        <v>80</v>
      </c>
      <c r="J130" s="11">
        <v>705997254201.70923</v>
      </c>
      <c r="K130" s="11">
        <v>172969255798.29077</v>
      </c>
      <c r="L130"/>
      <c r="M130"/>
      <c r="N130"/>
      <c r="O130"/>
      <c r="P130"/>
      <c r="Q130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9:28" x14ac:dyDescent="0.25">
      <c r="I131" s="11">
        <v>81</v>
      </c>
      <c r="J131" s="11">
        <v>746336125803.45996</v>
      </c>
      <c r="K131" s="11">
        <v>-157509985803.45996</v>
      </c>
      <c r="L131"/>
      <c r="M131"/>
      <c r="N131"/>
      <c r="O131"/>
      <c r="P131"/>
      <c r="Q131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9:28" x14ac:dyDescent="0.25">
      <c r="I132" s="11">
        <v>82</v>
      </c>
      <c r="J132" s="11">
        <v>704994062368.6814</v>
      </c>
      <c r="K132" s="11">
        <v>105700017631.3186</v>
      </c>
      <c r="L132"/>
      <c r="M132"/>
      <c r="N132"/>
      <c r="O132"/>
      <c r="P132"/>
      <c r="Q13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9:28" x14ac:dyDescent="0.25">
      <c r="I133" s="11">
        <v>83</v>
      </c>
      <c r="J133" s="11">
        <v>699766904922.90479</v>
      </c>
      <c r="K133" s="11">
        <v>-138688214922.90479</v>
      </c>
      <c r="L133"/>
      <c r="M133"/>
      <c r="N133"/>
      <c r="O133"/>
      <c r="P133"/>
      <c r="Q133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9:28" x14ac:dyDescent="0.25">
      <c r="I134" s="11">
        <v>84</v>
      </c>
      <c r="J134" s="11">
        <v>676112697491.51172</v>
      </c>
      <c r="K134" s="11">
        <v>114859602508.48828</v>
      </c>
      <c r="L134"/>
      <c r="M134"/>
      <c r="N134"/>
      <c r="O134"/>
      <c r="P134"/>
      <c r="Q134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9:28" x14ac:dyDescent="0.25">
      <c r="I135" s="11">
        <v>85</v>
      </c>
      <c r="J135" s="11">
        <v>670093546493.34473</v>
      </c>
      <c r="K135" s="11">
        <v>-270423566493.34473</v>
      </c>
      <c r="L135"/>
      <c r="M135"/>
      <c r="N135"/>
      <c r="O135"/>
      <c r="P135"/>
      <c r="Q135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9:28" x14ac:dyDescent="0.25">
      <c r="I136" s="11">
        <v>86</v>
      </c>
      <c r="J136" s="11">
        <v>664813589477.40894</v>
      </c>
      <c r="K136" s="11">
        <v>134784960522.59106</v>
      </c>
      <c r="L136"/>
      <c r="M136"/>
      <c r="N136"/>
      <c r="O136"/>
      <c r="P136"/>
      <c r="Q136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9:28" x14ac:dyDescent="0.25">
      <c r="I137" s="11">
        <v>87</v>
      </c>
      <c r="J137" s="11">
        <v>697232525555.25562</v>
      </c>
      <c r="K137" s="11">
        <v>-98289965555.255615</v>
      </c>
      <c r="L137"/>
      <c r="M137"/>
      <c r="N137"/>
      <c r="O137"/>
      <c r="P137"/>
      <c r="Q137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9:28" x14ac:dyDescent="0.25">
      <c r="I138" s="11">
        <v>88</v>
      </c>
      <c r="J138" s="11">
        <v>810540403117.24121</v>
      </c>
      <c r="K138" s="11">
        <v>929588916882.75879</v>
      </c>
      <c r="L138"/>
      <c r="M138"/>
      <c r="N138"/>
      <c r="O138"/>
      <c r="P138"/>
      <c r="Q138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9:28" x14ac:dyDescent="0.25">
      <c r="I139" s="11">
        <v>89</v>
      </c>
      <c r="J139" s="11">
        <v>786252600843.93579</v>
      </c>
      <c r="K139" s="11">
        <v>637589299156.06421</v>
      </c>
      <c r="L139"/>
      <c r="M139"/>
      <c r="N139"/>
      <c r="O139"/>
      <c r="P139"/>
      <c r="Q13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9:28" x14ac:dyDescent="0.25">
      <c r="I140" s="11">
        <v>90</v>
      </c>
      <c r="J140" s="11">
        <v>771363122058.99634</v>
      </c>
      <c r="K140" s="11">
        <v>-218171042058.99634</v>
      </c>
      <c r="L140"/>
      <c r="M140"/>
      <c r="N140"/>
      <c r="O140"/>
      <c r="P140"/>
      <c r="Q140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9:28" x14ac:dyDescent="0.25">
      <c r="I141" s="11">
        <v>91</v>
      </c>
      <c r="J141" s="11">
        <v>784668613739.15503</v>
      </c>
      <c r="K141" s="11">
        <v>-140109523739.15503</v>
      </c>
      <c r="L141"/>
      <c r="M141"/>
      <c r="N141"/>
      <c r="O141"/>
      <c r="P141"/>
      <c r="Q141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9:28" x14ac:dyDescent="0.25">
      <c r="I142" s="11">
        <v>92</v>
      </c>
      <c r="J142" s="11">
        <v>745544132251.06958</v>
      </c>
      <c r="K142" s="11">
        <v>128058977748.93042</v>
      </c>
      <c r="L142"/>
      <c r="M142"/>
      <c r="N142"/>
      <c r="O142"/>
      <c r="P142"/>
      <c r="Q14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9:28" ht="15.75" thickBot="1" x14ac:dyDescent="0.3">
      <c r="I143" s="12">
        <v>93</v>
      </c>
      <c r="J143" s="12">
        <v>775164691110.47021</v>
      </c>
      <c r="K143" s="12">
        <v>190686558889.52979</v>
      </c>
      <c r="L143"/>
      <c r="M143"/>
      <c r="N143"/>
      <c r="O143"/>
      <c r="P143"/>
      <c r="Q143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9:28" x14ac:dyDescent="0.25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9:28" x14ac:dyDescent="0.2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9:28" x14ac:dyDescent="0.25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9:28" x14ac:dyDescent="0.25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9:28" x14ac:dyDescent="0.25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9:28" x14ac:dyDescent="0.25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9:28" x14ac:dyDescent="0.25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9:28" x14ac:dyDescent="0.25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9:28" x14ac:dyDescent="0.25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9:28" x14ac:dyDescent="0.25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9:28" x14ac:dyDescent="0.25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9:28" x14ac:dyDescent="0.2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31E5-A20A-4079-BF2A-46FF85E1E03D}">
  <dimension ref="A1:AB155"/>
  <sheetViews>
    <sheetView tabSelected="1" workbookViewId="0">
      <selection activeCell="O26" sqref="O26"/>
    </sheetView>
  </sheetViews>
  <sheetFormatPr defaultRowHeight="15" x14ac:dyDescent="0.25"/>
  <cols>
    <col min="1" max="1" width="17.140625" style="6" customWidth="1"/>
    <col min="2" max="2" width="18.85546875" style="6" customWidth="1"/>
    <col min="3" max="3" width="18.5703125" style="6" customWidth="1"/>
    <col min="4" max="4" width="17.140625" style="6" customWidth="1"/>
    <col min="5" max="5" width="30" style="6" customWidth="1"/>
    <col min="6" max="6" width="14.28515625" style="6" customWidth="1"/>
    <col min="7" max="7" width="21.42578125" style="6" customWidth="1"/>
    <col min="8" max="9" width="9.140625" style="6"/>
    <col min="10" max="10" width="17.140625" style="6" customWidth="1"/>
    <col min="11" max="11" width="9.140625" style="6"/>
    <col min="12" max="12" width="11.42578125" style="6" customWidth="1"/>
    <col min="13" max="13" width="9.85546875" style="6" bestFit="1" customWidth="1"/>
    <col min="14" max="14" width="20" style="6" customWidth="1"/>
    <col min="15" max="16384" width="9.140625" style="6"/>
  </cols>
  <sheetData>
    <row r="1" spans="1:14" x14ac:dyDescent="0.25">
      <c r="A1" s="4" t="s">
        <v>43</v>
      </c>
      <c r="B1" s="3" t="s">
        <v>44</v>
      </c>
      <c r="C1" s="3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14" x14ac:dyDescent="0.25">
      <c r="A2" s="17">
        <v>143.69999999999999</v>
      </c>
      <c r="B2" s="15">
        <v>638968460</v>
      </c>
      <c r="C2" s="5">
        <f>k1_*Таблица14[[#This Row],[Газпром-цена]]+k0</f>
        <v>747717655.31125844</v>
      </c>
      <c r="D2" s="5">
        <f>Таблица14[[#This Row],[Газпром-объем]]-Таблица14[[#This Row],[h=k1*x+k0]]</f>
        <v>-108749195.31125844</v>
      </c>
      <c r="E2" s="5">
        <f>Таблица14[[#This Row],[y-h]]^2</f>
        <v>1.1826387480846234E+16</v>
      </c>
      <c r="F2" s="5">
        <f>Таблица14[[#This Row],[Газпром-цена]]^2</f>
        <v>20649.689999999995</v>
      </c>
      <c r="G2" s="5">
        <f>Таблица14[[#This Row],[Газпром-цена]]*Таблица14[[#This Row],[Газпром-объем]]</f>
        <v>91819767702</v>
      </c>
      <c r="I2" s="2" t="s">
        <v>2</v>
      </c>
      <c r="J2" s="1">
        <f>L7</f>
        <v>380746677.84993744</v>
      </c>
      <c r="K2" s="2"/>
      <c r="L2" s="6" t="s">
        <v>9</v>
      </c>
      <c r="M2" s="6" t="s">
        <v>10</v>
      </c>
      <c r="N2" s="6" t="s">
        <v>11</v>
      </c>
    </row>
    <row r="3" spans="1:14" x14ac:dyDescent="0.25">
      <c r="A3" s="17">
        <v>142.09</v>
      </c>
      <c r="B3" s="15">
        <v>495283520</v>
      </c>
      <c r="C3" s="5">
        <f>k1_*Таблица14[[#This Row],[Газпром-цена]]+k0</f>
        <v>743606150.27498341</v>
      </c>
      <c r="D3" s="5">
        <f>Таблица14[[#This Row],[Газпром-объем]]-Таблица14[[#This Row],[h=k1*x+k0]]</f>
        <v>-248322630.27498341</v>
      </c>
      <c r="E3" s="5">
        <f>Таблица14[[#This Row],[y-h]]^2</f>
        <v>6.1664128706686104E+16</v>
      </c>
      <c r="F3" s="5">
        <f>Таблица14[[#This Row],[Газпром-цена]]^2</f>
        <v>20189.5681</v>
      </c>
      <c r="G3" s="5">
        <f>Таблица14[[#This Row],[Газпром-цена]]*Таблица14[[#This Row],[Газпром-объем]]</f>
        <v>70374835356.800003</v>
      </c>
      <c r="I3" s="2" t="s">
        <v>3</v>
      </c>
      <c r="J3" s="1">
        <f>L6</f>
        <v>2553729.8361956924</v>
      </c>
      <c r="K3" s="2"/>
      <c r="L3" s="7">
        <f>Таблица14[[#Totals],[x^2]]</f>
        <v>2291914.8777000001</v>
      </c>
      <c r="M3" s="7">
        <f>Таблица14[[#Totals],[Газпром-цена]]</f>
        <v>14276.450000000004</v>
      </c>
      <c r="N3" s="7">
        <f>Таблица14[[#Totals],[x*y]]</f>
        <v>11288642314194.004</v>
      </c>
    </row>
    <row r="4" spans="1:14" x14ac:dyDescent="0.25">
      <c r="A4" s="17">
        <v>137.4</v>
      </c>
      <c r="B4" s="15">
        <v>733770920</v>
      </c>
      <c r="C4" s="5">
        <f>k1_*Таблица14[[#This Row],[Газпром-цена]]+k0</f>
        <v>731629157.3432256</v>
      </c>
      <c r="D4" s="5">
        <f>Таблица14[[#This Row],[Газпром-объем]]-Таблица14[[#This Row],[h=k1*x+k0]]</f>
        <v>2141762.6567744017</v>
      </c>
      <c r="E4" s="5">
        <f>Таблица14[[#This Row],[y-h]]^2</f>
        <v>4587147277953.3438</v>
      </c>
      <c r="F4" s="5">
        <f>Таблица14[[#This Row],[Газпром-цена]]^2</f>
        <v>18878.760000000002</v>
      </c>
      <c r="G4" s="5">
        <f>Таблица14[[#This Row],[Газпром-цена]]*Таблица14[[#This Row],[Газпром-объем]]</f>
        <v>100820124408</v>
      </c>
      <c r="L4" s="7">
        <f>Таблица14[[#Totals],[Газпром-цена]]</f>
        <v>14276.450000000004</v>
      </c>
      <c r="M4" s="6">
        <f>COUNT(Таблица14[Газпром-цена])</f>
        <v>93</v>
      </c>
      <c r="N4" s="7">
        <f>Таблица14[[#Totals],[Газпром-объем]]</f>
        <v>71867637360</v>
      </c>
    </row>
    <row r="5" spans="1:14" x14ac:dyDescent="0.25">
      <c r="A5" s="17">
        <v>134.08000000000001</v>
      </c>
      <c r="B5" s="15">
        <v>953973070</v>
      </c>
      <c r="C5" s="5">
        <f>k1_*Таблица14[[#This Row],[Газпром-цена]]+k0</f>
        <v>723150774.28705597</v>
      </c>
      <c r="D5" s="5">
        <f>Таблица14[[#This Row],[Газпром-объем]]-Таблица14[[#This Row],[h=k1*x+k0]]</f>
        <v>230822295.71294403</v>
      </c>
      <c r="E5" s="5">
        <f>Таблица14[[#This Row],[y-h]]^2</f>
        <v>5.3278932198193784E+16</v>
      </c>
      <c r="F5" s="5">
        <f>Таблица14[[#This Row],[Газпром-цена]]^2</f>
        <v>17977.446400000004</v>
      </c>
      <c r="G5" s="5">
        <f>Таблица14[[#This Row],[Газпром-цена]]*Таблица14[[#This Row],[Газпром-объем]]</f>
        <v>127908709225.60001</v>
      </c>
    </row>
    <row r="6" spans="1:14" x14ac:dyDescent="0.25">
      <c r="A6" s="17">
        <v>124.15</v>
      </c>
      <c r="B6" s="15">
        <v>986321760</v>
      </c>
      <c r="C6" s="5">
        <f>k1_*Таблица14[[#This Row],[Газпром-цена]]+k0</f>
        <v>697792237.01363266</v>
      </c>
      <c r="D6" s="5">
        <f>Таблица14[[#This Row],[Газпром-объем]]-Таблица14[[#This Row],[h=k1*x+k0]]</f>
        <v>288529522.98636734</v>
      </c>
      <c r="E6" s="5">
        <f>Таблица14[[#This Row],[y-h]]^2</f>
        <v>8.3249285634740688E+16</v>
      </c>
      <c r="F6" s="5">
        <f>Таблица14[[#This Row],[Газпром-цена]]^2</f>
        <v>15413.222500000002</v>
      </c>
      <c r="G6" s="5">
        <f>Таблица14[[#This Row],[Газпром-цена]]*Таблица14[[#This Row],[Газпром-объем]]</f>
        <v>122451846504</v>
      </c>
      <c r="J6" s="10"/>
      <c r="L6" s="8">
        <f t="array" ref="L6:L7">MMULT(MINVERSE(L3:M4),N3:N4)</f>
        <v>2553729.8361956924</v>
      </c>
    </row>
    <row r="7" spans="1:14" x14ac:dyDescent="0.25">
      <c r="A7" s="17">
        <v>123.4</v>
      </c>
      <c r="B7" s="15">
        <v>813775000</v>
      </c>
      <c r="C7" s="5">
        <f>k1_*Таблица14[[#This Row],[Газпром-цена]]+k0</f>
        <v>695876939.63648582</v>
      </c>
      <c r="D7" s="5">
        <f>Таблица14[[#This Row],[Газпром-объем]]-Таблица14[[#This Row],[h=k1*x+k0]]</f>
        <v>117898060.36351418</v>
      </c>
      <c r="E7" s="5">
        <f>Таблица14[[#This Row],[y-h]]^2</f>
        <v>1.3899952637478834E+16</v>
      </c>
      <c r="F7" s="5">
        <f>Таблица14[[#This Row],[Газпром-цена]]^2</f>
        <v>15227.560000000001</v>
      </c>
      <c r="G7" s="5">
        <f>Таблица14[[#This Row],[Газпром-цена]]*Таблица14[[#This Row],[Газпром-объем]]</f>
        <v>100419835000</v>
      </c>
      <c r="J7" s="10"/>
      <c r="L7" s="8">
        <v>380746677.84993744</v>
      </c>
    </row>
    <row r="8" spans="1:14" x14ac:dyDescent="0.25">
      <c r="A8" s="17">
        <v>109.1</v>
      </c>
      <c r="B8" s="15">
        <v>769293390</v>
      </c>
      <c r="C8" s="5">
        <f>k1_*Таблица14[[#This Row],[Газпром-цена]]+k0</f>
        <v>659358602.97888744</v>
      </c>
      <c r="D8" s="5">
        <f>Таблица14[[#This Row],[Газпром-объем]]-Таблица14[[#This Row],[h=k1*x+k0]]</f>
        <v>109934787.02111256</v>
      </c>
      <c r="E8" s="5">
        <f>Таблица14[[#This Row],[y-h]]^2</f>
        <v>1.2085657397377378E+16</v>
      </c>
      <c r="F8" s="5">
        <f>Таблица14[[#This Row],[Газпром-цена]]^2</f>
        <v>11902.81</v>
      </c>
      <c r="G8" s="5">
        <f>Таблица14[[#This Row],[Газпром-цена]]*Таблица14[[#This Row],[Газпром-объем]]</f>
        <v>83929908849</v>
      </c>
      <c r="H8" s="2"/>
    </row>
    <row r="9" spans="1:14" x14ac:dyDescent="0.25">
      <c r="A9" s="17">
        <v>128.61000000000001</v>
      </c>
      <c r="B9" s="15">
        <v>879462790</v>
      </c>
      <c r="C9" s="5">
        <f>k1_*Таблица14[[#This Row],[Газпром-цена]]+k0</f>
        <v>709181872.08306551</v>
      </c>
      <c r="D9" s="5">
        <f>Таблица14[[#This Row],[Газпром-объем]]-Таблица14[[#This Row],[h=k1*x+k0]]</f>
        <v>170280917.91693449</v>
      </c>
      <c r="E9" s="5">
        <f>Таблица14[[#This Row],[y-h]]^2</f>
        <v>2.899559100663378E+16</v>
      </c>
      <c r="F9" s="5">
        <f>Таблица14[[#This Row],[Газпром-цена]]^2</f>
        <v>16540.532100000004</v>
      </c>
      <c r="G9" s="5">
        <f>Таблица14[[#This Row],[Газпром-цена]]*Таблица14[[#This Row],[Газпром-объем]]</f>
        <v>113107709421.90001</v>
      </c>
    </row>
    <row r="10" spans="1:14" x14ac:dyDescent="0.25">
      <c r="A10" s="17">
        <v>131.9</v>
      </c>
      <c r="B10" s="15">
        <v>635494510</v>
      </c>
      <c r="C10" s="5">
        <f>k1_*Таблица14[[#This Row],[Газпром-цена]]+k0</f>
        <v>717583643.24414921</v>
      </c>
      <c r="D10" s="5">
        <f>Таблица14[[#This Row],[Газпром-объем]]-Таблица14[[#This Row],[h=k1*x+k0]]</f>
        <v>-82089133.244149208</v>
      </c>
      <c r="E10" s="5">
        <f>Таблица14[[#This Row],[y-h]]^2</f>
        <v>6738625796775683</v>
      </c>
      <c r="F10" s="5">
        <f>Таблица14[[#This Row],[Газпром-цена]]^2</f>
        <v>17397.61</v>
      </c>
      <c r="G10" s="5">
        <f>Таблица14[[#This Row],[Газпром-цена]]*Таблица14[[#This Row],[Газпром-объем]]</f>
        <v>83821725869</v>
      </c>
    </row>
    <row r="11" spans="1:14" x14ac:dyDescent="0.25">
      <c r="A11" s="17">
        <v>144.15</v>
      </c>
      <c r="B11" s="15">
        <v>1035314530</v>
      </c>
      <c r="C11" s="5">
        <f>k1_*Таблица14[[#This Row],[Газпром-цена]]+k0</f>
        <v>748866833.73754644</v>
      </c>
      <c r="D11" s="5">
        <f>Таблица14[[#This Row],[Газпром-объем]]-Таблица14[[#This Row],[h=k1*x+k0]]</f>
        <v>286447696.26245356</v>
      </c>
      <c r="E11" s="5">
        <f>Таблица14[[#This Row],[y-h]]^2</f>
        <v>8.2052282694066848E+16</v>
      </c>
      <c r="F11" s="5">
        <f>Таблица14[[#This Row],[Газпром-цена]]^2</f>
        <v>20779.2225</v>
      </c>
      <c r="G11" s="5">
        <f>Таблица14[[#This Row],[Газпром-цена]]*Таблица14[[#This Row],[Газпром-объем]]</f>
        <v>149240589499.5</v>
      </c>
    </row>
    <row r="12" spans="1:14" x14ac:dyDescent="0.25">
      <c r="A12" s="17">
        <v>150.4</v>
      </c>
      <c r="B12" s="15">
        <v>1120379070</v>
      </c>
      <c r="C12" s="5">
        <f>k1_*Таблица14[[#This Row],[Газпром-цена]]+k0</f>
        <v>764827645.21376967</v>
      </c>
      <c r="D12" s="5">
        <f>Таблица14[[#This Row],[Газпром-объем]]-Таблица14[[#This Row],[h=k1*x+k0]]</f>
        <v>355551424.78623033</v>
      </c>
      <c r="E12" s="5">
        <f>Таблица14[[#This Row],[y-h]]^2</f>
        <v>1.264168156675184E+17</v>
      </c>
      <c r="F12" s="5">
        <f>Таблица14[[#This Row],[Газпром-цена]]^2</f>
        <v>22620.160000000003</v>
      </c>
      <c r="G12" s="5">
        <f>Таблица14[[#This Row],[Газпром-цена]]*Таблица14[[#This Row],[Газпром-объем]]</f>
        <v>168505012128</v>
      </c>
    </row>
    <row r="13" spans="1:14" x14ac:dyDescent="0.25">
      <c r="A13" s="17">
        <v>143.1</v>
      </c>
      <c r="B13" s="15">
        <v>1035969280</v>
      </c>
      <c r="C13" s="5">
        <f>k1_*Таблица14[[#This Row],[Газпром-цена]]+k0</f>
        <v>746185417.40954101</v>
      </c>
      <c r="D13" s="5">
        <f>Таблица14[[#This Row],[Газпром-объем]]-Таблица14[[#This Row],[h=k1*x+k0]]</f>
        <v>289783862.59045899</v>
      </c>
      <c r="E13" s="5">
        <f>Таблица14[[#This Row],[y-h]]^2</f>
        <v>8.3974687017846016E+16</v>
      </c>
      <c r="F13" s="5">
        <f>Таблица14[[#This Row],[Газпром-цена]]^2</f>
        <v>20477.609999999997</v>
      </c>
      <c r="G13" s="5">
        <f>Таблица14[[#This Row],[Газпром-цена]]*Таблица14[[#This Row],[Газпром-объем]]</f>
        <v>148247203968</v>
      </c>
    </row>
    <row r="14" spans="1:14" x14ac:dyDescent="0.25">
      <c r="A14" s="17">
        <v>138.75</v>
      </c>
      <c r="B14" s="15">
        <v>1050788060</v>
      </c>
      <c r="C14" s="5">
        <f>k1_*Таблица14[[#This Row],[Газпром-цена]]+k0</f>
        <v>735076692.62208974</v>
      </c>
      <c r="D14" s="5">
        <f>Таблица14[[#This Row],[Газпром-объем]]-Таблица14[[#This Row],[h=k1*x+k0]]</f>
        <v>315711367.37791026</v>
      </c>
      <c r="E14" s="5">
        <f>Таблица14[[#This Row],[y-h]]^2</f>
        <v>9.9673667491629824E+16</v>
      </c>
      <c r="F14" s="5">
        <f>Таблица14[[#This Row],[Газпром-цена]]^2</f>
        <v>19251.5625</v>
      </c>
      <c r="G14" s="5">
        <f>Таблица14[[#This Row],[Газпром-цена]]*Таблица14[[#This Row],[Газпром-объем]]</f>
        <v>145796843325</v>
      </c>
    </row>
    <row r="15" spans="1:14" x14ac:dyDescent="0.25">
      <c r="A15" s="17">
        <v>145.16</v>
      </c>
      <c r="B15" s="15">
        <v>1056510690</v>
      </c>
      <c r="C15" s="5">
        <f>k1_*Таблица14[[#This Row],[Газпром-цена]]+k0</f>
        <v>751446100.87210417</v>
      </c>
      <c r="D15" s="5">
        <f>Таблица14[[#This Row],[Газпром-объем]]-Таблица14[[#This Row],[h=k1*x+k0]]</f>
        <v>305064589.12789583</v>
      </c>
      <c r="E15" s="5">
        <f>Таблица14[[#This Row],[y-h]]^2</f>
        <v>9.3064403539771904E+16</v>
      </c>
      <c r="F15" s="5">
        <f>Таблица14[[#This Row],[Газпром-цена]]^2</f>
        <v>21071.425599999999</v>
      </c>
      <c r="G15" s="5">
        <f>Таблица14[[#This Row],[Газпром-цена]]*Таблица14[[#This Row],[Газпром-объем]]</f>
        <v>153363091760.39999</v>
      </c>
    </row>
    <row r="16" spans="1:14" x14ac:dyDescent="0.25">
      <c r="A16" s="17">
        <v>139.19999999999999</v>
      </c>
      <c r="B16" s="15">
        <v>1110186930</v>
      </c>
      <c r="C16" s="5">
        <f>k1_*Таблица14[[#This Row],[Газпром-цена]]+k0</f>
        <v>736225871.04837775</v>
      </c>
      <c r="D16" s="5">
        <f>Таблица14[[#This Row],[Газпром-объем]]-Таблица14[[#This Row],[h=k1*x+k0]]</f>
        <v>373961058.95162225</v>
      </c>
      <c r="E16" s="5">
        <f>Таблица14[[#This Row],[y-h]]^2</f>
        <v>1.3984687361221869E+17</v>
      </c>
      <c r="F16" s="5">
        <f>Таблица14[[#This Row],[Газпром-цена]]^2</f>
        <v>19376.639999999996</v>
      </c>
      <c r="G16" s="5">
        <f>Таблица14[[#This Row],[Газпром-цена]]*Таблица14[[#This Row],[Газпром-объем]]</f>
        <v>154538020656</v>
      </c>
    </row>
    <row r="17" spans="1:28" x14ac:dyDescent="0.25">
      <c r="A17" s="17">
        <v>135.5</v>
      </c>
      <c r="B17" s="15">
        <v>2038314440</v>
      </c>
      <c r="C17" s="5">
        <f>k1_*Таблица14[[#This Row],[Газпром-цена]]+k0</f>
        <v>726777070.65445375</v>
      </c>
      <c r="D17" s="5">
        <f>Таблица14[[#This Row],[Газпром-объем]]-Таблица14[[#This Row],[h=k1*x+k0]]</f>
        <v>1311537369.3455462</v>
      </c>
      <c r="E17" s="5">
        <f>Таблица14[[#This Row],[y-h]]^2</f>
        <v>1.7201302711898358E+18</v>
      </c>
      <c r="F17" s="5">
        <f>Таблица14[[#This Row],[Газпром-цена]]^2</f>
        <v>18360.25</v>
      </c>
      <c r="G17" s="5">
        <f>Таблица14[[#This Row],[Газпром-цена]]*Таблица14[[#This Row],[Газпром-объем]]</f>
        <v>276191606620</v>
      </c>
    </row>
    <row r="18" spans="1:28" x14ac:dyDescent="0.25">
      <c r="A18" s="17">
        <v>128.77000000000001</v>
      </c>
      <c r="B18" s="15">
        <v>1377698400</v>
      </c>
      <c r="C18" s="5">
        <f>k1_*Таблица14[[#This Row],[Газпром-цена]]+k0</f>
        <v>709590468.85685682</v>
      </c>
      <c r="D18" s="5">
        <f>Таблица14[[#This Row],[Газпром-объем]]-Таблица14[[#This Row],[h=k1*x+k0]]</f>
        <v>668107931.14314318</v>
      </c>
      <c r="E18" s="5">
        <f>Таблица14[[#This Row],[y-h]]^2</f>
        <v>4.4636820765637094E+17</v>
      </c>
      <c r="F18" s="5">
        <f>Таблица14[[#This Row],[Газпром-цена]]^2</f>
        <v>16581.712900000002</v>
      </c>
      <c r="G18" s="5">
        <f>Таблица14[[#This Row],[Газпром-цена]]*Таблица14[[#This Row],[Газпром-объем]]</f>
        <v>177406222968</v>
      </c>
    </row>
    <row r="19" spans="1:28" x14ac:dyDescent="0.25">
      <c r="A19" s="17">
        <v>141.69999999999999</v>
      </c>
      <c r="B19" s="15">
        <v>1168270410</v>
      </c>
      <c r="C19" s="5">
        <f>k1_*Таблица14[[#This Row],[Газпром-цена]]+k0</f>
        <v>742610195.63886702</v>
      </c>
      <c r="D19" s="5">
        <f>Таблица14[[#This Row],[Газпром-объем]]-Таблица14[[#This Row],[h=k1*x+k0]]</f>
        <v>425660214.36113298</v>
      </c>
      <c r="E19" s="5">
        <f>Таблица14[[#This Row],[y-h]]^2</f>
        <v>1.8118661808996566E+17</v>
      </c>
      <c r="F19" s="5">
        <f>Таблица14[[#This Row],[Газпром-цена]]^2</f>
        <v>20078.889999999996</v>
      </c>
      <c r="G19" s="5">
        <f>Таблица14[[#This Row],[Газпром-цена]]*Таблица14[[#This Row],[Газпром-объем]]</f>
        <v>165543917097</v>
      </c>
    </row>
    <row r="20" spans="1:28" x14ac:dyDescent="0.25">
      <c r="A20" s="17">
        <v>148.96</v>
      </c>
      <c r="B20" s="15">
        <v>885913470</v>
      </c>
      <c r="C20" s="5">
        <f>k1_*Таблица14[[#This Row],[Газпром-цена]]+k0</f>
        <v>761150274.24964786</v>
      </c>
      <c r="D20" s="5">
        <f>Таблица14[[#This Row],[Газпром-объем]]-Таблица14[[#This Row],[h=k1*x+k0]]</f>
        <v>124763195.75035214</v>
      </c>
      <c r="E20" s="5">
        <f>Таблица14[[#This Row],[y-h]]^2</f>
        <v>1.5565855013840688E+16</v>
      </c>
      <c r="F20" s="5">
        <f>Таблица14[[#This Row],[Газпром-цена]]^2</f>
        <v>22189.081600000001</v>
      </c>
      <c r="G20" s="5">
        <f>Таблица14[[#This Row],[Газпром-цена]]*Таблица14[[#This Row],[Газпром-объем]]</f>
        <v>131965670491.20001</v>
      </c>
    </row>
    <row r="21" spans="1:28" x14ac:dyDescent="0.25">
      <c r="A21" s="17">
        <v>132</v>
      </c>
      <c r="B21" s="15">
        <v>1004959980</v>
      </c>
      <c r="C21" s="5">
        <f>k1_*Таблица14[[#This Row],[Газпром-цена]]+k0</f>
        <v>717839016.2277689</v>
      </c>
      <c r="D21" s="5">
        <f>Таблица14[[#This Row],[Газпром-объем]]-Таблица14[[#This Row],[h=k1*x+k0]]</f>
        <v>287120963.7722311</v>
      </c>
      <c r="E21" s="5">
        <f>Таблица14[[#This Row],[y-h]]^2</f>
        <v>8.2438447837494848E+16</v>
      </c>
      <c r="F21" s="5">
        <f>Таблица14[[#This Row],[Газпром-цена]]^2</f>
        <v>17424</v>
      </c>
      <c r="G21" s="5">
        <f>Таблица14[[#This Row],[Газпром-цена]]*Таблица14[[#This Row],[Газпром-объем]]</f>
        <v>132654717360</v>
      </c>
    </row>
    <row r="22" spans="1:28" x14ac:dyDescent="0.25">
      <c r="A22" s="17">
        <v>131.94999999999999</v>
      </c>
      <c r="B22" s="15">
        <v>851294800</v>
      </c>
      <c r="C22" s="5">
        <f>k1_*Таблица14[[#This Row],[Газпром-цена]]+k0</f>
        <v>717711329.73595905</v>
      </c>
      <c r="D22" s="5">
        <f>Таблица14[[#This Row],[Газпром-объем]]-Таблица14[[#This Row],[h=k1*x+k0]]</f>
        <v>133583470.26404095</v>
      </c>
      <c r="E22" s="5">
        <f>Таблица14[[#This Row],[y-h]]^2</f>
        <v>1.7844543527783912E+16</v>
      </c>
      <c r="F22" s="5">
        <f>Таблица14[[#This Row],[Газпром-цена]]^2</f>
        <v>17410.802499999998</v>
      </c>
      <c r="G22" s="5">
        <f>Таблица14[[#This Row],[Газпром-цена]]*Таблица14[[#This Row],[Газпром-объем]]</f>
        <v>112328348859.99998</v>
      </c>
    </row>
    <row r="23" spans="1:28" x14ac:dyDescent="0.25">
      <c r="A23" s="17">
        <v>137.9</v>
      </c>
      <c r="B23" s="15">
        <v>797896850</v>
      </c>
      <c r="C23" s="5">
        <f>k1_*Таблица14[[#This Row],[Газпром-цена]]+k0</f>
        <v>732906022.26132345</v>
      </c>
      <c r="D23" s="5">
        <f>Таблица14[[#This Row],[Газпром-объем]]-Таблица14[[#This Row],[h=k1*x+k0]]</f>
        <v>64990827.738676548</v>
      </c>
      <c r="E23" s="5">
        <f>Таблица14[[#This Row],[y-h]]^2</f>
        <v>4223807690158329</v>
      </c>
      <c r="F23" s="5">
        <f>Таблица14[[#This Row],[Газпром-цена]]^2</f>
        <v>19016.41</v>
      </c>
      <c r="G23" s="5">
        <f>Таблица14[[#This Row],[Газпром-цена]]*Таблица14[[#This Row],[Газпром-объем]]</f>
        <v>110029975615</v>
      </c>
    </row>
    <row r="24" spans="1:28" x14ac:dyDescent="0.25">
      <c r="A24" s="17">
        <v>141.5</v>
      </c>
      <c r="B24" s="15">
        <v>857933800</v>
      </c>
      <c r="C24" s="5">
        <f>k1_*Таблица14[[#This Row],[Газпром-цена]]+k0</f>
        <v>742099449.671628</v>
      </c>
      <c r="D24" s="5">
        <f>Таблица14[[#This Row],[Газпром-объем]]-Таблица14[[#This Row],[h=k1*x+k0]]</f>
        <v>115834350.328372</v>
      </c>
      <c r="E24" s="5">
        <f>Таблица14[[#This Row],[y-h]]^2</f>
        <v>1.3417596715996014E+16</v>
      </c>
      <c r="F24" s="5">
        <f>Таблица14[[#This Row],[Газпром-цена]]^2</f>
        <v>20022.25</v>
      </c>
      <c r="G24" s="5">
        <f>Таблица14[[#This Row],[Газпром-цена]]*Таблица14[[#This Row],[Газпром-объем]]</f>
        <v>121397632700</v>
      </c>
    </row>
    <row r="25" spans="1:28" x14ac:dyDescent="0.25">
      <c r="A25" s="17">
        <v>142.86000000000001</v>
      </c>
      <c r="B25" s="15">
        <v>691989260</v>
      </c>
      <c r="C25" s="5">
        <f>k1_*Таблица14[[#This Row],[Газпром-цена]]+k0</f>
        <v>745572522.24885416</v>
      </c>
      <c r="D25" s="5">
        <f>Таблица14[[#This Row],[Газпром-объем]]-Таблица14[[#This Row],[h=k1*x+k0]]</f>
        <v>-53583262.24885416</v>
      </c>
      <c r="E25" s="5">
        <f>Таблица14[[#This Row],[y-h]]^2</f>
        <v>2871165993229479.5</v>
      </c>
      <c r="F25" s="5">
        <f>Таблица14[[#This Row],[Газпром-цена]]^2</f>
        <v>20408.979600000002</v>
      </c>
      <c r="G25" s="5">
        <f>Таблица14[[#This Row],[Газпром-цена]]*Таблица14[[#This Row],[Газпром-объем]]</f>
        <v>98857585683.600006</v>
      </c>
    </row>
    <row r="26" spans="1:28" x14ac:dyDescent="0.25">
      <c r="A26" s="17">
        <v>130.31</v>
      </c>
      <c r="B26" s="15">
        <v>983856510</v>
      </c>
      <c r="C26" s="5">
        <f>k1_*Таблица14[[#This Row],[Газпром-цена]]+k0</f>
        <v>713523212.80459809</v>
      </c>
      <c r="D26" s="5">
        <f>Таблица14[[#This Row],[Газпром-объем]]-Таблица14[[#This Row],[h=k1*x+k0]]</f>
        <v>270333297.19540191</v>
      </c>
      <c r="E26" s="5">
        <f>Таблица14[[#This Row],[y-h]]^2</f>
        <v>7.3080091572537488E+16</v>
      </c>
      <c r="F26" s="5">
        <f>Таблица14[[#This Row],[Газпром-цена]]^2</f>
        <v>16980.696100000001</v>
      </c>
      <c r="G26" s="5">
        <f>Таблица14[[#This Row],[Газпром-цена]]*Таблица14[[#This Row],[Газпром-объем]]</f>
        <v>128206341818.10001</v>
      </c>
    </row>
    <row r="27" spans="1:28" x14ac:dyDescent="0.25">
      <c r="A27" s="17">
        <v>143.82</v>
      </c>
      <c r="B27" s="15">
        <v>652102830</v>
      </c>
      <c r="C27" s="5">
        <f>k1_*Таблица14[[#This Row],[Газпром-цена]]+k0</f>
        <v>748024102.89160192</v>
      </c>
      <c r="D27" s="5">
        <f>Таблица14[[#This Row],[Газпром-объем]]-Таблица14[[#This Row],[h=k1*x+k0]]</f>
        <v>-95921272.89160192</v>
      </c>
      <c r="E27" s="5">
        <f>Таблица14[[#This Row],[y-h]]^2</f>
        <v>9200890593145166</v>
      </c>
      <c r="F27" s="5">
        <f>Таблица14[[#This Row],[Газпром-цена]]^2</f>
        <v>20684.192399999996</v>
      </c>
      <c r="G27" s="5">
        <f>Таблица14[[#This Row],[Газпром-цена]]*Таблица14[[#This Row],[Газпром-объем]]</f>
        <v>93785429010.599991</v>
      </c>
      <c r="I27" t="s">
        <v>12</v>
      </c>
      <c r="J27"/>
      <c r="K27"/>
      <c r="L27"/>
      <c r="M27"/>
      <c r="N27"/>
      <c r="O27"/>
      <c r="P27"/>
      <c r="Q2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thickBot="1" x14ac:dyDescent="0.3">
      <c r="A28" s="17">
        <v>152.94999999999999</v>
      </c>
      <c r="B28" s="15">
        <v>919520350</v>
      </c>
      <c r="C28" s="5">
        <f>k1_*Таблица14[[#This Row],[Газпром-цена]]+k0</f>
        <v>771339656.29606855</v>
      </c>
      <c r="D28" s="5">
        <f>Таблица14[[#This Row],[Газпром-объем]]-Таблица14[[#This Row],[h=k1*x+k0]]</f>
        <v>148180693.70393145</v>
      </c>
      <c r="E28" s="5">
        <f>Таблица14[[#This Row],[y-h]]^2</f>
        <v>2.1957517986578348E+16</v>
      </c>
      <c r="F28" s="5">
        <f>Таблица14[[#This Row],[Газпром-цена]]^2</f>
        <v>23393.702499999996</v>
      </c>
      <c r="G28" s="5">
        <f>Таблица14[[#This Row],[Газпром-цена]]*Таблица14[[#This Row],[Газпром-объем]]</f>
        <v>140640637532.5</v>
      </c>
      <c r="I28"/>
      <c r="J28"/>
      <c r="K28"/>
      <c r="L28"/>
      <c r="M28"/>
      <c r="N28"/>
      <c r="O28"/>
      <c r="P28"/>
      <c r="Q28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17">
        <v>138.9</v>
      </c>
      <c r="B29" s="15">
        <v>718069290</v>
      </c>
      <c r="C29" s="5">
        <f>k1_*Таблица14[[#This Row],[Газпром-цена]]+k0</f>
        <v>735459752.09751916</v>
      </c>
      <c r="D29" s="5">
        <f>Таблица14[[#This Row],[Газпром-объем]]-Таблица14[[#This Row],[h=k1*x+k0]]</f>
        <v>-17390462.097519159</v>
      </c>
      <c r="E29" s="5">
        <f>Таблица14[[#This Row],[y-h]]^2</f>
        <v>302428171965250.5</v>
      </c>
      <c r="F29" s="5">
        <f>Таблица14[[#This Row],[Газпром-цена]]^2</f>
        <v>19293.210000000003</v>
      </c>
      <c r="G29" s="5">
        <f>Таблица14[[#This Row],[Газпром-цена]]*Таблица14[[#This Row],[Газпром-объем]]</f>
        <v>99739824381</v>
      </c>
      <c r="I29" s="14" t="s">
        <v>20</v>
      </c>
      <c r="J29" s="14"/>
      <c r="K29"/>
      <c r="L29"/>
      <c r="M29"/>
      <c r="N29"/>
      <c r="O29"/>
      <c r="P29"/>
      <c r="Q2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7">
        <v>153.5</v>
      </c>
      <c r="B30" s="15">
        <v>821523460</v>
      </c>
      <c r="C30" s="5">
        <f>k1_*Таблица14[[#This Row],[Газпром-цена]]+k0</f>
        <v>772744207.70597625</v>
      </c>
      <c r="D30" s="5">
        <f>Таблица14[[#This Row],[Газпром-объем]]-Таблица14[[#This Row],[h=k1*x+k0]]</f>
        <v>48779252.294023752</v>
      </c>
      <c r="E30" s="5">
        <f>Таблица14[[#This Row],[y-h]]^2</f>
        <v>2379415454364021.5</v>
      </c>
      <c r="F30" s="5">
        <f>Таблица14[[#This Row],[Газпром-цена]]^2</f>
        <v>23562.25</v>
      </c>
      <c r="G30" s="5">
        <f>Таблица14[[#This Row],[Газпром-цена]]*Таблица14[[#This Row],[Газпром-объем]]</f>
        <v>126103851110</v>
      </c>
      <c r="I30" s="11" t="s">
        <v>21</v>
      </c>
      <c r="J30" s="11">
        <v>0.2699586891700238</v>
      </c>
      <c r="K30"/>
      <c r="L30"/>
      <c r="M30"/>
      <c r="N30"/>
      <c r="O30"/>
      <c r="P30"/>
      <c r="Q30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7">
        <v>139</v>
      </c>
      <c r="B31" s="15">
        <v>472091480</v>
      </c>
      <c r="C31" s="5">
        <f>k1_*Таблица14[[#This Row],[Газпром-цена]]+k0</f>
        <v>735715125.08113861</v>
      </c>
      <c r="D31" s="5">
        <f>Таблица14[[#This Row],[Газпром-объем]]-Таблица14[[#This Row],[h=k1*x+k0]]</f>
        <v>-263623645.08113861</v>
      </c>
      <c r="E31" s="5">
        <f>Таблица14[[#This Row],[y-h]]^2</f>
        <v>6.9497426245866136E+16</v>
      </c>
      <c r="F31" s="5">
        <f>Таблица14[[#This Row],[Газпром-цена]]^2</f>
        <v>19321</v>
      </c>
      <c r="G31" s="5">
        <f>Таблица14[[#This Row],[Газпром-цена]]*Таблица14[[#This Row],[Газпром-объем]]</f>
        <v>65620715720</v>
      </c>
      <c r="I31" s="11" t="s">
        <v>22</v>
      </c>
      <c r="J31" s="11">
        <v>7.2877693858397513E-2</v>
      </c>
      <c r="K31"/>
      <c r="L31"/>
      <c r="M31"/>
      <c r="N31"/>
      <c r="O31"/>
      <c r="P31"/>
      <c r="Q3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7">
        <v>145.85</v>
      </c>
      <c r="B32" s="15">
        <v>533051950</v>
      </c>
      <c r="C32" s="5">
        <f>k1_*Таблица14[[#This Row],[Газпром-цена]]+k0</f>
        <v>753208174.45907915</v>
      </c>
      <c r="D32" s="5">
        <f>Таблица14[[#This Row],[Газпром-объем]]-Таблица14[[#This Row],[h=k1*x+k0]]</f>
        <v>-220156224.45907915</v>
      </c>
      <c r="E32" s="5">
        <f>Таблица14[[#This Row],[y-h]]^2</f>
        <v>4.846876316807644E+16</v>
      </c>
      <c r="F32" s="5">
        <f>Таблица14[[#This Row],[Газпром-цена]]^2</f>
        <v>21272.2225</v>
      </c>
      <c r="G32" s="5">
        <f>Таблица14[[#This Row],[Газпром-цена]]*Таблица14[[#This Row],[Газпром-объем]]</f>
        <v>77745626907.5</v>
      </c>
      <c r="I32" s="11" t="s">
        <v>23</v>
      </c>
      <c r="J32" s="11">
        <v>6.2689536648050229E-2</v>
      </c>
      <c r="K32"/>
      <c r="L32"/>
      <c r="M32"/>
      <c r="N32"/>
      <c r="O32"/>
      <c r="P32"/>
      <c r="Q3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17">
        <v>142.5</v>
      </c>
      <c r="B33" s="15">
        <v>543868920</v>
      </c>
      <c r="C33" s="5">
        <f>k1_*Таблица14[[#This Row],[Газпром-цена]]+k0</f>
        <v>744653179.50782359</v>
      </c>
      <c r="D33" s="5">
        <f>Таблица14[[#This Row],[Газпром-объем]]-Таблица14[[#This Row],[h=k1*x+k0]]</f>
        <v>-200784259.50782359</v>
      </c>
      <c r="E33" s="5">
        <f>Таблица14[[#This Row],[y-h]]^2</f>
        <v>4.0314318866105048E+16</v>
      </c>
      <c r="F33" s="5">
        <f>Таблица14[[#This Row],[Газпром-цена]]^2</f>
        <v>20306.25</v>
      </c>
      <c r="G33" s="5">
        <f>Таблица14[[#This Row],[Газпром-цена]]*Таблица14[[#This Row],[Газпром-объем]]</f>
        <v>77501321100</v>
      </c>
      <c r="I33" s="11" t="s">
        <v>24</v>
      </c>
      <c r="J33" s="11">
        <v>302447119.58032739</v>
      </c>
      <c r="K33"/>
      <c r="L33"/>
      <c r="M33"/>
      <c r="N33"/>
      <c r="O33"/>
      <c r="P33"/>
      <c r="Q3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 x14ac:dyDescent="0.3">
      <c r="A34" s="17">
        <v>148.19</v>
      </c>
      <c r="B34" s="15">
        <v>654231910</v>
      </c>
      <c r="C34" s="5">
        <f>k1_*Таблица14[[#This Row],[Газпром-цена]]+k0</f>
        <v>759183902.2757771</v>
      </c>
      <c r="D34" s="5">
        <f>Таблица14[[#This Row],[Газпром-объем]]-Таблица14[[#This Row],[h=k1*x+k0]]</f>
        <v>-104951992.2757771</v>
      </c>
      <c r="E34" s="5">
        <f>Таблица14[[#This Row],[y-h]]^2</f>
        <v>1.1014920682654776E+16</v>
      </c>
      <c r="F34" s="5">
        <f>Таблица14[[#This Row],[Газпром-цена]]^2</f>
        <v>21960.276099999999</v>
      </c>
      <c r="G34" s="5">
        <f>Таблица14[[#This Row],[Газпром-цена]]*Таблица14[[#This Row],[Газпром-объем]]</f>
        <v>96950626742.899994</v>
      </c>
      <c r="I34" s="12" t="s">
        <v>25</v>
      </c>
      <c r="J34" s="12">
        <v>93</v>
      </c>
      <c r="K34"/>
      <c r="L34"/>
      <c r="M34"/>
      <c r="N34"/>
      <c r="O34"/>
      <c r="P34"/>
      <c r="Q3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17">
        <v>134.55000000000001</v>
      </c>
      <c r="B35" s="15">
        <v>646257900</v>
      </c>
      <c r="C35" s="5">
        <f>k1_*Таблица14[[#This Row],[Газпром-цена]]+k0</f>
        <v>724351027.31006789</v>
      </c>
      <c r="D35" s="5">
        <f>Таблица14[[#This Row],[Газпром-объем]]-Таблица14[[#This Row],[h=k1*x+k0]]</f>
        <v>-78093127.310067892</v>
      </c>
      <c r="E35" s="5">
        <f>Таблица14[[#This Row],[y-h]]^2</f>
        <v>6098536533066472</v>
      </c>
      <c r="F35" s="5">
        <f>Таблица14[[#This Row],[Газпром-цена]]^2</f>
        <v>18103.702500000003</v>
      </c>
      <c r="G35" s="5">
        <f>Таблица14[[#This Row],[Газпром-цена]]*Таблица14[[#This Row],[Газпром-объем]]</f>
        <v>86954000445</v>
      </c>
      <c r="I35"/>
      <c r="J35"/>
      <c r="K35"/>
      <c r="L35"/>
      <c r="M35"/>
      <c r="N35"/>
      <c r="O35"/>
      <c r="P35"/>
      <c r="Q35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thickBot="1" x14ac:dyDescent="0.3">
      <c r="A36" s="17">
        <v>135.75</v>
      </c>
      <c r="B36" s="15">
        <v>727388150</v>
      </c>
      <c r="C36" s="5">
        <f>k1_*Таблица14[[#This Row],[Газпром-цена]]+k0</f>
        <v>727415503.11350274</v>
      </c>
      <c r="D36" s="5">
        <f>Таблица14[[#This Row],[Газпром-объем]]-Таблица14[[#This Row],[h=k1*x+k0]]</f>
        <v>-27353.11350274086</v>
      </c>
      <c r="E36" s="5">
        <f>Таблица14[[#This Row],[y-h]]^2</f>
        <v>748192818.29382432</v>
      </c>
      <c r="F36" s="5">
        <f>Таблица14[[#This Row],[Газпром-цена]]^2</f>
        <v>18428.0625</v>
      </c>
      <c r="G36" s="5">
        <f>Таблица14[[#This Row],[Газпром-цена]]*Таблица14[[#This Row],[Газпром-объем]]</f>
        <v>98742941362.5</v>
      </c>
      <c r="I36" t="s">
        <v>13</v>
      </c>
      <c r="J36"/>
      <c r="K36"/>
      <c r="L36"/>
      <c r="M36"/>
      <c r="N36"/>
      <c r="O36"/>
      <c r="P36"/>
      <c r="Q36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17">
        <v>138</v>
      </c>
      <c r="B37" s="15">
        <v>785173850</v>
      </c>
      <c r="C37" s="5">
        <f>k1_*Таблица14[[#This Row],[Газпром-цена]]+k0</f>
        <v>733161395.24494302</v>
      </c>
      <c r="D37" s="5">
        <f>Таблица14[[#This Row],[Газпром-объем]]-Таблица14[[#This Row],[h=k1*x+k0]]</f>
        <v>52012454.755056977</v>
      </c>
      <c r="E37" s="5">
        <f>Таблица14[[#This Row],[y-h]]^2</f>
        <v>2705295449646849</v>
      </c>
      <c r="F37" s="5">
        <f>Таблица14[[#This Row],[Газпром-цена]]^2</f>
        <v>19044</v>
      </c>
      <c r="G37" s="5">
        <f>Таблица14[[#This Row],[Газпром-цена]]*Таблица14[[#This Row],[Газпром-объем]]</f>
        <v>108353991300</v>
      </c>
      <c r="I37" s="13"/>
      <c r="J37" s="13" t="s">
        <v>15</v>
      </c>
      <c r="K37" s="13" t="s">
        <v>14</v>
      </c>
      <c r="L37" s="13" t="s">
        <v>16</v>
      </c>
      <c r="M37" s="13" t="s">
        <v>17</v>
      </c>
      <c r="N37" s="13" t="s">
        <v>29</v>
      </c>
      <c r="O37"/>
      <c r="P37"/>
      <c r="Q37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17">
        <v>136.09</v>
      </c>
      <c r="B38" s="15">
        <v>632658380</v>
      </c>
      <c r="C38" s="5">
        <f>k1_*Таблица14[[#This Row],[Газпром-цена]]+k0</f>
        <v>728283771.25780916</v>
      </c>
      <c r="D38" s="5">
        <f>Таблица14[[#This Row],[Газпром-объем]]-Таблица14[[#This Row],[h=k1*x+k0]]</f>
        <v>-95625391.257809162</v>
      </c>
      <c r="E38" s="5">
        <f>Таблица14[[#This Row],[y-h]]^2</f>
        <v>9144215453209084</v>
      </c>
      <c r="F38" s="5">
        <f>Таблица14[[#This Row],[Газпром-цена]]^2</f>
        <v>18520.488100000002</v>
      </c>
      <c r="G38" s="5">
        <f>Таблица14[[#This Row],[Газпром-цена]]*Таблица14[[#This Row],[Газпром-объем]]</f>
        <v>86098478934.199997</v>
      </c>
      <c r="I38" s="11" t="s">
        <v>26</v>
      </c>
      <c r="J38" s="11">
        <v>1</v>
      </c>
      <c r="K38" s="11">
        <v>6.5433159195986637E+17</v>
      </c>
      <c r="L38" s="11">
        <v>6.5433159195986637E+17</v>
      </c>
      <c r="M38" s="11">
        <v>7.1531771991485948</v>
      </c>
      <c r="N38" s="11">
        <v>8.8717784075780758E-3</v>
      </c>
      <c r="O38"/>
      <c r="P38"/>
      <c r="Q38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17">
        <v>136.6</v>
      </c>
      <c r="B39" s="15">
        <v>614480400</v>
      </c>
      <c r="C39" s="5">
        <f>k1_*Таблица14[[#This Row],[Газпром-цена]]+k0</f>
        <v>729586173.47426903</v>
      </c>
      <c r="D39" s="5">
        <f>Таблица14[[#This Row],[Газпром-объем]]-Таблица14[[#This Row],[h=k1*x+k0]]</f>
        <v>-115105773.47426903</v>
      </c>
      <c r="E39" s="5">
        <f>Таблица14[[#This Row],[y-h]]^2</f>
        <v>1.3249339087109736E+16</v>
      </c>
      <c r="F39" s="5">
        <f>Таблица14[[#This Row],[Газпром-цена]]^2</f>
        <v>18659.559999999998</v>
      </c>
      <c r="G39" s="5">
        <f>Таблица14[[#This Row],[Газпром-цена]]*Таблица14[[#This Row],[Газпром-объем]]</f>
        <v>83938022640</v>
      </c>
      <c r="I39" s="11" t="s">
        <v>27</v>
      </c>
      <c r="J39" s="11">
        <v>91</v>
      </c>
      <c r="K39" s="11">
        <v>8.3241576729617531E+18</v>
      </c>
      <c r="L39" s="11">
        <v>9.1474260142436848E+16</v>
      </c>
      <c r="M39" s="11"/>
      <c r="N39" s="11"/>
      <c r="O39"/>
      <c r="P39"/>
      <c r="Q3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 x14ac:dyDescent="0.3">
      <c r="A40" s="17">
        <v>141.4</v>
      </c>
      <c r="B40" s="15">
        <v>642613120</v>
      </c>
      <c r="C40" s="5">
        <f>k1_*Таблица14[[#This Row],[Газпром-цена]]+k0</f>
        <v>741844076.68800831</v>
      </c>
      <c r="D40" s="5">
        <f>Таблица14[[#This Row],[Газпром-объем]]-Таблица14[[#This Row],[h=k1*x+k0]]</f>
        <v>-99230956.688008308</v>
      </c>
      <c r="E40" s="5">
        <f>Таблица14[[#This Row],[y-h]]^2</f>
        <v>9846782765217380</v>
      </c>
      <c r="F40" s="5">
        <f>Таблица14[[#This Row],[Газпром-цена]]^2</f>
        <v>19993.960000000003</v>
      </c>
      <c r="G40" s="5">
        <f>Таблица14[[#This Row],[Газпром-цена]]*Таблица14[[#This Row],[Газпром-объем]]</f>
        <v>90865495168</v>
      </c>
      <c r="I40" s="12" t="s">
        <v>19</v>
      </c>
      <c r="J40" s="12">
        <v>92</v>
      </c>
      <c r="K40" s="12">
        <v>8.9784892649216195E+18</v>
      </c>
      <c r="L40" s="12"/>
      <c r="M40" s="12"/>
      <c r="N40" s="12"/>
      <c r="O40"/>
      <c r="P40"/>
      <c r="Q4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thickBot="1" x14ac:dyDescent="0.3">
      <c r="A41" s="17">
        <v>147.75</v>
      </c>
      <c r="B41" s="15">
        <v>731620780</v>
      </c>
      <c r="C41" s="5">
        <f>k1_*Таблица14[[#This Row],[Газпром-цена]]+k0</f>
        <v>758060261.14785099</v>
      </c>
      <c r="D41" s="5">
        <f>Таблица14[[#This Row],[Газпром-объем]]-Таблица14[[#This Row],[h=k1*x+k0]]</f>
        <v>-26439481.14785099</v>
      </c>
      <c r="E41" s="5">
        <f>Таблица14[[#This Row],[y-h]]^2</f>
        <v>699046163367567.88</v>
      </c>
      <c r="F41" s="5">
        <f>Таблица14[[#This Row],[Газпром-цена]]^2</f>
        <v>21830.0625</v>
      </c>
      <c r="G41" s="5">
        <f>Таблица14[[#This Row],[Газпром-цена]]*Таблица14[[#This Row],[Газпром-объем]]</f>
        <v>108096970245</v>
      </c>
      <c r="I41"/>
      <c r="J41"/>
      <c r="K41"/>
      <c r="L41"/>
      <c r="M41"/>
      <c r="N41"/>
      <c r="O41"/>
      <c r="P41"/>
      <c r="Q41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17">
        <v>168.47</v>
      </c>
      <c r="B42" s="15">
        <v>941606540</v>
      </c>
      <c r="C42" s="5">
        <f>k1_*Таблица14[[#This Row],[Газпром-цена]]+k0</f>
        <v>810973543.35382581</v>
      </c>
      <c r="D42" s="5">
        <f>Таблица14[[#This Row],[Газпром-объем]]-Таблица14[[#This Row],[h=k1*x+k0]]</f>
        <v>130632996.64617419</v>
      </c>
      <c r="E42" s="5">
        <f>Таблица14[[#This Row],[y-h]]^2</f>
        <v>1.7064979812759358E+16</v>
      </c>
      <c r="F42" s="5">
        <f>Таблица14[[#This Row],[Газпром-цена]]^2</f>
        <v>28382.140899999999</v>
      </c>
      <c r="G42" s="5">
        <f>Таблица14[[#This Row],[Газпром-цена]]*Таблица14[[#This Row],[Газпром-объем]]</f>
        <v>158632453793.79999</v>
      </c>
      <c r="I42" s="13"/>
      <c r="J42" s="13" t="s">
        <v>30</v>
      </c>
      <c r="K42" s="13" t="s">
        <v>24</v>
      </c>
      <c r="L42" s="13" t="s">
        <v>31</v>
      </c>
      <c r="M42" s="13" t="s">
        <v>18</v>
      </c>
      <c r="N42" s="13" t="s">
        <v>32</v>
      </c>
      <c r="O42" s="13" t="s">
        <v>33</v>
      </c>
      <c r="P42" s="13" t="s">
        <v>34</v>
      </c>
      <c r="Q42" s="13" t="s">
        <v>35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17">
        <v>145.5</v>
      </c>
      <c r="B43" s="15">
        <v>662677050</v>
      </c>
      <c r="C43" s="5">
        <f>k1_*Таблица14[[#This Row],[Газпром-цена]]+k0</f>
        <v>752314369.01641071</v>
      </c>
      <c r="D43" s="5">
        <f>Таблица14[[#This Row],[Газпром-объем]]-Таблица14[[#This Row],[h=k1*x+k0]]</f>
        <v>-89637319.016410708</v>
      </c>
      <c r="E43" s="5">
        <f>Таблица14[[#This Row],[y-h]]^2</f>
        <v>8034848960449785</v>
      </c>
      <c r="F43" s="5">
        <f>Таблица14[[#This Row],[Газпром-цена]]^2</f>
        <v>21170.25</v>
      </c>
      <c r="G43" s="5">
        <f>Таблица14[[#This Row],[Газпром-цена]]*Таблица14[[#This Row],[Газпром-объем]]</f>
        <v>96419510775</v>
      </c>
      <c r="I43" s="11" t="s">
        <v>28</v>
      </c>
      <c r="J43" s="11">
        <v>380746677.84994143</v>
      </c>
      <c r="K43" s="11">
        <v>149893647.0031856</v>
      </c>
      <c r="L43" s="11">
        <v>2.5401121759473213</v>
      </c>
      <c r="M43" s="11">
        <v>1.2776923146151831E-2</v>
      </c>
      <c r="N43" s="11">
        <v>83001361.850324512</v>
      </c>
      <c r="O43" s="11">
        <v>678491993.84955835</v>
      </c>
      <c r="P43" s="11">
        <v>83001361.850324512</v>
      </c>
      <c r="Q43" s="11">
        <v>678491993.84955835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 x14ac:dyDescent="0.3">
      <c r="A44" s="17">
        <v>139.51</v>
      </c>
      <c r="B44" s="15">
        <v>538549300</v>
      </c>
      <c r="C44" s="5">
        <f>k1_*Таблица14[[#This Row],[Газпром-цена]]+k0</f>
        <v>737017527.29759848</v>
      </c>
      <c r="D44" s="5">
        <f>Таблица14[[#This Row],[Газпром-объем]]-Таблица14[[#This Row],[h=k1*x+k0]]</f>
        <v>-198468227.29759848</v>
      </c>
      <c r="E44" s="5">
        <f>Таблица14[[#This Row],[y-h]]^2</f>
        <v>3.9389637246651216E+16</v>
      </c>
      <c r="F44" s="5">
        <f>Таблица14[[#This Row],[Газпром-цена]]^2</f>
        <v>19463.040099999998</v>
      </c>
      <c r="G44" s="5">
        <f>Таблица14[[#This Row],[Газпром-цена]]*Таблица14[[#This Row],[Газпром-объем]]</f>
        <v>75133012843</v>
      </c>
      <c r="I44" s="12" t="s">
        <v>36</v>
      </c>
      <c r="J44" s="12">
        <v>2553729.8361956538</v>
      </c>
      <c r="K44" s="12">
        <v>954828.68750357616</v>
      </c>
      <c r="L44" s="12">
        <v>2.6745424279955867</v>
      </c>
      <c r="M44" s="12">
        <v>8.8717784075783481E-3</v>
      </c>
      <c r="N44" s="12">
        <v>657079.94495503418</v>
      </c>
      <c r="O44" s="12">
        <v>4450379.7274362734</v>
      </c>
      <c r="P44" s="12">
        <v>657079.94495503418</v>
      </c>
      <c r="Q44" s="12">
        <v>4450379.7274362734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17">
        <v>137.30000000000001</v>
      </c>
      <c r="B45" s="15">
        <v>505531930</v>
      </c>
      <c r="C45" s="5">
        <f>k1_*Таблица14[[#This Row],[Газпром-цена]]+k0</f>
        <v>731373784.35960603</v>
      </c>
      <c r="D45" s="5">
        <f>Таблица14[[#This Row],[Газпром-объем]]-Таблица14[[#This Row],[h=k1*x+k0]]</f>
        <v>-225841854.35960603</v>
      </c>
      <c r="E45" s="5">
        <f>Таблица14[[#This Row],[y-h]]^2</f>
        <v>5.1004543180585504E+16</v>
      </c>
      <c r="F45" s="5">
        <f>Таблица14[[#This Row],[Газпром-цена]]^2</f>
        <v>18851.290000000005</v>
      </c>
      <c r="G45" s="5">
        <f>Таблица14[[#This Row],[Газпром-цена]]*Таблица14[[#This Row],[Газпром-объем]]</f>
        <v>69409533989</v>
      </c>
      <c r="I45"/>
      <c r="J45"/>
      <c r="K45"/>
      <c r="L45"/>
      <c r="M45"/>
      <c r="N45"/>
      <c r="O45"/>
      <c r="P45"/>
      <c r="Q45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17">
        <v>134.94999999999999</v>
      </c>
      <c r="B46" s="15">
        <v>472860350</v>
      </c>
      <c r="C46" s="5">
        <f>k1_*Таблица14[[#This Row],[Газпром-цена]]+k0</f>
        <v>725372519.24454618</v>
      </c>
      <c r="D46" s="5">
        <f>Таблица14[[#This Row],[Газпром-объем]]-Таблица14[[#This Row],[h=k1*x+k0]]</f>
        <v>-252512169.24454618</v>
      </c>
      <c r="E46" s="5">
        <f>Таблица14[[#This Row],[y-h]]^2</f>
        <v>6.3762395616586328E+16</v>
      </c>
      <c r="F46" s="5">
        <f>Таблица14[[#This Row],[Газпром-цена]]^2</f>
        <v>18211.502499999999</v>
      </c>
      <c r="G46" s="5">
        <f>Таблица14[[#This Row],[Газпром-цена]]*Таблица14[[#This Row],[Газпром-объем]]</f>
        <v>63812504232.499992</v>
      </c>
      <c r="I46"/>
      <c r="J46"/>
      <c r="K46"/>
      <c r="L46"/>
      <c r="M46"/>
      <c r="N46"/>
      <c r="O46"/>
      <c r="P46"/>
      <c r="Q46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17">
        <v>134.9</v>
      </c>
      <c r="B47" s="15">
        <v>567536440</v>
      </c>
      <c r="C47" s="5">
        <f>k1_*Таблица14[[#This Row],[Газпром-цена]]+k0</f>
        <v>725244832.75273633</v>
      </c>
      <c r="D47" s="5">
        <f>Таблица14[[#This Row],[Газпром-объем]]-Таблица14[[#This Row],[h=k1*x+k0]]</f>
        <v>-157708392.75273633</v>
      </c>
      <c r="E47" s="5">
        <f>Таблица14[[#This Row],[y-h]]^2</f>
        <v>2.4871937144651336E+16</v>
      </c>
      <c r="F47" s="5">
        <f>Таблица14[[#This Row],[Газпром-цена]]^2</f>
        <v>18198.010000000002</v>
      </c>
      <c r="G47" s="5">
        <f>Таблица14[[#This Row],[Газпром-цена]]*Таблица14[[#This Row],[Газпром-объем]]</f>
        <v>76560665756</v>
      </c>
      <c r="I47"/>
      <c r="J47"/>
      <c r="K47"/>
      <c r="L47"/>
      <c r="M47"/>
      <c r="N47"/>
      <c r="O47"/>
      <c r="P47"/>
      <c r="Q47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17">
        <v>138.84</v>
      </c>
      <c r="B48" s="15">
        <v>409341480</v>
      </c>
      <c r="C48" s="5">
        <f>k1_*Таблица14[[#This Row],[Газпром-цена]]+k0</f>
        <v>735306528.3073473</v>
      </c>
      <c r="D48" s="5">
        <f>Таблица14[[#This Row],[Газпром-объем]]-Таблица14[[#This Row],[h=k1*x+k0]]</f>
        <v>-325965048.3073473</v>
      </c>
      <c r="E48" s="5">
        <f>Таблица14[[#This Row],[y-h]]^2</f>
        <v>1.0625321271801126E+17</v>
      </c>
      <c r="F48" s="5">
        <f>Таблица14[[#This Row],[Газпром-цена]]^2</f>
        <v>19276.545600000001</v>
      </c>
      <c r="G48" s="5">
        <f>Таблица14[[#This Row],[Газпром-цена]]*Таблица14[[#This Row],[Газпром-объем]]</f>
        <v>56832971083.200005</v>
      </c>
      <c r="I48" t="s">
        <v>37</v>
      </c>
      <c r="J48"/>
      <c r="K48"/>
      <c r="L48"/>
      <c r="M48"/>
      <c r="N48"/>
      <c r="O48"/>
      <c r="P48"/>
      <c r="Q48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thickBot="1" x14ac:dyDescent="0.3">
      <c r="A49" s="17">
        <v>148.80000000000001</v>
      </c>
      <c r="B49" s="15">
        <v>735320710</v>
      </c>
      <c r="C49" s="5">
        <f>k1_*Таблица14[[#This Row],[Газпром-цена]]+k0</f>
        <v>760741677.47585654</v>
      </c>
      <c r="D49" s="5">
        <f>Таблица14[[#This Row],[Газпром-объем]]-Таблица14[[#This Row],[h=k1*x+k0]]</f>
        <v>-25420967.475856543</v>
      </c>
      <c r="E49" s="5">
        <f>Таблица14[[#This Row],[y-h]]^2</f>
        <v>646225587408556.13</v>
      </c>
      <c r="F49" s="5">
        <f>Таблица14[[#This Row],[Газпром-цена]]^2</f>
        <v>22141.440000000002</v>
      </c>
      <c r="G49" s="5">
        <f>Таблица14[[#This Row],[Газпром-цена]]*Таблица14[[#This Row],[Газпром-объем]]</f>
        <v>109415721648.00002</v>
      </c>
      <c r="I49"/>
      <c r="J49"/>
      <c r="K49"/>
      <c r="L49"/>
      <c r="M49"/>
      <c r="N49"/>
      <c r="O49"/>
      <c r="P49"/>
      <c r="Q4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17">
        <v>154.55000000000001</v>
      </c>
      <c r="B50" s="15">
        <v>680484920</v>
      </c>
      <c r="C50" s="5">
        <f>k1_*Таблица14[[#This Row],[Газпром-цена]]+k0</f>
        <v>775425624.0339818</v>
      </c>
      <c r="D50" s="5">
        <f>Таблица14[[#This Row],[Газпром-объем]]-Таблица14[[#This Row],[h=k1*x+k0]]</f>
        <v>-94940704.0339818</v>
      </c>
      <c r="E50" s="5">
        <f>Таблица14[[#This Row],[y-h]]^2</f>
        <v>9013737282468128</v>
      </c>
      <c r="F50" s="5">
        <f>Таблица14[[#This Row],[Газпром-цена]]^2</f>
        <v>23885.702500000003</v>
      </c>
      <c r="G50" s="5">
        <f>Таблица14[[#This Row],[Газпром-цена]]*Таблица14[[#This Row],[Газпром-объем]]</f>
        <v>105168944386.00002</v>
      </c>
      <c r="I50" s="13" t="s">
        <v>38</v>
      </c>
      <c r="J50" s="13" t="s">
        <v>39</v>
      </c>
      <c r="K50" s="13" t="s">
        <v>40</v>
      </c>
      <c r="L50"/>
      <c r="M50"/>
      <c r="N50"/>
      <c r="O50"/>
      <c r="P50"/>
      <c r="Q50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17">
        <v>149.80000000000001</v>
      </c>
      <c r="B51" s="15">
        <v>508472070</v>
      </c>
      <c r="C51" s="5">
        <f>k1_*Таблица14[[#This Row],[Газпром-цена]]+k0</f>
        <v>763295407.31205225</v>
      </c>
      <c r="D51" s="5">
        <f>Таблица14[[#This Row],[Газпром-объем]]-Таблица14[[#This Row],[h=k1*x+k0]]</f>
        <v>-254823337.31205225</v>
      </c>
      <c r="E51" s="5">
        <f>Таблица14[[#This Row],[y-h]]^2</f>
        <v>6.493493323885196E+16</v>
      </c>
      <c r="F51" s="5">
        <f>Таблица14[[#This Row],[Газпром-цена]]^2</f>
        <v>22440.040000000005</v>
      </c>
      <c r="G51" s="5">
        <f>Таблица14[[#This Row],[Газпром-цена]]*Таблица14[[#This Row],[Газпром-объем]]</f>
        <v>76169116086</v>
      </c>
      <c r="I51" s="11">
        <v>1</v>
      </c>
      <c r="J51" s="11">
        <v>747717655.31125689</v>
      </c>
      <c r="K51" s="11">
        <v>-108749195.31125689</v>
      </c>
      <c r="L51"/>
      <c r="M51"/>
      <c r="N51"/>
      <c r="O51"/>
      <c r="P51"/>
      <c r="Q51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17">
        <v>134</v>
      </c>
      <c r="B52" s="15">
        <v>618092220</v>
      </c>
      <c r="C52" s="5">
        <f>k1_*Таблица14[[#This Row],[Газпром-цена]]+k0</f>
        <v>722946475.90016019</v>
      </c>
      <c r="D52" s="5">
        <f>Таблица14[[#This Row],[Газпром-объем]]-Таблица14[[#This Row],[h=k1*x+k0]]</f>
        <v>-104854255.90016019</v>
      </c>
      <c r="E52" s="5">
        <f>Таблица14[[#This Row],[y-h]]^2</f>
        <v>1.0994414980376278E+16</v>
      </c>
      <c r="F52" s="5">
        <f>Таблица14[[#This Row],[Газпром-цена]]^2</f>
        <v>17956</v>
      </c>
      <c r="G52" s="5">
        <f>Таблица14[[#This Row],[Газпром-цена]]*Таблица14[[#This Row],[Газпром-объем]]</f>
        <v>82824357480</v>
      </c>
      <c r="I52" s="11">
        <v>2</v>
      </c>
      <c r="J52" s="11">
        <v>743606150.27498186</v>
      </c>
      <c r="K52" s="11">
        <v>-248322630.27498186</v>
      </c>
      <c r="L52"/>
      <c r="M52"/>
      <c r="N52"/>
      <c r="O52"/>
      <c r="P52"/>
      <c r="Q5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17">
        <v>127.9</v>
      </c>
      <c r="B53" s="15">
        <v>754410290</v>
      </c>
      <c r="C53" s="5">
        <f>k1_*Таблица14[[#This Row],[Газпром-цена]]+k0</f>
        <v>707368723.8993665</v>
      </c>
      <c r="D53" s="5">
        <f>Таблица14[[#This Row],[Газпром-объем]]-Таблица14[[#This Row],[h=k1*x+k0]]</f>
        <v>47041566.100633502</v>
      </c>
      <c r="E53" s="5">
        <f>Таблица14[[#This Row],[y-h]]^2</f>
        <v>2212908941200271</v>
      </c>
      <c r="F53" s="5">
        <f>Таблица14[[#This Row],[Газпром-цена]]^2</f>
        <v>16358.410000000002</v>
      </c>
      <c r="G53" s="5">
        <f>Таблица14[[#This Row],[Газпром-цена]]*Таблица14[[#This Row],[Газпром-объем]]</f>
        <v>96489076091</v>
      </c>
      <c r="I53" s="11">
        <v>3</v>
      </c>
      <c r="J53" s="11">
        <v>731629157.34322429</v>
      </c>
      <c r="K53" s="11">
        <v>2141762.656775713</v>
      </c>
      <c r="L53"/>
      <c r="M53"/>
      <c r="N53"/>
      <c r="O53"/>
      <c r="P53"/>
      <c r="Q53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17">
        <v>136.75</v>
      </c>
      <c r="B54" s="15">
        <v>750182400</v>
      </c>
      <c r="C54" s="5">
        <f>k1_*Таблица14[[#This Row],[Газпром-цена]]+k0</f>
        <v>729969232.94969845</v>
      </c>
      <c r="D54" s="5">
        <f>Таблица14[[#This Row],[Газпром-объем]]-Таблица14[[#This Row],[h=k1*x+k0]]</f>
        <v>20213167.050301552</v>
      </c>
      <c r="E54" s="5">
        <f>Таблица14[[#This Row],[y-h]]^2</f>
        <v>408572122203396.31</v>
      </c>
      <c r="F54" s="5">
        <f>Таблица14[[#This Row],[Газпром-цена]]^2</f>
        <v>18700.5625</v>
      </c>
      <c r="G54" s="5">
        <f>Таблица14[[#This Row],[Газпром-цена]]*Таблица14[[#This Row],[Газпром-объем]]</f>
        <v>102587443200</v>
      </c>
      <c r="I54" s="11">
        <v>4</v>
      </c>
      <c r="J54" s="11">
        <v>723150774.28705478</v>
      </c>
      <c r="K54" s="11">
        <v>230822295.71294522</v>
      </c>
      <c r="L54"/>
      <c r="M54"/>
      <c r="N54"/>
      <c r="O54"/>
      <c r="P54"/>
      <c r="Q54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17">
        <v>120.28</v>
      </c>
      <c r="B55" s="15">
        <v>683155600</v>
      </c>
      <c r="C55" s="5">
        <f>k1_*Таблица14[[#This Row],[Газпром-цена]]+k0</f>
        <v>687909302.54755533</v>
      </c>
      <c r="D55" s="5">
        <f>Таблица14[[#This Row],[Газпром-объем]]-Таблица14[[#This Row],[h=k1*x+k0]]</f>
        <v>-4753702.5475553274</v>
      </c>
      <c r="E55" s="5">
        <f>Таблица14[[#This Row],[y-h]]^2</f>
        <v>22597687910634.012</v>
      </c>
      <c r="F55" s="5">
        <f>Таблица14[[#This Row],[Газпром-цена]]^2</f>
        <v>14467.278400000001</v>
      </c>
      <c r="G55" s="5">
        <f>Таблица14[[#This Row],[Газпром-цена]]*Таблица14[[#This Row],[Газпром-объем]]</f>
        <v>82169955568</v>
      </c>
      <c r="I55" s="11">
        <v>5</v>
      </c>
      <c r="J55" s="11">
        <v>697792237.01363182</v>
      </c>
      <c r="K55" s="11">
        <v>288529522.98636818</v>
      </c>
      <c r="L55"/>
      <c r="M55"/>
      <c r="N55"/>
      <c r="O55"/>
      <c r="P55"/>
      <c r="Q55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17">
        <v>118.49</v>
      </c>
      <c r="B56" s="15">
        <v>682977210</v>
      </c>
      <c r="C56" s="5">
        <f>k1_*Таблица14[[#This Row],[Газпром-цена]]+k0</f>
        <v>683338126.14076495</v>
      </c>
      <c r="D56" s="5">
        <f>Таблица14[[#This Row],[Газпром-объем]]-Таблица14[[#This Row],[h=k1*x+k0]]</f>
        <v>-360916.14076495171</v>
      </c>
      <c r="E56" s="5">
        <f>Таблица14[[#This Row],[y-h]]^2</f>
        <v>130260460664.66643</v>
      </c>
      <c r="F56" s="5">
        <f>Таблица14[[#This Row],[Газпром-цена]]^2</f>
        <v>14039.880099999998</v>
      </c>
      <c r="G56" s="5">
        <f>Таблица14[[#This Row],[Газпром-цена]]*Таблица14[[#This Row],[Газпром-объем]]</f>
        <v>80925969612.899994</v>
      </c>
      <c r="I56" s="11">
        <v>6</v>
      </c>
      <c r="J56" s="11">
        <v>695876939.6364851</v>
      </c>
      <c r="K56" s="11">
        <v>117898060.3635149</v>
      </c>
      <c r="L56"/>
      <c r="M56"/>
      <c r="N56"/>
      <c r="O56"/>
      <c r="P56"/>
      <c r="Q56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17">
        <v>116.1</v>
      </c>
      <c r="B57" s="15">
        <v>572372360</v>
      </c>
      <c r="C57" s="5">
        <f>k1_*Таблица14[[#This Row],[Газпром-цена]]+k0</f>
        <v>677234711.83225727</v>
      </c>
      <c r="D57" s="5">
        <f>Таблица14[[#This Row],[Газпром-объем]]-Таблица14[[#This Row],[h=k1*x+k0]]</f>
        <v>-104862351.83225727</v>
      </c>
      <c r="E57" s="5">
        <f>Таблица14[[#This Row],[y-h]]^2</f>
        <v>1.099611283179211E+16</v>
      </c>
      <c r="F57" s="5">
        <f>Таблица14[[#This Row],[Газпром-цена]]^2</f>
        <v>13479.21</v>
      </c>
      <c r="G57" s="5">
        <f>Таблица14[[#This Row],[Газпром-цена]]*Таблица14[[#This Row],[Газпром-объем]]</f>
        <v>66452430996</v>
      </c>
      <c r="I57" s="11">
        <v>7</v>
      </c>
      <c r="J57" s="11">
        <v>659358602.97888732</v>
      </c>
      <c r="K57" s="11">
        <v>109934787.02111268</v>
      </c>
      <c r="L57"/>
      <c r="M57"/>
      <c r="N57"/>
      <c r="O57"/>
      <c r="P57"/>
      <c r="Q57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17">
        <v>117.97</v>
      </c>
      <c r="B58" s="15">
        <v>490084870</v>
      </c>
      <c r="C58" s="5">
        <f>k1_*Таблица14[[#This Row],[Газпром-цена]]+k0</f>
        <v>682010186.62594318</v>
      </c>
      <c r="D58" s="5">
        <f>Таблица14[[#This Row],[Газпром-объем]]-Таблица14[[#This Row],[h=k1*x+k0]]</f>
        <v>-191925316.62594318</v>
      </c>
      <c r="E58" s="5">
        <f>Таблица14[[#This Row],[y-h]]^2</f>
        <v>3.6835327161968544E+16</v>
      </c>
      <c r="F58" s="5">
        <f>Таблица14[[#This Row],[Газпром-цена]]^2</f>
        <v>13916.920899999999</v>
      </c>
      <c r="G58" s="5">
        <f>Таблица14[[#This Row],[Газпром-цена]]*Таблица14[[#This Row],[Газпром-объем]]</f>
        <v>57815312113.900002</v>
      </c>
      <c r="I58" s="11">
        <v>8</v>
      </c>
      <c r="J58" s="11">
        <v>709181872.08306456</v>
      </c>
      <c r="K58" s="11">
        <v>170280917.91693544</v>
      </c>
      <c r="L58"/>
      <c r="M58"/>
      <c r="N58"/>
      <c r="O58"/>
      <c r="P58"/>
      <c r="Q58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17">
        <v>122.2</v>
      </c>
      <c r="B59" s="15">
        <v>615131840</v>
      </c>
      <c r="C59" s="5">
        <f>k1_*Таблица14[[#This Row],[Газпром-цена]]+k0</f>
        <v>692812463.83305109</v>
      </c>
      <c r="D59" s="5">
        <f>Таблица14[[#This Row],[Газпром-объем]]-Таблица14[[#This Row],[h=k1*x+k0]]</f>
        <v>-77680623.833051085</v>
      </c>
      <c r="E59" s="5">
        <f>Таблица14[[#This Row],[y-h]]^2</f>
        <v>6034279319091984</v>
      </c>
      <c r="F59" s="5">
        <f>Таблица14[[#This Row],[Газпром-цена]]^2</f>
        <v>14932.84</v>
      </c>
      <c r="G59" s="5">
        <f>Таблица14[[#This Row],[Газпром-цена]]*Таблица14[[#This Row],[Газпром-объем]]</f>
        <v>75169110848</v>
      </c>
      <c r="I59" s="11">
        <v>9</v>
      </c>
      <c r="J59" s="11">
        <v>717583643.24414825</v>
      </c>
      <c r="K59" s="11">
        <v>-82089133.244148254</v>
      </c>
      <c r="L59"/>
      <c r="M59"/>
      <c r="N59"/>
      <c r="O59"/>
      <c r="P59"/>
      <c r="Q59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17">
        <v>125.9</v>
      </c>
      <c r="B60" s="15">
        <v>511657140</v>
      </c>
      <c r="C60" s="5">
        <f>k1_*Таблица14[[#This Row],[Газпром-цена]]+k0</f>
        <v>702261264.2269752</v>
      </c>
      <c r="D60" s="5">
        <f>Таблица14[[#This Row],[Газпром-объем]]-Таблица14[[#This Row],[h=k1*x+k0]]</f>
        <v>-190604124.2269752</v>
      </c>
      <c r="E60" s="5">
        <f>Таблица14[[#This Row],[y-h]]^2</f>
        <v>3.6329932172332192E+16</v>
      </c>
      <c r="F60" s="5">
        <f>Таблица14[[#This Row],[Газпром-цена]]^2</f>
        <v>15850.810000000001</v>
      </c>
      <c r="G60" s="5">
        <f>Таблица14[[#This Row],[Газпром-цена]]*Таблица14[[#This Row],[Газпром-объем]]</f>
        <v>64417633926</v>
      </c>
      <c r="I60" s="11">
        <v>10</v>
      </c>
      <c r="J60" s="11">
        <v>748866833.73754501</v>
      </c>
      <c r="K60" s="11">
        <v>286447696.26245499</v>
      </c>
      <c r="L60"/>
      <c r="M60"/>
      <c r="N60"/>
      <c r="O60"/>
      <c r="P60"/>
      <c r="Q60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17">
        <v>132.15</v>
      </c>
      <c r="B61" s="15">
        <v>670673200</v>
      </c>
      <c r="C61" s="5">
        <f>k1_*Таблица14[[#This Row],[Газпром-цена]]+k0</f>
        <v>718222075.70319819</v>
      </c>
      <c r="D61" s="5">
        <f>Таблица14[[#This Row],[Газпром-объем]]-Таблица14[[#This Row],[h=k1*x+k0]]</f>
        <v>-47548875.703198195</v>
      </c>
      <c r="E61" s="5">
        <f>Таблица14[[#This Row],[y-h]]^2</f>
        <v>2260895580638191.5</v>
      </c>
      <c r="F61" s="5">
        <f>Таблица14[[#This Row],[Газпром-цена]]^2</f>
        <v>17463.622500000001</v>
      </c>
      <c r="G61" s="5">
        <f>Таблица14[[#This Row],[Газпром-цена]]*Таблица14[[#This Row],[Газпром-объем]]</f>
        <v>88629463380</v>
      </c>
      <c r="I61" s="11">
        <v>11</v>
      </c>
      <c r="J61" s="11">
        <v>764827645.21376777</v>
      </c>
      <c r="K61" s="11">
        <v>355551424.78623223</v>
      </c>
      <c r="L61"/>
      <c r="M61"/>
      <c r="N61"/>
      <c r="O61"/>
      <c r="P61"/>
      <c r="Q61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17">
        <v>130.5</v>
      </c>
      <c r="B62" s="15">
        <v>417311690</v>
      </c>
      <c r="C62" s="5">
        <f>k1_*Таблица14[[#This Row],[Газпром-цена]]+k0</f>
        <v>714008421.47347522</v>
      </c>
      <c r="D62" s="5">
        <f>Таблица14[[#This Row],[Газпром-объем]]-Таблица14[[#This Row],[h=k1*x+k0]]</f>
        <v>-296696731.47347522</v>
      </c>
      <c r="E62" s="5">
        <f>Таблица14[[#This Row],[y-h]]^2</f>
        <v>8.8028950467043456E+16</v>
      </c>
      <c r="F62" s="5">
        <f>Таблица14[[#This Row],[Газпром-цена]]^2</f>
        <v>17030.25</v>
      </c>
      <c r="G62" s="5">
        <f>Таблица14[[#This Row],[Газпром-цена]]*Таблица14[[#This Row],[Газпром-объем]]</f>
        <v>54459175545</v>
      </c>
      <c r="I62" s="11">
        <v>12</v>
      </c>
      <c r="J62" s="11">
        <v>746185417.40953946</v>
      </c>
      <c r="K62" s="11">
        <v>289783862.59046054</v>
      </c>
      <c r="L62"/>
      <c r="M62"/>
      <c r="N62"/>
      <c r="O62"/>
      <c r="P62"/>
      <c r="Q6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17">
        <v>143.36000000000001</v>
      </c>
      <c r="B63" s="15">
        <v>758630450</v>
      </c>
      <c r="C63" s="5">
        <f>k1_*Таблица14[[#This Row],[Газпром-цена]]+k0</f>
        <v>746849387.16695189</v>
      </c>
      <c r="D63" s="5">
        <f>Таблица14[[#This Row],[Газпром-объем]]-Таблица14[[#This Row],[h=k1*x+k0]]</f>
        <v>11781062.833048105</v>
      </c>
      <c r="E63" s="5">
        <f>Таблица14[[#This Row],[y-h]]^2</f>
        <v>138793441476227.45</v>
      </c>
      <c r="F63" s="5">
        <f>Таблица14[[#This Row],[Газпром-цена]]^2</f>
        <v>20552.089600000003</v>
      </c>
      <c r="G63" s="5">
        <f>Таблица14[[#This Row],[Газпром-цена]]*Таблица14[[#This Row],[Газпром-объем]]</f>
        <v>108757261312.00002</v>
      </c>
      <c r="I63" s="11">
        <v>13</v>
      </c>
      <c r="J63" s="11">
        <v>735076692.62208843</v>
      </c>
      <c r="K63" s="11">
        <v>315711367.37791157</v>
      </c>
      <c r="L63"/>
      <c r="M63"/>
      <c r="N63"/>
      <c r="O63"/>
      <c r="P63"/>
      <c r="Q63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17">
        <v>143.16</v>
      </c>
      <c r="B64" s="15">
        <v>675058310</v>
      </c>
      <c r="C64" s="5">
        <f>k1_*Таблица14[[#This Row],[Газпром-цена]]+k0</f>
        <v>746338641.19971275</v>
      </c>
      <c r="D64" s="5">
        <f>Таблица14[[#This Row],[Газпром-объем]]-Таблица14[[#This Row],[h=k1*x+k0]]</f>
        <v>-71280331.199712753</v>
      </c>
      <c r="E64" s="5">
        <f>Таблица14[[#This Row],[y-h]]^2</f>
        <v>5080885615940743</v>
      </c>
      <c r="F64" s="5">
        <f>Таблица14[[#This Row],[Газпром-цена]]^2</f>
        <v>20494.785599999999</v>
      </c>
      <c r="G64" s="5">
        <f>Таблица14[[#This Row],[Газпром-цена]]*Таблица14[[#This Row],[Газпром-объем]]</f>
        <v>96641347659.599991</v>
      </c>
      <c r="I64" s="11">
        <v>14</v>
      </c>
      <c r="J64" s="11">
        <v>751446100.8721025</v>
      </c>
      <c r="K64" s="11">
        <v>305064589.1278975</v>
      </c>
      <c r="L64"/>
      <c r="M64"/>
      <c r="N64"/>
      <c r="O64"/>
      <c r="P64"/>
      <c r="Q64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17">
        <v>142.33000000000001</v>
      </c>
      <c r="B65" s="15">
        <v>550336390</v>
      </c>
      <c r="C65" s="5">
        <f>k1_*Таблица14[[#This Row],[Газпром-цена]]+k0</f>
        <v>744219045.43567038</v>
      </c>
      <c r="D65" s="5">
        <f>Таблица14[[#This Row],[Газпром-объем]]-Таблица14[[#This Row],[h=k1*x+k0]]</f>
        <v>-193882655.43567038</v>
      </c>
      <c r="E65" s="5">
        <f>Таблица14[[#This Row],[y-h]]^2</f>
        <v>3.759048407878688E+16</v>
      </c>
      <c r="F65" s="5">
        <f>Таблица14[[#This Row],[Газпром-цена]]^2</f>
        <v>20257.828900000004</v>
      </c>
      <c r="G65" s="5">
        <f>Таблица14[[#This Row],[Газпром-цена]]*Таблица14[[#This Row],[Газпром-объем]]</f>
        <v>78329378388.700012</v>
      </c>
      <c r="I65" s="11">
        <v>15</v>
      </c>
      <c r="J65" s="11">
        <v>736225871.04837632</v>
      </c>
      <c r="K65" s="11">
        <v>373961058.95162368</v>
      </c>
      <c r="L65"/>
      <c r="M65"/>
      <c r="N65"/>
      <c r="O65"/>
      <c r="P65"/>
      <c r="Q6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17">
        <v>145.93</v>
      </c>
      <c r="B66" s="15">
        <v>654967610</v>
      </c>
      <c r="C66" s="5">
        <f>k1_*Таблица14[[#This Row],[Газпром-цена]]+k0</f>
        <v>753412472.84597492</v>
      </c>
      <c r="D66" s="5">
        <f>Таблица14[[#This Row],[Газпром-объем]]-Таблица14[[#This Row],[h=k1*x+k0]]</f>
        <v>-98444862.845974922</v>
      </c>
      <c r="E66" s="5">
        <f>Таблица14[[#This Row],[y-h]]^2</f>
        <v>9691391020762814</v>
      </c>
      <c r="F66" s="5">
        <f>Таблица14[[#This Row],[Газпром-цена]]^2</f>
        <v>21295.564900000001</v>
      </c>
      <c r="G66" s="5">
        <f>Таблица14[[#This Row],[Газпром-цена]]*Таблица14[[#This Row],[Газпром-объем]]</f>
        <v>95579423327.300003</v>
      </c>
      <c r="I66" s="11">
        <v>16</v>
      </c>
      <c r="J66" s="11">
        <v>726777070.65445256</v>
      </c>
      <c r="K66" s="11">
        <v>1311537369.3455474</v>
      </c>
      <c r="L66"/>
      <c r="M66"/>
      <c r="N66"/>
      <c r="O66"/>
      <c r="P66"/>
      <c r="Q66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17">
        <v>145</v>
      </c>
      <c r="B67" s="15">
        <v>457602320</v>
      </c>
      <c r="C67" s="5">
        <f>k1_*Таблица14[[#This Row],[Газпром-цена]]+k0</f>
        <v>751037504.09831285</v>
      </c>
      <c r="D67" s="5">
        <f>Таблица14[[#This Row],[Газпром-объем]]-Таблица14[[#This Row],[h=k1*x+k0]]</f>
        <v>-293435184.09831285</v>
      </c>
      <c r="E67" s="5">
        <f>Таблица14[[#This Row],[y-h]]^2</f>
        <v>8.6104207266810752E+16</v>
      </c>
      <c r="F67" s="5">
        <f>Таблица14[[#This Row],[Газпром-цена]]^2</f>
        <v>21025</v>
      </c>
      <c r="G67" s="5">
        <f>Таблица14[[#This Row],[Газпром-цена]]*Таблица14[[#This Row],[Газпром-объем]]</f>
        <v>66352336400</v>
      </c>
      <c r="I67" s="11">
        <v>17</v>
      </c>
      <c r="J67" s="11">
        <v>709590468.85685587</v>
      </c>
      <c r="K67" s="11">
        <v>668107931.14314413</v>
      </c>
      <c r="L67"/>
      <c r="M67"/>
      <c r="N67"/>
      <c r="O67"/>
      <c r="P67"/>
      <c r="Q67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17">
        <v>141.01</v>
      </c>
      <c r="B68" s="15">
        <v>439786830</v>
      </c>
      <c r="C68" s="5">
        <f>k1_*Таблица14[[#This Row],[Газпром-цена]]+k0</f>
        <v>740848122.05189204</v>
      </c>
      <c r="D68" s="5">
        <f>Таблица14[[#This Row],[Газпром-объем]]-Таблица14[[#This Row],[h=k1*x+k0]]</f>
        <v>-301061292.05189204</v>
      </c>
      <c r="E68" s="5">
        <f>Таблица14[[#This Row],[y-h]]^2</f>
        <v>9.063790157195464E+16</v>
      </c>
      <c r="F68" s="5">
        <f>Таблица14[[#This Row],[Газпром-цена]]^2</f>
        <v>19883.820099999997</v>
      </c>
      <c r="G68" s="5">
        <f>Таблица14[[#This Row],[Газпром-цена]]*Таблица14[[#This Row],[Газпром-объем]]</f>
        <v>62014340898.299995</v>
      </c>
      <c r="I68" s="11">
        <v>18</v>
      </c>
      <c r="J68" s="11">
        <v>742610195.63886547</v>
      </c>
      <c r="K68" s="11">
        <v>425660214.36113453</v>
      </c>
      <c r="L68"/>
      <c r="M68"/>
      <c r="N68"/>
      <c r="O68"/>
      <c r="P68"/>
      <c r="Q68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17">
        <v>143.79</v>
      </c>
      <c r="B69" s="15">
        <v>403411200</v>
      </c>
      <c r="C69" s="5">
        <f>k1_*Таблица14[[#This Row],[Газпром-цена]]+k0</f>
        <v>747947490.99651599</v>
      </c>
      <c r="D69" s="5">
        <f>Таблица14[[#This Row],[Газпром-объем]]-Таблица14[[#This Row],[h=k1*x+k0]]</f>
        <v>-344536290.99651599</v>
      </c>
      <c r="E69" s="5">
        <f>Таблица14[[#This Row],[y-h]]^2</f>
        <v>1.1870525581363595E+17</v>
      </c>
      <c r="F69" s="5">
        <f>Таблица14[[#This Row],[Газпром-цена]]^2</f>
        <v>20675.564099999996</v>
      </c>
      <c r="G69" s="5">
        <f>Таблица14[[#This Row],[Газпром-цена]]*Таблица14[[#This Row],[Газпром-объем]]</f>
        <v>58006496448</v>
      </c>
      <c r="I69" s="11">
        <v>19</v>
      </c>
      <c r="J69" s="11">
        <v>761150274.24964607</v>
      </c>
      <c r="K69" s="11">
        <v>124763195.75035393</v>
      </c>
      <c r="L69"/>
      <c r="M69"/>
      <c r="N69"/>
      <c r="O69"/>
      <c r="P69"/>
      <c r="Q6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17">
        <v>149.94999999999999</v>
      </c>
      <c r="B70" s="15">
        <v>441314630</v>
      </c>
      <c r="C70" s="5">
        <f>k1_*Таблица14[[#This Row],[Газпром-цена]]+k0</f>
        <v>763678466.78748155</v>
      </c>
      <c r="D70" s="5">
        <f>Таблица14[[#This Row],[Газпром-объем]]-Таблица14[[#This Row],[h=k1*x+k0]]</f>
        <v>-322363836.78748155</v>
      </c>
      <c r="E70" s="5">
        <f>Таблица14[[#This Row],[y-h]]^2</f>
        <v>1.0391844326834605E+17</v>
      </c>
      <c r="F70" s="5">
        <f>Таблица14[[#This Row],[Газпром-цена]]^2</f>
        <v>22485.002499999995</v>
      </c>
      <c r="G70" s="5">
        <f>Таблица14[[#This Row],[Газпром-цена]]*Таблица14[[#This Row],[Газпром-объем]]</f>
        <v>66175128768.499992</v>
      </c>
      <c r="I70" s="11">
        <v>20</v>
      </c>
      <c r="J70" s="11">
        <v>717839016.22776771</v>
      </c>
      <c r="K70" s="11">
        <v>287120963.77223229</v>
      </c>
      <c r="L70"/>
      <c r="M70"/>
      <c r="N70"/>
      <c r="O70"/>
      <c r="P70"/>
      <c r="Q70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17">
        <v>162.61000000000001</v>
      </c>
      <c r="B71" s="15">
        <v>553952660</v>
      </c>
      <c r="C71" s="5">
        <f>k1_*Таблица14[[#This Row],[Газпром-цена]]+k0</f>
        <v>796008686.51371908</v>
      </c>
      <c r="D71" s="5">
        <f>Таблица14[[#This Row],[Газпром-объем]]-Таблица14[[#This Row],[h=k1*x+k0]]</f>
        <v>-242056026.51371908</v>
      </c>
      <c r="E71" s="5">
        <f>Таблица14[[#This Row],[y-h]]^2</f>
        <v>5.8591119971610272E+16</v>
      </c>
      <c r="F71" s="5">
        <f>Таблица14[[#This Row],[Газпром-цена]]^2</f>
        <v>26442.012100000004</v>
      </c>
      <c r="G71" s="5">
        <f>Таблица14[[#This Row],[Газпром-цена]]*Таблица14[[#This Row],[Газпром-объем]]</f>
        <v>90078242042.600006</v>
      </c>
      <c r="I71" s="11">
        <v>21</v>
      </c>
      <c r="J71" s="11">
        <v>717711329.73595786</v>
      </c>
      <c r="K71" s="11">
        <v>133583470.26404214</v>
      </c>
      <c r="L71"/>
      <c r="M71"/>
      <c r="N71"/>
      <c r="O71"/>
      <c r="P71"/>
      <c r="Q71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17">
        <v>155.47</v>
      </c>
      <c r="B72" s="15">
        <v>708218240</v>
      </c>
      <c r="C72" s="5">
        <f>k1_*Таблица14[[#This Row],[Газпром-цена]]+k0</f>
        <v>777775055.48328173</v>
      </c>
      <c r="D72" s="5">
        <f>Таблица14[[#This Row],[Газпром-объем]]-Таблица14[[#This Row],[h=k1*x+k0]]</f>
        <v>-69556815.483281732</v>
      </c>
      <c r="E72" s="5">
        <f>Таблица14[[#This Row],[y-h]]^2</f>
        <v>4838150580175301</v>
      </c>
      <c r="F72" s="5">
        <f>Таблица14[[#This Row],[Газпром-цена]]^2</f>
        <v>24170.920900000001</v>
      </c>
      <c r="G72" s="5">
        <f>Таблица14[[#This Row],[Газпром-цена]]*Таблица14[[#This Row],[Газпром-объем]]</f>
        <v>110106689772.8</v>
      </c>
      <c r="I72" s="11">
        <v>22</v>
      </c>
      <c r="J72" s="11">
        <v>732906022.26132202</v>
      </c>
      <c r="K72" s="11">
        <v>64990827.738677979</v>
      </c>
      <c r="L72"/>
      <c r="M72"/>
      <c r="N72"/>
      <c r="O72"/>
      <c r="P72"/>
      <c r="Q7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17">
        <v>161.29</v>
      </c>
      <c r="B73" s="15">
        <v>554088010</v>
      </c>
      <c r="C73" s="5">
        <f>k1_*Таблица14[[#This Row],[Газпром-цена]]+k0</f>
        <v>792637763.12994063</v>
      </c>
      <c r="D73" s="5">
        <f>Таблица14[[#This Row],[Газпром-объем]]-Таблица14[[#This Row],[h=k1*x+k0]]</f>
        <v>-238549753.12994063</v>
      </c>
      <c r="E73" s="5">
        <f>Таблица14[[#This Row],[y-h]]^2</f>
        <v>5.6905984718355616E+16</v>
      </c>
      <c r="F73" s="5">
        <f>Таблица14[[#This Row],[Газпром-цена]]^2</f>
        <v>26014.464099999997</v>
      </c>
      <c r="G73" s="5">
        <f>Таблица14[[#This Row],[Газпром-цена]]*Таблица14[[#This Row],[Газпром-объем]]</f>
        <v>89368855132.899994</v>
      </c>
      <c r="I73" s="11">
        <v>23</v>
      </c>
      <c r="J73" s="11">
        <v>742099449.67162645</v>
      </c>
      <c r="K73" s="11">
        <v>115834350.32837355</v>
      </c>
      <c r="L73"/>
      <c r="M73"/>
      <c r="N73"/>
      <c r="O73"/>
      <c r="P73"/>
      <c r="Q73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17">
        <v>153.5</v>
      </c>
      <c r="B74" s="15">
        <v>435896450</v>
      </c>
      <c r="C74" s="5">
        <f>k1_*Таблица14[[#This Row],[Газпром-цена]]+k0</f>
        <v>772744207.70597625</v>
      </c>
      <c r="D74" s="5">
        <f>Таблица14[[#This Row],[Газпром-объем]]-Таблица14[[#This Row],[h=k1*x+k0]]</f>
        <v>-336847757.70597625</v>
      </c>
      <c r="E74" s="5">
        <f>Таблица14[[#This Row],[y-h]]^2</f>
        <v>1.1346641187154408E+17</v>
      </c>
      <c r="F74" s="5">
        <f>Таблица14[[#This Row],[Газпром-цена]]^2</f>
        <v>23562.25</v>
      </c>
      <c r="G74" s="5">
        <f>Таблица14[[#This Row],[Газпром-цена]]*Таблица14[[#This Row],[Газпром-объем]]</f>
        <v>66910105075</v>
      </c>
      <c r="I74" s="11">
        <v>24</v>
      </c>
      <c r="J74" s="11">
        <v>745572522.24885249</v>
      </c>
      <c r="K74" s="11">
        <v>-53583262.248852491</v>
      </c>
      <c r="L74"/>
      <c r="M74"/>
      <c r="N74"/>
      <c r="O74"/>
      <c r="P74"/>
      <c r="Q74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17">
        <v>162.82</v>
      </c>
      <c r="B75" s="15">
        <v>394617870</v>
      </c>
      <c r="C75" s="5">
        <f>k1_*Таблица14[[#This Row],[Газпром-цена]]+k0</f>
        <v>796544969.77932</v>
      </c>
      <c r="D75" s="5">
        <f>Таблица14[[#This Row],[Газпром-объем]]-Таблица14[[#This Row],[h=k1*x+k0]]</f>
        <v>-401927099.77932</v>
      </c>
      <c r="E75" s="5">
        <f>Таблица14[[#This Row],[y-h]]^2</f>
        <v>1.6154539353701546E+17</v>
      </c>
      <c r="F75" s="5">
        <f>Таблица14[[#This Row],[Газпром-цена]]^2</f>
        <v>26510.352399999996</v>
      </c>
      <c r="G75" s="5">
        <f>Таблица14[[#This Row],[Газпром-цена]]*Таблица14[[#This Row],[Газпром-объем]]</f>
        <v>64251681593.399994</v>
      </c>
      <c r="I75" s="11">
        <v>25</v>
      </c>
      <c r="J75" s="11">
        <v>713523212.80459714</v>
      </c>
      <c r="K75" s="11">
        <v>270333297.19540286</v>
      </c>
      <c r="L75"/>
      <c r="M75"/>
      <c r="N75"/>
      <c r="O75"/>
      <c r="P75"/>
      <c r="Q75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17">
        <v>158.99</v>
      </c>
      <c r="B76" s="15">
        <v>394761860</v>
      </c>
      <c r="C76" s="5">
        <f>k1_*Таблица14[[#This Row],[Газпром-цена]]+k0</f>
        <v>786764184.50669062</v>
      </c>
      <c r="D76" s="5">
        <f>Таблица14[[#This Row],[Газпром-объем]]-Таблица14[[#This Row],[h=k1*x+k0]]</f>
        <v>-392002324.50669062</v>
      </c>
      <c r="E76" s="5">
        <f>Таблица14[[#This Row],[y-h]]^2</f>
        <v>1.5366582241864877E+17</v>
      </c>
      <c r="F76" s="5">
        <f>Таблица14[[#This Row],[Газпром-цена]]^2</f>
        <v>25277.820100000004</v>
      </c>
      <c r="G76" s="5">
        <f>Таблица14[[#This Row],[Газпром-цена]]*Таблица14[[#This Row],[Газпром-объем]]</f>
        <v>62763188121.400002</v>
      </c>
      <c r="I76" s="11">
        <v>26</v>
      </c>
      <c r="J76" s="11">
        <v>748024102.89160037</v>
      </c>
      <c r="K76" s="11">
        <v>-95921272.89160037</v>
      </c>
      <c r="L76"/>
      <c r="M76"/>
      <c r="N76"/>
      <c r="O76"/>
      <c r="P76"/>
      <c r="Q76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17">
        <v>149.61000000000001</v>
      </c>
      <c r="B77" s="15">
        <v>424906810</v>
      </c>
      <c r="C77" s="5">
        <f>k1_*Таблица14[[#This Row],[Газпром-цена]]+k0</f>
        <v>762810198.64317501</v>
      </c>
      <c r="D77" s="5">
        <f>Таблица14[[#This Row],[Газпром-объем]]-Таблица14[[#This Row],[h=k1*x+k0]]</f>
        <v>-337903388.64317501</v>
      </c>
      <c r="E77" s="5">
        <f>Таблица14[[#This Row],[y-h]]^2</f>
        <v>1.1417870005654058E+17</v>
      </c>
      <c r="F77" s="5">
        <f>Таблица14[[#This Row],[Газпром-цена]]^2</f>
        <v>22383.152100000003</v>
      </c>
      <c r="G77" s="5">
        <f>Таблица14[[#This Row],[Газпром-цена]]*Таблица14[[#This Row],[Газпром-объем]]</f>
        <v>63570307844.100006</v>
      </c>
      <c r="I77" s="11">
        <v>27</v>
      </c>
      <c r="J77" s="11">
        <v>771339656.29606664</v>
      </c>
      <c r="K77" s="11">
        <v>148180693.70393336</v>
      </c>
      <c r="L77"/>
      <c r="M77"/>
      <c r="N77"/>
      <c r="O77"/>
      <c r="P77"/>
      <c r="Q77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17">
        <v>163.95</v>
      </c>
      <c r="B78" s="15">
        <v>576420680</v>
      </c>
      <c r="C78" s="5">
        <f>k1_*Таблица14[[#This Row],[Газпром-цена]]+k0</f>
        <v>799430684.49422121</v>
      </c>
      <c r="D78" s="5">
        <f>Таблица14[[#This Row],[Газпром-объем]]-Таблица14[[#This Row],[h=k1*x+k0]]</f>
        <v>-223010004.49422121</v>
      </c>
      <c r="E78" s="5">
        <f>Таблица14[[#This Row],[y-h]]^2</f>
        <v>4.9733462104512568E+16</v>
      </c>
      <c r="F78" s="5">
        <f>Таблица14[[#This Row],[Газпром-цена]]^2</f>
        <v>26879.602499999997</v>
      </c>
      <c r="G78" s="5">
        <f>Таблица14[[#This Row],[Газпром-цена]]*Таблица14[[#This Row],[Газпром-объем]]</f>
        <v>94504170486</v>
      </c>
      <c r="I78" s="11">
        <v>28</v>
      </c>
      <c r="J78" s="11">
        <v>735459752.09751773</v>
      </c>
      <c r="K78" s="11">
        <v>-17390462.097517729</v>
      </c>
      <c r="L78"/>
      <c r="M78"/>
      <c r="N78"/>
      <c r="O78"/>
      <c r="P78"/>
      <c r="Q78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17">
        <v>215.1</v>
      </c>
      <c r="B79" s="15">
        <v>1077221090</v>
      </c>
      <c r="C79" s="5">
        <f>k1_*Таблица14[[#This Row],[Газпром-цена]]+k0</f>
        <v>930053965.61563087</v>
      </c>
      <c r="D79" s="5">
        <f>Таблица14[[#This Row],[Газпром-объем]]-Таблица14[[#This Row],[h=k1*x+k0]]</f>
        <v>147167124.38436913</v>
      </c>
      <c r="E79" s="5">
        <f>Таблица14[[#This Row],[y-h]]^2</f>
        <v>2.1658162499564376E+16</v>
      </c>
      <c r="F79" s="5">
        <f>Таблица14[[#This Row],[Газпром-цена]]^2</f>
        <v>46268.009999999995</v>
      </c>
      <c r="G79" s="5">
        <f>Таблица14[[#This Row],[Газпром-цена]]*Таблица14[[#This Row],[Газпром-объем]]</f>
        <v>231710256459</v>
      </c>
      <c r="I79" s="11">
        <v>29</v>
      </c>
      <c r="J79" s="11">
        <v>772744207.70597434</v>
      </c>
      <c r="K79" s="11">
        <v>48779252.29402566</v>
      </c>
      <c r="L79"/>
      <c r="M79"/>
      <c r="N79"/>
      <c r="O79"/>
      <c r="P79"/>
      <c r="Q7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17">
        <v>232.83</v>
      </c>
      <c r="B80" s="15">
        <v>918359340</v>
      </c>
      <c r="C80" s="5">
        <f>k1_*Таблица14[[#This Row],[Газпром-цена]]+k0</f>
        <v>975331595.61138058</v>
      </c>
      <c r="D80" s="5">
        <f>Таблица14[[#This Row],[Газпром-объем]]-Таблица14[[#This Row],[h=k1*x+k0]]</f>
        <v>-56972255.611380577</v>
      </c>
      <c r="E80" s="5">
        <f>Таблица14[[#This Row],[y-h]]^2</f>
        <v>3245837909448485.5</v>
      </c>
      <c r="F80" s="5">
        <f>Таблица14[[#This Row],[Газпром-цена]]^2</f>
        <v>54209.808900000004</v>
      </c>
      <c r="G80" s="5">
        <f>Таблица14[[#This Row],[Газпром-цена]]*Таблица14[[#This Row],[Газпром-объем]]</f>
        <v>213821605132.20001</v>
      </c>
      <c r="I80" s="11">
        <v>30</v>
      </c>
      <c r="J80" s="11">
        <v>735715125.0811373</v>
      </c>
      <c r="K80" s="11">
        <v>-263623645.0811373</v>
      </c>
      <c r="L80"/>
      <c r="M80"/>
      <c r="N80"/>
      <c r="O80"/>
      <c r="P80"/>
      <c r="Q80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17">
        <v>236.9</v>
      </c>
      <c r="B81" s="15">
        <v>1185460410</v>
      </c>
      <c r="C81" s="5">
        <f>k1_*Таблица14[[#This Row],[Газпром-цена]]+k0</f>
        <v>985725276.04469705</v>
      </c>
      <c r="D81" s="5">
        <f>Таблица14[[#This Row],[Газпром-объем]]-Таблица14[[#This Row],[h=k1*x+k0]]</f>
        <v>199735133.95530295</v>
      </c>
      <c r="E81" s="5">
        <f>Таблица14[[#This Row],[y-h]]^2</f>
        <v>3.9894123736142816E+16</v>
      </c>
      <c r="F81" s="5">
        <f>Таблица14[[#This Row],[Газпром-цена]]^2</f>
        <v>56121.61</v>
      </c>
      <c r="G81" s="5">
        <f>Таблица14[[#This Row],[Газпром-цена]]*Таблица14[[#This Row],[Газпром-объем]]</f>
        <v>280835571129</v>
      </c>
      <c r="I81" s="11">
        <v>31</v>
      </c>
      <c r="J81" s="11">
        <v>753208174.4590776</v>
      </c>
      <c r="K81" s="11">
        <v>-220156224.4590776</v>
      </c>
      <c r="L81"/>
      <c r="M81"/>
      <c r="N81"/>
      <c r="O81"/>
      <c r="P81"/>
      <c r="Q81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17">
        <v>232.15</v>
      </c>
      <c r="B82" s="15">
        <v>715634720</v>
      </c>
      <c r="C82" s="5">
        <f>k1_*Таблица14[[#This Row],[Газпром-цена]]+k0</f>
        <v>973595059.3227675</v>
      </c>
      <c r="D82" s="5">
        <f>Таблица14[[#This Row],[Газпром-объем]]-Таблица14[[#This Row],[h=k1*x+k0]]</f>
        <v>-257960339.3227675</v>
      </c>
      <c r="E82" s="5">
        <f>Таблица14[[#This Row],[y-h]]^2</f>
        <v>6.6543536663517344E+16</v>
      </c>
      <c r="F82" s="5">
        <f>Таблица14[[#This Row],[Газпром-цена]]^2</f>
        <v>53893.622500000005</v>
      </c>
      <c r="G82" s="5">
        <f>Таблица14[[#This Row],[Газпром-цена]]*Таблица14[[#This Row],[Газпром-объем]]</f>
        <v>166134600248</v>
      </c>
      <c r="I82" s="11">
        <v>32</v>
      </c>
      <c r="J82" s="11">
        <v>744653179.50782204</v>
      </c>
      <c r="K82" s="11">
        <v>-200784259.50782204</v>
      </c>
      <c r="L82"/>
      <c r="M82"/>
      <c r="N82"/>
      <c r="O82"/>
      <c r="P82"/>
      <c r="Q8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17">
        <v>225.9</v>
      </c>
      <c r="B83" s="15">
        <v>514923280</v>
      </c>
      <c r="C83" s="5">
        <f>k1_*Таблица14[[#This Row],[Газпром-цена]]+k0</f>
        <v>957634247.84654438</v>
      </c>
      <c r="D83" s="5">
        <f>Таблица14[[#This Row],[Газпром-объем]]-Таблица14[[#This Row],[h=k1*x+k0]]</f>
        <v>-442710967.84654438</v>
      </c>
      <c r="E83" s="5">
        <f>Таблица14[[#This Row],[y-h]]^2</f>
        <v>1.9599300105162406E+17</v>
      </c>
      <c r="F83" s="5">
        <f>Таблица14[[#This Row],[Газпром-цена]]^2</f>
        <v>51030.810000000005</v>
      </c>
      <c r="G83" s="5">
        <f>Таблица14[[#This Row],[Газпром-цена]]*Таблица14[[#This Row],[Газпром-объем]]</f>
        <v>116321168952</v>
      </c>
      <c r="I83" s="11">
        <v>33</v>
      </c>
      <c r="J83" s="11">
        <v>759183902.27577543</v>
      </c>
      <c r="K83" s="11">
        <v>-104951992.27577543</v>
      </c>
      <c r="L83"/>
      <c r="M83"/>
      <c r="N83"/>
      <c r="O83"/>
      <c r="P83"/>
      <c r="Q83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17">
        <v>260</v>
      </c>
      <c r="B84" s="15">
        <v>763625060</v>
      </c>
      <c r="C84" s="5">
        <f>k1_*Таблица14[[#This Row],[Газпром-цена]]+k0</f>
        <v>1044716435.2608175</v>
      </c>
      <c r="D84" s="5">
        <f>Таблица14[[#This Row],[Газпром-объем]]-Таблица14[[#This Row],[h=k1*x+k0]]</f>
        <v>-281091375.26081753</v>
      </c>
      <c r="E84" s="5">
        <f>Таблица14[[#This Row],[y-h]]^2</f>
        <v>7.9012361246017744E+16</v>
      </c>
      <c r="F84" s="5">
        <f>Таблица14[[#This Row],[Газпром-цена]]^2</f>
        <v>67600</v>
      </c>
      <c r="G84" s="5">
        <f>Таблица14[[#This Row],[Газпром-цена]]*Таблица14[[#This Row],[Газпром-объем]]</f>
        <v>198542515600</v>
      </c>
      <c r="I84" s="11">
        <v>34</v>
      </c>
      <c r="J84" s="11">
        <v>724351027.3100667</v>
      </c>
      <c r="K84" s="11">
        <v>-78093127.3100667</v>
      </c>
      <c r="L84"/>
      <c r="M84"/>
      <c r="N84"/>
      <c r="O84"/>
      <c r="P84"/>
      <c r="Q84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17">
        <v>257.54000000000002</v>
      </c>
      <c r="B85" s="15">
        <v>1496648200</v>
      </c>
      <c r="C85" s="5">
        <f>k1_*Таблица14[[#This Row],[Газпром-цена]]+k0</f>
        <v>1038434259.8637761</v>
      </c>
      <c r="D85" s="5">
        <f>Таблица14[[#This Row],[Газпром-объем]]-Таблица14[[#This Row],[h=k1*x+k0]]</f>
        <v>458213940.13622391</v>
      </c>
      <c r="E85" s="5">
        <f>Таблица14[[#This Row],[y-h]]^2</f>
        <v>2.0996001493516298E+17</v>
      </c>
      <c r="F85" s="5">
        <f>Таблица14[[#This Row],[Газпром-цена]]^2</f>
        <v>66326.851600000009</v>
      </c>
      <c r="G85" s="5">
        <f>Таблица14[[#This Row],[Газпром-цена]]*Таблица14[[#This Row],[Газпром-объем]]</f>
        <v>385446777428.00006</v>
      </c>
      <c r="I85" s="11">
        <v>35</v>
      </c>
      <c r="J85" s="11">
        <v>727415503.11350143</v>
      </c>
      <c r="K85" s="11">
        <v>-27353.113501429558</v>
      </c>
      <c r="L85"/>
      <c r="M85"/>
      <c r="N85"/>
      <c r="O85"/>
      <c r="P85"/>
      <c r="Q85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17">
        <v>256.39999999999998</v>
      </c>
      <c r="B86" s="15">
        <v>850735710</v>
      </c>
      <c r="C86" s="5">
        <f>k1_*Таблица14[[#This Row],[Газпром-цена]]+k0</f>
        <v>1035523007.8505129</v>
      </c>
      <c r="D86" s="5">
        <f>Таблица14[[#This Row],[Газпром-объем]]-Таблица14[[#This Row],[h=k1*x+k0]]</f>
        <v>-184787297.85051286</v>
      </c>
      <c r="E86" s="5">
        <f>Таблица14[[#This Row],[y-h]]^2</f>
        <v>3.4146345446894156E+16</v>
      </c>
      <c r="F86" s="5">
        <f>Таблица14[[#This Row],[Газпром-цена]]^2</f>
        <v>65740.959999999992</v>
      </c>
      <c r="G86" s="5">
        <f>Таблица14[[#This Row],[Газпром-цена]]*Таблица14[[#This Row],[Газпром-объем]]</f>
        <v>218128636043.99997</v>
      </c>
      <c r="I86" s="11">
        <v>36</v>
      </c>
      <c r="J86" s="11">
        <v>733161395.24494171</v>
      </c>
      <c r="K86" s="11">
        <v>52012454.755058289</v>
      </c>
      <c r="L86"/>
      <c r="M86"/>
      <c r="N86"/>
      <c r="O86"/>
      <c r="P86"/>
      <c r="Q86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17">
        <v>226.7</v>
      </c>
      <c r="B87" s="15">
        <v>943229040</v>
      </c>
      <c r="C87" s="5">
        <f>k1_*Таблица14[[#This Row],[Газпром-цена]]+k0</f>
        <v>959677231.71550083</v>
      </c>
      <c r="D87" s="5">
        <f>Таблица14[[#This Row],[Газпром-объем]]-Таблица14[[#This Row],[h=k1*x+k0]]</f>
        <v>-16448191.715500832</v>
      </c>
      <c r="E87" s="5">
        <f>Таблица14[[#This Row],[y-h]]^2</f>
        <v>270543010709870.19</v>
      </c>
      <c r="F87" s="5">
        <f>Таблица14[[#This Row],[Газпром-цена]]^2</f>
        <v>51392.889999999992</v>
      </c>
      <c r="G87" s="5">
        <f>Таблица14[[#This Row],[Газпром-цена]]*Таблица14[[#This Row],[Газпром-объем]]</f>
        <v>213830023368</v>
      </c>
      <c r="I87" s="11">
        <v>37</v>
      </c>
      <c r="J87" s="11">
        <v>728283771.25780797</v>
      </c>
      <c r="K87" s="11">
        <v>-95625391.25780797</v>
      </c>
      <c r="L87"/>
      <c r="M87"/>
      <c r="N87"/>
      <c r="O87"/>
      <c r="P87"/>
      <c r="Q87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17">
        <v>202.65</v>
      </c>
      <c r="B88" s="15">
        <v>1068549530</v>
      </c>
      <c r="C88" s="5">
        <f>k1_*Таблица14[[#This Row],[Газпром-цена]]+k0</f>
        <v>898260029.15499449</v>
      </c>
      <c r="D88" s="5">
        <f>Таблица14[[#This Row],[Газпром-объем]]-Таблица14[[#This Row],[h=k1*x+k0]]</f>
        <v>170289500.84500551</v>
      </c>
      <c r="E88" s="5">
        <f>Таблица14[[#This Row],[y-h]]^2</f>
        <v>2.8998514098041132E+16</v>
      </c>
      <c r="F88" s="5">
        <f>Таблица14[[#This Row],[Газпром-цена]]^2</f>
        <v>41067.022499999999</v>
      </c>
      <c r="G88" s="5">
        <f>Таблица14[[#This Row],[Газпром-цена]]*Таблица14[[#This Row],[Газпром-объем]]</f>
        <v>216541562254.5</v>
      </c>
      <c r="I88" s="11">
        <v>38</v>
      </c>
      <c r="J88" s="11">
        <v>729586173.47426772</v>
      </c>
      <c r="K88" s="11">
        <v>-115105773.47426772</v>
      </c>
      <c r="L88"/>
      <c r="M88"/>
      <c r="N88"/>
      <c r="O88"/>
      <c r="P88"/>
      <c r="Q88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17">
        <v>181.41</v>
      </c>
      <c r="B89" s="15">
        <v>2274256090</v>
      </c>
      <c r="C89" s="5">
        <f>k1_*Таблица14[[#This Row],[Газпром-цена]]+k0</f>
        <v>844018807.43419802</v>
      </c>
      <c r="D89" s="5">
        <f>Таблица14[[#This Row],[Газпром-объем]]-Таблица14[[#This Row],[h=k1*x+k0]]</f>
        <v>1430237282.5658021</v>
      </c>
      <c r="E89" s="5">
        <f>Таблица14[[#This Row],[y-h]]^2</f>
        <v>2.0455786844412101E+18</v>
      </c>
      <c r="F89" s="5">
        <f>Таблица14[[#This Row],[Газпром-цена]]^2</f>
        <v>32909.588100000001</v>
      </c>
      <c r="G89" s="5">
        <f>Таблица14[[#This Row],[Газпром-цена]]*Таблица14[[#This Row],[Газпром-объем]]</f>
        <v>412572797286.89996</v>
      </c>
      <c r="I89" s="11">
        <v>39</v>
      </c>
      <c r="J89" s="11">
        <v>741844076.68800688</v>
      </c>
      <c r="K89" s="11">
        <v>-99230956.688006878</v>
      </c>
      <c r="L89"/>
      <c r="M89"/>
      <c r="N89"/>
      <c r="O89"/>
      <c r="P89"/>
      <c r="Q8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17">
        <v>190</v>
      </c>
      <c r="B90" s="15">
        <v>1151699700</v>
      </c>
      <c r="C90" s="5">
        <f>k1_*Таблица14[[#This Row],[Газпром-цена]]+k0</f>
        <v>865955346.72711897</v>
      </c>
      <c r="D90" s="5">
        <f>Таблица14[[#This Row],[Газпром-объем]]-Таблица14[[#This Row],[h=k1*x+k0]]</f>
        <v>285744353.27288103</v>
      </c>
      <c r="E90" s="5">
        <f>Таблица14[[#This Row],[y-h]]^2</f>
        <v>8.164983542733704E+16</v>
      </c>
      <c r="F90" s="5">
        <f>Таблица14[[#This Row],[Газпром-цена]]^2</f>
        <v>36100</v>
      </c>
      <c r="G90" s="5">
        <f>Таблица14[[#This Row],[Газпром-цена]]*Таблица14[[#This Row],[Газпром-объем]]</f>
        <v>218822943000</v>
      </c>
      <c r="I90" s="11">
        <v>40</v>
      </c>
      <c r="J90" s="11">
        <v>758060261.14784932</v>
      </c>
      <c r="K90" s="11">
        <v>-26439481.147849321</v>
      </c>
      <c r="L90"/>
      <c r="M90"/>
      <c r="N90"/>
      <c r="O90"/>
      <c r="P90"/>
      <c r="Q90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17">
        <v>199.95</v>
      </c>
      <c r="B91" s="15">
        <v>1119152560</v>
      </c>
      <c r="C91" s="5">
        <f>k1_*Таблица14[[#This Row],[Газпром-цена]]+k0</f>
        <v>891364958.5972662</v>
      </c>
      <c r="D91" s="5">
        <f>Таблица14[[#This Row],[Газпром-объем]]-Таблица14[[#This Row],[h=k1*x+k0]]</f>
        <v>227787601.4027338</v>
      </c>
      <c r="E91" s="5">
        <f>Таблица14[[#This Row],[y-h]]^2</f>
        <v>5.1887191352810736E+16</v>
      </c>
      <c r="F91" s="5">
        <f>Таблица14[[#This Row],[Газпром-цена]]^2</f>
        <v>39980.002499999995</v>
      </c>
      <c r="G91" s="5">
        <f>Таблица14[[#This Row],[Газпром-цена]]*Таблица14[[#This Row],[Газпром-объем]]</f>
        <v>223774554372</v>
      </c>
      <c r="I91" s="11">
        <v>41</v>
      </c>
      <c r="J91" s="11">
        <v>810973543.35382318</v>
      </c>
      <c r="K91" s="11">
        <v>130632996.64617682</v>
      </c>
      <c r="L91"/>
      <c r="M91"/>
      <c r="N91"/>
      <c r="O91"/>
      <c r="P91"/>
      <c r="Q91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17">
        <v>194.31</v>
      </c>
      <c r="B92" s="15">
        <v>949645980</v>
      </c>
      <c r="C92" s="5">
        <f>k1_*Таблица14[[#This Row],[Газпром-цена]]+k0</f>
        <v>876961922.32112241</v>
      </c>
      <c r="D92" s="5">
        <f>Таблица14[[#This Row],[Газпром-объем]]-Таблица14[[#This Row],[h=k1*x+k0]]</f>
        <v>72684057.678877592</v>
      </c>
      <c r="E92" s="5">
        <f>Таблица14[[#This Row],[y-h]]^2</f>
        <v>5282972240666405</v>
      </c>
      <c r="F92" s="5">
        <f>Таблица14[[#This Row],[Газпром-цена]]^2</f>
        <v>37756.376100000001</v>
      </c>
      <c r="G92" s="5">
        <f>Таблица14[[#This Row],[Газпром-цена]]*Таблица14[[#This Row],[Газпром-объем]]</f>
        <v>184525710373.79999</v>
      </c>
      <c r="I92" s="11">
        <v>42</v>
      </c>
      <c r="J92" s="11">
        <v>752314369.01640904</v>
      </c>
      <c r="K92" s="11">
        <v>-89637319.016409039</v>
      </c>
      <c r="L92"/>
      <c r="M92"/>
      <c r="N92"/>
      <c r="O92"/>
      <c r="P92"/>
      <c r="Q9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17">
        <v>182.59</v>
      </c>
      <c r="B93" s="15">
        <v>841671960</v>
      </c>
      <c r="C93" s="5">
        <f>k1_*Таблица14[[#This Row],[Газпром-цена]]+k0</f>
        <v>847032208.64090896</v>
      </c>
      <c r="D93" s="5">
        <f>Таблица14[[#This Row],[Газпром-объем]]-Таблица14[[#This Row],[h=k1*x+k0]]</f>
        <v>-5360248.6409089565</v>
      </c>
      <c r="E93" s="5">
        <f>Таблица14[[#This Row],[y-h]]^2</f>
        <v>28732265492366.316</v>
      </c>
      <c r="F93" s="5">
        <f>Таблица14[[#This Row],[Газпром-цена]]^2</f>
        <v>33339.108099999998</v>
      </c>
      <c r="G93" s="5">
        <f>Таблица14[[#This Row],[Газпром-цена]]*Таблица14[[#This Row],[Газпром-объем]]</f>
        <v>153680883176.39999</v>
      </c>
      <c r="I93" s="11">
        <v>43</v>
      </c>
      <c r="J93" s="11">
        <v>737017527.29759705</v>
      </c>
      <c r="K93" s="11">
        <v>-198468227.29759705</v>
      </c>
      <c r="L93"/>
      <c r="M93"/>
      <c r="N93"/>
      <c r="O93"/>
      <c r="P93"/>
      <c r="Q9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thickBot="1" x14ac:dyDescent="0.3">
      <c r="A94" s="20">
        <v>182.9</v>
      </c>
      <c r="B94" s="21">
        <v>716152090</v>
      </c>
      <c r="C94" s="5">
        <f>k1_*Таблица14[[#This Row],[Газпром-цена]]+k0</f>
        <v>847823864.89012957</v>
      </c>
      <c r="D94" s="5">
        <f>Таблица14[[#This Row],[Газпром-объем]]-Таблица14[[#This Row],[h=k1*x+k0]]</f>
        <v>-131671774.89012957</v>
      </c>
      <c r="E94" s="5">
        <f>Таблица14[[#This Row],[y-h]]^2</f>
        <v>1.7337456302716954E+16</v>
      </c>
      <c r="F94" s="5">
        <f>Таблица14[[#This Row],[Газпром-цена]]^2</f>
        <v>33452.410000000003</v>
      </c>
      <c r="G94" s="5">
        <f>Таблица14[[#This Row],[Газпром-цена]]*Таблица14[[#This Row],[Газпром-объем]]</f>
        <v>130984217261</v>
      </c>
      <c r="I94" s="11">
        <v>44</v>
      </c>
      <c r="J94" s="11">
        <v>731373784.35960472</v>
      </c>
      <c r="K94" s="11">
        <v>-225841854.35960472</v>
      </c>
      <c r="L94"/>
      <c r="M94"/>
      <c r="N94"/>
      <c r="O94"/>
      <c r="P94"/>
      <c r="Q94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thickTop="1" x14ac:dyDescent="0.25">
      <c r="A95" s="5">
        <f>SUBTOTAL(109,Таблица14[Газпром-цена])</f>
        <v>14276.450000000004</v>
      </c>
      <c r="B95" s="5">
        <f>SUBTOTAL(109,Таблица14[Газпром-объем])</f>
        <v>71867637360</v>
      </c>
      <c r="C95" s="5">
        <f>SUBTOTAL(109,Таблица14[h=k1*x+k0])</f>
        <v>71867637360.000198</v>
      </c>
      <c r="D95" s="5">
        <f>SUBTOTAL(109,Таблица14[y-h])</f>
        <v>-1.7595291137695313E-4</v>
      </c>
      <c r="E95" s="5">
        <f>SUBTOTAL(109,Таблица14[(y-h)^2])</f>
        <v>8.3241576729617541E+18</v>
      </c>
      <c r="F95" s="5">
        <f>SUBTOTAL(109,Таблица14[x^2])</f>
        <v>2291914.8777000001</v>
      </c>
      <c r="G95" s="5">
        <f>SUBTOTAL(109,Таблица14[x*y])</f>
        <v>11288642314194.004</v>
      </c>
      <c r="I95" s="11">
        <v>45</v>
      </c>
      <c r="J95" s="11">
        <v>725372519.24454486</v>
      </c>
      <c r="K95" s="11">
        <v>-252512169.24454486</v>
      </c>
      <c r="L95"/>
      <c r="M95"/>
      <c r="N95"/>
      <c r="O95"/>
      <c r="P95"/>
      <c r="Q95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9"/>
      <c r="B96" s="9"/>
      <c r="C96" s="9"/>
      <c r="D96" s="9"/>
      <c r="E96" s="9"/>
      <c r="F96" s="9"/>
      <c r="G96" s="9"/>
      <c r="I96" s="11">
        <v>46</v>
      </c>
      <c r="J96" s="11">
        <v>725244832.75273514</v>
      </c>
      <c r="K96" s="11">
        <v>-157708392.75273514</v>
      </c>
      <c r="L96"/>
      <c r="M96"/>
      <c r="N96"/>
      <c r="O96"/>
      <c r="P96"/>
      <c r="Q96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I97" s="11">
        <v>47</v>
      </c>
      <c r="J97" s="11">
        <v>735306528.30734599</v>
      </c>
      <c r="K97" s="11">
        <v>-325965048.30734599</v>
      </c>
      <c r="L97"/>
      <c r="M97"/>
      <c r="N97"/>
      <c r="O97"/>
      <c r="P97"/>
      <c r="Q97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I98" s="11">
        <v>48</v>
      </c>
      <c r="J98" s="11">
        <v>760741677.47585475</v>
      </c>
      <c r="K98" s="11">
        <v>-25420967.475854754</v>
      </c>
      <c r="L98"/>
      <c r="M98"/>
      <c r="N98"/>
      <c r="O98"/>
      <c r="P98"/>
      <c r="Q98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I99" s="11">
        <v>49</v>
      </c>
      <c r="J99" s="11">
        <v>775425624.03397977</v>
      </c>
      <c r="K99" s="11">
        <v>-94940704.033979774</v>
      </c>
      <c r="L99"/>
      <c r="M99"/>
      <c r="N99"/>
      <c r="O99"/>
      <c r="P99"/>
      <c r="Q99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7"/>
      <c r="I100" s="11">
        <v>50</v>
      </c>
      <c r="J100" s="11">
        <v>763295407.31205034</v>
      </c>
      <c r="K100" s="11">
        <v>-254823337.31205034</v>
      </c>
      <c r="L100"/>
      <c r="M100"/>
      <c r="N100"/>
      <c r="O100"/>
      <c r="P100"/>
      <c r="Q100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I101" s="11">
        <v>51</v>
      </c>
      <c r="J101" s="11">
        <v>722946475.90015912</v>
      </c>
      <c r="K101" s="11">
        <v>-104854255.90015912</v>
      </c>
      <c r="L101"/>
      <c r="M101"/>
      <c r="N101"/>
      <c r="O101"/>
      <c r="P101"/>
      <c r="Q101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I102" s="11">
        <v>52</v>
      </c>
      <c r="J102" s="11">
        <v>707368723.89936554</v>
      </c>
      <c r="K102" s="11">
        <v>47041566.100634456</v>
      </c>
      <c r="L102"/>
      <c r="M102"/>
      <c r="N102"/>
      <c r="O102"/>
      <c r="P102"/>
      <c r="Q10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I103" s="11">
        <v>53</v>
      </c>
      <c r="J103" s="11">
        <v>729969232.94969702</v>
      </c>
      <c r="K103" s="11">
        <v>20213167.050302982</v>
      </c>
      <c r="L103"/>
      <c r="M103"/>
      <c r="N103"/>
      <c r="O103"/>
      <c r="P103"/>
      <c r="Q10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I104" s="11">
        <v>54</v>
      </c>
      <c r="J104" s="11">
        <v>687909302.54755473</v>
      </c>
      <c r="K104" s="11">
        <v>-4753702.5475547314</v>
      </c>
      <c r="L104"/>
      <c r="M104"/>
      <c r="N104"/>
      <c r="O104"/>
      <c r="P104"/>
      <c r="Q104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I105" s="11">
        <v>55</v>
      </c>
      <c r="J105" s="11">
        <v>683338126.14076447</v>
      </c>
      <c r="K105" s="11">
        <v>-360916.14076447487</v>
      </c>
      <c r="L105"/>
      <c r="M105"/>
      <c r="N105"/>
      <c r="O105"/>
      <c r="P105"/>
      <c r="Q10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I106" s="11">
        <v>56</v>
      </c>
      <c r="J106" s="11">
        <v>677234711.83225679</v>
      </c>
      <c r="K106" s="11">
        <v>-104862351.83225679</v>
      </c>
      <c r="L106"/>
      <c r="M106"/>
      <c r="N106"/>
      <c r="O106"/>
      <c r="P106"/>
      <c r="Q106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I107" s="11">
        <v>57</v>
      </c>
      <c r="J107" s="11">
        <v>682010186.62594271</v>
      </c>
      <c r="K107" s="11">
        <v>-191925316.62594271</v>
      </c>
      <c r="L107"/>
      <c r="M107"/>
      <c r="N107"/>
      <c r="O107"/>
      <c r="P107"/>
      <c r="Q107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I108" s="11">
        <v>58</v>
      </c>
      <c r="J108" s="11">
        <v>692812463.83305025</v>
      </c>
      <c r="K108" s="11">
        <v>-77680623.833050251</v>
      </c>
      <c r="L108"/>
      <c r="M108"/>
      <c r="N108"/>
      <c r="O108"/>
      <c r="P108"/>
      <c r="Q108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I109" s="11">
        <v>59</v>
      </c>
      <c r="J109" s="11">
        <v>702261264.22697425</v>
      </c>
      <c r="K109" s="11">
        <v>-190604124.22697425</v>
      </c>
      <c r="L109"/>
      <c r="M109"/>
      <c r="N109"/>
      <c r="O109"/>
      <c r="P109"/>
      <c r="Q109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I110" s="11">
        <v>60</v>
      </c>
      <c r="J110" s="11">
        <v>718222075.70319712</v>
      </c>
      <c r="K110" s="11">
        <v>-47548875.703197122</v>
      </c>
      <c r="L110"/>
      <c r="M110"/>
      <c r="N110"/>
      <c r="O110"/>
      <c r="P110"/>
      <c r="Q110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I111" s="11">
        <v>61</v>
      </c>
      <c r="J111" s="11">
        <v>714008421.47347426</v>
      </c>
      <c r="K111" s="11">
        <v>-296696731.47347426</v>
      </c>
      <c r="L111"/>
      <c r="M111"/>
      <c r="N111"/>
      <c r="O111"/>
      <c r="P111"/>
      <c r="Q111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I112" s="11">
        <v>62</v>
      </c>
      <c r="J112" s="11">
        <v>746849387.16695046</v>
      </c>
      <c r="K112" s="11">
        <v>11781062.833049536</v>
      </c>
      <c r="L112"/>
      <c r="M112"/>
      <c r="N112"/>
      <c r="O112"/>
      <c r="P112"/>
      <c r="Q11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9:28" x14ac:dyDescent="0.25">
      <c r="I113" s="11">
        <v>63</v>
      </c>
      <c r="J113" s="11">
        <v>746338641.1997112</v>
      </c>
      <c r="K113" s="11">
        <v>-71280331.199711204</v>
      </c>
      <c r="L113"/>
      <c r="M113"/>
      <c r="N113"/>
      <c r="O113"/>
      <c r="P113"/>
      <c r="Q113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9:28" x14ac:dyDescent="0.25">
      <c r="I114" s="11">
        <v>64</v>
      </c>
      <c r="J114" s="11">
        <v>744219045.43566895</v>
      </c>
      <c r="K114" s="11">
        <v>-193882655.43566895</v>
      </c>
      <c r="L114"/>
      <c r="M114"/>
      <c r="N114"/>
      <c r="O114"/>
      <c r="P114"/>
      <c r="Q114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9:28" x14ac:dyDescent="0.25">
      <c r="I115" s="11">
        <v>65</v>
      </c>
      <c r="J115" s="11">
        <v>753412472.84597325</v>
      </c>
      <c r="K115" s="11">
        <v>-98444862.845973253</v>
      </c>
      <c r="L115"/>
      <c r="M115"/>
      <c r="N115"/>
      <c r="O115"/>
      <c r="P115"/>
      <c r="Q115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9:28" x14ac:dyDescent="0.25">
      <c r="I116" s="11">
        <v>66</v>
      </c>
      <c r="J116" s="11">
        <v>751037504.09831119</v>
      </c>
      <c r="K116" s="11">
        <v>-293435184.09831119</v>
      </c>
      <c r="L116"/>
      <c r="M116"/>
      <c r="N116"/>
      <c r="O116"/>
      <c r="P116"/>
      <c r="Q116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9:28" x14ac:dyDescent="0.25">
      <c r="I117" s="11">
        <v>67</v>
      </c>
      <c r="J117" s="11">
        <v>740848122.05189061</v>
      </c>
      <c r="K117" s="11">
        <v>-301061292.05189061</v>
      </c>
      <c r="L117"/>
      <c r="M117"/>
      <c r="N117"/>
      <c r="O117"/>
      <c r="P117"/>
      <c r="Q117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9:28" x14ac:dyDescent="0.25">
      <c r="I118" s="11">
        <v>68</v>
      </c>
      <c r="J118" s="11">
        <v>747947490.99651444</v>
      </c>
      <c r="K118" s="11">
        <v>-344536290.99651444</v>
      </c>
      <c r="L118"/>
      <c r="M118"/>
      <c r="N118"/>
      <c r="O118"/>
      <c r="P118"/>
      <c r="Q11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9:28" x14ac:dyDescent="0.25">
      <c r="I119" s="11">
        <v>69</v>
      </c>
      <c r="J119" s="11">
        <v>763678466.78747964</v>
      </c>
      <c r="K119" s="11">
        <v>-322363836.78747964</v>
      </c>
      <c r="L119"/>
      <c r="M119"/>
      <c r="N119"/>
      <c r="O119"/>
      <c r="P119"/>
      <c r="Q119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9:28" x14ac:dyDescent="0.25">
      <c r="I120" s="11">
        <v>70</v>
      </c>
      <c r="J120" s="11">
        <v>796008686.5137167</v>
      </c>
      <c r="K120" s="11">
        <v>-242056026.5137167</v>
      </c>
      <c r="L120"/>
      <c r="M120"/>
      <c r="N120"/>
      <c r="O120"/>
      <c r="P120"/>
      <c r="Q120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9:28" x14ac:dyDescent="0.25">
      <c r="I121" s="11">
        <v>71</v>
      </c>
      <c r="J121" s="11">
        <v>777775055.48327971</v>
      </c>
      <c r="K121" s="11">
        <v>-69556815.483279705</v>
      </c>
      <c r="L121"/>
      <c r="M121"/>
      <c r="N121"/>
      <c r="O121"/>
      <c r="P121"/>
      <c r="Q121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9:28" x14ac:dyDescent="0.25">
      <c r="I122" s="11">
        <v>72</v>
      </c>
      <c r="J122" s="11">
        <v>792637763.12993836</v>
      </c>
      <c r="K122" s="11">
        <v>-238549753.12993836</v>
      </c>
      <c r="L122"/>
      <c r="M122"/>
      <c r="N122"/>
      <c r="O122"/>
      <c r="P122"/>
      <c r="Q12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9:28" x14ac:dyDescent="0.25">
      <c r="I123" s="11">
        <v>73</v>
      </c>
      <c r="J123" s="11">
        <v>772744207.70597434</v>
      </c>
      <c r="K123" s="11">
        <v>-336847757.70597434</v>
      </c>
      <c r="L123"/>
      <c r="M123"/>
      <c r="N123"/>
      <c r="O123"/>
      <c r="P123"/>
      <c r="Q123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9:28" x14ac:dyDescent="0.25">
      <c r="I124" s="11">
        <v>74</v>
      </c>
      <c r="J124" s="11">
        <v>796544969.77931774</v>
      </c>
      <c r="K124" s="11">
        <v>-401927099.77931774</v>
      </c>
      <c r="L124"/>
      <c r="M124"/>
      <c r="N124"/>
      <c r="O124"/>
      <c r="P124"/>
      <c r="Q124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9:28" x14ac:dyDescent="0.25">
      <c r="I125" s="11">
        <v>75</v>
      </c>
      <c r="J125" s="11">
        <v>786764184.50668848</v>
      </c>
      <c r="K125" s="11">
        <v>-392002324.50668848</v>
      </c>
      <c r="L125"/>
      <c r="M125"/>
      <c r="N125"/>
      <c r="O125"/>
      <c r="P125"/>
      <c r="Q125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9:28" x14ac:dyDescent="0.25">
      <c r="I126" s="11">
        <v>76</v>
      </c>
      <c r="J126" s="11">
        <v>762810198.64317322</v>
      </c>
      <c r="K126" s="11">
        <v>-337903388.64317322</v>
      </c>
      <c r="L126"/>
      <c r="M126"/>
      <c r="N126"/>
      <c r="O126"/>
      <c r="P126"/>
      <c r="Q126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9:28" x14ac:dyDescent="0.25">
      <c r="I127" s="11">
        <v>77</v>
      </c>
      <c r="J127" s="11">
        <v>799430684.49421883</v>
      </c>
      <c r="K127" s="11">
        <v>-223010004.49421883</v>
      </c>
      <c r="L127"/>
      <c r="M127"/>
      <c r="N127"/>
      <c r="O127"/>
      <c r="P127"/>
      <c r="Q127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9:28" x14ac:dyDescent="0.25">
      <c r="I128" s="11">
        <v>78</v>
      </c>
      <c r="J128" s="11">
        <v>930053965.61562657</v>
      </c>
      <c r="K128" s="11">
        <v>147167124.38437343</v>
      </c>
      <c r="L128"/>
      <c r="M128"/>
      <c r="N128"/>
      <c r="O128"/>
      <c r="P128"/>
      <c r="Q128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9:28" x14ac:dyDescent="0.25">
      <c r="I129" s="11">
        <v>79</v>
      </c>
      <c r="J129" s="11">
        <v>975331595.61137557</v>
      </c>
      <c r="K129" s="11">
        <v>-56972255.61137557</v>
      </c>
      <c r="L129"/>
      <c r="M129"/>
      <c r="N129"/>
      <c r="O129"/>
      <c r="P129"/>
      <c r="Q12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9:28" x14ac:dyDescent="0.25">
      <c r="I130" s="11">
        <v>80</v>
      </c>
      <c r="J130" s="11">
        <v>985725276.0446918</v>
      </c>
      <c r="K130" s="11">
        <v>199735133.9553082</v>
      </c>
      <c r="L130"/>
      <c r="M130"/>
      <c r="N130"/>
      <c r="O130"/>
      <c r="P130"/>
      <c r="Q130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9:28" x14ac:dyDescent="0.25">
      <c r="I131" s="11">
        <v>81</v>
      </c>
      <c r="J131" s="11">
        <v>973595059.32276249</v>
      </c>
      <c r="K131" s="11">
        <v>-257960339.32276249</v>
      </c>
      <c r="L131"/>
      <c r="M131"/>
      <c r="N131"/>
      <c r="O131"/>
      <c r="P131"/>
      <c r="Q131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9:28" x14ac:dyDescent="0.25">
      <c r="I132" s="11">
        <v>82</v>
      </c>
      <c r="J132" s="11">
        <v>957634247.84653974</v>
      </c>
      <c r="K132" s="11">
        <v>-442710967.84653974</v>
      </c>
      <c r="L132"/>
      <c r="M132"/>
      <c r="N132"/>
      <c r="O132"/>
      <c r="P132"/>
      <c r="Q13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9:28" x14ac:dyDescent="0.25">
      <c r="I133" s="11">
        <v>83</v>
      </c>
      <c r="J133" s="11">
        <v>1044716435.2608113</v>
      </c>
      <c r="K133" s="11">
        <v>-281091375.26081133</v>
      </c>
      <c r="L133"/>
      <c r="M133"/>
      <c r="N133"/>
      <c r="O133"/>
      <c r="P133"/>
      <c r="Q133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9:28" x14ac:dyDescent="0.25">
      <c r="I134" s="11">
        <v>84</v>
      </c>
      <c r="J134" s="11">
        <v>1038434259.8637702</v>
      </c>
      <c r="K134" s="11">
        <v>458213940.13622975</v>
      </c>
      <c r="L134"/>
      <c r="M134"/>
      <c r="N134"/>
      <c r="O134"/>
      <c r="P134"/>
      <c r="Q134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9:28" x14ac:dyDescent="0.25">
      <c r="I135" s="11">
        <v>85</v>
      </c>
      <c r="J135" s="11">
        <v>1035523007.850507</v>
      </c>
      <c r="K135" s="11">
        <v>-184787297.85050702</v>
      </c>
      <c r="L135"/>
      <c r="M135"/>
      <c r="N135"/>
      <c r="O135"/>
      <c r="P135"/>
      <c r="Q135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9:28" x14ac:dyDescent="0.25">
      <c r="I136" s="11">
        <v>86</v>
      </c>
      <c r="J136" s="11">
        <v>959677231.71549606</v>
      </c>
      <c r="K136" s="11">
        <v>-16448191.715496063</v>
      </c>
      <c r="L136"/>
      <c r="M136"/>
      <c r="N136"/>
      <c r="O136"/>
      <c r="P136"/>
      <c r="Q136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9:28" x14ac:dyDescent="0.25">
      <c r="I137" s="11">
        <v>87</v>
      </c>
      <c r="J137" s="11">
        <v>898260029.15499067</v>
      </c>
      <c r="K137" s="11">
        <v>170289500.84500933</v>
      </c>
      <c r="L137"/>
      <c r="M137"/>
      <c r="N137"/>
      <c r="O137"/>
      <c r="P137"/>
      <c r="Q137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9:28" x14ac:dyDescent="0.25">
      <c r="I138" s="11">
        <v>88</v>
      </c>
      <c r="J138" s="11">
        <v>844018807.43419504</v>
      </c>
      <c r="K138" s="11">
        <v>1430237282.565805</v>
      </c>
      <c r="L138"/>
      <c r="M138"/>
      <c r="N138"/>
      <c r="O138"/>
      <c r="P138"/>
      <c r="Q138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9:28" x14ac:dyDescent="0.25">
      <c r="I139" s="11">
        <v>89</v>
      </c>
      <c r="J139" s="11">
        <v>865955346.72711563</v>
      </c>
      <c r="K139" s="11">
        <v>285744353.27288437</v>
      </c>
      <c r="L139"/>
      <c r="M139"/>
      <c r="N139"/>
      <c r="O139"/>
      <c r="P139"/>
      <c r="Q13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9:28" x14ac:dyDescent="0.25">
      <c r="I140" s="11">
        <v>90</v>
      </c>
      <c r="J140" s="11">
        <v>891364958.59726238</v>
      </c>
      <c r="K140" s="11">
        <v>227787601.40273762</v>
      </c>
      <c r="L140"/>
      <c r="M140"/>
      <c r="N140"/>
      <c r="O140"/>
      <c r="P140"/>
      <c r="Q140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9:28" x14ac:dyDescent="0.25">
      <c r="I141" s="11">
        <v>91</v>
      </c>
      <c r="J141" s="11">
        <v>876961922.32111895</v>
      </c>
      <c r="K141" s="11">
        <v>72684057.678881049</v>
      </c>
      <c r="L141"/>
      <c r="M141"/>
      <c r="N141"/>
      <c r="O141"/>
      <c r="P141"/>
      <c r="Q141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9:28" x14ac:dyDescent="0.25">
      <c r="I142" s="11">
        <v>92</v>
      </c>
      <c r="J142" s="11">
        <v>847032208.64090586</v>
      </c>
      <c r="K142" s="11">
        <v>-5360248.6409058571</v>
      </c>
      <c r="L142"/>
      <c r="M142"/>
      <c r="N142"/>
      <c r="O142"/>
      <c r="P142"/>
      <c r="Q14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9:28" ht="15.75" thickBot="1" x14ac:dyDescent="0.3">
      <c r="I143" s="12">
        <v>93</v>
      </c>
      <c r="J143" s="12">
        <v>847823864.89012647</v>
      </c>
      <c r="K143" s="12">
        <v>-131671774.89012647</v>
      </c>
      <c r="L143"/>
      <c r="M143"/>
      <c r="N143"/>
      <c r="O143"/>
      <c r="P143"/>
      <c r="Q143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9:28" x14ac:dyDescent="0.25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9:28" x14ac:dyDescent="0.25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9:28" x14ac:dyDescent="0.25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9:28" x14ac:dyDescent="0.25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9:28" x14ac:dyDescent="0.25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9:28" x14ac:dyDescent="0.25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9:28" x14ac:dyDescent="0.25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9:28" x14ac:dyDescent="0.25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9:28" x14ac:dyDescent="0.25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9:28" x14ac:dyDescent="0.25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9:28" x14ac:dyDescent="0.25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9:28" x14ac:dyDescent="0.25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Сбербанк</vt:lpstr>
      <vt:lpstr>ВТБ</vt:lpstr>
      <vt:lpstr>Газпром</vt:lpstr>
      <vt:lpstr>ВТБ!k0</vt:lpstr>
      <vt:lpstr>Газпром!k0</vt:lpstr>
      <vt:lpstr>k0</vt:lpstr>
      <vt:lpstr>ВТБ!k1_</vt:lpstr>
      <vt:lpstr>Газпром!k1_</vt:lpstr>
      <vt:lpstr>k1_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>Жевагина Анастасия Владимировна</cp:lastModifiedBy>
  <dcterms:created xsi:type="dcterms:W3CDTF">2021-09-15T09:22:33Z</dcterms:created>
  <dcterms:modified xsi:type="dcterms:W3CDTF">2021-09-20T06:51:26Z</dcterms:modified>
</cp:coreProperties>
</file>