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Факультет ИТиАБД\ПИ19-4\Жевагина Анастасия Владимировна - 191758\"/>
    </mc:Choice>
  </mc:AlternateContent>
  <bookViews>
    <workbookView xWindow="0" yWindow="0" windowWidth="28800" windowHeight="12330" firstSheet="22" activeTab="25"/>
  </bookViews>
  <sheets>
    <sheet name="Лист4" sheetId="5" r:id="rId1"/>
    <sheet name="№9 с.17" sheetId="1" r:id="rId2"/>
    <sheet name="№2 с.56" sheetId="2" r:id="rId3"/>
    <sheet name="№5 с. 57" sheetId="9" r:id="rId4"/>
    <sheet name="№6 с. 57" sheetId="10" r:id="rId5"/>
    <sheet name="№7 с. 57" sheetId="11" r:id="rId6"/>
    <sheet name="№1 с. 60" sheetId="12" r:id="rId7"/>
    <sheet name="№2 с. 60" sheetId="13" r:id="rId8"/>
    <sheet name="№3 с. 60" sheetId="14" r:id="rId9"/>
    <sheet name="№4 с.60" sheetId="3" r:id="rId10"/>
    <sheet name="6" sheetId="4" r:id="rId11"/>
    <sheet name="№2 с.60" sheetId="6" r:id="rId12"/>
    <sheet name="№1 с. 63" sheetId="7" r:id="rId13"/>
    <sheet name="№ 2 с. 63" sheetId="15" r:id="rId14"/>
    <sheet name="№3 с. 63" sheetId="8" r:id="rId15"/>
    <sheet name="№4 с. 63" sheetId="16" r:id="rId16"/>
    <sheet name="№5 с. 63" sheetId="17" r:id="rId17"/>
    <sheet name="№1 с. 65" sheetId="18" r:id="rId18"/>
    <sheet name="№2 с. 65" sheetId="19" r:id="rId19"/>
    <sheet name="№3 с. 65" sheetId="20" r:id="rId20"/>
    <sheet name="№4 с. 65" sheetId="21" r:id="rId21"/>
    <sheet name="№5 с. 65" sheetId="22" r:id="rId22"/>
    <sheet name="№6 с. 65" sheetId="23" r:id="rId23"/>
    <sheet name="№7 с. 65" sheetId="24" r:id="rId24"/>
    <sheet name="№8 с. 65" sheetId="25" r:id="rId25"/>
    <sheet name="№9 с. 65" sheetId="26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6" l="1"/>
  <c r="B8" i="26"/>
  <c r="B7" i="26"/>
  <c r="B10" i="26" s="1"/>
  <c r="B5" i="26"/>
  <c r="B16" i="26" s="1"/>
  <c r="B4" i="26"/>
  <c r="B11" i="25"/>
  <c r="B8" i="25"/>
  <c r="B7" i="25"/>
  <c r="B10" i="25" s="1"/>
  <c r="B5" i="25"/>
  <c r="B16" i="25" s="1"/>
  <c r="B4" i="25"/>
  <c r="B14" i="25" s="1"/>
  <c r="B8" i="24"/>
  <c r="B11" i="24" s="1"/>
  <c r="B14" i="24" s="1"/>
  <c r="B7" i="24"/>
  <c r="B10" i="24" s="1"/>
  <c r="B5" i="24"/>
  <c r="B16" i="24" s="1"/>
  <c r="B4" i="24"/>
  <c r="B13" i="26" l="1"/>
  <c r="B19" i="26"/>
  <c r="B18" i="26"/>
  <c r="B14" i="26"/>
  <c r="B19" i="25"/>
  <c r="B18" i="25"/>
  <c r="B13" i="25"/>
  <c r="B13" i="24"/>
  <c r="B19" i="24"/>
  <c r="B18" i="24"/>
  <c r="D6" i="23" l="1"/>
  <c r="D4" i="23"/>
  <c r="D7" i="23" s="1"/>
  <c r="B2" i="6"/>
  <c r="B8" i="6" s="1"/>
  <c r="B4" i="23"/>
  <c r="B7" i="23"/>
  <c r="B9" i="23" s="1"/>
  <c r="B6" i="23"/>
  <c r="B10" i="23" s="1"/>
  <c r="B12" i="23" s="1"/>
  <c r="B7" i="22"/>
  <c r="B9" i="22" s="1"/>
  <c r="B6" i="22"/>
  <c r="B10" i="22" s="1"/>
  <c r="B4" i="22"/>
  <c r="E10" i="21"/>
  <c r="E12" i="21" s="1"/>
  <c r="E9" i="21"/>
  <c r="E7" i="21"/>
  <c r="E6" i="21"/>
  <c r="E4" i="21"/>
  <c r="B13" i="21"/>
  <c r="B12" i="21"/>
  <c r="B4" i="21"/>
  <c r="B7" i="21"/>
  <c r="B9" i="21" s="1"/>
  <c r="B6" i="21"/>
  <c r="B10" i="21" s="1"/>
  <c r="B7" i="20"/>
  <c r="B9" i="20" s="1"/>
  <c r="B6" i="20"/>
  <c r="B10" i="20" s="1"/>
  <c r="B4" i="20"/>
  <c r="B12" i="19"/>
  <c r="B9" i="19"/>
  <c r="B10" i="19"/>
  <c r="B7" i="19"/>
  <c r="B6" i="19"/>
  <c r="B4" i="19"/>
  <c r="B13" i="18"/>
  <c r="B12" i="18"/>
  <c r="B10" i="18"/>
  <c r="B9" i="18"/>
  <c r="B7" i="18"/>
  <c r="B6" i="18"/>
  <c r="B4" i="18"/>
  <c r="E6" i="13"/>
  <c r="E1" i="13"/>
  <c r="E8" i="13" s="1"/>
  <c r="B7" i="3"/>
  <c r="B6" i="3"/>
  <c r="B2" i="4"/>
  <c r="B10" i="17"/>
  <c r="B11" i="17"/>
  <c r="B7" i="17"/>
  <c r="B5" i="17"/>
  <c r="B4" i="17"/>
  <c r="B8" i="17" s="1"/>
  <c r="B12" i="7"/>
  <c r="B10" i="16"/>
  <c r="E5" i="16"/>
  <c r="E7" i="16" s="1"/>
  <c r="E11" i="16" s="1"/>
  <c r="E4" i="16"/>
  <c r="E8" i="16" s="1"/>
  <c r="E10" i="16" s="1"/>
  <c r="B8" i="16"/>
  <c r="B5" i="16"/>
  <c r="B7" i="16" s="1"/>
  <c r="B11" i="16" s="1"/>
  <c r="B4" i="16"/>
  <c r="B13" i="23" l="1"/>
  <c r="E7" i="23"/>
  <c r="B12" i="22"/>
  <c r="B13" i="22"/>
  <c r="E13" i="21"/>
  <c r="B13" i="20"/>
  <c r="B12" i="20"/>
  <c r="B13" i="19"/>
  <c r="E7" i="13"/>
  <c r="B8" i="15"/>
  <c r="B10" i="15" s="1"/>
  <c r="B7" i="15"/>
  <c r="B11" i="15" s="1"/>
  <c r="B5" i="15"/>
  <c r="B4" i="15"/>
  <c r="B2" i="3" l="1"/>
  <c r="B1" i="3"/>
  <c r="B6" i="14"/>
  <c r="B1" i="14"/>
  <c r="B8" i="14" s="1"/>
  <c r="B6" i="13"/>
  <c r="B1" i="13"/>
  <c r="B8" i="13" s="1"/>
  <c r="B6" i="12"/>
  <c r="B1" i="12"/>
  <c r="B8" i="12" s="1"/>
  <c r="B6" i="11"/>
  <c r="B1" i="11"/>
  <c r="B8" i="11" s="1"/>
  <c r="B6" i="10"/>
  <c r="B1" i="10"/>
  <c r="B8" i="10" s="1"/>
  <c r="C6" i="2"/>
  <c r="B6" i="2"/>
  <c r="B7" i="2" s="1"/>
  <c r="B6" i="9"/>
  <c r="B1" i="9"/>
  <c r="B8" i="9" s="1"/>
  <c r="B8" i="3" l="1"/>
  <c r="B7" i="14"/>
  <c r="B7" i="13"/>
  <c r="B7" i="12"/>
  <c r="B7" i="11"/>
  <c r="B7" i="10"/>
  <c r="B7" i="9"/>
  <c r="B6" i="8" l="1"/>
  <c r="B8" i="8" s="1"/>
  <c r="B12" i="8" s="1"/>
  <c r="B5" i="8"/>
  <c r="B9" i="8" s="1"/>
  <c r="B11" i="8" s="1"/>
  <c r="B6" i="7"/>
  <c r="B8" i="7" s="1"/>
  <c r="B5" i="7"/>
  <c r="B9" i="7" s="1"/>
  <c r="B11" i="7" s="1"/>
  <c r="F6" i="6"/>
  <c r="B6" i="6"/>
  <c r="F2" i="6"/>
  <c r="F9" i="6" s="1"/>
  <c r="F8" i="6" l="1"/>
  <c r="B9" i="6"/>
  <c r="C13" i="4" l="1"/>
  <c r="F9" i="4"/>
  <c r="B9" i="4"/>
  <c r="F8" i="4"/>
  <c r="B8" i="4"/>
  <c r="F7" i="4"/>
  <c r="B7" i="4"/>
  <c r="F2" i="4"/>
  <c r="F3" i="4" s="1"/>
  <c r="B3" i="4"/>
  <c r="F1" i="4"/>
  <c r="B1" i="4"/>
  <c r="B10" i="4" l="1"/>
  <c r="A12" i="4" s="1"/>
  <c r="F10" i="4"/>
  <c r="G12" i="4" s="1"/>
  <c r="C12" i="4" l="1"/>
  <c r="C14" i="4"/>
  <c r="E12" i="4"/>
  <c r="G14" i="4" s="1"/>
  <c r="G13" i="4" l="1"/>
  <c r="B14" i="1"/>
  <c r="B15" i="1" s="1"/>
  <c r="B19" i="1" s="1"/>
  <c r="B16" i="1"/>
  <c r="B17" i="1" s="1"/>
  <c r="B20" i="1" s="1"/>
  <c r="B21" i="1"/>
</calcChain>
</file>

<file path=xl/sharedStrings.xml><?xml version="1.0" encoding="utf-8"?>
<sst xmlns="http://schemas.openxmlformats.org/spreadsheetml/2006/main" count="296" uniqueCount="68">
  <si>
    <t>Cov =</t>
  </si>
  <si>
    <t xml:space="preserve">σ(Y) = </t>
  </si>
  <si>
    <t xml:space="preserve">σ(X) = </t>
  </si>
  <si>
    <t>D(y) =</t>
  </si>
  <si>
    <t>D(x) =</t>
  </si>
  <si>
    <t>m i</t>
  </si>
  <si>
    <t>y i</t>
  </si>
  <si>
    <t>n i</t>
  </si>
  <si>
    <t>x i</t>
  </si>
  <si>
    <t>Эмпирическое распределение признаков</t>
  </si>
  <si>
    <t xml:space="preserve"> Y = 3</t>
  </si>
  <si>
    <t xml:space="preserve"> Y = 2</t>
  </si>
  <si>
    <t xml:space="preserve"> Y = 1</t>
  </si>
  <si>
    <t>X = 6</t>
  </si>
  <si>
    <t>X = 5</t>
  </si>
  <si>
    <t>X = 3</t>
  </si>
  <si>
    <t>X = 1</t>
  </si>
  <si>
    <t>Станд откл</t>
  </si>
  <si>
    <t>Выборка</t>
  </si>
  <si>
    <t>средн колво</t>
  </si>
  <si>
    <t>довер инт</t>
  </si>
  <si>
    <t>z</t>
  </si>
  <si>
    <t>лев гр</t>
  </si>
  <si>
    <t>прав гр</t>
  </si>
  <si>
    <t xml:space="preserve"> </t>
  </si>
  <si>
    <t>X=</t>
  </si>
  <si>
    <t>s^2</t>
  </si>
  <si>
    <t>s=</t>
  </si>
  <si>
    <t>g =</t>
  </si>
  <si>
    <t>n=</t>
  </si>
  <si>
    <t>a=</t>
  </si>
  <si>
    <t>k=</t>
  </si>
  <si>
    <t>t=</t>
  </si>
  <si>
    <t>Δ</t>
  </si>
  <si>
    <t>Ответ:</t>
  </si>
  <si>
    <t>&lt;X&lt;</t>
  </si>
  <si>
    <t>Ошибка оц.:</t>
  </si>
  <si>
    <t>Ширина:</t>
  </si>
  <si>
    <t>&lt;</t>
  </si>
  <si>
    <t>Вариационный ряд:</t>
  </si>
  <si>
    <t>среденее</t>
  </si>
  <si>
    <t>выборка</t>
  </si>
  <si>
    <t>S</t>
  </si>
  <si>
    <t>нижняя граница</t>
  </si>
  <si>
    <t>верхняя граница</t>
  </si>
  <si>
    <t>корень(n)</t>
  </si>
  <si>
    <t>надежность</t>
  </si>
  <si>
    <t>t значение</t>
  </si>
  <si>
    <t>n</t>
  </si>
  <si>
    <t>S^2</t>
  </si>
  <si>
    <t>y</t>
  </si>
  <si>
    <t>(1+y)/2</t>
  </si>
  <si>
    <t>X^2(1-y)/2</t>
  </si>
  <si>
    <t>X^2(1+y)/2</t>
  </si>
  <si>
    <t>z(1+y)/2</t>
  </si>
  <si>
    <t>корень из n</t>
  </si>
  <si>
    <t>станд. отклонение</t>
  </si>
  <si>
    <t>t(1+y)/2</t>
  </si>
  <si>
    <t>(1-y)/2</t>
  </si>
  <si>
    <t>t(y)</t>
  </si>
  <si>
    <t>центр</t>
  </si>
  <si>
    <t>x</t>
  </si>
  <si>
    <t>x^2(1+y)/y</t>
  </si>
  <si>
    <t>x^2(1-y)/y</t>
  </si>
  <si>
    <t>Левая граница</t>
  </si>
  <si>
    <t>Правая граница</t>
  </si>
  <si>
    <t>левая часть</t>
  </si>
  <si>
    <t>правая часть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</si>
</sst>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Fill="1"/>
    <xf numFmtId="0" fontId="3" fillId="0" borderId="0" xfId="0" applyFont="1"/>
    <xf numFmtId="0" fontId="3" fillId="2" borderId="1" xfId="0" applyFont="1" applyFill="1" applyBorder="1"/>
    <xf numFmtId="0" fontId="2" fillId="0" borderId="2" xfId="0" applyFont="1" applyBorder="1"/>
    <xf numFmtId="0" fontId="3" fillId="0" borderId="2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5" fillId="3" borderId="1" xfId="0" applyFont="1" applyFill="1" applyBorder="1" applyAlignment="1">
      <alignment horizontal="center"/>
    </xf>
    <xf numFmtId="0" fontId="5" fillId="0" borderId="0" xfId="0" applyFont="1" applyAlignment="1"/>
    <xf numFmtId="0" fontId="0" fillId="0" borderId="1" xfId="0" applyNumberForma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3" fillId="0" borderId="5" xfId="0" applyFont="1" applyFill="1" applyBorder="1"/>
    <xf numFmtId="0" fontId="0" fillId="0" borderId="6" xfId="0" applyBorder="1"/>
    <xf numFmtId="0" fontId="7" fillId="0" borderId="1" xfId="0" applyFont="1" applyBorder="1"/>
    <xf numFmtId="0" fontId="7" fillId="0" borderId="4" xfId="0" applyFont="1" applyBorder="1"/>
    <xf numFmtId="0" fontId="0" fillId="3" borderId="3" xfId="0" applyFill="1" applyBorder="1"/>
    <xf numFmtId="0" fontId="0" fillId="3" borderId="1" xfId="0" applyFill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NumberFormat="1"/>
    <xf numFmtId="0" fontId="0" fillId="0" borderId="0" xfId="0" applyAlignment="1">
      <alignment wrapText="1"/>
    </xf>
    <xf numFmtId="0" fontId="5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13</xdr:row>
      <xdr:rowOff>14287</xdr:rowOff>
    </xdr:from>
    <xdr:ext cx="2868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F5C9C7B-2397-4EE5-9616-4DC735D3AA7E}"/>
                </a:ext>
              </a:extLst>
            </xdr:cNvPr>
            <xdr:cNvSpPr txBox="1"/>
          </xdr:nvSpPr>
          <xdr:spPr>
            <a:xfrm>
              <a:off x="123825" y="2391727"/>
              <a:ext cx="286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:a14="http://schemas.microsoft.com/office/drawing/2010/main" xmlns="" id="{3F5C9C7B-2397-4EE5-9616-4DC735D3AA7E}"/>
                </a:ext>
              </a:extLst>
            </xdr:cNvPr>
            <xdr:cNvSpPr txBox="1"/>
          </xdr:nvSpPr>
          <xdr:spPr>
            <a:xfrm>
              <a:off x="123825" y="2391727"/>
              <a:ext cx="286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123825</xdr:colOff>
      <xdr:row>15</xdr:row>
      <xdr:rowOff>14287</xdr:rowOff>
    </xdr:from>
    <xdr:ext cx="288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376D738-748E-40BC-B8E8-B3E210EA16C0}"/>
                </a:ext>
              </a:extLst>
            </xdr:cNvPr>
            <xdr:cNvSpPr txBox="1"/>
          </xdr:nvSpPr>
          <xdr:spPr>
            <a:xfrm>
              <a:off x="123825" y="2757487"/>
              <a:ext cx="288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:a14="http://schemas.microsoft.com/office/drawing/2010/main" xmlns="" id="{D376D738-748E-40BC-B8E8-B3E210EA16C0}"/>
                </a:ext>
              </a:extLst>
            </xdr:cNvPr>
            <xdr:cNvSpPr txBox="1"/>
          </xdr:nvSpPr>
          <xdr:spPr>
            <a:xfrm>
              <a:off x="123825" y="2757487"/>
              <a:ext cx="288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B39" sqref="B39"/>
    </sheetView>
  </sheetViews>
  <sheetFormatPr defaultRowHeight="15" x14ac:dyDescent="0.25"/>
  <cols>
    <col min="1" max="1" width="17.7109375" customWidth="1"/>
  </cols>
  <sheetData>
    <row r="1" spans="1:16" x14ac:dyDescent="0.25">
      <c r="A1" t="s">
        <v>57</v>
      </c>
      <c r="B1">
        <f>_xlfn.T.INV((1+0.95)/2, B3-1)</f>
        <v>2.2621571627982049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x14ac:dyDescent="0.25">
      <c r="A2" t="s">
        <v>40</v>
      </c>
      <c r="B2" s="37">
        <f>SUM(125, 78, 102, 140, 90, 45, 50, 125, 115, 112)/B3</f>
        <v>98.2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 x14ac:dyDescent="0.25">
      <c r="A3" t="s">
        <v>41</v>
      </c>
      <c r="B3">
        <v>10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x14ac:dyDescent="0.25">
      <c r="A4" t="s">
        <v>42</v>
      </c>
      <c r="B4">
        <v>10.1709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 x14ac:dyDescent="0.25"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6" x14ac:dyDescent="0.25">
      <c r="A6" t="s">
        <v>55</v>
      </c>
      <c r="B6">
        <f>SQRT(B3)</f>
        <v>3.1622776601683795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6" x14ac:dyDescent="0.25">
      <c r="A7" t="s">
        <v>43</v>
      </c>
      <c r="B7">
        <f>B2-((B1*B4)/B6)</f>
        <v>90.924176445062969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6" x14ac:dyDescent="0.25">
      <c r="A8" t="s">
        <v>44</v>
      </c>
      <c r="B8">
        <f>B2+((B1*B4)/B6)</f>
        <v>105.47582355493704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3" sqref="B3"/>
    </sheetView>
  </sheetViews>
  <sheetFormatPr defaultRowHeight="15" x14ac:dyDescent="0.25"/>
  <cols>
    <col min="3" max="3" width="12" bestFit="1" customWidth="1"/>
  </cols>
  <sheetData>
    <row r="1" spans="1:10" ht="20.25" x14ac:dyDescent="0.3">
      <c r="A1" s="3" t="s">
        <v>25</v>
      </c>
      <c r="B1" s="4">
        <f>(313+320+319+340+325+310+321+329+317+311+307+318)/12</f>
        <v>319.16666666666669</v>
      </c>
      <c r="C1" s="5"/>
      <c r="E1" s="3" t="s">
        <v>25</v>
      </c>
      <c r="F1" s="4">
        <f>(313+320+319+340+325+310+321+329+317+311+307+318)/12</f>
        <v>319.16666666666669</v>
      </c>
      <c r="G1" s="6"/>
    </row>
    <row r="2" spans="1:10" ht="20.25" x14ac:dyDescent="0.3">
      <c r="A2" s="3" t="s">
        <v>26</v>
      </c>
      <c r="B2" s="4">
        <f>_xlfn.VAR.S(313,320,319,340,325,310,321,329,317,311,307,318)</f>
        <v>82.87878787878789</v>
      </c>
      <c r="C2" s="5"/>
      <c r="E2" s="3" t="s">
        <v>26</v>
      </c>
      <c r="F2" s="4">
        <f>_xlfn.VAR.S(313,320,319,340,325,310,321,329,317,311,307,318)</f>
        <v>82.87878787878789</v>
      </c>
      <c r="G2" s="6"/>
    </row>
    <row r="3" spans="1:10" ht="20.25" x14ac:dyDescent="0.3">
      <c r="A3" s="3" t="s">
        <v>27</v>
      </c>
      <c r="B3" s="4">
        <f>SQRT(B2)</f>
        <v>9.1037787692137986</v>
      </c>
      <c r="C3" s="5"/>
      <c r="E3" s="3" t="s">
        <v>27</v>
      </c>
      <c r="F3" s="4">
        <f>SQRT(F2)</f>
        <v>9.1037787692137986</v>
      </c>
      <c r="G3" s="6"/>
    </row>
    <row r="4" spans="1:10" ht="20.25" x14ac:dyDescent="0.3">
      <c r="A4" s="4" t="s">
        <v>28</v>
      </c>
      <c r="B4" s="7">
        <v>0.9</v>
      </c>
      <c r="C4" s="5"/>
      <c r="E4" s="4" t="s">
        <v>28</v>
      </c>
      <c r="F4" s="7">
        <v>0.99</v>
      </c>
      <c r="G4" s="6"/>
    </row>
    <row r="5" spans="1:10" ht="20.25" x14ac:dyDescent="0.3">
      <c r="A5" s="3" t="s">
        <v>29</v>
      </c>
      <c r="B5" s="4">
        <v>12</v>
      </c>
      <c r="C5" s="5"/>
      <c r="E5" s="3" t="s">
        <v>29</v>
      </c>
      <c r="F5" s="4">
        <v>12</v>
      </c>
      <c r="G5" s="6"/>
    </row>
    <row r="6" spans="1:10" ht="20.25" x14ac:dyDescent="0.3">
      <c r="A6" s="4"/>
      <c r="B6" s="4"/>
      <c r="C6" s="5"/>
      <c r="E6" s="4"/>
      <c r="F6" s="4"/>
      <c r="G6" s="6"/>
    </row>
    <row r="7" spans="1:10" ht="20.25" x14ac:dyDescent="0.3">
      <c r="A7" s="3" t="s">
        <v>30</v>
      </c>
      <c r="B7" s="4">
        <f>1-B4</f>
        <v>9.9999999999999978E-2</v>
      </c>
      <c r="C7" s="5"/>
      <c r="E7" s="3" t="s">
        <v>30</v>
      </c>
      <c r="F7" s="4">
        <f>1-F4</f>
        <v>1.0000000000000009E-2</v>
      </c>
      <c r="G7" s="6"/>
    </row>
    <row r="8" spans="1:10" ht="20.25" x14ac:dyDescent="0.3">
      <c r="A8" s="3" t="s">
        <v>31</v>
      </c>
      <c r="B8" s="4">
        <f>B5-1</f>
        <v>11</v>
      </c>
      <c r="C8" s="5"/>
      <c r="E8" s="3" t="s">
        <v>31</v>
      </c>
      <c r="F8" s="4">
        <f>F5-1</f>
        <v>11</v>
      </c>
      <c r="G8" s="6"/>
    </row>
    <row r="9" spans="1:10" ht="20.25" x14ac:dyDescent="0.3">
      <c r="A9" s="3" t="s">
        <v>32</v>
      </c>
      <c r="B9" s="4">
        <f>_xlfn.T.INV((1+B4)/2, B5-1)</f>
        <v>1.795884818704043</v>
      </c>
      <c r="C9" s="6"/>
      <c r="E9" s="3" t="s">
        <v>32</v>
      </c>
      <c r="F9" s="4">
        <f>_xlfn.T.INV((1+F4)/2, F5-1)</f>
        <v>3.10580651553928</v>
      </c>
      <c r="G9" s="6"/>
    </row>
    <row r="10" spans="1:10" ht="20.25" x14ac:dyDescent="0.3">
      <c r="A10" s="8" t="s">
        <v>33</v>
      </c>
      <c r="B10" s="9">
        <f>B9*(B3/SQRT(B5))</f>
        <v>4.7196473720708356</v>
      </c>
      <c r="C10" s="6"/>
      <c r="E10" s="8" t="s">
        <v>33</v>
      </c>
      <c r="F10" s="9">
        <f>F9*(F3/SQRT(F5))</f>
        <v>8.162166864244254</v>
      </c>
      <c r="G10" s="6"/>
    </row>
    <row r="11" spans="1:10" ht="20.25" x14ac:dyDescent="0.3">
      <c r="A11" s="10" t="s">
        <v>34</v>
      </c>
      <c r="B11" s="4"/>
      <c r="C11" s="4"/>
      <c r="E11" s="10" t="s">
        <v>34</v>
      </c>
      <c r="F11" s="4"/>
      <c r="G11" s="4"/>
    </row>
    <row r="12" spans="1:10" ht="20.25" x14ac:dyDescent="0.3">
      <c r="A12" s="4">
        <f>B1-B10</f>
        <v>314.44701929459586</v>
      </c>
      <c r="B12" s="11" t="s">
        <v>35</v>
      </c>
      <c r="C12" s="4">
        <f>B1+B10</f>
        <v>323.88631403873751</v>
      </c>
      <c r="E12" s="4">
        <f>F1-F10</f>
        <v>311.00449980242246</v>
      </c>
      <c r="F12" s="11" t="s">
        <v>35</v>
      </c>
      <c r="G12" s="4">
        <f>F1+F10</f>
        <v>327.32883353091091</v>
      </c>
    </row>
    <row r="13" spans="1:10" ht="21" customHeight="1" x14ac:dyDescent="0.3">
      <c r="A13" s="39" t="s">
        <v>36</v>
      </c>
      <c r="B13" s="39"/>
      <c r="C13" s="12">
        <f>_xlfn.STDEV.S(313,320,319,340,325,310,321,329,317,311,307,318)</f>
        <v>9.1037787692137986</v>
      </c>
      <c r="D13" s="13"/>
      <c r="E13" s="39" t="s">
        <v>36</v>
      </c>
      <c r="F13" s="39"/>
      <c r="G13" s="12">
        <f>(G12-E12)/2</f>
        <v>8.1621668642442273</v>
      </c>
    </row>
    <row r="14" spans="1:10" ht="20.25" x14ac:dyDescent="0.3">
      <c r="A14" s="39" t="s">
        <v>37</v>
      </c>
      <c r="B14" s="39"/>
      <c r="C14" s="12">
        <f>(C12-A12)/2</f>
        <v>4.7196473720708241</v>
      </c>
      <c r="D14" s="14" t="s">
        <v>38</v>
      </c>
      <c r="E14" s="39" t="s">
        <v>37</v>
      </c>
      <c r="F14" s="39"/>
      <c r="G14" s="12">
        <f>(G12-E12)/2</f>
        <v>8.1621668642442273</v>
      </c>
      <c r="I14" s="15"/>
      <c r="J14" s="15"/>
    </row>
  </sheetData>
  <mergeCells count="4">
    <mergeCell ref="A13:B13"/>
    <mergeCell ref="E13:F13"/>
    <mergeCell ref="A14:B14"/>
    <mergeCell ref="E14:F1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3" sqref="B3"/>
    </sheetView>
  </sheetViews>
  <sheetFormatPr defaultRowHeight="15" x14ac:dyDescent="0.25"/>
  <cols>
    <col min="1" max="1" width="17.7109375" customWidth="1"/>
    <col min="5" max="5" width="17.7109375" customWidth="1"/>
  </cols>
  <sheetData>
    <row r="1" spans="1:7" ht="20.25" x14ac:dyDescent="0.3">
      <c r="A1" s="2" t="s">
        <v>46</v>
      </c>
      <c r="B1" s="32">
        <v>0.95</v>
      </c>
      <c r="C1" s="28"/>
      <c r="D1" s="29"/>
      <c r="E1" s="27" t="s">
        <v>46</v>
      </c>
      <c r="F1" s="33">
        <v>0.99</v>
      </c>
      <c r="G1" s="6"/>
    </row>
    <row r="2" spans="1:7" ht="20.25" x14ac:dyDescent="0.3">
      <c r="A2" s="2" t="s">
        <v>47</v>
      </c>
      <c r="B2" s="25">
        <f>_xlfn.T.INV((1+B1)/2, B4-1)</f>
        <v>2.1447866879178035</v>
      </c>
      <c r="C2" s="28"/>
      <c r="D2" s="29"/>
      <c r="E2" s="27" t="s">
        <v>47</v>
      </c>
      <c r="F2" s="2">
        <f>_xlfn.T.INV((1+F1)/2, F4-1)</f>
        <v>2.9768427343708344</v>
      </c>
      <c r="G2" s="6"/>
    </row>
    <row r="3" spans="1:7" ht="20.25" x14ac:dyDescent="0.3">
      <c r="A3" s="2" t="s">
        <v>40</v>
      </c>
      <c r="B3" s="26">
        <v>10.37</v>
      </c>
      <c r="C3" s="28"/>
      <c r="D3" s="29"/>
      <c r="E3" s="27" t="s">
        <v>40</v>
      </c>
      <c r="F3" s="16">
        <v>10.37</v>
      </c>
      <c r="G3" s="6"/>
    </row>
    <row r="4" spans="1:7" ht="20.25" x14ac:dyDescent="0.3">
      <c r="A4" s="2" t="s">
        <v>41</v>
      </c>
      <c r="B4" s="25">
        <v>15</v>
      </c>
      <c r="C4" s="28"/>
      <c r="D4" s="29"/>
      <c r="E4" s="27" t="s">
        <v>41</v>
      </c>
      <c r="F4" s="2">
        <v>15</v>
      </c>
      <c r="G4" s="6"/>
    </row>
    <row r="5" spans="1:7" ht="20.25" x14ac:dyDescent="0.3">
      <c r="A5" s="2" t="s">
        <v>42</v>
      </c>
      <c r="B5" s="25">
        <v>3.5</v>
      </c>
      <c r="C5" s="28"/>
      <c r="D5" s="29"/>
      <c r="E5" s="27" t="s">
        <v>42</v>
      </c>
      <c r="F5" s="2">
        <v>3.5</v>
      </c>
      <c r="G5" s="6"/>
    </row>
    <row r="6" spans="1:7" ht="20.25" x14ac:dyDescent="0.3">
      <c r="A6" s="2" t="s">
        <v>45</v>
      </c>
      <c r="B6" s="25">
        <f>SQRT(B4)</f>
        <v>3.872983346207417</v>
      </c>
      <c r="C6" s="28"/>
      <c r="D6" s="29"/>
      <c r="E6" s="27" t="s">
        <v>45</v>
      </c>
      <c r="F6" s="2">
        <f>SQRT(F4)</f>
        <v>3.872983346207417</v>
      </c>
      <c r="G6" s="6"/>
    </row>
    <row r="7" spans="1:7" ht="20.25" x14ac:dyDescent="0.3">
      <c r="A7" s="2"/>
      <c r="B7" s="25"/>
      <c r="C7" s="28"/>
      <c r="D7" s="29"/>
      <c r="E7" s="27"/>
      <c r="F7" s="2"/>
      <c r="G7" s="6"/>
    </row>
    <row r="8" spans="1:7" ht="20.25" x14ac:dyDescent="0.3">
      <c r="A8" s="30" t="s">
        <v>43</v>
      </c>
      <c r="B8" s="25">
        <f>B3-((B2*B5)/B6)</f>
        <v>8.4317646045229626</v>
      </c>
      <c r="C8" s="28"/>
      <c r="D8" s="29"/>
      <c r="E8" s="31" t="s">
        <v>43</v>
      </c>
      <c r="F8" s="2">
        <f>F3-((F2*F5)/F6)</f>
        <v>7.6798387886174151</v>
      </c>
      <c r="G8" s="6"/>
    </row>
    <row r="9" spans="1:7" ht="20.25" x14ac:dyDescent="0.3">
      <c r="A9" s="30" t="s">
        <v>44</v>
      </c>
      <c r="B9" s="2">
        <f>B3+((B2*B5)/B6)</f>
        <v>12.308235395477036</v>
      </c>
      <c r="C9" s="28"/>
      <c r="D9" s="29"/>
      <c r="E9" s="30" t="s">
        <v>44</v>
      </c>
      <c r="F9" s="2">
        <f>F3+((F2*F5)/F6)</f>
        <v>13.060161211382583</v>
      </c>
      <c r="G9" s="6"/>
    </row>
    <row r="10" spans="1:7" ht="13.9" customHeight="1" x14ac:dyDescent="0.3">
      <c r="A10" s="17"/>
      <c r="B10" s="18"/>
      <c r="C10" s="18"/>
      <c r="D10" s="19"/>
      <c r="E10" s="17"/>
      <c r="F10" s="18"/>
      <c r="G10" s="18"/>
    </row>
    <row r="11" spans="1:7" ht="14.45" customHeight="1" x14ac:dyDescent="0.3">
      <c r="A11" s="20"/>
      <c r="B11" s="18"/>
      <c r="C11" s="18"/>
      <c r="D11" s="19"/>
      <c r="E11" s="20"/>
      <c r="F11" s="18"/>
      <c r="G11" s="18"/>
    </row>
    <row r="12" spans="1:7" ht="14.45" customHeight="1" x14ac:dyDescent="0.3">
      <c r="A12" s="18"/>
      <c r="B12" s="21"/>
      <c r="C12" s="18"/>
      <c r="D12" s="19"/>
      <c r="E12" s="18"/>
      <c r="F12" s="21"/>
      <c r="G12" s="18"/>
    </row>
    <row r="13" spans="1:7" ht="14.45" customHeight="1" x14ac:dyDescent="0.3">
      <c r="A13" s="24"/>
      <c r="B13" s="24"/>
      <c r="C13" s="22"/>
      <c r="D13" s="22"/>
      <c r="E13" s="24"/>
      <c r="F13" s="24"/>
      <c r="G13" s="22"/>
    </row>
    <row r="14" spans="1:7" ht="14.45" customHeight="1" x14ac:dyDescent="0.3">
      <c r="A14" s="24"/>
      <c r="B14" s="24"/>
      <c r="C14" s="22"/>
      <c r="D14" s="23"/>
      <c r="E14" s="24"/>
      <c r="F14" s="24"/>
      <c r="G14" s="2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D21" sqref="D21"/>
    </sheetView>
  </sheetViews>
  <sheetFormatPr defaultRowHeight="15" x14ac:dyDescent="0.25"/>
  <cols>
    <col min="1" max="1" width="17.7109375" customWidth="1"/>
  </cols>
  <sheetData>
    <row r="2" spans="1:2" x14ac:dyDescent="0.25">
      <c r="A2" t="s">
        <v>48</v>
      </c>
      <c r="B2">
        <v>30</v>
      </c>
    </row>
    <row r="3" spans="1:2" x14ac:dyDescent="0.25">
      <c r="A3" t="s">
        <v>49</v>
      </c>
      <c r="B3">
        <v>18.54</v>
      </c>
    </row>
    <row r="4" spans="1:2" x14ac:dyDescent="0.25">
      <c r="A4" t="s">
        <v>50</v>
      </c>
      <c r="B4">
        <v>0.95</v>
      </c>
    </row>
    <row r="5" spans="1:2" x14ac:dyDescent="0.25">
      <c r="A5" t="s">
        <v>51</v>
      </c>
      <c r="B5">
        <f>(1+B4)/2</f>
        <v>0.97499999999999998</v>
      </c>
    </row>
    <row r="6" spans="1:2" x14ac:dyDescent="0.25">
      <c r="A6" t="s">
        <v>58</v>
      </c>
      <c r="B6">
        <f>(1-B4)/2</f>
        <v>2.5000000000000022E-2</v>
      </c>
    </row>
    <row r="8" spans="1:2" x14ac:dyDescent="0.25">
      <c r="A8" t="s">
        <v>52</v>
      </c>
      <c r="B8">
        <f>_xlfn.CHISQ.INV(B6,B2)</f>
        <v>16.79077226556663</v>
      </c>
    </row>
    <row r="9" spans="1:2" x14ac:dyDescent="0.25">
      <c r="A9" t="s">
        <v>53</v>
      </c>
      <c r="B9">
        <f>_xlfn.CHISQ.INV(B5,B2)</f>
        <v>46.979242243671159</v>
      </c>
    </row>
    <row r="11" spans="1:2" x14ac:dyDescent="0.25">
      <c r="A11" t="s">
        <v>22</v>
      </c>
      <c r="B11">
        <f>B2*B3/B9</f>
        <v>11.83927141938797</v>
      </c>
    </row>
    <row r="12" spans="1:2" x14ac:dyDescent="0.25">
      <c r="A12" t="s">
        <v>23</v>
      </c>
      <c r="B12">
        <f>B2*B3/B8</f>
        <v>33.125337608241935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6" sqref="A6"/>
    </sheetView>
  </sheetViews>
  <sheetFormatPr defaultRowHeight="15" x14ac:dyDescent="0.25"/>
  <cols>
    <col min="1" max="1" width="17.7109375" customWidth="1"/>
  </cols>
  <sheetData>
    <row r="1" spans="1:2" x14ac:dyDescent="0.25">
      <c r="A1" t="s">
        <v>48</v>
      </c>
      <c r="B1">
        <v>28</v>
      </c>
    </row>
    <row r="2" spans="1:2" x14ac:dyDescent="0.25">
      <c r="A2" t="s">
        <v>49</v>
      </c>
      <c r="B2">
        <v>16.34</v>
      </c>
    </row>
    <row r="3" spans="1:2" x14ac:dyDescent="0.25">
      <c r="A3" t="s">
        <v>50</v>
      </c>
      <c r="B3">
        <v>0.98</v>
      </c>
    </row>
    <row r="4" spans="1:2" x14ac:dyDescent="0.25">
      <c r="A4" t="s">
        <v>51</v>
      </c>
      <c r="B4">
        <f>(1+B3)/2</f>
        <v>0.99</v>
      </c>
    </row>
    <row r="5" spans="1:2" x14ac:dyDescent="0.25">
      <c r="A5" t="s">
        <v>58</v>
      </c>
      <c r="B5">
        <f>(1-B3)/2</f>
        <v>1.0000000000000009E-2</v>
      </c>
    </row>
    <row r="7" spans="1:2" x14ac:dyDescent="0.25">
      <c r="A7" t="s">
        <v>52</v>
      </c>
      <c r="B7">
        <f>_xlfn.CHISQ.INV(B5,B1)</f>
        <v>13.564709754618816</v>
      </c>
    </row>
    <row r="8" spans="1:2" x14ac:dyDescent="0.25">
      <c r="A8" t="s">
        <v>53</v>
      </c>
      <c r="B8">
        <f>_xlfn.CHISQ.INV(B4,B1)</f>
        <v>48.278235770315511</v>
      </c>
    </row>
    <row r="10" spans="1:2" x14ac:dyDescent="0.25">
      <c r="A10" t="s">
        <v>22</v>
      </c>
      <c r="B10">
        <f>B1*B2/B8</f>
        <v>9.4767340334609322</v>
      </c>
    </row>
    <row r="11" spans="1:2" x14ac:dyDescent="0.25">
      <c r="A11" t="s">
        <v>23</v>
      </c>
      <c r="B11">
        <f>B1*B2/B7</f>
        <v>33.72869809058858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2" x14ac:dyDescent="0.25">
      <c r="A1" s="34"/>
      <c r="B1" s="35"/>
    </row>
    <row r="2" spans="1:2" x14ac:dyDescent="0.25">
      <c r="A2" s="2" t="s">
        <v>48</v>
      </c>
      <c r="B2" s="2">
        <v>60</v>
      </c>
    </row>
    <row r="3" spans="1:2" x14ac:dyDescent="0.25">
      <c r="A3" s="2" t="s">
        <v>49</v>
      </c>
      <c r="B3" s="2">
        <v>21.34</v>
      </c>
    </row>
    <row r="4" spans="1:2" x14ac:dyDescent="0.25">
      <c r="A4" s="2" t="s">
        <v>50</v>
      </c>
      <c r="B4" s="2">
        <v>0.95</v>
      </c>
    </row>
    <row r="5" spans="1:2" x14ac:dyDescent="0.25">
      <c r="A5" s="2" t="s">
        <v>51</v>
      </c>
      <c r="B5" s="2">
        <f>(1+B4)/2</f>
        <v>0.97499999999999998</v>
      </c>
    </row>
    <row r="6" spans="1:2" x14ac:dyDescent="0.25">
      <c r="A6" s="2" t="s">
        <v>58</v>
      </c>
      <c r="B6" s="2">
        <f>(1-B4)/2</f>
        <v>2.5000000000000022E-2</v>
      </c>
    </row>
    <row r="7" spans="1:2" x14ac:dyDescent="0.25">
      <c r="A7" s="36"/>
      <c r="B7" s="29"/>
    </row>
    <row r="8" spans="1:2" x14ac:dyDescent="0.25">
      <c r="A8" s="2" t="s">
        <v>52</v>
      </c>
      <c r="B8" s="2">
        <f>_xlfn.CHISQ.INV(B6,B2)</f>
        <v>40.481748042841829</v>
      </c>
    </row>
    <row r="9" spans="1:2" x14ac:dyDescent="0.25">
      <c r="A9" s="2" t="s">
        <v>53</v>
      </c>
      <c r="B9" s="2">
        <f>_xlfn.CHISQ.INV(B5,B2)</f>
        <v>83.297674877173193</v>
      </c>
    </row>
    <row r="10" spans="1:2" x14ac:dyDescent="0.25">
      <c r="A10" s="36"/>
      <c r="B10" s="29"/>
    </row>
    <row r="11" spans="1:2" x14ac:dyDescent="0.25">
      <c r="A11" s="30" t="s">
        <v>22</v>
      </c>
      <c r="B11" s="2">
        <f>B2*B3/B9</f>
        <v>15.371377435060669</v>
      </c>
    </row>
    <row r="12" spans="1:2" x14ac:dyDescent="0.25">
      <c r="A12" s="30" t="s">
        <v>23</v>
      </c>
      <c r="B12" s="2">
        <f>B2*B3/B8</f>
        <v>31.629068948429619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39" sqref="E39"/>
    </sheetView>
  </sheetViews>
  <sheetFormatPr defaultRowHeight="15" x14ac:dyDescent="0.25"/>
  <cols>
    <col min="1" max="1" width="17.7109375" customWidth="1"/>
    <col min="4" max="4" width="17.7109375" customWidth="1"/>
  </cols>
  <sheetData>
    <row r="1" spans="1:5" x14ac:dyDescent="0.25">
      <c r="A1" s="2" t="s">
        <v>48</v>
      </c>
      <c r="B1" s="2">
        <v>50</v>
      </c>
      <c r="D1" s="2" t="s">
        <v>48</v>
      </c>
      <c r="E1" s="2">
        <v>50</v>
      </c>
    </row>
    <row r="2" spans="1:5" x14ac:dyDescent="0.25">
      <c r="A2" s="2" t="s">
        <v>49</v>
      </c>
      <c r="B2" s="2">
        <v>68.7</v>
      </c>
      <c r="D2" s="2" t="s">
        <v>49</v>
      </c>
      <c r="E2" s="2">
        <v>68.7</v>
      </c>
    </row>
    <row r="3" spans="1:5" x14ac:dyDescent="0.25">
      <c r="A3" s="2" t="s">
        <v>50</v>
      </c>
      <c r="B3" s="33">
        <v>0.98</v>
      </c>
      <c r="D3" s="2" t="s">
        <v>50</v>
      </c>
      <c r="E3" s="33">
        <v>0.95</v>
      </c>
    </row>
    <row r="4" spans="1:5" x14ac:dyDescent="0.25">
      <c r="A4" s="2" t="s">
        <v>51</v>
      </c>
      <c r="B4" s="2">
        <f>(1+B3)/2</f>
        <v>0.99</v>
      </c>
      <c r="D4" s="2" t="s">
        <v>51</v>
      </c>
      <c r="E4" s="2">
        <f>(1+E3)/2</f>
        <v>0.97499999999999998</v>
      </c>
    </row>
    <row r="5" spans="1:5" x14ac:dyDescent="0.25">
      <c r="A5" s="2" t="s">
        <v>58</v>
      </c>
      <c r="B5" s="2">
        <f>(1-B3)/2</f>
        <v>1.0000000000000009E-2</v>
      </c>
      <c r="D5" s="2" t="s">
        <v>58</v>
      </c>
      <c r="E5" s="2">
        <f>(1-E3)/2</f>
        <v>2.5000000000000022E-2</v>
      </c>
    </row>
    <row r="6" spans="1:5" x14ac:dyDescent="0.25">
      <c r="A6" s="36"/>
      <c r="B6" s="29"/>
      <c r="D6" s="36"/>
      <c r="E6" s="29"/>
    </row>
    <row r="7" spans="1:5" x14ac:dyDescent="0.25">
      <c r="A7" s="2" t="s">
        <v>52</v>
      </c>
      <c r="B7" s="2">
        <f>_xlfn.CHISQ.INV(B5,B1)</f>
        <v>29.706682698841295</v>
      </c>
      <c r="D7" s="2" t="s">
        <v>52</v>
      </c>
      <c r="E7" s="2">
        <f>_xlfn.CHISQ.INV(E5,E1)</f>
        <v>32.357363695658648</v>
      </c>
    </row>
    <row r="8" spans="1:5" x14ac:dyDescent="0.25">
      <c r="A8" s="2" t="s">
        <v>53</v>
      </c>
      <c r="B8" s="2">
        <f>_xlfn.CHISQ.INV(B4,B1)</f>
        <v>76.153891249012702</v>
      </c>
      <c r="D8" s="2" t="s">
        <v>53</v>
      </c>
      <c r="E8" s="2">
        <f>_xlfn.CHISQ.INV(E4,E1)</f>
        <v>71.420195187506422</v>
      </c>
    </row>
    <row r="9" spans="1:5" x14ac:dyDescent="0.25">
      <c r="A9" s="36"/>
      <c r="B9" s="29"/>
      <c r="D9" s="36"/>
      <c r="E9" s="29"/>
    </row>
    <row r="10" spans="1:5" x14ac:dyDescent="0.25">
      <c r="A10" s="30" t="s">
        <v>22</v>
      </c>
      <c r="B10" s="2">
        <f>B1*B2/B8</f>
        <v>45.10603389612784</v>
      </c>
      <c r="D10" s="30" t="s">
        <v>22</v>
      </c>
      <c r="E10" s="2">
        <f>E1*E2/E8</f>
        <v>48.095640049453223</v>
      </c>
    </row>
    <row r="11" spans="1:5" x14ac:dyDescent="0.25">
      <c r="A11" s="30" t="s">
        <v>23</v>
      </c>
      <c r="B11" s="2">
        <f>B1*B2/B7</f>
        <v>115.63054800911789</v>
      </c>
      <c r="D11" s="30" t="s">
        <v>23</v>
      </c>
      <c r="E11" s="2">
        <f>E1*E2/E7</f>
        <v>106.15821586419509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5" x14ac:dyDescent="0.25"/>
  <cols>
    <col min="1" max="1" width="17.7109375" customWidth="1"/>
  </cols>
  <sheetData>
    <row r="1" spans="1:2" x14ac:dyDescent="0.25">
      <c r="A1" s="2" t="s">
        <v>48</v>
      </c>
      <c r="B1" s="2">
        <v>40</v>
      </c>
    </row>
    <row r="2" spans="1:2" x14ac:dyDescent="0.25">
      <c r="A2" s="2" t="s">
        <v>49</v>
      </c>
      <c r="B2" s="2">
        <v>9.34</v>
      </c>
    </row>
    <row r="3" spans="1:2" x14ac:dyDescent="0.25">
      <c r="A3" s="2" t="s">
        <v>50</v>
      </c>
      <c r="B3" s="2">
        <v>0.98</v>
      </c>
    </row>
    <row r="4" spans="1:2" x14ac:dyDescent="0.25">
      <c r="A4" s="2" t="s">
        <v>51</v>
      </c>
      <c r="B4" s="2">
        <f>(1+B3)/2</f>
        <v>0.99</v>
      </c>
    </row>
    <row r="5" spans="1:2" x14ac:dyDescent="0.25">
      <c r="A5" s="2" t="s">
        <v>58</v>
      </c>
      <c r="B5" s="2">
        <f>(1-B3)/2</f>
        <v>1.0000000000000009E-2</v>
      </c>
    </row>
    <row r="6" spans="1:2" x14ac:dyDescent="0.25">
      <c r="A6" s="36"/>
      <c r="B6" s="29"/>
    </row>
    <row r="7" spans="1:2" x14ac:dyDescent="0.25">
      <c r="A7" s="2" t="s">
        <v>52</v>
      </c>
      <c r="B7" s="2">
        <f>_xlfn.CHISQ.INV(B5,B1)</f>
        <v>22.164261252975162</v>
      </c>
    </row>
    <row r="8" spans="1:2" x14ac:dyDescent="0.25">
      <c r="A8" s="2" t="s">
        <v>53</v>
      </c>
      <c r="B8" s="2">
        <f>_xlfn.CHISQ.INV(B4,B1)</f>
        <v>63.690739751564493</v>
      </c>
    </row>
    <row r="9" spans="1:2" x14ac:dyDescent="0.25">
      <c r="A9" s="36"/>
      <c r="B9" s="29"/>
    </row>
    <row r="10" spans="1:2" x14ac:dyDescent="0.25">
      <c r="A10" s="30" t="s">
        <v>22</v>
      </c>
      <c r="B10" s="2">
        <f>B1*B2/B8</f>
        <v>5.8658448851007883</v>
      </c>
    </row>
    <row r="11" spans="1:2" x14ac:dyDescent="0.25">
      <c r="A11" s="30" t="s">
        <v>23</v>
      </c>
      <c r="B11" s="2">
        <f>B1*B2/B7</f>
        <v>16.85596446170074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23" sqref="D23"/>
    </sheetView>
  </sheetViews>
  <sheetFormatPr defaultRowHeight="15" x14ac:dyDescent="0.25"/>
  <cols>
    <col min="1" max="1" width="17.7109375" customWidth="1"/>
  </cols>
  <sheetData>
    <row r="1" spans="1:2" x14ac:dyDescent="0.25">
      <c r="A1" s="2" t="s">
        <v>48</v>
      </c>
      <c r="B1" s="2">
        <v>101</v>
      </c>
    </row>
    <row r="2" spans="1:2" x14ac:dyDescent="0.25">
      <c r="A2" s="2" t="s">
        <v>42</v>
      </c>
      <c r="B2" s="2">
        <v>4</v>
      </c>
    </row>
    <row r="3" spans="1:2" x14ac:dyDescent="0.25">
      <c r="A3" s="2" t="s">
        <v>50</v>
      </c>
      <c r="B3" s="2">
        <v>0.95</v>
      </c>
    </row>
    <row r="4" spans="1:2" x14ac:dyDescent="0.25">
      <c r="A4" s="2" t="s">
        <v>49</v>
      </c>
      <c r="B4" s="2">
        <f>B2^2</f>
        <v>16</v>
      </c>
    </row>
    <row r="5" spans="1:2" x14ac:dyDescent="0.25">
      <c r="A5" s="36"/>
      <c r="B5" s="29"/>
    </row>
    <row r="6" spans="1:2" x14ac:dyDescent="0.25">
      <c r="A6" s="2" t="s">
        <v>51</v>
      </c>
      <c r="B6" s="2">
        <f>(1+B3)/2</f>
        <v>0.97499999999999998</v>
      </c>
    </row>
    <row r="7" spans="1:2" x14ac:dyDescent="0.25">
      <c r="A7" s="2" t="s">
        <v>58</v>
      </c>
      <c r="B7" s="2">
        <f>(1-B3)/2</f>
        <v>2.5000000000000022E-2</v>
      </c>
    </row>
    <row r="8" spans="1:2" x14ac:dyDescent="0.25">
      <c r="A8" s="36"/>
      <c r="B8" s="29"/>
    </row>
    <row r="9" spans="1:2" x14ac:dyDescent="0.25">
      <c r="A9" s="2" t="s">
        <v>52</v>
      </c>
      <c r="B9" s="2">
        <f>_xlfn.CHISQ.INV(B7,B1-1)</f>
        <v>74.221927474923731</v>
      </c>
    </row>
    <row r="10" spans="1:2" x14ac:dyDescent="0.25">
      <c r="A10" s="2" t="s">
        <v>53</v>
      </c>
      <c r="B10" s="2">
        <f>_xlfn.CHISQ.INV(B6,B1-1)</f>
        <v>129.56119718583659</v>
      </c>
    </row>
    <row r="11" spans="1:2" x14ac:dyDescent="0.25">
      <c r="A11" s="36"/>
      <c r="B11" s="29"/>
    </row>
    <row r="12" spans="1:2" x14ac:dyDescent="0.25">
      <c r="A12" s="30" t="s">
        <v>22</v>
      </c>
      <c r="B12" s="2">
        <f>SQRT((B1-1)*B4/B10)</f>
        <v>3.5141679627433891</v>
      </c>
    </row>
    <row r="13" spans="1:2" x14ac:dyDescent="0.25">
      <c r="A13" s="30" t="s">
        <v>23</v>
      </c>
      <c r="B13" s="2">
        <f>SQRT((B1-1)*B4/B9)</f>
        <v>4.642948614127933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cols>
    <col min="1" max="1" width="17.7109375" customWidth="1"/>
  </cols>
  <sheetData>
    <row r="1" spans="1:2" x14ac:dyDescent="0.25">
      <c r="A1" s="2" t="s">
        <v>48</v>
      </c>
      <c r="B1" s="2">
        <v>61</v>
      </c>
    </row>
    <row r="2" spans="1:2" x14ac:dyDescent="0.25">
      <c r="A2" s="2" t="s">
        <v>42</v>
      </c>
      <c r="B2" s="2">
        <v>4</v>
      </c>
    </row>
    <row r="3" spans="1:2" x14ac:dyDescent="0.25">
      <c r="A3" s="2" t="s">
        <v>50</v>
      </c>
      <c r="B3" s="2">
        <v>0.95</v>
      </c>
    </row>
    <row r="4" spans="1:2" x14ac:dyDescent="0.25">
      <c r="A4" s="2" t="s">
        <v>49</v>
      </c>
      <c r="B4" s="2">
        <f>B2^2</f>
        <v>16</v>
      </c>
    </row>
    <row r="5" spans="1:2" x14ac:dyDescent="0.25">
      <c r="A5" s="36"/>
      <c r="B5" s="29"/>
    </row>
    <row r="6" spans="1:2" x14ac:dyDescent="0.25">
      <c r="A6" s="2" t="s">
        <v>51</v>
      </c>
      <c r="B6" s="2">
        <f>(1+B3)/2</f>
        <v>0.97499999999999998</v>
      </c>
    </row>
    <row r="7" spans="1:2" x14ac:dyDescent="0.25">
      <c r="A7" s="2" t="s">
        <v>58</v>
      </c>
      <c r="B7" s="2">
        <f>(1-B3)/2</f>
        <v>2.5000000000000022E-2</v>
      </c>
    </row>
    <row r="8" spans="1:2" x14ac:dyDescent="0.25">
      <c r="A8" s="36"/>
      <c r="B8" s="29"/>
    </row>
    <row r="9" spans="1:2" x14ac:dyDescent="0.25">
      <c r="A9" s="2" t="s">
        <v>52</v>
      </c>
      <c r="B9" s="2">
        <f>_xlfn.CHISQ.INV(B7,B1-1)</f>
        <v>40.481748042841829</v>
      </c>
    </row>
    <row r="10" spans="1:2" x14ac:dyDescent="0.25">
      <c r="A10" s="2" t="s">
        <v>53</v>
      </c>
      <c r="B10" s="2">
        <f>_xlfn.CHISQ.INV(B6,B1-1)</f>
        <v>83.297674877173193</v>
      </c>
    </row>
    <row r="11" spans="1:2" x14ac:dyDescent="0.25">
      <c r="A11" s="36"/>
      <c r="B11" s="29"/>
    </row>
    <row r="12" spans="1:2" x14ac:dyDescent="0.25">
      <c r="A12" s="30" t="s">
        <v>22</v>
      </c>
      <c r="B12" s="2">
        <f>SQRT((B1-1)*B4/B10)</f>
        <v>3.3948389557077308</v>
      </c>
    </row>
    <row r="13" spans="1:2" x14ac:dyDescent="0.25">
      <c r="A13" s="30" t="s">
        <v>23</v>
      </c>
      <c r="B13" s="2">
        <f>SQRT((B1-1)*B4/B9)</f>
        <v>4.8697423919696119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I24" sqref="I24"/>
    </sheetView>
  </sheetViews>
  <sheetFormatPr defaultRowHeight="15" x14ac:dyDescent="0.25"/>
  <sheetData>
    <row r="1" spans="1:5" x14ac:dyDescent="0.25">
      <c r="A1" s="2"/>
      <c r="B1" s="2" t="s">
        <v>16</v>
      </c>
      <c r="C1" s="2" t="s">
        <v>15</v>
      </c>
      <c r="D1" s="2" t="s">
        <v>14</v>
      </c>
      <c r="E1" s="2" t="s">
        <v>13</v>
      </c>
    </row>
    <row r="2" spans="1:5" x14ac:dyDescent="0.25">
      <c r="A2" s="2" t="s">
        <v>12</v>
      </c>
      <c r="B2" s="2">
        <v>4</v>
      </c>
      <c r="C2" s="2">
        <v>2</v>
      </c>
      <c r="D2" s="2">
        <v>2</v>
      </c>
      <c r="E2" s="2">
        <v>4</v>
      </c>
    </row>
    <row r="3" spans="1:5" x14ac:dyDescent="0.25">
      <c r="A3" s="2" t="s">
        <v>11</v>
      </c>
      <c r="B3" s="2">
        <v>1</v>
      </c>
      <c r="C3" s="2">
        <v>0</v>
      </c>
      <c r="D3" s="2">
        <v>0</v>
      </c>
      <c r="E3" s="2">
        <v>1</v>
      </c>
    </row>
    <row r="4" spans="1:5" x14ac:dyDescent="0.25">
      <c r="A4" s="2" t="s">
        <v>10</v>
      </c>
      <c r="B4" s="2">
        <v>0</v>
      </c>
      <c r="C4" s="2">
        <v>1</v>
      </c>
      <c r="D4" s="2">
        <v>1</v>
      </c>
      <c r="E4" s="2">
        <v>0</v>
      </c>
    </row>
    <row r="6" spans="1:5" x14ac:dyDescent="0.25">
      <c r="A6" t="s">
        <v>9</v>
      </c>
    </row>
    <row r="8" spans="1:5" x14ac:dyDescent="0.25">
      <c r="A8" s="2" t="s">
        <v>8</v>
      </c>
      <c r="B8" s="2">
        <v>1</v>
      </c>
      <c r="C8" s="2">
        <v>3</v>
      </c>
      <c r="D8" s="2">
        <v>5</v>
      </c>
      <c r="E8" s="2">
        <v>6</v>
      </c>
    </row>
    <row r="9" spans="1:5" x14ac:dyDescent="0.25">
      <c r="A9" s="2" t="s">
        <v>7</v>
      </c>
      <c r="B9" s="2">
        <v>5</v>
      </c>
      <c r="C9" s="2">
        <v>3</v>
      </c>
      <c r="D9" s="2">
        <v>3</v>
      </c>
      <c r="E9" s="2">
        <v>5</v>
      </c>
    </row>
    <row r="11" spans="1:5" x14ac:dyDescent="0.25">
      <c r="A11" s="2" t="s">
        <v>6</v>
      </c>
      <c r="B11" s="2">
        <v>1</v>
      </c>
      <c r="C11" s="2">
        <v>2</v>
      </c>
      <c r="D11" s="2">
        <v>3</v>
      </c>
    </row>
    <row r="12" spans="1:5" x14ac:dyDescent="0.25">
      <c r="A12" s="2" t="s">
        <v>5</v>
      </c>
      <c r="B12" s="2">
        <v>12</v>
      </c>
      <c r="C12" s="2">
        <v>2</v>
      </c>
      <c r="D12" s="2">
        <v>2</v>
      </c>
    </row>
    <row r="14" spans="1:5" x14ac:dyDescent="0.25">
      <c r="B14">
        <f xml:space="preserve"> SUM(PRODUCT(B8:B9),PRODUCT(C8:C9),PRODUCT(D8:D9),PRODUCT(E8:E9))/SUM(B9:E9)</f>
        <v>3.6875</v>
      </c>
    </row>
    <row r="15" spans="1:5" x14ac:dyDescent="0.25">
      <c r="A15" t="s">
        <v>4</v>
      </c>
      <c r="B15">
        <f xml:space="preserve"> (SUM(B9*(B8^2),C9*(C8^2),D9*(D8^2),E9*(E8^2)) - B9:E9*(B14^2))/B9:E9</f>
        <v>43.802343749999999</v>
      </c>
    </row>
    <row r="16" spans="1:5" x14ac:dyDescent="0.25">
      <c r="B16">
        <f xml:space="preserve"> SUM(PRODUCT(B11:B12),PRODUCT(C11:C12),PRODUCT(D11:D12))/SUM(B12:D12)</f>
        <v>1.375</v>
      </c>
    </row>
    <row r="17" spans="1:2" x14ac:dyDescent="0.25">
      <c r="A17" t="s">
        <v>3</v>
      </c>
      <c r="B17">
        <f>(B12*(B11^2) + C12*(C11^2) + D12*(D11^2) - 16*(B16^2))/16</f>
        <v>0.484375</v>
      </c>
    </row>
    <row r="19" spans="1:2" x14ac:dyDescent="0.25">
      <c r="A19" s="1" t="s">
        <v>2</v>
      </c>
      <c r="B19">
        <f xml:space="preserve"> SQRT(B15)</f>
        <v>6.6183339104339547</v>
      </c>
    </row>
    <row r="20" spans="1:2" x14ac:dyDescent="0.25">
      <c r="A20" s="1" t="s">
        <v>1</v>
      </c>
      <c r="B20">
        <f xml:space="preserve"> SQRT(B17)</f>
        <v>0.69597054535375269</v>
      </c>
    </row>
    <row r="21" spans="1:2" x14ac:dyDescent="0.25">
      <c r="B21">
        <f xml:space="preserve"> 1*1*4 + 3*2*1 + 5*2*1 + 6*4*1</f>
        <v>44</v>
      </c>
    </row>
    <row r="22" spans="1:2" x14ac:dyDescent="0.25">
      <c r="A22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3" sqref="C13"/>
    </sheetView>
  </sheetViews>
  <sheetFormatPr defaultRowHeight="15" x14ac:dyDescent="0.25"/>
  <cols>
    <col min="1" max="1" width="17.7109375" customWidth="1"/>
  </cols>
  <sheetData>
    <row r="1" spans="1:2" x14ac:dyDescent="0.25">
      <c r="A1" s="2" t="s">
        <v>48</v>
      </c>
      <c r="B1" s="2">
        <v>25</v>
      </c>
    </row>
    <row r="2" spans="1:2" x14ac:dyDescent="0.25">
      <c r="A2" s="2" t="s">
        <v>42</v>
      </c>
      <c r="B2" s="2">
        <v>3</v>
      </c>
    </row>
    <row r="3" spans="1:2" x14ac:dyDescent="0.25">
      <c r="A3" s="2" t="s">
        <v>50</v>
      </c>
      <c r="B3" s="2">
        <v>0.98</v>
      </c>
    </row>
    <row r="4" spans="1:2" x14ac:dyDescent="0.25">
      <c r="A4" s="2" t="s">
        <v>49</v>
      </c>
      <c r="B4" s="2">
        <f>B2^2</f>
        <v>9</v>
      </c>
    </row>
    <row r="5" spans="1:2" x14ac:dyDescent="0.25">
      <c r="A5" s="36"/>
      <c r="B5" s="29"/>
    </row>
    <row r="6" spans="1:2" x14ac:dyDescent="0.25">
      <c r="A6" s="2" t="s">
        <v>51</v>
      </c>
      <c r="B6" s="2">
        <f>(1+B3)/2</f>
        <v>0.99</v>
      </c>
    </row>
    <row r="7" spans="1:2" x14ac:dyDescent="0.25">
      <c r="A7" s="2" t="s">
        <v>58</v>
      </c>
      <c r="B7" s="2">
        <f>(1-B3)/2</f>
        <v>1.0000000000000009E-2</v>
      </c>
    </row>
    <row r="8" spans="1:2" x14ac:dyDescent="0.25">
      <c r="A8" s="36"/>
      <c r="B8" s="29"/>
    </row>
    <row r="9" spans="1:2" x14ac:dyDescent="0.25">
      <c r="A9" s="2" t="s">
        <v>52</v>
      </c>
      <c r="B9" s="2">
        <f>_xlfn.CHISQ.INV(B7,B1-1)</f>
        <v>10.85636147553228</v>
      </c>
    </row>
    <row r="10" spans="1:2" x14ac:dyDescent="0.25">
      <c r="A10" s="2" t="s">
        <v>53</v>
      </c>
      <c r="B10" s="2">
        <f>_xlfn.CHISQ.INV(B6,B1-1)</f>
        <v>42.979820139351617</v>
      </c>
    </row>
    <row r="11" spans="1:2" x14ac:dyDescent="0.25">
      <c r="A11" s="36"/>
      <c r="B11" s="29"/>
    </row>
    <row r="12" spans="1:2" x14ac:dyDescent="0.25">
      <c r="A12" s="30" t="s">
        <v>22</v>
      </c>
      <c r="B12" s="2">
        <f>SQRT((B1-1)*B4/B10)</f>
        <v>2.2417881992194135</v>
      </c>
    </row>
    <row r="13" spans="1:2" x14ac:dyDescent="0.25">
      <c r="A13" s="30" t="s">
        <v>23</v>
      </c>
      <c r="B13" s="2">
        <f>SQRT((B1-1)*B4/B9)</f>
        <v>4.4605121630385254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6" sqref="F16"/>
    </sheetView>
  </sheetViews>
  <sheetFormatPr defaultRowHeight="15" x14ac:dyDescent="0.25"/>
  <cols>
    <col min="1" max="1" width="17.7109375" customWidth="1"/>
    <col min="4" max="4" width="17.7109375" customWidth="1"/>
  </cols>
  <sheetData>
    <row r="1" spans="1:5" x14ac:dyDescent="0.25">
      <c r="A1" s="2" t="s">
        <v>48</v>
      </c>
      <c r="B1" s="33">
        <v>20</v>
      </c>
      <c r="D1" s="2" t="s">
        <v>48</v>
      </c>
      <c r="E1" s="33">
        <v>101</v>
      </c>
    </row>
    <row r="2" spans="1:5" x14ac:dyDescent="0.25">
      <c r="A2" s="2" t="s">
        <v>42</v>
      </c>
      <c r="B2" s="2">
        <v>15</v>
      </c>
      <c r="D2" s="2" t="s">
        <v>42</v>
      </c>
      <c r="E2" s="2">
        <v>15</v>
      </c>
    </row>
    <row r="3" spans="1:5" x14ac:dyDescent="0.25">
      <c r="A3" s="2" t="s">
        <v>50</v>
      </c>
      <c r="B3" s="2">
        <v>0.9</v>
      </c>
      <c r="D3" s="2" t="s">
        <v>50</v>
      </c>
      <c r="E3" s="2">
        <v>0.9</v>
      </c>
    </row>
    <row r="4" spans="1:5" x14ac:dyDescent="0.25">
      <c r="A4" s="2" t="s">
        <v>49</v>
      </c>
      <c r="B4" s="2">
        <f>B2^2</f>
        <v>225</v>
      </c>
      <c r="D4" s="2" t="s">
        <v>49</v>
      </c>
      <c r="E4" s="2">
        <f>E2^2</f>
        <v>225</v>
      </c>
    </row>
    <row r="5" spans="1:5" x14ac:dyDescent="0.25">
      <c r="A5" s="36"/>
      <c r="B5" s="29"/>
      <c r="D5" s="36"/>
      <c r="E5" s="29"/>
    </row>
    <row r="6" spans="1:5" x14ac:dyDescent="0.25">
      <c r="A6" s="2" t="s">
        <v>51</v>
      </c>
      <c r="B6" s="2">
        <f>(1+B3)/2</f>
        <v>0.95</v>
      </c>
      <c r="D6" s="2" t="s">
        <v>51</v>
      </c>
      <c r="E6" s="2">
        <f>(1+E3)/2</f>
        <v>0.95</v>
      </c>
    </row>
    <row r="7" spans="1:5" x14ac:dyDescent="0.25">
      <c r="A7" s="2" t="s">
        <v>58</v>
      </c>
      <c r="B7" s="2">
        <f>(1-B3)/2</f>
        <v>4.9999999999999989E-2</v>
      </c>
      <c r="D7" s="2" t="s">
        <v>58</v>
      </c>
      <c r="E7" s="2">
        <f>(1-E3)/2</f>
        <v>4.9999999999999989E-2</v>
      </c>
    </row>
    <row r="8" spans="1:5" x14ac:dyDescent="0.25">
      <c r="A8" s="36"/>
      <c r="B8" s="29"/>
      <c r="D8" s="36"/>
      <c r="E8" s="29"/>
    </row>
    <row r="9" spans="1:5" x14ac:dyDescent="0.25">
      <c r="A9" s="2" t="s">
        <v>52</v>
      </c>
      <c r="B9" s="2">
        <f>_xlfn.CHISQ.INV(B7,B1-1)</f>
        <v>10.117013063859043</v>
      </c>
      <c r="D9" s="2" t="s">
        <v>52</v>
      </c>
      <c r="E9" s="2">
        <f>_xlfn.CHISQ.INV(E7,E1-1)</f>
        <v>77.929465165017263</v>
      </c>
    </row>
    <row r="10" spans="1:5" x14ac:dyDescent="0.25">
      <c r="A10" s="2" t="s">
        <v>53</v>
      </c>
      <c r="B10" s="2">
        <f>_xlfn.CHISQ.INV(B6,B1-1)</f>
        <v>30.143527205646159</v>
      </c>
      <c r="D10" s="2" t="s">
        <v>53</v>
      </c>
      <c r="E10" s="2">
        <f>_xlfn.CHISQ.INV(E6,E1-1)</f>
        <v>124.34211340400408</v>
      </c>
    </row>
    <row r="11" spans="1:5" x14ac:dyDescent="0.25">
      <c r="A11" s="36"/>
      <c r="B11" s="29"/>
      <c r="D11" s="36"/>
      <c r="E11" s="29"/>
    </row>
    <row r="12" spans="1:5" x14ac:dyDescent="0.25">
      <c r="A12" s="30" t="s">
        <v>22</v>
      </c>
      <c r="B12" s="2">
        <f>(B1-1)*B4/B10</f>
        <v>141.82149191881081</v>
      </c>
      <c r="D12" s="30" t="s">
        <v>22</v>
      </c>
      <c r="E12" s="2">
        <f>(E1-1)*E4/E10</f>
        <v>180.95236910518406</v>
      </c>
    </row>
    <row r="13" spans="1:5" x14ac:dyDescent="0.25">
      <c r="A13" s="30" t="s">
        <v>23</v>
      </c>
      <c r="B13" s="2">
        <f>(B1-1)*B4/B9</f>
        <v>422.55554806700428</v>
      </c>
      <c r="D13" s="30" t="s">
        <v>23</v>
      </c>
      <c r="E13" s="2">
        <f>(E1-1)*E4/E9</f>
        <v>288.72262824280625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cols>
    <col min="1" max="1" width="17.7109375" customWidth="1"/>
  </cols>
  <sheetData>
    <row r="1" spans="1:2" x14ac:dyDescent="0.25">
      <c r="A1" s="2" t="s">
        <v>48</v>
      </c>
      <c r="B1" s="2">
        <v>16</v>
      </c>
    </row>
    <row r="2" spans="1:2" x14ac:dyDescent="0.25">
      <c r="A2" s="2" t="s">
        <v>42</v>
      </c>
      <c r="B2" s="2">
        <v>1</v>
      </c>
    </row>
    <row r="3" spans="1:2" x14ac:dyDescent="0.25">
      <c r="A3" s="2" t="s">
        <v>50</v>
      </c>
      <c r="B3" s="2">
        <v>0.95</v>
      </c>
    </row>
    <row r="4" spans="1:2" x14ac:dyDescent="0.25">
      <c r="A4" s="2" t="s">
        <v>49</v>
      </c>
      <c r="B4" s="2">
        <f>B2^2</f>
        <v>1</v>
      </c>
    </row>
    <row r="5" spans="1:2" x14ac:dyDescent="0.25">
      <c r="A5" s="36"/>
      <c r="B5" s="29"/>
    </row>
    <row r="6" spans="1:2" x14ac:dyDescent="0.25">
      <c r="A6" s="2" t="s">
        <v>51</v>
      </c>
      <c r="B6" s="2">
        <f>(1+B3)/2</f>
        <v>0.97499999999999998</v>
      </c>
    </row>
    <row r="7" spans="1:2" x14ac:dyDescent="0.25">
      <c r="A7" s="2" t="s">
        <v>58</v>
      </c>
      <c r="B7" s="2">
        <f>(1-B3)/2</f>
        <v>2.5000000000000022E-2</v>
      </c>
    </row>
    <row r="8" spans="1:2" x14ac:dyDescent="0.25">
      <c r="A8" s="36"/>
      <c r="B8" s="29"/>
    </row>
    <row r="9" spans="1:2" x14ac:dyDescent="0.25">
      <c r="A9" s="2" t="s">
        <v>52</v>
      </c>
      <c r="B9" s="2">
        <f>_xlfn.CHISQ.INV(B7,B1-1)</f>
        <v>6.2621377950432535</v>
      </c>
    </row>
    <row r="10" spans="1:2" x14ac:dyDescent="0.25">
      <c r="A10" s="2" t="s">
        <v>53</v>
      </c>
      <c r="B10" s="2">
        <f>_xlfn.CHISQ.INV(B6,B1-1)</f>
        <v>27.488392863442972</v>
      </c>
    </row>
    <row r="11" spans="1:2" x14ac:dyDescent="0.25">
      <c r="A11" s="36"/>
      <c r="B11" s="29"/>
    </row>
    <row r="12" spans="1:2" x14ac:dyDescent="0.25">
      <c r="A12" s="30" t="s">
        <v>22</v>
      </c>
      <c r="B12" s="2">
        <f>SQRT((B1-1)*B4/B10)</f>
        <v>0.73870485775054118</v>
      </c>
    </row>
    <row r="13" spans="1:2" x14ac:dyDescent="0.25">
      <c r="A13" s="30" t="s">
        <v>23</v>
      </c>
      <c r="B13" s="2">
        <f>SQRT((B1-1)*B4/B9)</f>
        <v>1.5476912227160358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7" sqref="D7"/>
    </sheetView>
  </sheetViews>
  <sheetFormatPr defaultRowHeight="15" x14ac:dyDescent="0.25"/>
  <cols>
    <col min="1" max="1" width="17.7109375" customWidth="1"/>
  </cols>
  <sheetData>
    <row r="1" spans="1:5" x14ac:dyDescent="0.25">
      <c r="A1" s="2" t="s">
        <v>48</v>
      </c>
      <c r="B1" s="2">
        <v>16</v>
      </c>
    </row>
    <row r="2" spans="1:5" x14ac:dyDescent="0.25">
      <c r="A2" s="2" t="s">
        <v>42</v>
      </c>
      <c r="B2" s="2">
        <v>8</v>
      </c>
    </row>
    <row r="3" spans="1:5" x14ac:dyDescent="0.25">
      <c r="A3" s="2" t="s">
        <v>50</v>
      </c>
      <c r="B3" s="2">
        <v>0.95</v>
      </c>
    </row>
    <row r="4" spans="1:5" x14ac:dyDescent="0.25">
      <c r="A4" s="2" t="s">
        <v>49</v>
      </c>
      <c r="B4" s="2">
        <f>B2^2</f>
        <v>64</v>
      </c>
      <c r="C4" s="2" t="s">
        <v>59</v>
      </c>
      <c r="D4" s="2">
        <f>_xlfn.T.INV((1+B3)/2, B1-1)</f>
        <v>2.1314495455597742</v>
      </c>
      <c r="E4" s="35"/>
    </row>
    <row r="5" spans="1:5" x14ac:dyDescent="0.25">
      <c r="A5" s="36"/>
      <c r="B5" s="29"/>
      <c r="C5" s="36"/>
      <c r="D5" s="19"/>
      <c r="E5" s="29"/>
    </row>
    <row r="6" spans="1:5" x14ac:dyDescent="0.25">
      <c r="A6" s="2" t="s">
        <v>51</v>
      </c>
      <c r="B6" s="2">
        <f>(1+B3)/2</f>
        <v>0.97499999999999998</v>
      </c>
      <c r="C6" s="2" t="s">
        <v>60</v>
      </c>
      <c r="D6" s="2">
        <f>D4*B2/SQRT(B1)</f>
        <v>4.2628990911195483</v>
      </c>
      <c r="E6" s="2"/>
    </row>
    <row r="7" spans="1:5" x14ac:dyDescent="0.25">
      <c r="A7" s="2" t="s">
        <v>58</v>
      </c>
      <c r="B7" s="2">
        <f>(1-B3)/2</f>
        <v>2.5000000000000022E-2</v>
      </c>
      <c r="C7" s="2"/>
      <c r="D7" s="2">
        <f>42.8-D6</f>
        <v>38.537100908880447</v>
      </c>
      <c r="E7" s="2">
        <f>42.8+D6</f>
        <v>47.062899091119547</v>
      </c>
    </row>
    <row r="8" spans="1:5" x14ac:dyDescent="0.25">
      <c r="A8" s="36"/>
      <c r="B8" s="29"/>
    </row>
    <row r="9" spans="1:5" x14ac:dyDescent="0.25">
      <c r="A9" s="2" t="s">
        <v>52</v>
      </c>
      <c r="B9" s="2">
        <f>_xlfn.CHISQ.INV(B7,B1-1)</f>
        <v>6.2621377950432535</v>
      </c>
    </row>
    <row r="10" spans="1:5" x14ac:dyDescent="0.25">
      <c r="A10" s="2" t="s">
        <v>53</v>
      </c>
      <c r="B10" s="2">
        <f>_xlfn.CHISQ.INV(B6,B1-1)</f>
        <v>27.488392863442972</v>
      </c>
    </row>
    <row r="11" spans="1:5" x14ac:dyDescent="0.25">
      <c r="A11" s="36"/>
      <c r="B11" s="29"/>
    </row>
    <row r="12" spans="1:5" x14ac:dyDescent="0.25">
      <c r="A12" s="30" t="s">
        <v>22</v>
      </c>
      <c r="B12" s="2">
        <f>SQRT((B1-1)*B4/B10)</f>
        <v>5.9096388620043294</v>
      </c>
    </row>
    <row r="13" spans="1:5" x14ac:dyDescent="0.25">
      <c r="A13" s="30" t="s">
        <v>23</v>
      </c>
      <c r="B13" s="2">
        <f>SQRT((B1-1)*B4/B9)</f>
        <v>12.381529781728286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F34" sqref="F34"/>
    </sheetView>
  </sheetViews>
  <sheetFormatPr defaultRowHeight="15" x14ac:dyDescent="0.25"/>
  <cols>
    <col min="1" max="1" width="17.7109375" customWidth="1"/>
    <col min="2" max="2" width="10.28515625" bestFit="1" customWidth="1"/>
  </cols>
  <sheetData>
    <row r="1" spans="1:5" x14ac:dyDescent="0.25">
      <c r="A1" s="2" t="s">
        <v>48</v>
      </c>
      <c r="B1" s="2">
        <v>9</v>
      </c>
      <c r="C1" s="19"/>
    </row>
    <row r="2" spans="1:5" x14ac:dyDescent="0.25">
      <c r="A2" s="2" t="s">
        <v>42</v>
      </c>
      <c r="B2" s="2">
        <v>6</v>
      </c>
      <c r="C2" s="19"/>
    </row>
    <row r="3" spans="1:5" x14ac:dyDescent="0.25">
      <c r="A3" s="2" t="s">
        <v>50</v>
      </c>
      <c r="B3" s="2">
        <v>0.99</v>
      </c>
      <c r="C3" s="19"/>
    </row>
    <row r="4" spans="1:5" x14ac:dyDescent="0.25">
      <c r="A4" s="2" t="s">
        <v>26</v>
      </c>
      <c r="B4" s="2">
        <f>B2*B2</f>
        <v>36</v>
      </c>
      <c r="C4" s="19"/>
      <c r="D4" s="19"/>
      <c r="E4" s="19"/>
    </row>
    <row r="5" spans="1:5" x14ac:dyDescent="0.25">
      <c r="A5" s="2" t="s">
        <v>47</v>
      </c>
      <c r="B5" s="2">
        <f>_xlfn.T.INV((1+B3)/2,B1-1)</f>
        <v>3.3553873313333948</v>
      </c>
      <c r="C5" s="19"/>
      <c r="D5" s="19"/>
      <c r="E5" s="19"/>
    </row>
    <row r="6" spans="1:5" x14ac:dyDescent="0.25">
      <c r="A6" s="2" t="s">
        <v>61</v>
      </c>
      <c r="B6" s="2">
        <v>30.1</v>
      </c>
      <c r="C6" s="19"/>
      <c r="D6" s="19"/>
      <c r="E6" s="19"/>
    </row>
    <row r="7" spans="1:5" x14ac:dyDescent="0.25">
      <c r="A7" s="2" t="s">
        <v>51</v>
      </c>
      <c r="B7" s="2">
        <f>(1+B3)/2</f>
        <v>0.995</v>
      </c>
      <c r="C7" s="19"/>
      <c r="D7" s="19"/>
      <c r="E7" s="19"/>
    </row>
    <row r="8" spans="1:5" x14ac:dyDescent="0.25">
      <c r="A8" s="2" t="s">
        <v>58</v>
      </c>
      <c r="B8" s="2">
        <f>(1-B3)/2</f>
        <v>5.0000000000000044E-3</v>
      </c>
      <c r="C8" s="19"/>
      <c r="D8" s="19"/>
      <c r="E8" s="19"/>
    </row>
    <row r="9" spans="1:5" x14ac:dyDescent="0.25">
      <c r="A9" s="2"/>
      <c r="B9" s="2"/>
      <c r="C9" s="19"/>
    </row>
    <row r="10" spans="1:5" x14ac:dyDescent="0.25">
      <c r="A10" s="2" t="s">
        <v>62</v>
      </c>
      <c r="B10" s="2">
        <f>_xlfn.CHISQ.INV(B7,B1-1)</f>
        <v>21.954954990659523</v>
      </c>
    </row>
    <row r="11" spans="1:5" x14ac:dyDescent="0.25">
      <c r="A11" s="2" t="s">
        <v>63</v>
      </c>
      <c r="B11" s="2">
        <f>_xlfn.CHISQ.INV(B8,B1-1)</f>
        <v>1.3444130870148105</v>
      </c>
    </row>
    <row r="12" spans="1:5" x14ac:dyDescent="0.25">
      <c r="A12" s="2"/>
      <c r="B12" s="2"/>
    </row>
    <row r="13" spans="1:5" x14ac:dyDescent="0.25">
      <c r="A13" s="2" t="s">
        <v>64</v>
      </c>
      <c r="B13" s="2">
        <f>SQRT((B1-1)*B4/B10)</f>
        <v>3.6218459003520898</v>
      </c>
    </row>
    <row r="14" spans="1:5" x14ac:dyDescent="0.25">
      <c r="A14" s="2" t="s">
        <v>65</v>
      </c>
      <c r="B14" s="2">
        <f>SQRT((B1-1)*B4/B11)</f>
        <v>14.636251994100425</v>
      </c>
    </row>
    <row r="15" spans="1:5" x14ac:dyDescent="0.25">
      <c r="A15" s="2"/>
      <c r="B15" s="2"/>
    </row>
    <row r="16" spans="1:5" x14ac:dyDescent="0.25">
      <c r="A16" s="2" t="s">
        <v>60</v>
      </c>
      <c r="B16" s="2">
        <f>B5*B2/SQRT(B1)</f>
        <v>6.7107746626667897</v>
      </c>
    </row>
    <row r="17" spans="1:2" x14ac:dyDescent="0.25">
      <c r="A17" s="2"/>
      <c r="B17" s="2"/>
    </row>
    <row r="18" spans="1:2" x14ac:dyDescent="0.25">
      <c r="A18" s="2" t="s">
        <v>66</v>
      </c>
      <c r="B18" s="2">
        <f>B6-B16</f>
        <v>23.389225337333212</v>
      </c>
    </row>
    <row r="19" spans="1:2" x14ac:dyDescent="0.25">
      <c r="A19" s="2" t="s">
        <v>67</v>
      </c>
      <c r="B19" s="2">
        <f>B6+B16</f>
        <v>36.810774662666788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9" sqref="C19"/>
    </sheetView>
  </sheetViews>
  <sheetFormatPr defaultRowHeight="15" x14ac:dyDescent="0.25"/>
  <cols>
    <col min="1" max="1" width="17.7109375" customWidth="1"/>
  </cols>
  <sheetData>
    <row r="1" spans="1:3" x14ac:dyDescent="0.25">
      <c r="A1" s="2" t="s">
        <v>48</v>
      </c>
      <c r="B1" s="25">
        <v>16</v>
      </c>
      <c r="C1" s="36"/>
    </row>
    <row r="2" spans="1:3" x14ac:dyDescent="0.25">
      <c r="A2" s="2" t="s">
        <v>42</v>
      </c>
      <c r="B2" s="25">
        <v>8</v>
      </c>
      <c r="C2" s="36"/>
    </row>
    <row r="3" spans="1:3" x14ac:dyDescent="0.25">
      <c r="A3" s="2" t="s">
        <v>50</v>
      </c>
      <c r="B3" s="25">
        <v>0.999</v>
      </c>
      <c r="C3" s="36"/>
    </row>
    <row r="4" spans="1:3" x14ac:dyDescent="0.25">
      <c r="A4" s="2" t="s">
        <v>26</v>
      </c>
      <c r="B4" s="25">
        <f>B2*B2</f>
        <v>64</v>
      </c>
      <c r="C4" s="36"/>
    </row>
    <row r="5" spans="1:3" x14ac:dyDescent="0.25">
      <c r="A5" s="2" t="s">
        <v>47</v>
      </c>
      <c r="B5" s="25">
        <f>_xlfn.T.INV((1+B3)/2,B1-1)</f>
        <v>4.0727651959038447</v>
      </c>
      <c r="C5" s="36"/>
    </row>
    <row r="6" spans="1:3" x14ac:dyDescent="0.25">
      <c r="A6" s="2" t="s">
        <v>61</v>
      </c>
      <c r="B6" s="25">
        <v>42.8</v>
      </c>
      <c r="C6" s="36"/>
    </row>
    <row r="7" spans="1:3" x14ac:dyDescent="0.25">
      <c r="A7" s="2" t="s">
        <v>51</v>
      </c>
      <c r="B7" s="25">
        <f>(1+B3)/2</f>
        <v>0.99950000000000006</v>
      </c>
      <c r="C7" s="36"/>
    </row>
    <row r="8" spans="1:3" x14ac:dyDescent="0.25">
      <c r="A8" s="2" t="s">
        <v>58</v>
      </c>
      <c r="B8" s="25">
        <f>(1-B3)/2</f>
        <v>5.0000000000000044E-4</v>
      </c>
      <c r="C8" s="36"/>
    </row>
    <row r="9" spans="1:3" x14ac:dyDescent="0.25">
      <c r="A9" s="2"/>
      <c r="B9" s="25"/>
      <c r="C9" s="36"/>
    </row>
    <row r="10" spans="1:3" x14ac:dyDescent="0.25">
      <c r="A10" s="2" t="s">
        <v>62</v>
      </c>
      <c r="B10" s="2">
        <f>_xlfn.CHISQ.INV(B7,B1-1)</f>
        <v>39.718759789632472</v>
      </c>
    </row>
    <row r="11" spans="1:3" x14ac:dyDescent="0.25">
      <c r="A11" s="2" t="s">
        <v>63</v>
      </c>
      <c r="B11" s="2">
        <f>_xlfn.CHISQ.INV(B8,B1-1)</f>
        <v>3.1075185692182328</v>
      </c>
    </row>
    <row r="12" spans="1:3" x14ac:dyDescent="0.25">
      <c r="A12" s="2"/>
      <c r="B12" s="2"/>
    </row>
    <row r="13" spans="1:3" x14ac:dyDescent="0.25">
      <c r="A13" s="2" t="s">
        <v>64</v>
      </c>
      <c r="B13" s="2">
        <f>SQRT((B1-1)*B4/B10)</f>
        <v>4.9162932142009446</v>
      </c>
    </row>
    <row r="14" spans="1:3" x14ac:dyDescent="0.25">
      <c r="A14" s="2" t="s">
        <v>65</v>
      </c>
      <c r="B14" s="2">
        <f>SQRT((B1-1)*B4/B11)</f>
        <v>17.57635235223248</v>
      </c>
    </row>
    <row r="15" spans="1:3" x14ac:dyDescent="0.25">
      <c r="A15" s="2"/>
      <c r="B15" s="2"/>
    </row>
    <row r="16" spans="1:3" x14ac:dyDescent="0.25">
      <c r="A16" s="2" t="s">
        <v>60</v>
      </c>
      <c r="B16" s="2">
        <f>B5*B2/SQRT(B1)</f>
        <v>8.1455303918076893</v>
      </c>
    </row>
    <row r="17" spans="1:2" x14ac:dyDescent="0.25">
      <c r="A17" s="2"/>
      <c r="B17" s="2"/>
    </row>
    <row r="18" spans="1:2" x14ac:dyDescent="0.25">
      <c r="A18" s="2" t="s">
        <v>66</v>
      </c>
      <c r="B18" s="2">
        <f>B6-B16</f>
        <v>34.654469608192308</v>
      </c>
    </row>
    <row r="19" spans="1:2" x14ac:dyDescent="0.25">
      <c r="A19" s="2" t="s">
        <v>67</v>
      </c>
      <c r="B19" s="2">
        <f>B6+B16</f>
        <v>50.945530391807686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E15" sqref="E15"/>
    </sheetView>
  </sheetViews>
  <sheetFormatPr defaultRowHeight="15" x14ac:dyDescent="0.25"/>
  <cols>
    <col min="1" max="1" width="17.7109375" customWidth="1"/>
  </cols>
  <sheetData>
    <row r="1" spans="1:2" x14ac:dyDescent="0.25">
      <c r="A1" s="2" t="s">
        <v>48</v>
      </c>
      <c r="B1" s="2">
        <v>16</v>
      </c>
    </row>
    <row r="2" spans="1:2" x14ac:dyDescent="0.25">
      <c r="A2" s="2" t="s">
        <v>42</v>
      </c>
      <c r="B2" s="2">
        <v>8</v>
      </c>
    </row>
    <row r="3" spans="1:2" x14ac:dyDescent="0.25">
      <c r="A3" s="2" t="s">
        <v>50</v>
      </c>
      <c r="B3" s="2">
        <v>0.9</v>
      </c>
    </row>
    <row r="4" spans="1:2" x14ac:dyDescent="0.25">
      <c r="A4" s="2" t="s">
        <v>26</v>
      </c>
      <c r="B4" s="2">
        <f>B2*B2</f>
        <v>64</v>
      </c>
    </row>
    <row r="5" spans="1:2" x14ac:dyDescent="0.25">
      <c r="A5" s="2" t="s">
        <v>47</v>
      </c>
      <c r="B5" s="2">
        <f>_xlfn.T.INV((1+B3)/2,B1-1)</f>
        <v>1.7530503556925723</v>
      </c>
    </row>
    <row r="6" spans="1:2" x14ac:dyDescent="0.25">
      <c r="A6" s="2" t="s">
        <v>61</v>
      </c>
      <c r="B6" s="2">
        <v>42.8</v>
      </c>
    </row>
    <row r="7" spans="1:2" x14ac:dyDescent="0.25">
      <c r="A7" s="2" t="s">
        <v>51</v>
      </c>
      <c r="B7" s="2">
        <f>(1+B3)/2</f>
        <v>0.95</v>
      </c>
    </row>
    <row r="8" spans="1:2" x14ac:dyDescent="0.25">
      <c r="A8" s="2" t="s">
        <v>58</v>
      </c>
      <c r="B8" s="2">
        <f>(1-B3)/2</f>
        <v>4.9999999999999989E-2</v>
      </c>
    </row>
    <row r="9" spans="1:2" x14ac:dyDescent="0.25">
      <c r="A9" s="2"/>
      <c r="B9" s="2"/>
    </row>
    <row r="10" spans="1:2" x14ac:dyDescent="0.25">
      <c r="A10" s="2" t="s">
        <v>62</v>
      </c>
      <c r="B10" s="2">
        <f>_xlfn.CHISQ.INV(B7,B1-1)</f>
        <v>24.995790139728623</v>
      </c>
    </row>
    <row r="11" spans="1:2" x14ac:dyDescent="0.25">
      <c r="A11" s="2" t="s">
        <v>63</v>
      </c>
      <c r="B11" s="2">
        <f>_xlfn.CHISQ.INV(B8,B1-1)</f>
        <v>7.2609439276700316</v>
      </c>
    </row>
    <row r="12" spans="1:2" x14ac:dyDescent="0.25">
      <c r="A12" s="2"/>
      <c r="B12" s="2"/>
    </row>
    <row r="13" spans="1:2" x14ac:dyDescent="0.25">
      <c r="A13" s="2" t="s">
        <v>64</v>
      </c>
      <c r="B13" s="2">
        <f>SQRT((B1-1)*B4/B10)</f>
        <v>6.1972951708351482</v>
      </c>
    </row>
    <row r="14" spans="1:2" x14ac:dyDescent="0.25">
      <c r="A14" s="2" t="s">
        <v>65</v>
      </c>
      <c r="B14" s="2">
        <f>SQRT((B1-1)*B4/B11)</f>
        <v>11.498444015853414</v>
      </c>
    </row>
    <row r="15" spans="1:2" x14ac:dyDescent="0.25">
      <c r="A15" s="2"/>
      <c r="B15" s="2"/>
    </row>
    <row r="16" spans="1:2" x14ac:dyDescent="0.25">
      <c r="A16" s="2" t="s">
        <v>60</v>
      </c>
      <c r="B16" s="2">
        <f>B5*B2/SQRT(B1)</f>
        <v>3.5061007113851446</v>
      </c>
    </row>
    <row r="17" spans="1:2" x14ac:dyDescent="0.25">
      <c r="A17" s="2"/>
      <c r="B17" s="2"/>
    </row>
    <row r="18" spans="1:2" x14ac:dyDescent="0.25">
      <c r="A18" s="2" t="s">
        <v>66</v>
      </c>
      <c r="B18" s="2">
        <f>B6-B16</f>
        <v>39.293899288614853</v>
      </c>
    </row>
    <row r="19" spans="1:2" x14ac:dyDescent="0.25">
      <c r="A19" s="2" t="s">
        <v>67</v>
      </c>
      <c r="B19" s="2">
        <f>B6+B16</f>
        <v>46.306100711385142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I17" sqref="I17"/>
    </sheetView>
  </sheetViews>
  <sheetFormatPr defaultRowHeight="15" x14ac:dyDescent="0.25"/>
  <sheetData>
    <row r="1" spans="1:3" x14ac:dyDescent="0.25">
      <c r="A1" t="s">
        <v>17</v>
      </c>
      <c r="B1">
        <v>0.02</v>
      </c>
    </row>
    <row r="2" spans="1:3" x14ac:dyDescent="0.25">
      <c r="A2" t="s">
        <v>18</v>
      </c>
      <c r="B2">
        <v>50</v>
      </c>
    </row>
    <row r="3" spans="1:3" x14ac:dyDescent="0.25">
      <c r="A3" t="s">
        <v>19</v>
      </c>
      <c r="B3">
        <v>0.995</v>
      </c>
    </row>
    <row r="4" spans="1:3" x14ac:dyDescent="0.25">
      <c r="A4" t="s">
        <v>20</v>
      </c>
      <c r="B4">
        <v>0.99</v>
      </c>
    </row>
    <row r="6" spans="1:3" x14ac:dyDescent="0.25">
      <c r="A6" t="s">
        <v>21</v>
      </c>
      <c r="B6">
        <f>_xlfn.NORM.S.INV((1+B4)/2)</f>
        <v>2.5758293035488999</v>
      </c>
      <c r="C6">
        <f>SQRT(B2)</f>
        <v>7.0710678118654755</v>
      </c>
    </row>
    <row r="7" spans="1:3" x14ac:dyDescent="0.25">
      <c r="A7" t="s">
        <v>22</v>
      </c>
      <c r="B7">
        <f>B3-((B6*B1)/C6)</f>
        <v>0.98771445452912621</v>
      </c>
    </row>
    <row r="8" spans="1:3" x14ac:dyDescent="0.25">
      <c r="A8" t="s">
        <v>23</v>
      </c>
    </row>
    <row r="15" spans="1:3" x14ac:dyDescent="0.25">
      <c r="C15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8" sqref="D8"/>
    </sheetView>
  </sheetViews>
  <sheetFormatPr defaultRowHeight="15" x14ac:dyDescent="0.25"/>
  <cols>
    <col min="1" max="1" width="17.7109375" customWidth="1"/>
  </cols>
  <sheetData>
    <row r="1" spans="1:2" x14ac:dyDescent="0.25">
      <c r="A1" t="s">
        <v>54</v>
      </c>
      <c r="B1">
        <f>_xlfn.NORM.S.INV((1+0.99)/2)</f>
        <v>2.5758293035488999</v>
      </c>
    </row>
    <row r="2" spans="1:2" x14ac:dyDescent="0.25">
      <c r="A2" t="s">
        <v>40</v>
      </c>
      <c r="B2">
        <v>16.8</v>
      </c>
    </row>
    <row r="3" spans="1:2" x14ac:dyDescent="0.25">
      <c r="A3" t="s">
        <v>41</v>
      </c>
      <c r="B3">
        <v>25</v>
      </c>
    </row>
    <row r="4" spans="1:2" x14ac:dyDescent="0.25">
      <c r="A4" t="s">
        <v>56</v>
      </c>
      <c r="B4">
        <v>5</v>
      </c>
    </row>
    <row r="6" spans="1:2" x14ac:dyDescent="0.25">
      <c r="A6" t="s">
        <v>55</v>
      </c>
      <c r="B6">
        <f>SQRT(B3)</f>
        <v>5</v>
      </c>
    </row>
    <row r="7" spans="1:2" x14ac:dyDescent="0.25">
      <c r="A7" t="s">
        <v>43</v>
      </c>
      <c r="B7">
        <f>B2-((B1*B4)/B6)</f>
        <v>14.2241706964511</v>
      </c>
    </row>
    <row r="8" spans="1:2" x14ac:dyDescent="0.25">
      <c r="A8" t="s">
        <v>44</v>
      </c>
      <c r="B8">
        <f>B2+((B1*B4)/B6)</f>
        <v>19.375829303548901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G14" sqref="G14"/>
    </sheetView>
  </sheetViews>
  <sheetFormatPr defaultRowHeight="15" x14ac:dyDescent="0.25"/>
  <cols>
    <col min="1" max="1" width="17.7109375" customWidth="1"/>
  </cols>
  <sheetData>
    <row r="1" spans="1:2" x14ac:dyDescent="0.25">
      <c r="A1" t="s">
        <v>54</v>
      </c>
      <c r="B1">
        <f>_xlfn.NORM.S.INV((1+0.994)/2)</f>
        <v>2.7477813854449917</v>
      </c>
    </row>
    <row r="2" spans="1:2" x14ac:dyDescent="0.25">
      <c r="A2" t="s">
        <v>40</v>
      </c>
      <c r="B2">
        <v>1400</v>
      </c>
    </row>
    <row r="3" spans="1:2" x14ac:dyDescent="0.25">
      <c r="A3" t="s">
        <v>41</v>
      </c>
      <c r="B3">
        <v>150</v>
      </c>
    </row>
    <row r="4" spans="1:2" x14ac:dyDescent="0.25">
      <c r="A4" t="s">
        <v>56</v>
      </c>
      <c r="B4">
        <v>18</v>
      </c>
    </row>
    <row r="6" spans="1:2" x14ac:dyDescent="0.25">
      <c r="A6" t="s">
        <v>55</v>
      </c>
      <c r="B6">
        <f>SQRT(B3)</f>
        <v>12.24744871391589</v>
      </c>
    </row>
    <row r="7" spans="1:2" x14ac:dyDescent="0.25">
      <c r="A7" t="s">
        <v>43</v>
      </c>
      <c r="B7">
        <f>B2-((B1*B4)/B6)</f>
        <v>1395.9616026085653</v>
      </c>
    </row>
    <row r="8" spans="1:2" x14ac:dyDescent="0.25">
      <c r="A8" t="s">
        <v>44</v>
      </c>
      <c r="B8">
        <f>B2+((B1*B4)/B6)</f>
        <v>1404.0383973914347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H22" sqref="H22"/>
    </sheetView>
  </sheetViews>
  <sheetFormatPr defaultRowHeight="15" x14ac:dyDescent="0.25"/>
  <cols>
    <col min="1" max="1" width="17.7109375" customWidth="1"/>
  </cols>
  <sheetData>
    <row r="1" spans="1:2" x14ac:dyDescent="0.25">
      <c r="A1" t="s">
        <v>54</v>
      </c>
      <c r="B1">
        <f>_xlfn.NORM.S.INV((1+0.97)/2)</f>
        <v>2.1700903775845601</v>
      </c>
    </row>
    <row r="2" spans="1:2" x14ac:dyDescent="0.25">
      <c r="A2" t="s">
        <v>40</v>
      </c>
      <c r="B2" s="37">
        <v>9.4</v>
      </c>
    </row>
    <row r="3" spans="1:2" x14ac:dyDescent="0.25">
      <c r="A3" t="s">
        <v>41</v>
      </c>
      <c r="B3">
        <v>400</v>
      </c>
    </row>
    <row r="4" spans="1:2" x14ac:dyDescent="0.25">
      <c r="A4" t="s">
        <v>56</v>
      </c>
      <c r="B4">
        <v>1.7</v>
      </c>
    </row>
    <row r="6" spans="1:2" x14ac:dyDescent="0.25">
      <c r="A6" t="s">
        <v>55</v>
      </c>
      <c r="B6">
        <f>SQRT(B3)</f>
        <v>20</v>
      </c>
    </row>
    <row r="7" spans="1:2" x14ac:dyDescent="0.25">
      <c r="A7" t="s">
        <v>43</v>
      </c>
      <c r="B7">
        <f>B2-((B1*B4)/B6)</f>
        <v>9.215542317905312</v>
      </c>
    </row>
    <row r="8" spans="1:2" x14ac:dyDescent="0.25">
      <c r="A8" t="s">
        <v>44</v>
      </c>
      <c r="B8">
        <f>B2+((B1*B4)/B6)</f>
        <v>9.5844576820946887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0" sqref="C10"/>
    </sheetView>
  </sheetViews>
  <sheetFormatPr defaultRowHeight="15" x14ac:dyDescent="0.25"/>
  <cols>
    <col min="1" max="1" width="17.7109375" customWidth="1"/>
  </cols>
  <sheetData>
    <row r="1" spans="1:2" x14ac:dyDescent="0.25">
      <c r="A1" t="s">
        <v>57</v>
      </c>
      <c r="B1">
        <f>_xlfn.T.INV((1+0.95)/2, B3-1)</f>
        <v>2.0452296421327034</v>
      </c>
    </row>
    <row r="2" spans="1:2" x14ac:dyDescent="0.25">
      <c r="A2" t="s">
        <v>40</v>
      </c>
      <c r="B2" s="37">
        <v>6.85</v>
      </c>
    </row>
    <row r="3" spans="1:2" x14ac:dyDescent="0.25">
      <c r="A3" t="s">
        <v>41</v>
      </c>
      <c r="B3">
        <v>30</v>
      </c>
    </row>
    <row r="4" spans="1:2" x14ac:dyDescent="0.25">
      <c r="A4" t="s">
        <v>42</v>
      </c>
      <c r="B4">
        <v>0.7</v>
      </c>
    </row>
    <row r="6" spans="1:2" x14ac:dyDescent="0.25">
      <c r="A6" t="s">
        <v>55</v>
      </c>
      <c r="B6">
        <f>SQRT(B3)</f>
        <v>5.4772255750516612</v>
      </c>
    </row>
    <row r="7" spans="1:2" x14ac:dyDescent="0.25">
      <c r="A7" t="s">
        <v>43</v>
      </c>
      <c r="B7">
        <f>B2-((B1*B4)/B6)</f>
        <v>6.5886157042693299</v>
      </c>
    </row>
    <row r="8" spans="1:2" x14ac:dyDescent="0.25">
      <c r="A8" t="s">
        <v>44</v>
      </c>
      <c r="B8">
        <f>B2+((B1*B4)/B6)</f>
        <v>7.1113842957306694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2" sqref="D12"/>
    </sheetView>
  </sheetViews>
  <sheetFormatPr defaultRowHeight="15" x14ac:dyDescent="0.25"/>
  <cols>
    <col min="1" max="1" width="17.7109375" customWidth="1"/>
    <col min="4" max="4" width="17.7109375" customWidth="1"/>
  </cols>
  <sheetData>
    <row r="1" spans="1:5" x14ac:dyDescent="0.25">
      <c r="A1" t="s">
        <v>57</v>
      </c>
      <c r="B1">
        <f>_xlfn.T.INV((1+0.95)/2, B3-1)</f>
        <v>2.1447866879178035</v>
      </c>
      <c r="D1" t="s">
        <v>57</v>
      </c>
      <c r="E1">
        <f>_xlfn.T.INV((1+0.99)/2, E3-1)</f>
        <v>2.9768427343708344</v>
      </c>
    </row>
    <row r="2" spans="1:5" x14ac:dyDescent="0.25">
      <c r="A2" t="s">
        <v>40</v>
      </c>
      <c r="B2" s="37">
        <v>10.37</v>
      </c>
      <c r="D2" t="s">
        <v>40</v>
      </c>
      <c r="E2" s="37">
        <v>10.37</v>
      </c>
    </row>
    <row r="3" spans="1:5" x14ac:dyDescent="0.25">
      <c r="A3" t="s">
        <v>41</v>
      </c>
      <c r="B3">
        <v>15</v>
      </c>
      <c r="D3" t="s">
        <v>41</v>
      </c>
      <c r="E3">
        <v>15</v>
      </c>
    </row>
    <row r="4" spans="1:5" x14ac:dyDescent="0.25">
      <c r="A4" t="s">
        <v>42</v>
      </c>
      <c r="B4">
        <v>3.5</v>
      </c>
      <c r="D4" t="s">
        <v>42</v>
      </c>
      <c r="E4">
        <v>3.5</v>
      </c>
    </row>
    <row r="6" spans="1:5" x14ac:dyDescent="0.25">
      <c r="A6" t="s">
        <v>55</v>
      </c>
      <c r="B6">
        <f>SQRT(B3)</f>
        <v>3.872983346207417</v>
      </c>
      <c r="D6" t="s">
        <v>55</v>
      </c>
      <c r="E6">
        <f>SQRT(E3)</f>
        <v>3.872983346207417</v>
      </c>
    </row>
    <row r="7" spans="1:5" x14ac:dyDescent="0.25">
      <c r="A7" t="s">
        <v>43</v>
      </c>
      <c r="B7">
        <f>B2-((B1*B4)/B6)</f>
        <v>8.4317646045229626</v>
      </c>
      <c r="D7" t="s">
        <v>43</v>
      </c>
      <c r="E7">
        <f>E2-((E1*E4)/E6)</f>
        <v>7.6798387886174151</v>
      </c>
    </row>
    <row r="8" spans="1:5" x14ac:dyDescent="0.25">
      <c r="A8" t="s">
        <v>44</v>
      </c>
      <c r="B8">
        <f>B2+((B1*B4)/B6)</f>
        <v>12.308235395477036</v>
      </c>
      <c r="D8" t="s">
        <v>44</v>
      </c>
      <c r="E8">
        <f>E2+((E1*E4)/E6)</f>
        <v>13.060161211382583</v>
      </c>
    </row>
    <row r="11" spans="1:5" x14ac:dyDescent="0.25">
      <c r="B11" s="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K22" sqref="K22"/>
    </sheetView>
  </sheetViews>
  <sheetFormatPr defaultRowHeight="15" x14ac:dyDescent="0.25"/>
  <cols>
    <col min="1" max="1" width="17.7109375" customWidth="1"/>
  </cols>
  <sheetData>
    <row r="1" spans="1:2" x14ac:dyDescent="0.25">
      <c r="A1" t="s">
        <v>57</v>
      </c>
      <c r="B1">
        <f>_xlfn.T.INV((1+0.9)/2, B3-1)</f>
        <v>1.6991270265334968</v>
      </c>
    </row>
    <row r="2" spans="1:2" x14ac:dyDescent="0.25">
      <c r="A2" t="s">
        <v>40</v>
      </c>
      <c r="B2" s="37">
        <v>120</v>
      </c>
    </row>
    <row r="3" spans="1:2" x14ac:dyDescent="0.25">
      <c r="A3" t="s">
        <v>41</v>
      </c>
      <c r="B3">
        <v>30</v>
      </c>
    </row>
    <row r="4" spans="1:2" x14ac:dyDescent="0.25">
      <c r="A4" t="s">
        <v>42</v>
      </c>
      <c r="B4">
        <v>10.1709</v>
      </c>
    </row>
    <row r="6" spans="1:2" x14ac:dyDescent="0.25">
      <c r="A6" t="s">
        <v>55</v>
      </c>
      <c r="B6">
        <f>SQRT(B3)</f>
        <v>5.4772255750516612</v>
      </c>
    </row>
    <row r="7" spans="1:2" x14ac:dyDescent="0.25">
      <c r="A7" t="s">
        <v>43</v>
      </c>
      <c r="B7">
        <f>B2-((B1*B4)/B6)</f>
        <v>116.84481662524799</v>
      </c>
    </row>
    <row r="8" spans="1:2" x14ac:dyDescent="0.25">
      <c r="A8" t="s">
        <v>44</v>
      </c>
      <c r="B8">
        <f>B2+((B1*B4)/B6)</f>
        <v>123.15518337475201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Лист4</vt:lpstr>
      <vt:lpstr>№9 с.17</vt:lpstr>
      <vt:lpstr>№2 с.56</vt:lpstr>
      <vt:lpstr>№5 с. 57</vt:lpstr>
      <vt:lpstr>№6 с. 57</vt:lpstr>
      <vt:lpstr>№7 с. 57</vt:lpstr>
      <vt:lpstr>№1 с. 60</vt:lpstr>
      <vt:lpstr>№2 с. 60</vt:lpstr>
      <vt:lpstr>№3 с. 60</vt:lpstr>
      <vt:lpstr>№4 с.60</vt:lpstr>
      <vt:lpstr>6</vt:lpstr>
      <vt:lpstr>№2 с.60</vt:lpstr>
      <vt:lpstr>№1 с. 63</vt:lpstr>
      <vt:lpstr>№ 2 с. 63</vt:lpstr>
      <vt:lpstr>№3 с. 63</vt:lpstr>
      <vt:lpstr>№4 с. 63</vt:lpstr>
      <vt:lpstr>№5 с. 63</vt:lpstr>
      <vt:lpstr>№1 с. 65</vt:lpstr>
      <vt:lpstr>№2 с. 65</vt:lpstr>
      <vt:lpstr>№3 с. 65</vt:lpstr>
      <vt:lpstr>№4 с. 65</vt:lpstr>
      <vt:lpstr>№5 с. 65</vt:lpstr>
      <vt:lpstr>№6 с. 65</vt:lpstr>
      <vt:lpstr>№7 с. 65</vt:lpstr>
      <vt:lpstr>№8 с. 65</vt:lpstr>
      <vt:lpstr>№9 с. 65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Кот</dc:creator>
  <cp:lastModifiedBy>Жевагина Анастасия Владимировна</cp:lastModifiedBy>
  <dcterms:created xsi:type="dcterms:W3CDTF">2021-03-01T21:06:34Z</dcterms:created>
  <dcterms:modified xsi:type="dcterms:W3CDTF">2021-03-16T10:14:15Z</dcterms:modified>
</cp:coreProperties>
</file>