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st\Documents\GitHub\FA\2 курс\БИС\Занятие 9\"/>
    </mc:Choice>
  </mc:AlternateContent>
  <bookViews>
    <workbookView xWindow="0" yWindow="0" windowWidth="23040" windowHeight="9372"/>
  </bookViews>
  <sheets>
    <sheet name="ЗАДАНИЕ 1" sheetId="7" r:id="rId1"/>
    <sheet name="Лист2" sheetId="11" r:id="rId2"/>
    <sheet name="ИНФОРМАЦИОННЫЙ СПРАВОЧНИК" sheetId="9" r:id="rId3"/>
    <sheet name="ИНОФРМАЦИОННЫЙ СПРАВОЧНИК СОРТ" sheetId="10" r:id="rId4"/>
  </sheets>
  <definedNames>
    <definedName name="_xlnm._FilterDatabase" localSheetId="0" hidden="1">'ЗАДАНИЕ 1'!$A$27:$N$28</definedName>
    <definedName name="_xlnm._FilterDatabase" localSheetId="1" hidden="1">Лист2!$I$4:$I$68</definedName>
  </definedNames>
  <calcPr calcId="152511"/>
</workbook>
</file>

<file path=xl/calcChain.xml><?xml version="1.0" encoding="utf-8"?>
<calcChain xmlns="http://schemas.openxmlformats.org/spreadsheetml/2006/main">
  <c r="I4" i="11" l="1"/>
  <c r="E47" i="7"/>
  <c r="I28" i="7" l="1"/>
  <c r="J17" i="11" l="1"/>
  <c r="L17" i="11" s="1"/>
  <c r="I17" i="11"/>
  <c r="E17" i="11"/>
  <c r="F17" i="11" s="1"/>
  <c r="M17" i="11" s="1"/>
  <c r="J16" i="11"/>
  <c r="L16" i="11" s="1"/>
  <c r="I16" i="11"/>
  <c r="E16" i="11"/>
  <c r="F16" i="11" s="1"/>
  <c r="M16" i="11" s="1"/>
  <c r="J15" i="11"/>
  <c r="L15" i="11" s="1"/>
  <c r="I15" i="11"/>
  <c r="E15" i="11"/>
  <c r="F15" i="11" s="1"/>
  <c r="M15" i="11" s="1"/>
  <c r="J14" i="11"/>
  <c r="L14" i="11" s="1"/>
  <c r="I14" i="11"/>
  <c r="K14" i="11" s="1"/>
  <c r="E14" i="11"/>
  <c r="F14" i="11" s="1"/>
  <c r="M14" i="11" s="1"/>
  <c r="J13" i="11"/>
  <c r="L13" i="11" s="1"/>
  <c r="I13" i="11"/>
  <c r="E13" i="11"/>
  <c r="F13" i="11" s="1"/>
  <c r="M13" i="11" s="1"/>
  <c r="J12" i="11"/>
  <c r="L12" i="11" s="1"/>
  <c r="I12" i="11"/>
  <c r="E12" i="11"/>
  <c r="F12" i="11" s="1"/>
  <c r="M12" i="11" s="1"/>
  <c r="J11" i="11"/>
  <c r="L11" i="11" s="1"/>
  <c r="I11" i="11"/>
  <c r="K11" i="11" s="1"/>
  <c r="E11" i="11"/>
  <c r="F11" i="11" s="1"/>
  <c r="M11" i="11" s="1"/>
  <c r="J10" i="11"/>
  <c r="L10" i="11" s="1"/>
  <c r="I10" i="11"/>
  <c r="E10" i="11"/>
  <c r="F10" i="11" s="1"/>
  <c r="M10" i="11" s="1"/>
  <c r="J9" i="11"/>
  <c r="L9" i="11" s="1"/>
  <c r="I9" i="11"/>
  <c r="E9" i="11"/>
  <c r="F9" i="11" s="1"/>
  <c r="M9" i="11" s="1"/>
  <c r="J8" i="11"/>
  <c r="L8" i="11" s="1"/>
  <c r="I8" i="11"/>
  <c r="E8" i="11"/>
  <c r="F8" i="11" s="1"/>
  <c r="M8" i="11" s="1"/>
  <c r="J7" i="11"/>
  <c r="L7" i="11" s="1"/>
  <c r="I7" i="11"/>
  <c r="E7" i="11"/>
  <c r="F7" i="11" s="1"/>
  <c r="M7" i="11" s="1"/>
  <c r="J6" i="11"/>
  <c r="L6" i="11" s="1"/>
  <c r="I6" i="11"/>
  <c r="E6" i="11"/>
  <c r="F6" i="11" s="1"/>
  <c r="M6" i="11" s="1"/>
  <c r="J5" i="11"/>
  <c r="L5" i="11" s="1"/>
  <c r="I5" i="11"/>
  <c r="E5" i="11"/>
  <c r="F5" i="11" s="1"/>
  <c r="M5" i="11" s="1"/>
  <c r="J4" i="11"/>
  <c r="L4" i="11" s="1"/>
  <c r="E4" i="11"/>
  <c r="F4" i="11" s="1"/>
  <c r="M4" i="11" s="1"/>
  <c r="N5" i="11" l="1"/>
  <c r="N11" i="11"/>
  <c r="N8" i="11"/>
  <c r="K5" i="11"/>
  <c r="K8" i="11"/>
  <c r="N14" i="11"/>
  <c r="N17" i="11"/>
  <c r="K17" i="11"/>
  <c r="N6" i="11"/>
  <c r="N9" i="11"/>
  <c r="N7" i="11"/>
  <c r="N15" i="11"/>
  <c r="N10" i="11"/>
  <c r="N13" i="11"/>
  <c r="N16" i="11"/>
  <c r="N4" i="11"/>
  <c r="N12" i="11"/>
  <c r="K4" i="11"/>
  <c r="K7" i="11"/>
  <c r="K10" i="11"/>
  <c r="K13" i="11"/>
  <c r="K16" i="11"/>
  <c r="K6" i="11"/>
  <c r="K9" i="11"/>
  <c r="K12" i="11"/>
  <c r="K15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F29" i="11"/>
  <c r="E29" i="11"/>
  <c r="L28" i="11"/>
  <c r="K28" i="11"/>
  <c r="F28" i="11"/>
  <c r="E28" i="11"/>
  <c r="N27" i="11"/>
  <c r="L27" i="11"/>
  <c r="K27" i="11"/>
  <c r="F27" i="11"/>
  <c r="E27" i="11"/>
  <c r="N26" i="11"/>
  <c r="M26" i="11"/>
  <c r="L26" i="11"/>
  <c r="K26" i="11"/>
  <c r="F26" i="11"/>
  <c r="E26" i="11"/>
  <c r="N25" i="11"/>
  <c r="M25" i="11"/>
  <c r="L25" i="11"/>
  <c r="K25" i="11"/>
  <c r="J25" i="11"/>
  <c r="F25" i="11"/>
  <c r="E25" i="11"/>
  <c r="N24" i="11"/>
  <c r="M24" i="11"/>
  <c r="L24" i="11"/>
  <c r="K24" i="11"/>
  <c r="J24" i="11"/>
  <c r="F24" i="11"/>
  <c r="E24" i="11"/>
  <c r="N23" i="11"/>
  <c r="M23" i="11"/>
  <c r="L23" i="11"/>
  <c r="K23" i="11"/>
  <c r="J23" i="11"/>
  <c r="F23" i="11"/>
  <c r="E23" i="11"/>
  <c r="N22" i="11"/>
  <c r="M22" i="11"/>
  <c r="L22" i="11"/>
  <c r="K22" i="11"/>
  <c r="J22" i="11"/>
  <c r="F22" i="11"/>
  <c r="E22" i="11"/>
  <c r="N21" i="11"/>
  <c r="M21" i="11"/>
  <c r="L21" i="11"/>
  <c r="K21" i="11"/>
  <c r="J21" i="11"/>
  <c r="F21" i="11"/>
  <c r="E21" i="11"/>
  <c r="N20" i="11"/>
  <c r="M20" i="11"/>
  <c r="L20" i="11"/>
  <c r="K20" i="11"/>
  <c r="J20" i="11"/>
  <c r="F20" i="11"/>
  <c r="E20" i="11"/>
  <c r="N19" i="11"/>
  <c r="M19" i="11"/>
  <c r="L19" i="11"/>
  <c r="K19" i="11"/>
  <c r="J19" i="11"/>
  <c r="F19" i="11"/>
  <c r="E19" i="11"/>
  <c r="N18" i="11"/>
  <c r="M18" i="11"/>
  <c r="L18" i="11"/>
  <c r="K18" i="11"/>
  <c r="J18" i="11"/>
  <c r="F18" i="11"/>
  <c r="E18" i="11"/>
  <c r="N51" i="7"/>
  <c r="L43" i="7"/>
  <c r="L50" i="7"/>
  <c r="L51" i="7"/>
  <c r="L52" i="7"/>
  <c r="K42" i="7"/>
  <c r="K43" i="7"/>
  <c r="K44" i="7"/>
  <c r="K45" i="7"/>
  <c r="K46" i="7"/>
  <c r="K47" i="7"/>
  <c r="K48" i="7"/>
  <c r="K49" i="7"/>
  <c r="K50" i="7"/>
  <c r="K51" i="7"/>
  <c r="K52" i="7"/>
  <c r="I30" i="7"/>
  <c r="K30" i="7" s="1"/>
  <c r="J29" i="7"/>
  <c r="L29" i="7" s="1"/>
  <c r="J30" i="7"/>
  <c r="L30" i="7" s="1"/>
  <c r="J31" i="7"/>
  <c r="L31" i="7" s="1"/>
  <c r="J32" i="7"/>
  <c r="L32" i="7" s="1"/>
  <c r="J33" i="7"/>
  <c r="L33" i="7" s="1"/>
  <c r="J34" i="7"/>
  <c r="L34" i="7" s="1"/>
  <c r="J35" i="7"/>
  <c r="L35" i="7" s="1"/>
  <c r="J36" i="7"/>
  <c r="L36" i="7" s="1"/>
  <c r="J37" i="7"/>
  <c r="L37" i="7" s="1"/>
  <c r="J38" i="7"/>
  <c r="L38" i="7" s="1"/>
  <c r="J39" i="7"/>
  <c r="L39" i="7" s="1"/>
  <c r="J40" i="7"/>
  <c r="L40" i="7" s="1"/>
  <c r="J41" i="7"/>
  <c r="L41" i="7" s="1"/>
  <c r="J42" i="7"/>
  <c r="L42" i="7" s="1"/>
  <c r="J43" i="7"/>
  <c r="J44" i="7"/>
  <c r="L44" i="7" s="1"/>
  <c r="J45" i="7"/>
  <c r="L45" i="7" s="1"/>
  <c r="J46" i="7"/>
  <c r="L46" i="7" s="1"/>
  <c r="I29" i="7"/>
  <c r="K29" i="7" s="1"/>
  <c r="I31" i="7"/>
  <c r="K31" i="7" s="1"/>
  <c r="I32" i="7"/>
  <c r="I33" i="7"/>
  <c r="I34" i="7"/>
  <c r="I35" i="7"/>
  <c r="I36" i="7"/>
  <c r="K36" i="7" s="1"/>
  <c r="I37" i="7"/>
  <c r="I38" i="7"/>
  <c r="I39" i="7"/>
  <c r="I40" i="7"/>
  <c r="I41" i="7"/>
  <c r="F52" i="7"/>
  <c r="F53" i="7"/>
  <c r="E29" i="7"/>
  <c r="F29" i="7" s="1"/>
  <c r="E30" i="7"/>
  <c r="F30" i="7" s="1"/>
  <c r="E31" i="7"/>
  <c r="F31" i="7" s="1"/>
  <c r="M31" i="7" s="1"/>
  <c r="E32" i="7"/>
  <c r="F32" i="7" s="1"/>
  <c r="M32" i="7" s="1"/>
  <c r="E33" i="7"/>
  <c r="F33" i="7" s="1"/>
  <c r="M33" i="7" s="1"/>
  <c r="E34" i="7"/>
  <c r="F34" i="7" s="1"/>
  <c r="M34" i="7" s="1"/>
  <c r="E35" i="7"/>
  <c r="F35" i="7" s="1"/>
  <c r="M35" i="7" s="1"/>
  <c r="E36" i="7"/>
  <c r="F36" i="7" s="1"/>
  <c r="M36" i="7" s="1"/>
  <c r="E37" i="7"/>
  <c r="F37" i="7" s="1"/>
  <c r="M37" i="7" s="1"/>
  <c r="E38" i="7"/>
  <c r="F38" i="7" s="1"/>
  <c r="M38" i="7" s="1"/>
  <c r="E39" i="7"/>
  <c r="F39" i="7" s="1"/>
  <c r="M39" i="7" s="1"/>
  <c r="E40" i="7"/>
  <c r="F40" i="7" s="1"/>
  <c r="M40" i="7" s="1"/>
  <c r="E41" i="7"/>
  <c r="F41" i="7" s="1"/>
  <c r="M41" i="7" s="1"/>
  <c r="E42" i="7"/>
  <c r="F42" i="7" s="1"/>
  <c r="M42" i="7" s="1"/>
  <c r="N42" i="7" s="1"/>
  <c r="E43" i="7"/>
  <c r="F43" i="7" s="1"/>
  <c r="M43" i="7" s="1"/>
  <c r="N43" i="7" s="1"/>
  <c r="E44" i="7"/>
  <c r="F44" i="7" s="1"/>
  <c r="M44" i="7" s="1"/>
  <c r="N44" i="7" s="1"/>
  <c r="E45" i="7"/>
  <c r="F45" i="7" s="1"/>
  <c r="M45" i="7" s="1"/>
  <c r="N45" i="7" s="1"/>
  <c r="E46" i="7"/>
  <c r="F46" i="7" s="1"/>
  <c r="M46" i="7" s="1"/>
  <c r="N46" i="7" s="1"/>
  <c r="E48" i="7"/>
  <c r="E49" i="7"/>
  <c r="E50" i="7"/>
  <c r="F50" i="7" s="1"/>
  <c r="M50" i="7" s="1"/>
  <c r="N50" i="7" s="1"/>
  <c r="E51" i="7"/>
  <c r="F51" i="7" s="1"/>
  <c r="E52" i="7"/>
  <c r="J28" i="7"/>
  <c r="L28" i="7" s="1"/>
  <c r="K28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28" i="7"/>
  <c r="F28" i="7" s="1"/>
  <c r="C49" i="7" l="1"/>
  <c r="C51" i="7"/>
  <c r="J49" i="7"/>
  <c r="L49" i="7" s="1"/>
  <c r="F49" i="7"/>
  <c r="M49" i="7" s="1"/>
  <c r="N49" i="7" s="1"/>
  <c r="M28" i="7"/>
  <c r="N28" i="7" s="1"/>
  <c r="M29" i="7"/>
  <c r="N29" i="7" s="1"/>
  <c r="M30" i="7"/>
  <c r="N30" i="7" s="1"/>
  <c r="N36" i="7"/>
  <c r="N31" i="7"/>
  <c r="N41" i="7"/>
  <c r="N40" i="7"/>
  <c r="K41" i="7"/>
  <c r="K40" i="7"/>
  <c r="N39" i="7"/>
  <c r="K39" i="7"/>
  <c r="N38" i="7"/>
  <c r="N37" i="7"/>
  <c r="K38" i="7"/>
  <c r="N35" i="7"/>
  <c r="K37" i="7"/>
  <c r="K35" i="7"/>
  <c r="N34" i="7"/>
  <c r="N33" i="7"/>
  <c r="K34" i="7"/>
  <c r="K33" i="7"/>
  <c r="N32" i="7"/>
  <c r="K32" i="7"/>
  <c r="C50" i="7" l="1"/>
  <c r="C48" i="7"/>
  <c r="F47" i="7"/>
  <c r="M47" i="7" s="1"/>
  <c r="N47" i="7" s="1"/>
  <c r="J47" i="7"/>
  <c r="L47" i="7" s="1"/>
  <c r="J48" i="7"/>
  <c r="L48" i="7" s="1"/>
  <c r="F48" i="7"/>
  <c r="M48" i="7" s="1"/>
  <c r="N48" i="7" s="1"/>
</calcChain>
</file>

<file path=xl/sharedStrings.xml><?xml version="1.0" encoding="utf-8"?>
<sst xmlns="http://schemas.openxmlformats.org/spreadsheetml/2006/main" count="165" uniqueCount="87">
  <si>
    <t>Постановка задачи</t>
  </si>
  <si>
    <t>Цифровой код валюты</t>
  </si>
  <si>
    <t>Буквенный код валюты</t>
  </si>
  <si>
    <t>Наименование валюты</t>
  </si>
  <si>
    <t>Курс, руб.</t>
  </si>
  <si>
    <t>AUD</t>
  </si>
  <si>
    <t>Австралийский доллар</t>
  </si>
  <si>
    <t>GBP</t>
  </si>
  <si>
    <t>Английский фунт стерлингов</t>
  </si>
  <si>
    <t>USD</t>
  </si>
  <si>
    <t>Доллар США</t>
  </si>
  <si>
    <t>EUR</t>
  </si>
  <si>
    <t>ЕВРО</t>
  </si>
  <si>
    <t>CAD</t>
  </si>
  <si>
    <t>Канадский доллар</t>
  </si>
  <si>
    <t>TRY</t>
  </si>
  <si>
    <t>Турецкая лира</t>
  </si>
  <si>
    <t>SGD</t>
  </si>
  <si>
    <t>Сингапурский доллар</t>
  </si>
  <si>
    <t>CHF</t>
  </si>
  <si>
    <t>Швейцарский франк</t>
  </si>
  <si>
    <t>BRL</t>
  </si>
  <si>
    <t>Бразильский реал</t>
  </si>
  <si>
    <t>LVL</t>
  </si>
  <si>
    <t>Латвийский лат</t>
  </si>
  <si>
    <t>XDR</t>
  </si>
  <si>
    <r>
      <t xml:space="preserve">СДР </t>
    </r>
    <r>
      <rPr>
        <i/>
        <sz val="11"/>
        <color theme="1"/>
        <rFont val="Arial"/>
        <family val="2"/>
        <charset val="204"/>
      </rPr>
      <t>(специальные права заимствования)</t>
    </r>
  </si>
  <si>
    <t>AZN</t>
  </si>
  <si>
    <t>Азербайджанский манат</t>
  </si>
  <si>
    <t>BGN</t>
  </si>
  <si>
    <t>Болгарский лев</t>
  </si>
  <si>
    <t>RUB</t>
  </si>
  <si>
    <t>Российский рубль</t>
  </si>
  <si>
    <t>Выдержка из «Информационного справочника Банка России»</t>
  </si>
  <si>
    <t>В банке N в таблице учитываются вклады в разных валютах. Необходимо рассчитать срок размещения в месяцах, определить валюту вклада, определить будущую стоимость вклада в зависимости от годовой процентной ставки, получить стоимость вклада в рублевом эквиваленте.</t>
  </si>
  <si>
    <t>Пояснения.</t>
  </si>
  <si>
    <t>Значение графы 13 рассчитайте с помощью финансовых функций.</t>
  </si>
  <si>
    <t>Таблица 1</t>
  </si>
  <si>
    <t>№ п/п</t>
  </si>
  <si>
    <t>ФИО вкладчика</t>
  </si>
  <si>
    <t>Дата начала вклада</t>
  </si>
  <si>
    <t>Расчетный счет</t>
  </si>
  <si>
    <t>Текущая дата</t>
  </si>
  <si>
    <t>Срок вклада в месяцах</t>
  </si>
  <si>
    <t>Процентная ставка</t>
  </si>
  <si>
    <t>Сумма вклада</t>
  </si>
  <si>
    <t>Валюта вклада 1</t>
  </si>
  <si>
    <t>Валюта вклада 2</t>
  </si>
  <si>
    <t>Наименование валюты 1</t>
  </si>
  <si>
    <t>Наименование валюты 2</t>
  </si>
  <si>
    <t>Будущая стоимость вклада</t>
  </si>
  <si>
    <t>Будущая стоимость вклада в рублях</t>
  </si>
  <si>
    <r>
      <t>Значение граф 5 и 6 вычислите с помощью функций даты и времени</t>
    </r>
    <r>
      <rPr>
        <sz val="12"/>
        <color theme="1"/>
        <rFont val="Arial"/>
        <family val="2"/>
        <charset val="204"/>
      </rPr>
      <t>.</t>
    </r>
  </si>
  <si>
    <t xml:space="preserve">Код валюты определяется исходя из расчетного счета вкладчика. При этом код валюты занимает место с 6 по 8 символ в счете клиента. </t>
  </si>
  <si>
    <t>Значение граф 11 и 12 вычислите с помощью функций ВПР и Просмотр  соответственно, ссылаясь на «Информационный справочник Банка России».</t>
  </si>
  <si>
    <t>Отдельно, рассчитайте рублевый эквивалент по каждой валюте ( 1 вариант - с помощью функции СУММЕСЛИ; 2 вариант - с помощью инструмента промежуточные итоги). С помощью функции СУММЕСЛИМН рассчитайте суммарную стоимость вклада по валюте (840) и на срок более 6 месяцев. Определите сколько таких вкладчиков.</t>
  </si>
  <si>
    <t xml:space="preserve">Данные граф  2, 3, 4 и 8 Таблицы 1 задайте самостоятельно. </t>
  </si>
  <si>
    <t xml:space="preserve">Расчетный счет вкладчика (графа 4)  состоит из 20 символов. При вводе расчетного счета предусмотрите ограничение на ввод данных ячейки по количеству символов. </t>
  </si>
  <si>
    <t xml:space="preserve">Данные графы 7 ввести с использованием выпадающего списка. </t>
  </si>
  <si>
    <r>
      <t xml:space="preserve">Для расчета графы 14 используются функция </t>
    </r>
    <r>
      <rPr>
        <sz val="12"/>
        <color theme="1"/>
        <rFont val="Arial"/>
        <family val="2"/>
        <charset val="204"/>
      </rPr>
      <t>ПРОСМОТР</t>
    </r>
    <r>
      <rPr>
        <sz val="14"/>
        <color theme="1"/>
        <rFont val="Cambria"/>
        <family val="1"/>
        <charset val="204"/>
      </rPr>
      <t xml:space="preserve"> и «Информационный справочник Банка России». </t>
    </r>
  </si>
  <si>
    <t>Жевагина Анастасия Владимировна</t>
  </si>
  <si>
    <t>Головченко Анна Олеговна</t>
  </si>
  <si>
    <t>Терехова Полина Сергеевна</t>
  </si>
  <si>
    <t>Соловьев Игорь Александрович</t>
  </si>
  <si>
    <t>Клиент10</t>
  </si>
  <si>
    <t>Клиент01</t>
  </si>
  <si>
    <t>Клиент02</t>
  </si>
  <si>
    <t>Клиент03</t>
  </si>
  <si>
    <t>Клиент04</t>
  </si>
  <si>
    <t>Клиент05</t>
  </si>
  <si>
    <t>Клиент06</t>
  </si>
  <si>
    <t>Клиент07</t>
  </si>
  <si>
    <t>Клиент08</t>
  </si>
  <si>
    <t>Клиент09</t>
  </si>
  <si>
    <t>24680840912345678912</t>
  </si>
  <si>
    <t>24680840912345678913</t>
  </si>
  <si>
    <t>24680840912345678915</t>
  </si>
  <si>
    <t>24680978912345678912</t>
  </si>
  <si>
    <t>24680978912345678913</t>
  </si>
  <si>
    <t>24680978912345678915</t>
  </si>
  <si>
    <t>24680826912345678912</t>
  </si>
  <si>
    <t>Код валюты</t>
  </si>
  <si>
    <t>Через СУММЕСЛИ</t>
  </si>
  <si>
    <t>Кол-во вкладчиков</t>
  </si>
  <si>
    <t>Рублевый эквивалент</t>
  </si>
  <si>
    <t>СУММЕСЛИМН</t>
  </si>
  <si>
    <t>Через промежуточные итоги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</si>
</sst>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₽&quot;;[Red]\-#,##0.00\ &quot;₽&quot;"/>
    <numFmt numFmtId="164" formatCode="_-* #,##0.00_р_._-;\-* #,##0.00_р_._-;_-* &quot;-&quot;??_р_._-;_-@_-"/>
    <numFmt numFmtId="165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i/>
      <u/>
      <sz val="14"/>
      <color theme="1"/>
      <name val="Times New Roman"/>
      <family val="1"/>
      <charset val="204"/>
    </font>
    <font>
      <sz val="14"/>
      <color theme="1"/>
      <name val="Cambria"/>
      <family val="1"/>
      <charset val="204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14"/>
      <color theme="1"/>
      <name val="Cambria"/>
      <family val="1"/>
      <charset val="204"/>
    </font>
    <font>
      <b/>
      <i/>
      <u/>
      <sz val="14"/>
      <color theme="1"/>
      <name val="Cambr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right" vertical="center" wrapText="1"/>
    </xf>
    <xf numFmtId="0" fontId="7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49" fontId="0" fillId="0" borderId="0" xfId="0" applyNumberFormat="1"/>
    <xf numFmtId="49" fontId="4" fillId="2" borderId="1" xfId="0" applyNumberFormat="1" applyFont="1" applyFill="1" applyBorder="1" applyAlignment="1">
      <alignment horizontal="center" vertical="center" wrapText="1"/>
    </xf>
    <xf numFmtId="8" fontId="0" fillId="0" borderId="0" xfId="0" applyNumberFormat="1"/>
    <xf numFmtId="2" fontId="0" fillId="0" borderId="0" xfId="0" applyNumberFormat="1"/>
    <xf numFmtId="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vertic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0" fillId="0" borderId="0" xfId="0" applyFill="1" applyBorder="1"/>
    <xf numFmtId="0" fontId="0" fillId="0" borderId="9" xfId="0" applyBorder="1"/>
    <xf numFmtId="0" fontId="0" fillId="4" borderId="10" xfId="0" applyFill="1" applyBorder="1" applyAlignment="1">
      <alignment horizontal="left"/>
    </xf>
    <xf numFmtId="165" fontId="0" fillId="0" borderId="10" xfId="0" applyNumberFormat="1" applyBorder="1"/>
    <xf numFmtId="0" fontId="0" fillId="2" borderId="7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65" fontId="0" fillId="2" borderId="8" xfId="0" applyNumberFormat="1" applyFill="1" applyBorder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topLeftCell="A28" workbookViewId="0">
      <selection activeCell="C49" sqref="C49"/>
    </sheetView>
  </sheetViews>
  <sheetFormatPr defaultRowHeight="14.4" x14ac:dyDescent="0.3"/>
  <cols>
    <col min="1" max="1" width="6" customWidth="1"/>
    <col min="2" max="2" width="23.44140625" customWidth="1"/>
    <col min="3" max="3" width="28.44140625" customWidth="1"/>
    <col min="4" max="4" width="25.33203125" style="15" customWidth="1"/>
    <col min="5" max="5" width="12.6640625" customWidth="1"/>
    <col min="6" max="6" width="12.109375" customWidth="1"/>
    <col min="7" max="7" width="16.109375" customWidth="1"/>
    <col min="8" max="8" width="13.109375" customWidth="1"/>
    <col min="9" max="9" width="13.88671875" customWidth="1"/>
    <col min="10" max="10" width="12.5546875" customWidth="1"/>
    <col min="11" max="11" width="15.44140625" customWidth="1"/>
    <col min="12" max="12" width="20.33203125" customWidth="1"/>
    <col min="13" max="13" width="29.88671875" style="18" customWidth="1"/>
    <col min="14" max="14" width="26.44140625" customWidth="1"/>
  </cols>
  <sheetData>
    <row r="1" spans="1:14" ht="18" x14ac:dyDescent="0.3">
      <c r="A1" s="25" t="s">
        <v>0</v>
      </c>
      <c r="B1" s="25"/>
      <c r="C1" s="25"/>
    </row>
    <row r="2" spans="1:14" ht="18" customHeight="1" x14ac:dyDescent="0.3">
      <c r="A2" s="26" t="s">
        <v>34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4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4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4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4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8" spans="1:14" ht="17.399999999999999" x14ac:dyDescent="0.3">
      <c r="A8" s="27" t="s">
        <v>35</v>
      </c>
      <c r="B8" s="27"/>
      <c r="C8" s="27"/>
    </row>
    <row r="9" spans="1:14" ht="17.399999999999999" x14ac:dyDescent="0.3">
      <c r="A9" s="28" t="s">
        <v>56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ht="18" customHeight="1" x14ac:dyDescent="0.3">
      <c r="A10" s="26" t="s">
        <v>57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8"/>
      <c r="M10" s="19"/>
      <c r="N10" s="8"/>
    </row>
    <row r="11" spans="1:14" ht="55.5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8"/>
      <c r="M11" s="19"/>
      <c r="N11" s="8"/>
    </row>
    <row r="12" spans="1:14" ht="17.399999999999999" x14ac:dyDescent="0.3">
      <c r="A12" s="28" t="s">
        <v>52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7"/>
      <c r="M12" s="20"/>
      <c r="N12" s="7"/>
    </row>
    <row r="13" spans="1:14" ht="18" customHeight="1" x14ac:dyDescent="0.3">
      <c r="A13" s="26" t="s">
        <v>58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8"/>
      <c r="M13" s="19"/>
      <c r="N13" s="8"/>
    </row>
    <row r="14" spans="1:14" ht="18" customHeight="1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8"/>
      <c r="M14" s="19"/>
      <c r="N14" s="8"/>
    </row>
    <row r="15" spans="1:14" ht="18" customHeight="1" x14ac:dyDescent="0.3">
      <c r="A15" s="30" t="s">
        <v>53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8"/>
      <c r="M15" s="19"/>
      <c r="N15" s="8"/>
    </row>
    <row r="16" spans="1:14" ht="43.5" customHeight="1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8"/>
      <c r="M16" s="19"/>
      <c r="N16" s="8"/>
    </row>
    <row r="17" spans="1:14" ht="43.5" customHeight="1" x14ac:dyDescent="0.3">
      <c r="A17" s="26" t="s">
        <v>54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8"/>
      <c r="M17" s="19"/>
      <c r="N17" s="8"/>
    </row>
    <row r="18" spans="1:14" ht="7.5" customHeight="1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8"/>
      <c r="M18" s="19"/>
      <c r="N18" s="8"/>
    </row>
    <row r="19" spans="1:14" ht="17.399999999999999" x14ac:dyDescent="0.3">
      <c r="A19" s="28" t="s">
        <v>36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7"/>
      <c r="M19" s="20"/>
      <c r="N19" s="7"/>
    </row>
    <row r="20" spans="1:14" ht="18" customHeight="1" x14ac:dyDescent="0.3">
      <c r="A20" s="26" t="s">
        <v>59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8"/>
      <c r="M20" s="19"/>
      <c r="N20" s="8"/>
    </row>
    <row r="21" spans="1:14" ht="19.5" customHeight="1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8"/>
      <c r="M21" s="19"/>
      <c r="N21" s="8"/>
    </row>
    <row r="22" spans="1:14" ht="31.5" customHeight="1" x14ac:dyDescent="0.3">
      <c r="A22" s="26" t="s">
        <v>55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8"/>
      <c r="M22" s="19"/>
      <c r="N22" s="8"/>
    </row>
    <row r="23" spans="1:14" ht="26.25" customHeight="1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8"/>
      <c r="M23" s="19"/>
      <c r="N23" s="8"/>
    </row>
    <row r="25" spans="1:14" ht="18" x14ac:dyDescent="0.3">
      <c r="A25" s="29" t="s">
        <v>37</v>
      </c>
      <c r="B25" s="29"/>
      <c r="C25" s="29"/>
    </row>
    <row r="27" spans="1:14" ht="65.25" customHeight="1" x14ac:dyDescent="0.3">
      <c r="A27" s="9" t="s">
        <v>38</v>
      </c>
      <c r="B27" s="11" t="s">
        <v>39</v>
      </c>
      <c r="C27" s="12" t="s">
        <v>40</v>
      </c>
      <c r="D27" s="16" t="s">
        <v>41</v>
      </c>
      <c r="E27" s="10" t="s">
        <v>42</v>
      </c>
      <c r="F27" s="10" t="s">
        <v>43</v>
      </c>
      <c r="G27" s="10" t="s">
        <v>44</v>
      </c>
      <c r="H27" s="12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21" t="s">
        <v>50</v>
      </c>
      <c r="N27" s="9" t="s">
        <v>51</v>
      </c>
    </row>
    <row r="28" spans="1:14" x14ac:dyDescent="0.3">
      <c r="A28">
        <v>1</v>
      </c>
      <c r="B28" t="s">
        <v>60</v>
      </c>
      <c r="C28" s="13">
        <v>43937</v>
      </c>
      <c r="D28" s="15" t="s">
        <v>77</v>
      </c>
      <c r="E28" s="13">
        <f ca="1">IF($B28&lt;&gt;"",TODAY(),"")</f>
        <v>44158</v>
      </c>
      <c r="F28">
        <f ca="1">IF($B28&lt;&gt;"",DATEDIF(C28,E28,"M"),"")</f>
        <v>7</v>
      </c>
      <c r="G28" s="14">
        <v>0.2</v>
      </c>
      <c r="H28">
        <v>40000</v>
      </c>
      <c r="I28">
        <f>IF($B28&lt;&gt;"",VALUE(MID(D28,6,3)),"")</f>
        <v>978</v>
      </c>
      <c r="J28">
        <f>IF($B28&lt;&gt;"",VALUE(RIGHT(LEFT(D28,8),3)),"")</f>
        <v>978</v>
      </c>
      <c r="K28" t="str">
        <f>IF($B28&lt;&gt;"",VLOOKUP(I28,'ИНФОРМАЦИОННЫЙ СПРАВОЧНИК'!$A$3:$D$16,3,0),"")</f>
        <v>ЕВРО</v>
      </c>
      <c r="L28" t="str">
        <f>IF($B28&lt;&gt;"",LOOKUP(J28,'ИНОФРМАЦИОННЫЙ СПРАВОЧНИК СОРТ'!$A$1:$A$14,'ИНОФРМАЦИОННЫЙ СПРАВОЧНИК СОРТ'!$C$1:$C$14),"")</f>
        <v>ЕВРО</v>
      </c>
      <c r="M28" s="18">
        <f ca="1">IF($B28&lt;&gt;"",FV(G28/12,F28,,-H28),"")</f>
        <v>44906.590592435401</v>
      </c>
      <c r="N28" s="17">
        <f ca="1">IF($B28&lt;&gt;"",VLOOKUP(I28,'ИНФОРМАЦИОННЫЙ СПРАВОЧНИК'!$A$3:$D$16,4,0)*M28,"")</f>
        <v>3608693.6200081087</v>
      </c>
    </row>
    <row r="29" spans="1:14" x14ac:dyDescent="0.3">
      <c r="A29">
        <v>2</v>
      </c>
      <c r="B29" t="s">
        <v>61</v>
      </c>
      <c r="C29" s="13">
        <v>43917</v>
      </c>
      <c r="D29" s="15" t="s">
        <v>78</v>
      </c>
      <c r="E29" s="13">
        <f t="shared" ref="E29:E52" ca="1" si="0">IF($B29&lt;&gt;"",TODAY(),"")</f>
        <v>44158</v>
      </c>
      <c r="F29">
        <f ca="1">IF($B29&lt;&gt;"",DATEDIF(C29,E29,"M"),"")</f>
        <v>7</v>
      </c>
      <c r="G29" s="14">
        <v>0.2</v>
      </c>
      <c r="H29">
        <v>10000</v>
      </c>
      <c r="I29">
        <f t="shared" ref="I29:I41" si="1">IF($B29&lt;&gt;"",VALUE(MID(D29,6,3)),"")</f>
        <v>978</v>
      </c>
      <c r="J29">
        <f t="shared" ref="J29:J49" si="2">IF($B29&lt;&gt;"",VALUE(RIGHT(LEFT(D29,8),3)),"")</f>
        <v>978</v>
      </c>
      <c r="K29" t="str">
        <f>IF($B29&lt;&gt;"",VLOOKUP(I29,'ИНФОРМАЦИОННЫЙ СПРАВОЧНИК'!$A$3:$D$16,3,0),"")</f>
        <v>ЕВРО</v>
      </c>
      <c r="L29" t="str">
        <f>IF($B29&lt;&gt;"",LOOKUP(J29,'ИНОФРМАЦИОННЫЙ СПРАВОЧНИК СОРТ'!$A$1:$A$14,'ИНОФРМАЦИОННЫЙ СПРАВОЧНИК СОРТ'!$C$1:$C$14),"")</f>
        <v>ЕВРО</v>
      </c>
      <c r="M29" s="18">
        <f t="shared" ref="M29:M50" ca="1" si="3">IF($B29&lt;&gt;"",FV(G29/12,F29,,-H29),"")</f>
        <v>11226.64764810885</v>
      </c>
      <c r="N29" s="17">
        <f ca="1">IF($B29&lt;&gt;"",VLOOKUP(I29,'ИНФОРМАЦИОННЫЙ СПРАВОЧНИК'!$A$3:$D$16,4,0)*M29,"")</f>
        <v>902173.40500202717</v>
      </c>
    </row>
    <row r="30" spans="1:14" x14ac:dyDescent="0.3">
      <c r="A30">
        <v>3</v>
      </c>
      <c r="B30" t="s">
        <v>62</v>
      </c>
      <c r="C30" s="13">
        <v>44060</v>
      </c>
      <c r="D30" s="15" t="s">
        <v>79</v>
      </c>
      <c r="E30" s="13">
        <f t="shared" ca="1" si="0"/>
        <v>44158</v>
      </c>
      <c r="F30">
        <f t="shared" ref="F30:F53" ca="1" si="4">IF($B30&lt;&gt;"",DATEDIF(C30,E30,"M"),"")</f>
        <v>3</v>
      </c>
      <c r="G30" s="14">
        <v>0.2</v>
      </c>
      <c r="H30">
        <v>20000</v>
      </c>
      <c r="I30">
        <f>IF($B30&lt;&gt;"",VALUE(MID(D30,6,3)),"")</f>
        <v>978</v>
      </c>
      <c r="J30">
        <f t="shared" si="2"/>
        <v>978</v>
      </c>
      <c r="K30" t="str">
        <f>IF($B30&lt;&gt;"",VLOOKUP(I30,'ИНФОРМАЦИОННЫЙ СПРАВОЧНИК'!$A$3:$D$16,3,0),"")</f>
        <v>ЕВРО</v>
      </c>
      <c r="L30" t="str">
        <f>IF($B30&lt;&gt;"",LOOKUP(J30,'ИНОФРМАЦИОННЫЙ СПРАВОЧНИК СОРТ'!$A$1:$A$14,'ИНОФРМАЦИОННЫЙ СПРАВОЧНИК СОРТ'!$C$1:$C$14),"")</f>
        <v>ЕВРО</v>
      </c>
      <c r="M30" s="18">
        <f t="shared" ca="1" si="3"/>
        <v>21016.759259259255</v>
      </c>
      <c r="N30" s="17">
        <f ca="1">IF($B30&lt;&gt;"",VLOOKUP(I30,'ИНФОРМАЦИОННЫЙ СПРАВОЧНИК'!$A$3:$D$16,4,0)*M30,"")</f>
        <v>1688906.7740740736</v>
      </c>
    </row>
    <row r="31" spans="1:14" x14ac:dyDescent="0.3">
      <c r="A31">
        <v>4</v>
      </c>
      <c r="B31" t="s">
        <v>63</v>
      </c>
      <c r="C31" s="13">
        <v>44140</v>
      </c>
      <c r="D31" s="15" t="s">
        <v>77</v>
      </c>
      <c r="E31" s="13">
        <f t="shared" ca="1" si="0"/>
        <v>44158</v>
      </c>
      <c r="F31">
        <f t="shared" ca="1" si="4"/>
        <v>0</v>
      </c>
      <c r="G31" s="14">
        <v>0.2</v>
      </c>
      <c r="H31">
        <v>30000</v>
      </c>
      <c r="I31">
        <f t="shared" si="1"/>
        <v>978</v>
      </c>
      <c r="J31">
        <f t="shared" si="2"/>
        <v>978</v>
      </c>
      <c r="K31" t="str">
        <f>IF($B31&lt;&gt;"",VLOOKUP(I31,'ИНФОРМАЦИОННЫЙ СПРАВОЧНИК'!$A$3:$D$16,3,0),"")</f>
        <v>ЕВРО</v>
      </c>
      <c r="L31" t="str">
        <f>IF($B31&lt;&gt;"",LOOKUP(J31,'ИНОФРМАЦИОННЫЙ СПРАВОЧНИК СОРТ'!$A$1:$A$14,'ИНОФРМАЦИОННЫЙ СПРАВОЧНИК СОРТ'!$C$1:$C$14),"")</f>
        <v>ЕВРО</v>
      </c>
      <c r="M31" s="18">
        <f t="shared" ca="1" si="3"/>
        <v>30000</v>
      </c>
      <c r="N31" s="17">
        <f ca="1">IF($B31&lt;&gt;"",VLOOKUP(I31,'ИНФОРМАЦИОННЫЙ СПРАВОЧНИК'!$A$3:$D$16,4,0)*M31,"")</f>
        <v>2410800</v>
      </c>
    </row>
    <row r="32" spans="1:14" x14ac:dyDescent="0.3">
      <c r="A32">
        <v>7</v>
      </c>
      <c r="B32" t="s">
        <v>65</v>
      </c>
      <c r="C32" s="13">
        <v>43831</v>
      </c>
      <c r="D32" s="15" t="s">
        <v>74</v>
      </c>
      <c r="E32" s="13">
        <f t="shared" ca="1" si="0"/>
        <v>44158</v>
      </c>
      <c r="F32">
        <f t="shared" ca="1" si="4"/>
        <v>10</v>
      </c>
      <c r="G32" s="14">
        <v>0.05</v>
      </c>
      <c r="H32">
        <v>100000</v>
      </c>
      <c r="I32">
        <f t="shared" si="1"/>
        <v>840</v>
      </c>
      <c r="J32">
        <f t="shared" si="2"/>
        <v>840</v>
      </c>
      <c r="K32" t="str">
        <f>IF($B32&lt;&gt;"",VLOOKUP(I32,'ИНФОРМАЦИОННЫЙ СПРАВОЧНИК'!$A$3:$D$16,3,0),"")</f>
        <v>Доллар США</v>
      </c>
      <c r="L32" t="str">
        <f>IF($B32&lt;&gt;"",LOOKUP(J32,'ИНОФРМАЦИОННЫЙ СПРАВОЧНИК СОРТ'!$A$1:$A$14,'ИНОФРМАЦИОННЫЙ СПРАВОЧНИК СОРТ'!$C$1:$C$14),"")</f>
        <v>Доллар США</v>
      </c>
      <c r="M32" s="18">
        <f t="shared" ca="1" si="3"/>
        <v>104245.66608355202</v>
      </c>
      <c r="N32" s="17">
        <f ca="1">IF($B32&lt;&gt;"",VLOOKUP(I32,'ИНФОРМАЦИОННЫЙ СПРАВОЧНИК'!$A$3:$D$16,4,0)*M32,"")</f>
        <v>7196078.3297475958</v>
      </c>
    </row>
    <row r="33" spans="1:14" x14ac:dyDescent="0.3">
      <c r="A33">
        <v>8</v>
      </c>
      <c r="B33" t="s">
        <v>66</v>
      </c>
      <c r="C33" s="13">
        <v>43863</v>
      </c>
      <c r="D33" s="15" t="s">
        <v>75</v>
      </c>
      <c r="E33" s="13">
        <f t="shared" ca="1" si="0"/>
        <v>44158</v>
      </c>
      <c r="F33">
        <f t="shared" ca="1" si="4"/>
        <v>9</v>
      </c>
      <c r="G33" s="14">
        <v>0.1</v>
      </c>
      <c r="H33">
        <v>105000</v>
      </c>
      <c r="I33">
        <f t="shared" si="1"/>
        <v>840</v>
      </c>
      <c r="J33">
        <f t="shared" si="2"/>
        <v>840</v>
      </c>
      <c r="K33" t="str">
        <f>IF($B33&lt;&gt;"",VLOOKUP(I33,'ИНФОРМАЦИОННЫЙ СПРАВОЧНИК'!$A$3:$D$16,3,0),"")</f>
        <v>Доллар США</v>
      </c>
      <c r="L33" t="str">
        <f>IF($B33&lt;&gt;"",LOOKUP(J33,'ИНОФРМАЦИОННЫЙ СПРАВОЧНИК СОРТ'!$A$1:$A$14,'ИНОФРМАЦИОННЫЙ СПРАВОЧНИК СОРТ'!$C$1:$C$14),"")</f>
        <v>Доллар США</v>
      </c>
      <c r="M33" s="18">
        <f t="shared" ca="1" si="3"/>
        <v>113142.66850339835</v>
      </c>
      <c r="N33" s="17">
        <f ca="1">IF($B33&lt;&gt;"",VLOOKUP(I33,'ИНФОРМАЦИОННЫЙ СПРАВОЧНИК'!$A$3:$D$16,4,0)*M33,"")</f>
        <v>7810238.4067895887</v>
      </c>
    </row>
    <row r="34" spans="1:14" x14ac:dyDescent="0.3">
      <c r="A34">
        <v>9</v>
      </c>
      <c r="B34" t="s">
        <v>67</v>
      </c>
      <c r="C34" s="13">
        <v>43893</v>
      </c>
      <c r="D34" s="15" t="s">
        <v>76</v>
      </c>
      <c r="E34" s="13">
        <f t="shared" ca="1" si="0"/>
        <v>44158</v>
      </c>
      <c r="F34">
        <f t="shared" ca="1" si="4"/>
        <v>8</v>
      </c>
      <c r="G34" s="14">
        <v>0.15</v>
      </c>
      <c r="H34">
        <v>110000</v>
      </c>
      <c r="I34">
        <f t="shared" si="1"/>
        <v>840</v>
      </c>
      <c r="J34">
        <f t="shared" si="2"/>
        <v>840</v>
      </c>
      <c r="K34" t="str">
        <f>IF($B34&lt;&gt;"",VLOOKUP(I34,'ИНФОРМАЦИОННЫЙ СПРАВОЧНИК'!$A$3:$D$16,3,0),"")</f>
        <v>Доллар США</v>
      </c>
      <c r="L34" t="str">
        <f>IF($B34&lt;&gt;"",LOOKUP(J34,'ИНОФРМАЦИОННЫЙ СПРАВОЧНИК СОРТ'!$A$1:$A$14,'ИНОФРМАЦИОННЫЙ СПРАВОЧНИК СОРТ'!$C$1:$C$14),"")</f>
        <v>Доллар США</v>
      </c>
      <c r="M34" s="18">
        <f t="shared" ca="1" si="3"/>
        <v>121493.47112995535</v>
      </c>
      <c r="N34" s="17">
        <f ca="1">IF($B34&lt;&gt;"",VLOOKUP(I34,'ИНФОРМАЦИОННЫЙ СПРАВОЧНИК'!$A$3:$D$16,4,0)*M34,"")</f>
        <v>8386694.3121008174</v>
      </c>
    </row>
    <row r="35" spans="1:14" x14ac:dyDescent="0.3">
      <c r="A35">
        <v>10</v>
      </c>
      <c r="B35" t="s">
        <v>68</v>
      </c>
      <c r="C35" s="13">
        <v>43925</v>
      </c>
      <c r="D35" s="15" t="s">
        <v>74</v>
      </c>
      <c r="E35" s="13">
        <f t="shared" ca="1" si="0"/>
        <v>44158</v>
      </c>
      <c r="F35">
        <f t="shared" ca="1" si="4"/>
        <v>7</v>
      </c>
      <c r="G35" s="14">
        <v>0.05</v>
      </c>
      <c r="H35">
        <v>115000</v>
      </c>
      <c r="I35">
        <f t="shared" si="1"/>
        <v>840</v>
      </c>
      <c r="J35">
        <f t="shared" si="2"/>
        <v>840</v>
      </c>
      <c r="K35" t="str">
        <f>IF($B35&lt;&gt;"",VLOOKUP(I35,'ИНФОРМАЦИОННЫЙ СПРАВОЧНИК'!$A$3:$D$16,3,0),"")</f>
        <v>Доллар США</v>
      </c>
      <c r="L35" t="str">
        <f>IF($B35&lt;&gt;"",LOOKUP(J35,'ИНОФРМАЦИОННЫЙ СПРАВОЧНИК СОРТ'!$A$1:$A$14,'ИНОФРМАЦИОННЫЙ СПРАВОЧНИК СОРТ'!$C$1:$C$14),"")</f>
        <v>Доллар США</v>
      </c>
      <c r="M35" s="18">
        <f t="shared" ca="1" si="3"/>
        <v>118396.38612650601</v>
      </c>
      <c r="N35" s="17">
        <f ca="1">IF($B35&lt;&gt;"",VLOOKUP(I35,'ИНФОРМАЦИОННЫЙ СПРАВОЧНИК'!$A$3:$D$16,4,0)*M35,"")</f>
        <v>8172902.5343127102</v>
      </c>
    </row>
    <row r="36" spans="1:14" x14ac:dyDescent="0.3">
      <c r="A36">
        <v>11</v>
      </c>
      <c r="B36" t="s">
        <v>69</v>
      </c>
      <c r="C36" s="13">
        <v>43956</v>
      </c>
      <c r="D36" s="15" t="s">
        <v>75</v>
      </c>
      <c r="E36" s="13">
        <f t="shared" ca="1" si="0"/>
        <v>44158</v>
      </c>
      <c r="F36">
        <f t="shared" ca="1" si="4"/>
        <v>6</v>
      </c>
      <c r="G36" s="14">
        <v>0.1</v>
      </c>
      <c r="H36">
        <v>120000</v>
      </c>
      <c r="I36">
        <f t="shared" si="1"/>
        <v>840</v>
      </c>
      <c r="J36">
        <f t="shared" si="2"/>
        <v>840</v>
      </c>
      <c r="K36" t="str">
        <f>IF($B36&lt;&gt;"",VLOOKUP(I36,'ИНФОРМАЦИОННЫЙ СПРАВОЧНИК'!$A$3:$D$16,3,0),"")</f>
        <v>Доллар США</v>
      </c>
      <c r="L36" t="str">
        <f>IF($B36&lt;&gt;"",LOOKUP(J36,'ИНОФРМАЦИОННЫЙ СПРАВОЧНИК СОРТ'!$A$1:$A$14,'ИНОФРМАЦИОННЫЙ СПРАВОЧНИК СОРТ'!$C$1:$C$14),"")</f>
        <v>Доллар США</v>
      </c>
      <c r="M36" s="18">
        <f t="shared" ca="1" si="3"/>
        <v>126126.39759841979</v>
      </c>
      <c r="N36" s="17">
        <f ca="1">IF($B36&lt;&gt;"",VLOOKUP(I36,'ИНФОРМАЦИОННЫЙ СПРАВОЧНИК'!$A$3:$D$16,4,0)*M36,"")</f>
        <v>8706505.2262189183</v>
      </c>
    </row>
    <row r="37" spans="1:14" x14ac:dyDescent="0.3">
      <c r="A37">
        <v>12</v>
      </c>
      <c r="B37" t="s">
        <v>70</v>
      </c>
      <c r="C37" s="13">
        <v>43988</v>
      </c>
      <c r="D37" s="15" t="s">
        <v>76</v>
      </c>
      <c r="E37" s="13">
        <f t="shared" ca="1" si="0"/>
        <v>44158</v>
      </c>
      <c r="F37">
        <f t="shared" ca="1" si="4"/>
        <v>5</v>
      </c>
      <c r="G37" s="14">
        <v>0.15</v>
      </c>
      <c r="H37">
        <v>125000</v>
      </c>
      <c r="I37">
        <f t="shared" si="1"/>
        <v>840</v>
      </c>
      <c r="J37">
        <f t="shared" si="2"/>
        <v>840</v>
      </c>
      <c r="K37" t="str">
        <f>IF($B37&lt;&gt;"",VLOOKUP(I37,'ИНФОРМАЦИОННЫЙ СПРАВОЧНИК'!$A$3:$D$16,3,0),"")</f>
        <v>Доллар США</v>
      </c>
      <c r="L37" t="str">
        <f>IF($B37&lt;&gt;"",LOOKUP(J37,'ИНОФРМАЦИОННЫЙ СПРАВОЧНИК СОРТ'!$A$1:$A$14,'ИНОФРМАЦИОННЫЙ СПРАВОЧНИК СОРТ'!$C$1:$C$14),"")</f>
        <v>Доллар США</v>
      </c>
      <c r="M37" s="18">
        <f t="shared" ca="1" si="3"/>
        <v>133010.26920318601</v>
      </c>
      <c r="N37" s="17">
        <f ca="1">IF($B37&lt;&gt;"",VLOOKUP(I37,'ИНФОРМАЦИОННЫЙ СПРАВОЧНИК'!$A$3:$D$16,4,0)*M37,"")</f>
        <v>9181698.8830959294</v>
      </c>
    </row>
    <row r="38" spans="1:14" x14ac:dyDescent="0.3">
      <c r="A38">
        <v>13</v>
      </c>
      <c r="B38" t="s">
        <v>71</v>
      </c>
      <c r="C38" s="13">
        <v>44019</v>
      </c>
      <c r="D38" s="15" t="s">
        <v>74</v>
      </c>
      <c r="E38" s="13">
        <f t="shared" ca="1" si="0"/>
        <v>44158</v>
      </c>
      <c r="F38">
        <f t="shared" ca="1" si="4"/>
        <v>4</v>
      </c>
      <c r="G38" s="14">
        <v>0.05</v>
      </c>
      <c r="H38">
        <v>130000</v>
      </c>
      <c r="I38">
        <f t="shared" si="1"/>
        <v>840</v>
      </c>
      <c r="J38">
        <f t="shared" si="2"/>
        <v>840</v>
      </c>
      <c r="K38" t="str">
        <f>IF($B38&lt;&gt;"",VLOOKUP(I38,'ИНФОРМАЦИОННЫЙ СПРАВОЧНИК'!$A$3:$D$16,3,0),"")</f>
        <v>Доллар США</v>
      </c>
      <c r="L38" t="str">
        <f>IF($B38&lt;&gt;"",LOOKUP(J38,'ИНОФРМАЦИОННЫЙ СПРАВОЧНИК СОРТ'!$A$1:$A$14,'ИНОФРМАЦИОННЫЙ СПРАВОЧНИК СОРТ'!$C$1:$C$14),"")</f>
        <v>Доллар США</v>
      </c>
      <c r="M38" s="18">
        <f t="shared" ca="1" si="3"/>
        <v>132180.24598825714</v>
      </c>
      <c r="N38" s="17">
        <f ca="1">IF($B38&lt;&gt;"",VLOOKUP(I38,'ИНФОРМАЦИОННЫЙ СПРАВОЧНИК'!$A$3:$D$16,4,0)*M38,"")</f>
        <v>9124402.380569391</v>
      </c>
    </row>
    <row r="39" spans="1:14" x14ac:dyDescent="0.3">
      <c r="A39">
        <v>14</v>
      </c>
      <c r="B39" t="s">
        <v>72</v>
      </c>
      <c r="C39" s="13">
        <v>44051</v>
      </c>
      <c r="D39" s="15" t="s">
        <v>75</v>
      </c>
      <c r="E39" s="13">
        <f t="shared" ca="1" si="0"/>
        <v>44158</v>
      </c>
      <c r="F39">
        <f t="shared" ca="1" si="4"/>
        <v>3</v>
      </c>
      <c r="G39" s="14">
        <v>0.1</v>
      </c>
      <c r="H39">
        <v>135000</v>
      </c>
      <c r="I39">
        <f t="shared" si="1"/>
        <v>840</v>
      </c>
      <c r="J39">
        <f t="shared" si="2"/>
        <v>840</v>
      </c>
      <c r="K39" t="str">
        <f>IF($B39&lt;&gt;"",VLOOKUP(I39,'ИНФОРМАЦИОННЫЙ СПРАВОЧНИК'!$A$3:$D$16,3,0),"")</f>
        <v>Доллар США</v>
      </c>
      <c r="L39" t="str">
        <f>IF($B39&lt;&gt;"",LOOKUP(J39,'ИНОФРМАЦИОННЫЙ СПРАВОЧНИК СОРТ'!$A$1:$A$14,'ИНОФРМАЦИОННЫЙ СПРАВОЧНИК СОРТ'!$C$1:$C$14),"")</f>
        <v>Доллар США</v>
      </c>
      <c r="M39" s="18">
        <f t="shared" ca="1" si="3"/>
        <v>138403.20312499997</v>
      </c>
      <c r="N39" s="17">
        <f ca="1">IF($B39&lt;&gt;"",VLOOKUP(I39,'ИНФОРМАЦИОННЫЙ СПРАВОЧНИК'!$A$3:$D$16,4,0)*M39,"")</f>
        <v>9553973.1117187478</v>
      </c>
    </row>
    <row r="40" spans="1:14" x14ac:dyDescent="0.3">
      <c r="A40">
        <v>15</v>
      </c>
      <c r="B40" t="s">
        <v>73</v>
      </c>
      <c r="C40" s="13">
        <v>44083</v>
      </c>
      <c r="D40" s="15" t="s">
        <v>76</v>
      </c>
      <c r="E40" s="13">
        <f t="shared" ca="1" si="0"/>
        <v>44158</v>
      </c>
      <c r="F40">
        <f t="shared" ca="1" si="4"/>
        <v>2</v>
      </c>
      <c r="G40" s="14">
        <v>0.15</v>
      </c>
      <c r="H40">
        <v>140000</v>
      </c>
      <c r="I40">
        <f t="shared" si="1"/>
        <v>840</v>
      </c>
      <c r="J40">
        <f t="shared" si="2"/>
        <v>840</v>
      </c>
      <c r="K40" t="str">
        <f>IF($B40&lt;&gt;"",VLOOKUP(I40,'ИНФОРМАЦИОННЫЙ СПРАВОЧНИК'!$A$3:$D$16,3,0),"")</f>
        <v>Доллар США</v>
      </c>
      <c r="L40" t="str">
        <f>IF($B40&lt;&gt;"",LOOKUP(J40,'ИНОФРМАЦИОННЫЙ СПРАВОЧНИК СОРТ'!$A$1:$A$14,'ИНОФРМАЦИОННЫЙ СПРАВОЧНИК СОРТ'!$C$1:$C$14),"")</f>
        <v>Доллар США</v>
      </c>
      <c r="M40" s="18">
        <f t="shared" ca="1" si="3"/>
        <v>143521.875</v>
      </c>
      <c r="N40" s="17">
        <f ca="1">IF($B40&lt;&gt;"",VLOOKUP(I40,'ИНФОРМАЦИОННЫЙ СПРАВОЧНИК'!$A$3:$D$16,4,0)*M40,"")</f>
        <v>9907315.03125</v>
      </c>
    </row>
    <row r="41" spans="1:14" x14ac:dyDescent="0.3">
      <c r="A41">
        <v>16</v>
      </c>
      <c r="B41" t="s">
        <v>64</v>
      </c>
      <c r="C41" s="13">
        <v>44114</v>
      </c>
      <c r="D41" s="15" t="s">
        <v>80</v>
      </c>
      <c r="E41" s="13">
        <f t="shared" ca="1" si="0"/>
        <v>44158</v>
      </c>
      <c r="F41">
        <f t="shared" ca="1" si="4"/>
        <v>1</v>
      </c>
      <c r="G41" s="14">
        <v>0.05</v>
      </c>
      <c r="H41">
        <v>145000</v>
      </c>
      <c r="I41">
        <f t="shared" si="1"/>
        <v>826</v>
      </c>
      <c r="J41">
        <f t="shared" si="2"/>
        <v>826</v>
      </c>
      <c r="K41" t="str">
        <f>IF($B41&lt;&gt;"",VLOOKUP(I41,'ИНФОРМАЦИОННЫЙ СПРАВОЧНИК'!$A$3:$D$16,3,0),"")</f>
        <v>Английский фунт стерлингов</v>
      </c>
      <c r="L41" t="str">
        <f>IF($B41&lt;&gt;"",LOOKUP(J41,'ИНОФРМАЦИОННЫЙ СПРАВОЧНИК СОРТ'!$A$1:$A$14,'ИНОФРМАЦИОННЫЙ СПРАВОЧНИК СОРТ'!$C$1:$C$14),"")</f>
        <v>Английский фунт стерлингов</v>
      </c>
      <c r="M41" s="18">
        <f t="shared" ca="1" si="3"/>
        <v>145604.16666666666</v>
      </c>
      <c r="N41" s="17">
        <f ca="1">IF($B41&lt;&gt;"",VLOOKUP(I41,'ИНФОРМАЦИОННЫЙ СПРАВОЧНИК'!$A$3:$D$16,4,0)*M41,"")</f>
        <v>13002452.083333332</v>
      </c>
    </row>
    <row r="42" spans="1:14" x14ac:dyDescent="0.3">
      <c r="E42" s="13" t="str">
        <f t="shared" ca="1" si="0"/>
        <v/>
      </c>
      <c r="F42" t="str">
        <f t="shared" si="4"/>
        <v/>
      </c>
      <c r="J42" t="str">
        <f t="shared" si="2"/>
        <v/>
      </c>
      <c r="K42" t="str">
        <f>IF($B42&lt;&gt;"",VLOOKUP(I42,'ИНФОРМАЦИОННЫЙ СПРАВОЧНИК'!$A$3:$D$16,3,0),"")</f>
        <v/>
      </c>
      <c r="L42" t="str">
        <f>IF($B42&lt;&gt;"",LOOKUP(J42,'ИНОФРМАЦИОННЫЙ СПРАВОЧНИК СОРТ'!$A$1:$A$14,'ИНОФРМАЦИОННЫЙ СПРАВОЧНИК СОРТ'!$C$1:$C$14),"")</f>
        <v/>
      </c>
      <c r="M42" s="18" t="str">
        <f t="shared" si="3"/>
        <v/>
      </c>
      <c r="N42" s="17" t="str">
        <f>IF($B42&lt;&gt;"",VLOOKUP(I42,'ИНФОРМАЦИОННЫЙ СПРАВОЧНИК'!$A$3:$D$16,4,0)*M42,"")</f>
        <v/>
      </c>
    </row>
    <row r="43" spans="1:14" x14ac:dyDescent="0.3">
      <c r="E43" s="13" t="str">
        <f t="shared" ca="1" si="0"/>
        <v/>
      </c>
      <c r="F43" t="str">
        <f t="shared" si="4"/>
        <v/>
      </c>
      <c r="J43" t="str">
        <f t="shared" si="2"/>
        <v/>
      </c>
      <c r="K43" t="str">
        <f>IF($B43&lt;&gt;"",VLOOKUP(I43,'ИНФОРМАЦИОННЫЙ СПРАВОЧНИК'!$A$3:$D$16,3,0),"")</f>
        <v/>
      </c>
      <c r="L43" t="str">
        <f>IF($B43&lt;&gt;"",LOOKUP(J43,'ИНОФРМАЦИОННЫЙ СПРАВОЧНИК СОРТ'!$A$1:$A$14,'ИНОФРМАЦИОННЫЙ СПРАВОЧНИК СОРТ'!$C$1:$C$14),"")</f>
        <v/>
      </c>
      <c r="M43" s="18" t="str">
        <f t="shared" si="3"/>
        <v/>
      </c>
      <c r="N43" s="17" t="str">
        <f>IF($B43&lt;&gt;"",VLOOKUP(I43,'ИНФОРМАЦИОННЫЙ СПРАВОЧНИК'!$A$3:$D$16,4,0)*M43,"")</f>
        <v/>
      </c>
    </row>
    <row r="44" spans="1:14" x14ac:dyDescent="0.3">
      <c r="E44" s="13" t="str">
        <f t="shared" ca="1" si="0"/>
        <v/>
      </c>
      <c r="F44" t="str">
        <f t="shared" si="4"/>
        <v/>
      </c>
      <c r="J44" t="str">
        <f t="shared" si="2"/>
        <v/>
      </c>
      <c r="K44" t="str">
        <f>IF($B44&lt;&gt;"",VLOOKUP(I44,'ИНФОРМАЦИОННЫЙ СПРАВОЧНИК'!$A$3:$D$16,3,0),"")</f>
        <v/>
      </c>
      <c r="L44" t="str">
        <f>IF($B44&lt;&gt;"",LOOKUP(J44,'ИНОФРМАЦИОННЫЙ СПРАВОЧНИК СОРТ'!$A$1:$A$14,'ИНОФРМАЦИОННЫЙ СПРАВОЧНИК СОРТ'!$C$1:$C$14),"")</f>
        <v/>
      </c>
      <c r="M44" s="18" t="str">
        <f t="shared" si="3"/>
        <v/>
      </c>
      <c r="N44" s="17" t="str">
        <f>IF($B44&lt;&gt;"",VLOOKUP(I44,'ИНФОРМАЦИОННЫЙ СПРАВОЧНИК'!$A$3:$D$16,4,0)*M44,"")</f>
        <v/>
      </c>
    </row>
    <row r="45" spans="1:14" x14ac:dyDescent="0.3">
      <c r="E45" s="13" t="str">
        <f t="shared" ca="1" si="0"/>
        <v/>
      </c>
      <c r="F45" t="str">
        <f t="shared" si="4"/>
        <v/>
      </c>
      <c r="J45" t="str">
        <f t="shared" si="2"/>
        <v/>
      </c>
      <c r="K45" t="str">
        <f>IF($B45&lt;&gt;"",VLOOKUP(I45,'ИНФОРМАЦИОННЫЙ СПРАВОЧНИК'!$A$3:$D$16,3,0),"")</f>
        <v/>
      </c>
      <c r="L45" t="str">
        <f>IF($B45&lt;&gt;"",LOOKUP(J45,'ИНОФРМАЦИОННЫЙ СПРАВОЧНИК СОРТ'!$A$1:$A$14,'ИНОФРМАЦИОННЫЙ СПРАВОЧНИК СОРТ'!$C$1:$C$14),"")</f>
        <v/>
      </c>
      <c r="M45" s="18" t="str">
        <f t="shared" si="3"/>
        <v/>
      </c>
      <c r="N45" s="17" t="str">
        <f>IF($B45&lt;&gt;"",VLOOKUP(I45,'ИНФОРМАЦИОННЫЙ СПРАВОЧНИК'!$A$3:$D$16,4,0)*M45,"")</f>
        <v/>
      </c>
    </row>
    <row r="46" spans="1:14" x14ac:dyDescent="0.3">
      <c r="A46" s="32" t="s">
        <v>81</v>
      </c>
      <c r="B46" s="32"/>
      <c r="C46" s="36">
        <v>978</v>
      </c>
      <c r="E46" s="13" t="str">
        <f t="shared" ca="1" si="0"/>
        <v/>
      </c>
      <c r="F46" t="str">
        <f t="shared" si="4"/>
        <v/>
      </c>
      <c r="J46" t="str">
        <f t="shared" si="2"/>
        <v/>
      </c>
      <c r="K46" t="str">
        <f>IF($B46&lt;&gt;"",VLOOKUP(I46,'ИНФОРМАЦИОННЫЙ СПРАВОЧНИК'!$A$3:$D$16,3,0),"")</f>
        <v/>
      </c>
      <c r="L46" t="str">
        <f>IF($B46&lt;&gt;"",LOOKUP(J46,'ИНОФРМАЦИОННЫЙ СПРАВОЧНИК СОРТ'!$A$1:$A$14,'ИНОФРМАЦИОННЫЙ СПРАВОЧНИК СОРТ'!$C$1:$C$14),"")</f>
        <v/>
      </c>
      <c r="M46" s="18" t="str">
        <f t="shared" si="3"/>
        <v/>
      </c>
      <c r="N46" s="17" t="str">
        <f>IF($B46&lt;&gt;"",VLOOKUP(I46,'ИНФОРМАЦИОННЫЙ СПРАВОЧНИК'!$A$3:$D$16,4,0)*M46,"")</f>
        <v/>
      </c>
    </row>
    <row r="47" spans="1:14" x14ac:dyDescent="0.3">
      <c r="A47" s="39" t="s">
        <v>84</v>
      </c>
      <c r="B47" s="40"/>
      <c r="C47" s="41"/>
      <c r="E47" s="13" t="str">
        <f t="shared" ca="1" si="0"/>
        <v/>
      </c>
      <c r="F47" t="str">
        <f t="shared" si="4"/>
        <v/>
      </c>
      <c r="J47" t="str">
        <f t="shared" si="2"/>
        <v/>
      </c>
      <c r="K47" t="str">
        <f>IF($B47&lt;&gt;"",VLOOKUP(I47,'ИНФОРМАЦИОННЫЙ СПРАВОЧНИК'!$A$3:$D$16,3,0),"")</f>
        <v/>
      </c>
      <c r="L47" t="str">
        <f>IF($B47&lt;&gt;"",LOOKUP(J47,'ИНОФРМАЦИОННЫЙ СПРАВОЧНИК СОРТ'!$A$1:$A$14,'ИНОФРМАЦИОННЫЙ СПРАВОЧНИК СОРТ'!$C$1:$C$14),"")</f>
        <v/>
      </c>
      <c r="M47" s="18" t="str">
        <f t="shared" si="3"/>
        <v/>
      </c>
      <c r="N47" s="17" t="str">
        <f>IF($B47&lt;&gt;"",VLOOKUP(I47,'ИНФОРМАЦИОННЫЙ СПРАВОЧНИК'!$A$3:$D$16,4,0)*M47,"")</f>
        <v/>
      </c>
    </row>
    <row r="48" spans="1:14" x14ac:dyDescent="0.3">
      <c r="A48" s="37" t="s">
        <v>82</v>
      </c>
      <c r="B48" s="37"/>
      <c r="C48" s="38">
        <f ca="1">SUMIF(I28:I41,$C$46,N28:N41)</f>
        <v>8610573.7990842089</v>
      </c>
      <c r="E48" s="13" t="str">
        <f t="shared" ca="1" si="0"/>
        <v/>
      </c>
      <c r="F48" t="str">
        <f t="shared" si="4"/>
        <v/>
      </c>
      <c r="J48" t="str">
        <f t="shared" si="2"/>
        <v/>
      </c>
      <c r="K48" t="str">
        <f>IF($B48&lt;&gt;"",VLOOKUP(I48,'ИНФОРМАЦИОННЫЙ СПРАВОЧНИК'!$A$3:$D$16,3,0),"")</f>
        <v/>
      </c>
      <c r="L48" t="str">
        <f>IF($B48&lt;&gt;"",LOOKUP(J48,'ИНОФРМАЦИОННЫЙ СПРАВОЧНИК СОРТ'!$A$1:$A$14,'ИНОФРМАЦИОННЫЙ СПРАВОЧНИК СОРТ'!$C$1:$C$14),"")</f>
        <v/>
      </c>
      <c r="M48" s="18" t="str">
        <f t="shared" si="3"/>
        <v/>
      </c>
      <c r="N48" s="17" t="str">
        <f>IF($B48&lt;&gt;"",VLOOKUP(I48,'ИНФОРМАЦИОННЫЙ СПРАВОЧНИК'!$A$3:$D$16,4,0)*M48,"")</f>
        <v/>
      </c>
    </row>
    <row r="49" spans="1:14" x14ac:dyDescent="0.3">
      <c r="A49" s="31" t="s">
        <v>86</v>
      </c>
      <c r="B49" s="31"/>
      <c r="C49" s="23">
        <f ca="1">SUBTOTAL(109,Лист2!N4:N7)</f>
        <v>8610573.7990842089</v>
      </c>
      <c r="E49" s="13" t="str">
        <f t="shared" ca="1" si="0"/>
        <v/>
      </c>
      <c r="F49" t="str">
        <f t="shared" si="4"/>
        <v/>
      </c>
      <c r="J49" t="str">
        <f t="shared" si="2"/>
        <v/>
      </c>
      <c r="K49" t="str">
        <f>IF($B49&lt;&gt;"",VLOOKUP(I49,'ИНФОРМАЦИОННЫЙ СПРАВОЧНИК'!$A$3:$D$16,3,0),"")</f>
        <v/>
      </c>
      <c r="L49" t="str">
        <f>IF($B49&lt;&gt;"",LOOKUP(J49,'ИНОФРМАЦИОННЫЙ СПРАВОЧНИК СОРТ'!$A$1:$A$14,'ИНОФРМАЦИОННЫЙ СПРАВОЧНИК СОРТ'!$C$1:$C$14),"")</f>
        <v/>
      </c>
      <c r="M49" s="18" t="str">
        <f t="shared" si="3"/>
        <v/>
      </c>
      <c r="N49" s="17" t="str">
        <f>IF($B49&lt;&gt;"",VLOOKUP(I49,'ИНФОРМАЦИОННЫЙ СПРАВОЧНИК'!$A$3:$D$16,4,0)*M49,"")</f>
        <v/>
      </c>
    </row>
    <row r="50" spans="1:14" x14ac:dyDescent="0.3">
      <c r="A50" s="24" t="s">
        <v>85</v>
      </c>
      <c r="B50" s="24"/>
      <c r="C50" s="23">
        <f ca="1">SUMIFS(N28:N41,I28:I41,$C$46,F28:F41,"&gt;6")</f>
        <v>4510867.025010136</v>
      </c>
      <c r="E50" s="13" t="str">
        <f t="shared" ca="1" si="0"/>
        <v/>
      </c>
      <c r="F50" t="str">
        <f t="shared" si="4"/>
        <v/>
      </c>
      <c r="K50" t="str">
        <f>IF($B50&lt;&gt;"",VLOOKUP(I50,'ИНФОРМАЦИОННЫЙ СПРАВОЧНИК'!$A$3:$D$16,3,0),"")</f>
        <v/>
      </c>
      <c r="L50" t="str">
        <f>IF($B50&lt;&gt;"",LOOKUP(J50,'ИНОФРМАЦИОННЫЙ СПРАВОЧНИК СОРТ'!$A$1:$A$14,'ИНОФРМАЦИОННЫЙ СПРАВОЧНИК СОРТ'!$C$1:$C$14),"")</f>
        <v/>
      </c>
      <c r="M50" s="18" t="str">
        <f t="shared" si="3"/>
        <v/>
      </c>
      <c r="N50" s="17" t="str">
        <f>IF($B50&lt;&gt;"",VLOOKUP(I50,'ИНФОРМАЦИОННЫЙ СПРАВОЧНИК'!$A$3:$D$16,4,0)*M50,"")</f>
        <v/>
      </c>
    </row>
    <row r="51" spans="1:14" x14ac:dyDescent="0.3">
      <c r="A51" s="24" t="s">
        <v>83</v>
      </c>
      <c r="B51" s="24"/>
      <c r="C51" s="22">
        <f ca="1">SUMIFS(J28:J41,I28:I41,$C$46,F28:F41,"&gt;6")/C46</f>
        <v>2</v>
      </c>
      <c r="E51" s="13" t="str">
        <f t="shared" ca="1" si="0"/>
        <v/>
      </c>
      <c r="F51" t="str">
        <f t="shared" si="4"/>
        <v/>
      </c>
      <c r="K51" t="str">
        <f>IF($B51&lt;&gt;"",VLOOKUP(I51,'ИНФОРМАЦИОННЫЙ СПРАВОЧНИК'!$A$3:$D$16,3,0),"")</f>
        <v/>
      </c>
      <c r="L51" t="str">
        <f>IF($B51&lt;&gt;"",LOOKUP(J51,'ИНОФРМАЦИОННЫЙ СПРАВОЧНИК СОРТ'!$A$1:$A$14,'ИНОФРМАЦИОННЫЙ СПРАВОЧНИК СОРТ'!$C$1:$C$14),"")</f>
        <v/>
      </c>
      <c r="N51" s="17" t="str">
        <f>IF($B51&lt;&gt;"",VLOOKUP(I51,'ИНФОРМАЦИОННЫЙ СПРАВОЧНИК'!$A$3:$D$16,4,0)*M51,"")</f>
        <v/>
      </c>
    </row>
    <row r="52" spans="1:14" x14ac:dyDescent="0.3">
      <c r="A52" s="33"/>
      <c r="B52" s="33"/>
      <c r="C52" s="34"/>
      <c r="E52" s="13" t="str">
        <f t="shared" ca="1" si="0"/>
        <v/>
      </c>
      <c r="F52" t="str">
        <f t="shared" si="4"/>
        <v/>
      </c>
      <c r="K52" t="str">
        <f>IF($B52&lt;&gt;"",VLOOKUP(I52,'ИНФОРМАЦИОННЫЙ СПРАВОЧНИК'!$A$3:$D$16,3,0),"")</f>
        <v/>
      </c>
      <c r="L52" t="str">
        <f>IF($B52&lt;&gt;"",LOOKUP(J52,'ИНОФРМАЦИОННЫЙ СПРАВОЧНИК СОРТ'!$A$1:$A$14,'ИНОФРМАЦИОННЫЙ СПРАВОЧНИК СОРТ'!$C$1:$C$14),"")</f>
        <v/>
      </c>
    </row>
    <row r="53" spans="1:14" x14ac:dyDescent="0.3">
      <c r="A53" s="33"/>
      <c r="B53" s="33"/>
      <c r="C53" s="35"/>
      <c r="E53" s="13" t="str">
        <f t="shared" ref="E53:E87" ca="1" si="5">IF($B53&lt;&gt;"",TODAY(),"")</f>
        <v/>
      </c>
      <c r="F53" t="str">
        <f t="shared" si="4"/>
        <v/>
      </c>
    </row>
    <row r="54" spans="1:14" x14ac:dyDescent="0.3">
      <c r="E54" s="13" t="str">
        <f t="shared" ca="1" si="5"/>
        <v/>
      </c>
    </row>
    <row r="55" spans="1:14" x14ac:dyDescent="0.3">
      <c r="E55" s="13" t="str">
        <f t="shared" ca="1" si="5"/>
        <v/>
      </c>
    </row>
    <row r="56" spans="1:14" x14ac:dyDescent="0.3">
      <c r="E56" s="13" t="str">
        <f t="shared" ca="1" si="5"/>
        <v/>
      </c>
    </row>
    <row r="57" spans="1:14" x14ac:dyDescent="0.3">
      <c r="E57" s="13" t="str">
        <f t="shared" ca="1" si="5"/>
        <v/>
      </c>
    </row>
    <row r="58" spans="1:14" x14ac:dyDescent="0.3">
      <c r="E58" s="13" t="str">
        <f t="shared" ca="1" si="5"/>
        <v/>
      </c>
    </row>
    <row r="59" spans="1:14" x14ac:dyDescent="0.3">
      <c r="E59" s="13" t="str">
        <f t="shared" ca="1" si="5"/>
        <v/>
      </c>
    </row>
    <row r="60" spans="1:14" x14ac:dyDescent="0.3">
      <c r="E60" s="13" t="str">
        <f t="shared" ca="1" si="5"/>
        <v/>
      </c>
    </row>
    <row r="61" spans="1:14" x14ac:dyDescent="0.3">
      <c r="E61" s="13" t="str">
        <f t="shared" ca="1" si="5"/>
        <v/>
      </c>
    </row>
    <row r="62" spans="1:14" x14ac:dyDescent="0.3">
      <c r="E62" s="13" t="str">
        <f t="shared" ca="1" si="5"/>
        <v/>
      </c>
    </row>
    <row r="63" spans="1:14" x14ac:dyDescent="0.3">
      <c r="E63" s="13" t="str">
        <f t="shared" ca="1" si="5"/>
        <v/>
      </c>
    </row>
    <row r="64" spans="1:14" x14ac:dyDescent="0.3">
      <c r="E64" s="13" t="str">
        <f t="shared" ca="1" si="5"/>
        <v/>
      </c>
    </row>
    <row r="65" spans="5:5" x14ac:dyDescent="0.3">
      <c r="E65" s="13" t="str">
        <f t="shared" ca="1" si="5"/>
        <v/>
      </c>
    </row>
    <row r="66" spans="5:5" x14ac:dyDescent="0.3">
      <c r="E66" s="13" t="str">
        <f t="shared" ca="1" si="5"/>
        <v/>
      </c>
    </row>
    <row r="67" spans="5:5" x14ac:dyDescent="0.3">
      <c r="E67" s="13" t="str">
        <f t="shared" ca="1" si="5"/>
        <v/>
      </c>
    </row>
    <row r="68" spans="5:5" x14ac:dyDescent="0.3">
      <c r="E68" s="13" t="str">
        <f t="shared" ca="1" si="5"/>
        <v/>
      </c>
    </row>
    <row r="69" spans="5:5" x14ac:dyDescent="0.3">
      <c r="E69" s="13" t="str">
        <f t="shared" ca="1" si="5"/>
        <v/>
      </c>
    </row>
    <row r="70" spans="5:5" x14ac:dyDescent="0.3">
      <c r="E70" s="13" t="str">
        <f t="shared" ca="1" si="5"/>
        <v/>
      </c>
    </row>
    <row r="71" spans="5:5" x14ac:dyDescent="0.3">
      <c r="E71" s="13" t="str">
        <f t="shared" ca="1" si="5"/>
        <v/>
      </c>
    </row>
    <row r="72" spans="5:5" x14ac:dyDescent="0.3">
      <c r="E72" s="13" t="str">
        <f t="shared" ca="1" si="5"/>
        <v/>
      </c>
    </row>
    <row r="73" spans="5:5" x14ac:dyDescent="0.3">
      <c r="E73" s="13" t="str">
        <f t="shared" ca="1" si="5"/>
        <v/>
      </c>
    </row>
    <row r="74" spans="5:5" x14ac:dyDescent="0.3">
      <c r="E74" s="13" t="str">
        <f t="shared" ca="1" si="5"/>
        <v/>
      </c>
    </row>
    <row r="75" spans="5:5" x14ac:dyDescent="0.3">
      <c r="E75" s="13" t="str">
        <f t="shared" ca="1" si="5"/>
        <v/>
      </c>
    </row>
    <row r="76" spans="5:5" x14ac:dyDescent="0.3">
      <c r="E76" s="13" t="str">
        <f t="shared" ca="1" si="5"/>
        <v/>
      </c>
    </row>
    <row r="77" spans="5:5" x14ac:dyDescent="0.3">
      <c r="E77" s="13" t="str">
        <f t="shared" ca="1" si="5"/>
        <v/>
      </c>
    </row>
    <row r="78" spans="5:5" x14ac:dyDescent="0.3">
      <c r="E78" s="13" t="str">
        <f t="shared" ca="1" si="5"/>
        <v/>
      </c>
    </row>
    <row r="79" spans="5:5" x14ac:dyDescent="0.3">
      <c r="E79" s="13" t="str">
        <f t="shared" ca="1" si="5"/>
        <v/>
      </c>
    </row>
    <row r="80" spans="5:5" x14ac:dyDescent="0.3">
      <c r="E80" s="13" t="str">
        <f t="shared" ca="1" si="5"/>
        <v/>
      </c>
    </row>
    <row r="81" spans="5:5" x14ac:dyDescent="0.3">
      <c r="E81" s="13" t="str">
        <f t="shared" ca="1" si="5"/>
        <v/>
      </c>
    </row>
    <row r="82" spans="5:5" x14ac:dyDescent="0.3">
      <c r="E82" s="13" t="str">
        <f t="shared" ca="1" si="5"/>
        <v/>
      </c>
    </row>
    <row r="83" spans="5:5" x14ac:dyDescent="0.3">
      <c r="E83" s="13" t="str">
        <f t="shared" ca="1" si="5"/>
        <v/>
      </c>
    </row>
    <row r="84" spans="5:5" x14ac:dyDescent="0.3">
      <c r="E84" s="13" t="str">
        <f t="shared" ca="1" si="5"/>
        <v/>
      </c>
    </row>
    <row r="85" spans="5:5" x14ac:dyDescent="0.3">
      <c r="E85" s="13" t="str">
        <f t="shared" ca="1" si="5"/>
        <v/>
      </c>
    </row>
    <row r="86" spans="5:5" x14ac:dyDescent="0.3">
      <c r="E86" s="13" t="str">
        <f t="shared" ca="1" si="5"/>
        <v/>
      </c>
    </row>
    <row r="87" spans="5:5" x14ac:dyDescent="0.3">
      <c r="E87" s="13" t="str">
        <f t="shared" ca="1" si="5"/>
        <v/>
      </c>
    </row>
    <row r="88" spans="5:5" x14ac:dyDescent="0.3">
      <c r="E88" s="13" t="str">
        <f t="shared" ref="E88:E92" ca="1" si="6">IF($B88&lt;&gt;"",TODAY(),"")</f>
        <v/>
      </c>
    </row>
    <row r="89" spans="5:5" x14ac:dyDescent="0.3">
      <c r="E89" s="13" t="str">
        <f t="shared" ca="1" si="6"/>
        <v/>
      </c>
    </row>
    <row r="90" spans="5:5" x14ac:dyDescent="0.3">
      <c r="E90" s="13" t="str">
        <f t="shared" ca="1" si="6"/>
        <v/>
      </c>
    </row>
    <row r="91" spans="5:5" x14ac:dyDescent="0.3">
      <c r="E91" s="13" t="str">
        <f t="shared" ca="1" si="6"/>
        <v/>
      </c>
    </row>
    <row r="92" spans="5:5" x14ac:dyDescent="0.3">
      <c r="E92" s="13" t="str">
        <f t="shared" ca="1" si="6"/>
        <v/>
      </c>
    </row>
  </sheetData>
  <mergeCells count="21">
    <mergeCell ref="A52:B52"/>
    <mergeCell ref="A53:B53"/>
    <mergeCell ref="A50:B50"/>
    <mergeCell ref="A51:B51"/>
    <mergeCell ref="A22:K23"/>
    <mergeCell ref="A46:B46"/>
    <mergeCell ref="A47:B47"/>
    <mergeCell ref="A48:B48"/>
    <mergeCell ref="A49:B49"/>
    <mergeCell ref="A1:C1"/>
    <mergeCell ref="A2:M6"/>
    <mergeCell ref="A8:C8"/>
    <mergeCell ref="A9:N9"/>
    <mergeCell ref="A25:C25"/>
    <mergeCell ref="A10:K11"/>
    <mergeCell ref="A13:K14"/>
    <mergeCell ref="A15:K16"/>
    <mergeCell ref="A17:K18"/>
    <mergeCell ref="A19:K19"/>
    <mergeCell ref="A12:K12"/>
    <mergeCell ref="A20:K21"/>
  </mergeCells>
  <dataValidations count="2">
    <dataValidation type="textLength" operator="equal" allowBlank="1" showInputMessage="1" showErrorMessage="1" sqref="D28:D41">
      <formula1>20</formula1>
    </dataValidation>
    <dataValidation type="list" allowBlank="1" showInputMessage="1" showErrorMessage="1" sqref="G28:G41">
      <formula1>"5%,10%,15%,20%"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8"/>
  <sheetViews>
    <sheetView topLeftCell="I1" workbookViewId="0">
      <selection activeCell="I4" sqref="I4"/>
    </sheetView>
  </sheetViews>
  <sheetFormatPr defaultRowHeight="14.4" x14ac:dyDescent="0.3"/>
  <cols>
    <col min="1" max="1" width="14.5546875" customWidth="1"/>
    <col min="2" max="2" width="22.88671875" customWidth="1"/>
    <col min="3" max="3" width="29.109375" customWidth="1"/>
    <col min="4" max="4" width="31.5546875" customWidth="1"/>
    <col min="5" max="5" width="29.6640625" customWidth="1"/>
    <col min="6" max="6" width="32.5546875" customWidth="1"/>
    <col min="7" max="7" width="28" customWidth="1"/>
    <col min="8" max="8" width="30.109375" customWidth="1"/>
    <col min="9" max="9" width="35.5546875" customWidth="1"/>
    <col min="10" max="10" width="32.109375" customWidth="1"/>
    <col min="11" max="11" width="32.33203125" customWidth="1"/>
    <col min="12" max="12" width="29.33203125" customWidth="1"/>
    <col min="13" max="13" width="31.5546875" customWidth="1"/>
    <col min="14" max="14" width="39.6640625" customWidth="1"/>
  </cols>
  <sheetData>
    <row r="1" spans="1:14" ht="18" x14ac:dyDescent="0.3">
      <c r="A1" s="29" t="s">
        <v>37</v>
      </c>
      <c r="B1" s="29"/>
      <c r="C1" s="29"/>
      <c r="D1" s="15"/>
      <c r="M1" s="18"/>
    </row>
    <row r="2" spans="1:14" x14ac:dyDescent="0.3">
      <c r="D2" s="15"/>
      <c r="M2" s="18"/>
    </row>
    <row r="3" spans="1:14" ht="34.799999999999997" x14ac:dyDescent="0.3">
      <c r="A3" s="9" t="s">
        <v>38</v>
      </c>
      <c r="B3" s="11" t="s">
        <v>39</v>
      </c>
      <c r="C3" s="12" t="s">
        <v>40</v>
      </c>
      <c r="D3" s="16" t="s">
        <v>41</v>
      </c>
      <c r="E3" s="10" t="s">
        <v>42</v>
      </c>
      <c r="F3" s="10" t="s">
        <v>43</v>
      </c>
      <c r="G3" s="10" t="s">
        <v>44</v>
      </c>
      <c r="H3" s="12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21" t="s">
        <v>50</v>
      </c>
      <c r="N3" s="9" t="s">
        <v>51</v>
      </c>
    </row>
    <row r="4" spans="1:14" x14ac:dyDescent="0.3">
      <c r="A4">
        <v>1</v>
      </c>
      <c r="B4" t="s">
        <v>60</v>
      </c>
      <c r="C4" s="13">
        <v>43937</v>
      </c>
      <c r="D4" s="15" t="s">
        <v>77</v>
      </c>
      <c r="E4" s="13">
        <f t="shared" ref="E4:E35" ca="1" si="0">IF($B4&lt;&gt;"",TODAY(),"")</f>
        <v>44158</v>
      </c>
      <c r="F4">
        <f t="shared" ref="F4:F29" ca="1" si="1">IF($B4&lt;&gt;"",DATEDIF(C4,E4,"M"),"")</f>
        <v>7</v>
      </c>
      <c r="G4" s="14">
        <v>0.2</v>
      </c>
      <c r="H4">
        <v>40000</v>
      </c>
      <c r="I4">
        <f t="shared" ref="I4" si="2">IF($B4&lt;&gt;"",VALUE(MID(D4,6,3)),"")</f>
        <v>978</v>
      </c>
      <c r="J4">
        <f t="shared" ref="J4:J25" si="3">IF($B4&lt;&gt;"",VALUE(RIGHT(LEFT(D4,8),3)),"")</f>
        <v>978</v>
      </c>
      <c r="K4" t="str">
        <f>IF($B4&lt;&gt;"",VLOOKUP(I4,'ИНФОРМАЦИОННЫЙ СПРАВОЧНИК'!$A$3:$D$16,3,0),"")</f>
        <v>ЕВРО</v>
      </c>
      <c r="L4" t="str">
        <f>IF($B4&lt;&gt;"",LOOKUP(J4,'ИНОФРМАЦИОННЫЙ СПРАВОЧНИК СОРТ'!$A$1:$A$14,'ИНОФРМАЦИОННЫЙ СПРАВОЧНИК СОРТ'!$C$1:$C$14),"")</f>
        <v>ЕВРО</v>
      </c>
      <c r="M4" s="18">
        <f t="shared" ref="M4:M26" ca="1" si="4">IF($B4&lt;&gt;"",FV(G4/12,F4,,-H4),"")</f>
        <v>44906.590592435401</v>
      </c>
      <c r="N4" s="17">
        <f ca="1">IF($B4&lt;&gt;"",VLOOKUP(I4,'ИНФОРМАЦИОННЫЙ СПРАВОЧНИК'!$A$3:$D$16,4,0)*M4,"")</f>
        <v>3608693.6200081087</v>
      </c>
    </row>
    <row r="5" spans="1:14" x14ac:dyDescent="0.3">
      <c r="A5">
        <v>2</v>
      </c>
      <c r="B5" t="s">
        <v>61</v>
      </c>
      <c r="C5" s="13">
        <v>43917</v>
      </c>
      <c r="D5" s="15" t="s">
        <v>78</v>
      </c>
      <c r="E5" s="13">
        <f ca="1">IF($B5&lt;&gt;"",TODAY(),"")</f>
        <v>44158</v>
      </c>
      <c r="F5">
        <f ca="1">IF($B5&lt;&gt;"",DATEDIF(C5,E5,"M"),"")</f>
        <v>7</v>
      </c>
      <c r="G5" s="14">
        <v>0.2</v>
      </c>
      <c r="H5">
        <v>10000</v>
      </c>
      <c r="I5">
        <f>IF($B5&lt;&gt;"",VALUE(MID(D5,6,3)),"")</f>
        <v>978</v>
      </c>
      <c r="J5">
        <f>IF($B5&lt;&gt;"",VALUE(RIGHT(LEFT(D5,8),3)),"")</f>
        <v>978</v>
      </c>
      <c r="K5" t="str">
        <f>IF($B5&lt;&gt;"",VLOOKUP(I5,'ИНФОРМАЦИОННЫЙ СПРАВОЧНИК'!$A$3:$D$16,3,0),"")</f>
        <v>ЕВРО</v>
      </c>
      <c r="L5" t="str">
        <f>IF($B5&lt;&gt;"",LOOKUP(J5,'ИНОФРМАЦИОННЫЙ СПРАВОЧНИК СОРТ'!$A$1:$A$14,'ИНОФРМАЦИОННЫЙ СПРАВОЧНИК СОРТ'!$C$1:$C$14),"")</f>
        <v>ЕВРО</v>
      </c>
      <c r="M5" s="18">
        <f ca="1">IF($B5&lt;&gt;"",FV(G5/12,F5,,-H5),"")</f>
        <v>11226.64764810885</v>
      </c>
      <c r="N5" s="17">
        <f ca="1">IF($B5&lt;&gt;"",VLOOKUP(I5,'ИНФОРМАЦИОННЫЙ СПРАВОЧНИК'!$A$3:$D$16,4,0)*M5,"")</f>
        <v>902173.40500202717</v>
      </c>
    </row>
    <row r="6" spans="1:14" x14ac:dyDescent="0.3">
      <c r="A6">
        <v>3</v>
      </c>
      <c r="B6" t="s">
        <v>62</v>
      </c>
      <c r="C6" s="13">
        <v>44060</v>
      </c>
      <c r="D6" s="15" t="s">
        <v>79</v>
      </c>
      <c r="E6" s="13">
        <f ca="1">IF($B6&lt;&gt;"",TODAY(),"")</f>
        <v>44158</v>
      </c>
      <c r="F6">
        <f ca="1">IF($B6&lt;&gt;"",DATEDIF(C6,E6,"M"),"")</f>
        <v>3</v>
      </c>
      <c r="G6" s="14">
        <v>0.2</v>
      </c>
      <c r="H6">
        <v>20000</v>
      </c>
      <c r="I6">
        <f>IF($B6&lt;&gt;"",VALUE(MID(D6,6,3)),"")</f>
        <v>978</v>
      </c>
      <c r="J6">
        <f>IF($B6&lt;&gt;"",VALUE(RIGHT(LEFT(D6,8),3)),"")</f>
        <v>978</v>
      </c>
      <c r="K6" t="str">
        <f>IF($B6&lt;&gt;"",VLOOKUP(I6,'ИНФОРМАЦИОННЫЙ СПРАВОЧНИК'!$A$3:$D$16,3,0),"")</f>
        <v>ЕВРО</v>
      </c>
      <c r="L6" t="str">
        <f>IF($B6&lt;&gt;"",LOOKUP(J6,'ИНОФРМАЦИОННЫЙ СПРАВОЧНИК СОРТ'!$A$1:$A$14,'ИНОФРМАЦИОННЫЙ СПРАВОЧНИК СОРТ'!$C$1:$C$14),"")</f>
        <v>ЕВРО</v>
      </c>
      <c r="M6" s="18">
        <f ca="1">IF($B6&lt;&gt;"",FV(G6/12,F6,,-H6),"")</f>
        <v>21016.759259259255</v>
      </c>
      <c r="N6" s="17">
        <f ca="1">IF($B6&lt;&gt;"",VLOOKUP(I6,'ИНФОРМАЦИОННЫЙ СПРАВОЧНИК'!$A$3:$D$16,4,0)*M6,"")</f>
        <v>1688906.7740740736</v>
      </c>
    </row>
    <row r="7" spans="1:14" x14ac:dyDescent="0.3">
      <c r="A7">
        <v>4</v>
      </c>
      <c r="B7" t="s">
        <v>63</v>
      </c>
      <c r="C7" s="13">
        <v>44140</v>
      </c>
      <c r="D7" s="15" t="s">
        <v>77</v>
      </c>
      <c r="E7" s="13">
        <f ca="1">IF($B7&lt;&gt;"",TODAY(),"")</f>
        <v>44158</v>
      </c>
      <c r="F7">
        <f ca="1">IF($B7&lt;&gt;"",DATEDIF(C7,E7,"M"),"")</f>
        <v>0</v>
      </c>
      <c r="G7" s="14">
        <v>0.2</v>
      </c>
      <c r="H7">
        <v>30000</v>
      </c>
      <c r="I7">
        <f>IF($B7&lt;&gt;"",VALUE(MID(D7,6,3)),"")</f>
        <v>978</v>
      </c>
      <c r="J7">
        <f>IF($B7&lt;&gt;"",VALUE(RIGHT(LEFT(D7,8),3)),"")</f>
        <v>978</v>
      </c>
      <c r="K7" t="str">
        <f>IF($B7&lt;&gt;"",VLOOKUP(I7,'ИНФОРМАЦИОННЫЙ СПРАВОЧНИК'!$A$3:$D$16,3,0),"")</f>
        <v>ЕВРО</v>
      </c>
      <c r="L7" t="str">
        <f>IF($B7&lt;&gt;"",LOOKUP(J7,'ИНОФРМАЦИОННЫЙ СПРАВОЧНИК СОРТ'!$A$1:$A$14,'ИНОФРМАЦИОННЫЙ СПРАВОЧНИК СОРТ'!$C$1:$C$14),"")</f>
        <v>ЕВРО</v>
      </c>
      <c r="M7" s="18">
        <f ca="1">IF($B7&lt;&gt;"",FV(G7/12,F7,,-H7),"")</f>
        <v>30000</v>
      </c>
      <c r="N7" s="17">
        <f ca="1">IF($B7&lt;&gt;"",VLOOKUP(I7,'ИНФОРМАЦИОННЫЙ СПРАВОЧНИК'!$A$3:$D$16,4,0)*M7,"")</f>
        <v>2410800</v>
      </c>
    </row>
    <row r="8" spans="1:14" hidden="1" x14ac:dyDescent="0.3">
      <c r="A8">
        <v>7</v>
      </c>
      <c r="B8" t="s">
        <v>65</v>
      </c>
      <c r="C8" s="13">
        <v>43831</v>
      </c>
      <c r="D8" s="15" t="s">
        <v>74</v>
      </c>
      <c r="E8" s="13">
        <f ca="1">IF($B8&lt;&gt;"",TODAY(),"")</f>
        <v>44158</v>
      </c>
      <c r="F8">
        <f ca="1">IF($B8&lt;&gt;"",DATEDIF(C8,E8,"M"),"")</f>
        <v>10</v>
      </c>
      <c r="G8" s="14">
        <v>0.05</v>
      </c>
      <c r="H8">
        <v>100000</v>
      </c>
      <c r="I8">
        <f>IF($B8&lt;&gt;"",VALUE(MID(D8,6,3)),"")</f>
        <v>840</v>
      </c>
      <c r="J8">
        <f>IF($B8&lt;&gt;"",VALUE(RIGHT(LEFT(D8,8),3)),"")</f>
        <v>840</v>
      </c>
      <c r="K8" t="str">
        <f>IF($B8&lt;&gt;"",VLOOKUP(I8,'ИНФОРМАЦИОННЫЙ СПРАВОЧНИК'!$A$3:$D$16,3,0),"")</f>
        <v>Доллар США</v>
      </c>
      <c r="L8" t="str">
        <f>IF($B8&lt;&gt;"",LOOKUP(J8,'ИНОФРМАЦИОННЫЙ СПРАВОЧНИК СОРТ'!$A$1:$A$14,'ИНОФРМАЦИОННЫЙ СПРАВОЧНИК СОРТ'!$C$1:$C$14),"")</f>
        <v>Доллар США</v>
      </c>
      <c r="M8" s="18">
        <f ca="1">IF($B8&lt;&gt;"",FV(G8/12,F8,,-H8),"")</f>
        <v>104245.66608355202</v>
      </c>
      <c r="N8" s="17">
        <f ca="1">IF($B8&lt;&gt;"",VLOOKUP(I8,'ИНФОРМАЦИОННЫЙ СПРАВОЧНИК'!$A$3:$D$16,4,0)*M8,"")</f>
        <v>7196078.3297475958</v>
      </c>
    </row>
    <row r="9" spans="1:14" hidden="1" x14ac:dyDescent="0.3">
      <c r="A9">
        <v>8</v>
      </c>
      <c r="B9" t="s">
        <v>66</v>
      </c>
      <c r="C9" s="13">
        <v>43863</v>
      </c>
      <c r="D9" s="15" t="s">
        <v>75</v>
      </c>
      <c r="E9" s="13">
        <f ca="1">IF($B9&lt;&gt;"",TODAY(),"")</f>
        <v>44158</v>
      </c>
      <c r="F9">
        <f ca="1">IF($B9&lt;&gt;"",DATEDIF(C9,E9,"M"),"")</f>
        <v>9</v>
      </c>
      <c r="G9" s="14">
        <v>0.1</v>
      </c>
      <c r="H9">
        <v>105000</v>
      </c>
      <c r="I9">
        <f>IF($B9&lt;&gt;"",VALUE(MID(D9,6,3)),"")</f>
        <v>840</v>
      </c>
      <c r="J9">
        <f>IF($B9&lt;&gt;"",VALUE(RIGHT(LEFT(D9,8),3)),"")</f>
        <v>840</v>
      </c>
      <c r="K9" t="str">
        <f>IF($B9&lt;&gt;"",VLOOKUP(I9,'ИНФОРМАЦИОННЫЙ СПРАВОЧНИК'!$A$3:$D$16,3,0),"")</f>
        <v>Доллар США</v>
      </c>
      <c r="L9" t="str">
        <f>IF($B9&lt;&gt;"",LOOKUP(J9,'ИНОФРМАЦИОННЫЙ СПРАВОЧНИК СОРТ'!$A$1:$A$14,'ИНОФРМАЦИОННЫЙ СПРАВОЧНИК СОРТ'!$C$1:$C$14),"")</f>
        <v>Доллар США</v>
      </c>
      <c r="M9" s="18">
        <f ca="1">IF($B9&lt;&gt;"",FV(G9/12,F9,,-H9),"")</f>
        <v>113142.66850339835</v>
      </c>
      <c r="N9" s="17">
        <f ca="1">IF($B9&lt;&gt;"",VLOOKUP(I9,'ИНФОРМАЦИОННЫЙ СПРАВОЧНИК'!$A$3:$D$16,4,0)*M9,"")</f>
        <v>7810238.4067895887</v>
      </c>
    </row>
    <row r="10" spans="1:14" hidden="1" x14ac:dyDescent="0.3">
      <c r="A10">
        <v>9</v>
      </c>
      <c r="B10" t="s">
        <v>67</v>
      </c>
      <c r="C10" s="13">
        <v>43893</v>
      </c>
      <c r="D10" s="15" t="s">
        <v>76</v>
      </c>
      <c r="E10" s="13">
        <f ca="1">IF($B10&lt;&gt;"",TODAY(),"")</f>
        <v>44158</v>
      </c>
      <c r="F10">
        <f ca="1">IF($B10&lt;&gt;"",DATEDIF(C10,E10,"M"),"")</f>
        <v>8</v>
      </c>
      <c r="G10" s="14">
        <v>0.15</v>
      </c>
      <c r="H10">
        <v>110000</v>
      </c>
      <c r="I10">
        <f>IF($B10&lt;&gt;"",VALUE(MID(D10,6,3)),"")</f>
        <v>840</v>
      </c>
      <c r="J10">
        <f>IF($B10&lt;&gt;"",VALUE(RIGHT(LEFT(D10,8),3)),"")</f>
        <v>840</v>
      </c>
      <c r="K10" t="str">
        <f>IF($B10&lt;&gt;"",VLOOKUP(I10,'ИНФОРМАЦИОННЫЙ СПРАВОЧНИК'!$A$3:$D$16,3,0),"")</f>
        <v>Доллар США</v>
      </c>
      <c r="L10" t="str">
        <f>IF($B10&lt;&gt;"",LOOKUP(J10,'ИНОФРМАЦИОННЫЙ СПРАВОЧНИК СОРТ'!$A$1:$A$14,'ИНОФРМАЦИОННЫЙ СПРАВОЧНИК СОРТ'!$C$1:$C$14),"")</f>
        <v>Доллар США</v>
      </c>
      <c r="M10" s="18">
        <f ca="1">IF($B10&lt;&gt;"",FV(G10/12,F10,,-H10),"")</f>
        <v>121493.47112995535</v>
      </c>
      <c r="N10" s="17">
        <f ca="1">IF($B10&lt;&gt;"",VLOOKUP(I10,'ИНФОРМАЦИОННЫЙ СПРАВОЧНИК'!$A$3:$D$16,4,0)*M10,"")</f>
        <v>8386694.3121008174</v>
      </c>
    </row>
    <row r="11" spans="1:14" hidden="1" x14ac:dyDescent="0.3">
      <c r="A11">
        <v>10</v>
      </c>
      <c r="B11" t="s">
        <v>68</v>
      </c>
      <c r="C11" s="13">
        <v>43925</v>
      </c>
      <c r="D11" s="15" t="s">
        <v>74</v>
      </c>
      <c r="E11" s="13">
        <f ca="1">IF($B11&lt;&gt;"",TODAY(),"")</f>
        <v>44158</v>
      </c>
      <c r="F11">
        <f ca="1">IF($B11&lt;&gt;"",DATEDIF(C11,E11,"M"),"")</f>
        <v>7</v>
      </c>
      <c r="G11" s="14">
        <v>0.05</v>
      </c>
      <c r="H11">
        <v>115000</v>
      </c>
      <c r="I11">
        <f>IF($B11&lt;&gt;"",VALUE(MID(D11,6,3)),"")</f>
        <v>840</v>
      </c>
      <c r="J11">
        <f>IF($B11&lt;&gt;"",VALUE(RIGHT(LEFT(D11,8),3)),"")</f>
        <v>840</v>
      </c>
      <c r="K11" t="str">
        <f>IF($B11&lt;&gt;"",VLOOKUP(I11,'ИНФОРМАЦИОННЫЙ СПРАВОЧНИК'!$A$3:$D$16,3,0),"")</f>
        <v>Доллар США</v>
      </c>
      <c r="L11" t="str">
        <f>IF($B11&lt;&gt;"",LOOKUP(J11,'ИНОФРМАЦИОННЫЙ СПРАВОЧНИК СОРТ'!$A$1:$A$14,'ИНОФРМАЦИОННЫЙ СПРАВОЧНИК СОРТ'!$C$1:$C$14),"")</f>
        <v>Доллар США</v>
      </c>
      <c r="M11" s="18">
        <f ca="1">IF($B11&lt;&gt;"",FV(G11/12,F11,,-H11),"")</f>
        <v>118396.38612650601</v>
      </c>
      <c r="N11" s="17">
        <f ca="1">IF($B11&lt;&gt;"",VLOOKUP(I11,'ИНФОРМАЦИОННЫЙ СПРАВОЧНИК'!$A$3:$D$16,4,0)*M11,"")</f>
        <v>8172902.5343127102</v>
      </c>
    </row>
    <row r="12" spans="1:14" hidden="1" x14ac:dyDescent="0.3">
      <c r="A12">
        <v>11</v>
      </c>
      <c r="B12" t="s">
        <v>69</v>
      </c>
      <c r="C12" s="13">
        <v>43956</v>
      </c>
      <c r="D12" s="15" t="s">
        <v>75</v>
      </c>
      <c r="E12" s="13">
        <f ca="1">IF($B12&lt;&gt;"",TODAY(),"")</f>
        <v>44158</v>
      </c>
      <c r="F12">
        <f ca="1">IF($B12&lt;&gt;"",DATEDIF(C12,E12,"M"),"")</f>
        <v>6</v>
      </c>
      <c r="G12" s="14">
        <v>0.1</v>
      </c>
      <c r="H12">
        <v>120000</v>
      </c>
      <c r="I12">
        <f>IF($B12&lt;&gt;"",VALUE(MID(D12,6,3)),"")</f>
        <v>840</v>
      </c>
      <c r="J12">
        <f>IF($B12&lt;&gt;"",VALUE(RIGHT(LEFT(D12,8),3)),"")</f>
        <v>840</v>
      </c>
      <c r="K12" t="str">
        <f>IF($B12&lt;&gt;"",VLOOKUP(I12,'ИНФОРМАЦИОННЫЙ СПРАВОЧНИК'!$A$3:$D$16,3,0),"")</f>
        <v>Доллар США</v>
      </c>
      <c r="L12" t="str">
        <f>IF($B12&lt;&gt;"",LOOKUP(J12,'ИНОФРМАЦИОННЫЙ СПРАВОЧНИК СОРТ'!$A$1:$A$14,'ИНОФРМАЦИОННЫЙ СПРАВОЧНИК СОРТ'!$C$1:$C$14),"")</f>
        <v>Доллар США</v>
      </c>
      <c r="M12" s="18">
        <f ca="1">IF($B12&lt;&gt;"",FV(G12/12,F12,,-H12),"")</f>
        <v>126126.39759841979</v>
      </c>
      <c r="N12" s="17">
        <f ca="1">IF($B12&lt;&gt;"",VLOOKUP(I12,'ИНФОРМАЦИОННЫЙ СПРАВОЧНИК'!$A$3:$D$16,4,0)*M12,"")</f>
        <v>8706505.2262189183</v>
      </c>
    </row>
    <row r="13" spans="1:14" hidden="1" x14ac:dyDescent="0.3">
      <c r="A13">
        <v>12</v>
      </c>
      <c r="B13" t="s">
        <v>70</v>
      </c>
      <c r="C13" s="13">
        <v>43988</v>
      </c>
      <c r="D13" s="15" t="s">
        <v>76</v>
      </c>
      <c r="E13" s="13">
        <f ca="1">IF($B13&lt;&gt;"",TODAY(),"")</f>
        <v>44158</v>
      </c>
      <c r="F13">
        <f ca="1">IF($B13&lt;&gt;"",DATEDIF(C13,E13,"M"),"")</f>
        <v>5</v>
      </c>
      <c r="G13" s="14">
        <v>0.15</v>
      </c>
      <c r="H13">
        <v>125000</v>
      </c>
      <c r="I13">
        <f>IF($B13&lt;&gt;"",VALUE(MID(D13,6,3)),"")</f>
        <v>840</v>
      </c>
      <c r="J13">
        <f>IF($B13&lt;&gt;"",VALUE(RIGHT(LEFT(D13,8),3)),"")</f>
        <v>840</v>
      </c>
      <c r="K13" t="str">
        <f>IF($B13&lt;&gt;"",VLOOKUP(I13,'ИНФОРМАЦИОННЫЙ СПРАВОЧНИК'!$A$3:$D$16,3,0),"")</f>
        <v>Доллар США</v>
      </c>
      <c r="L13" t="str">
        <f>IF($B13&lt;&gt;"",LOOKUP(J13,'ИНОФРМАЦИОННЫЙ СПРАВОЧНИК СОРТ'!$A$1:$A$14,'ИНОФРМАЦИОННЫЙ СПРАВОЧНИК СОРТ'!$C$1:$C$14),"")</f>
        <v>Доллар США</v>
      </c>
      <c r="M13" s="18">
        <f ca="1">IF($B13&lt;&gt;"",FV(G13/12,F13,,-H13),"")</f>
        <v>133010.26920318601</v>
      </c>
      <c r="N13" s="17">
        <f ca="1">IF($B13&lt;&gt;"",VLOOKUP(I13,'ИНФОРМАЦИОННЫЙ СПРАВОЧНИК'!$A$3:$D$16,4,0)*M13,"")</f>
        <v>9181698.8830959294</v>
      </c>
    </row>
    <row r="14" spans="1:14" hidden="1" x14ac:dyDescent="0.3">
      <c r="A14">
        <v>13</v>
      </c>
      <c r="B14" t="s">
        <v>71</v>
      </c>
      <c r="C14" s="13">
        <v>44019</v>
      </c>
      <c r="D14" s="15" t="s">
        <v>74</v>
      </c>
      <c r="E14" s="13">
        <f ca="1">IF($B14&lt;&gt;"",TODAY(),"")</f>
        <v>44158</v>
      </c>
      <c r="F14">
        <f ca="1">IF($B14&lt;&gt;"",DATEDIF(C14,E14,"M"),"")</f>
        <v>4</v>
      </c>
      <c r="G14" s="14">
        <v>0.05</v>
      </c>
      <c r="H14">
        <v>130000</v>
      </c>
      <c r="I14">
        <f>IF($B14&lt;&gt;"",VALUE(MID(D14,6,3)),"")</f>
        <v>840</v>
      </c>
      <c r="J14">
        <f>IF($B14&lt;&gt;"",VALUE(RIGHT(LEFT(D14,8),3)),"")</f>
        <v>840</v>
      </c>
      <c r="K14" t="str">
        <f>IF($B14&lt;&gt;"",VLOOKUP(I14,'ИНФОРМАЦИОННЫЙ СПРАВОЧНИК'!$A$3:$D$16,3,0),"")</f>
        <v>Доллар США</v>
      </c>
      <c r="L14" t="str">
        <f>IF($B14&lt;&gt;"",LOOKUP(J14,'ИНОФРМАЦИОННЫЙ СПРАВОЧНИК СОРТ'!$A$1:$A$14,'ИНОФРМАЦИОННЫЙ СПРАВОЧНИК СОРТ'!$C$1:$C$14),"")</f>
        <v>Доллар США</v>
      </c>
      <c r="M14" s="18">
        <f ca="1">IF($B14&lt;&gt;"",FV(G14/12,F14,,-H14),"")</f>
        <v>132180.24598825714</v>
      </c>
      <c r="N14" s="17">
        <f ca="1">IF($B14&lt;&gt;"",VLOOKUP(I14,'ИНФОРМАЦИОННЫЙ СПРАВОЧНИК'!$A$3:$D$16,4,0)*M14,"")</f>
        <v>9124402.380569391</v>
      </c>
    </row>
    <row r="15" spans="1:14" hidden="1" x14ac:dyDescent="0.3">
      <c r="A15">
        <v>14</v>
      </c>
      <c r="B15" t="s">
        <v>72</v>
      </c>
      <c r="C15" s="13">
        <v>44051</v>
      </c>
      <c r="D15" s="15" t="s">
        <v>75</v>
      </c>
      <c r="E15" s="13">
        <f ca="1">IF($B15&lt;&gt;"",TODAY(),"")</f>
        <v>44158</v>
      </c>
      <c r="F15">
        <f ca="1">IF($B15&lt;&gt;"",DATEDIF(C15,E15,"M"),"")</f>
        <v>3</v>
      </c>
      <c r="G15" s="14">
        <v>0.1</v>
      </c>
      <c r="H15">
        <v>135000</v>
      </c>
      <c r="I15">
        <f>IF($B15&lt;&gt;"",VALUE(MID(D15,6,3)),"")</f>
        <v>840</v>
      </c>
      <c r="J15">
        <f>IF($B15&lt;&gt;"",VALUE(RIGHT(LEFT(D15,8),3)),"")</f>
        <v>840</v>
      </c>
      <c r="K15" t="str">
        <f>IF($B15&lt;&gt;"",VLOOKUP(I15,'ИНФОРМАЦИОННЫЙ СПРАВОЧНИК'!$A$3:$D$16,3,0),"")</f>
        <v>Доллар США</v>
      </c>
      <c r="L15" t="str">
        <f>IF($B15&lt;&gt;"",LOOKUP(J15,'ИНОФРМАЦИОННЫЙ СПРАВОЧНИК СОРТ'!$A$1:$A$14,'ИНОФРМАЦИОННЫЙ СПРАВОЧНИК СОРТ'!$C$1:$C$14),"")</f>
        <v>Доллар США</v>
      </c>
      <c r="M15" s="18">
        <f ca="1">IF($B15&lt;&gt;"",FV(G15/12,F15,,-H15),"")</f>
        <v>138403.20312499997</v>
      </c>
      <c r="N15" s="17">
        <f ca="1">IF($B15&lt;&gt;"",VLOOKUP(I15,'ИНФОРМАЦИОННЫЙ СПРАВОЧНИК'!$A$3:$D$16,4,0)*M15,"")</f>
        <v>9553973.1117187478</v>
      </c>
    </row>
    <row r="16" spans="1:14" hidden="1" x14ac:dyDescent="0.3">
      <c r="A16">
        <v>15</v>
      </c>
      <c r="B16" t="s">
        <v>73</v>
      </c>
      <c r="C16" s="13">
        <v>44083</v>
      </c>
      <c r="D16" s="15" t="s">
        <v>76</v>
      </c>
      <c r="E16" s="13">
        <f ca="1">IF($B16&lt;&gt;"",TODAY(),"")</f>
        <v>44158</v>
      </c>
      <c r="F16">
        <f ca="1">IF($B16&lt;&gt;"",DATEDIF(C16,E16,"M"),"")</f>
        <v>2</v>
      </c>
      <c r="G16" s="14">
        <v>0.15</v>
      </c>
      <c r="H16">
        <v>140000</v>
      </c>
      <c r="I16">
        <f>IF($B16&lt;&gt;"",VALUE(MID(D16,6,3)),"")</f>
        <v>840</v>
      </c>
      <c r="J16">
        <f>IF($B16&lt;&gt;"",VALUE(RIGHT(LEFT(D16,8),3)),"")</f>
        <v>840</v>
      </c>
      <c r="K16" t="str">
        <f>IF($B16&lt;&gt;"",VLOOKUP(I16,'ИНФОРМАЦИОННЫЙ СПРАВОЧНИК'!$A$3:$D$16,3,0),"")</f>
        <v>Доллар США</v>
      </c>
      <c r="L16" t="str">
        <f>IF($B16&lt;&gt;"",LOOKUP(J16,'ИНОФРМАЦИОННЫЙ СПРАВОЧНИК СОРТ'!$A$1:$A$14,'ИНОФРМАЦИОННЫЙ СПРАВОЧНИК СОРТ'!$C$1:$C$14),"")</f>
        <v>Доллар США</v>
      </c>
      <c r="M16" s="18">
        <f ca="1">IF($B16&lt;&gt;"",FV(G16/12,F16,,-H16),"")</f>
        <v>143521.875</v>
      </c>
      <c r="N16" s="17">
        <f ca="1">IF($B16&lt;&gt;"",VLOOKUP(I16,'ИНФОРМАЦИОННЫЙ СПРАВОЧНИК'!$A$3:$D$16,4,0)*M16,"")</f>
        <v>9907315.03125</v>
      </c>
    </row>
    <row r="17" spans="1:14" hidden="1" x14ac:dyDescent="0.3">
      <c r="A17">
        <v>16</v>
      </c>
      <c r="B17" t="s">
        <v>64</v>
      </c>
      <c r="C17" s="13">
        <v>44114</v>
      </c>
      <c r="D17" s="15" t="s">
        <v>80</v>
      </c>
      <c r="E17" s="13">
        <f ca="1">IF($B17&lt;&gt;"",TODAY(),"")</f>
        <v>44158</v>
      </c>
      <c r="F17">
        <f ca="1">IF($B17&lt;&gt;"",DATEDIF(C17,E17,"M"),"")</f>
        <v>1</v>
      </c>
      <c r="G17" s="14">
        <v>0.05</v>
      </c>
      <c r="H17">
        <v>145000</v>
      </c>
      <c r="I17">
        <f>IF($B17&lt;&gt;"",VALUE(MID(D17,6,3)),"")</f>
        <v>826</v>
      </c>
      <c r="J17">
        <f>IF($B17&lt;&gt;"",VALUE(RIGHT(LEFT(D17,8),3)),"")</f>
        <v>826</v>
      </c>
      <c r="K17" t="str">
        <f>IF($B17&lt;&gt;"",VLOOKUP(I17,'ИНФОРМАЦИОННЫЙ СПРАВОЧНИК'!$A$3:$D$16,3,0),"")</f>
        <v>Английский фунт стерлингов</v>
      </c>
      <c r="L17" t="str">
        <f>IF($B17&lt;&gt;"",LOOKUP(J17,'ИНОФРМАЦИОННЫЙ СПРАВОЧНИК СОРТ'!$A$1:$A$14,'ИНОФРМАЦИОННЫЙ СПРАВОЧНИК СОРТ'!$C$1:$C$14),"")</f>
        <v>Английский фунт стерлингов</v>
      </c>
      <c r="M17" s="18">
        <f ca="1">IF($B17&lt;&gt;"",FV(G17/12,F17,,-H17),"")</f>
        <v>145604.16666666666</v>
      </c>
      <c r="N17" s="17">
        <f ca="1">IF($B17&lt;&gt;"",VLOOKUP(I17,'ИНФОРМАЦИОННЫЙ СПРАВОЧНИК'!$A$3:$D$16,4,0)*M17,"")</f>
        <v>13002452.083333332</v>
      </c>
    </row>
    <row r="18" spans="1:14" hidden="1" x14ac:dyDescent="0.3">
      <c r="D18" s="15"/>
      <c r="E18" s="13" t="str">
        <f ca="1">IF($B18&lt;&gt;"",TODAY(),"")</f>
        <v/>
      </c>
      <c r="F18" t="str">
        <f>IF($B18&lt;&gt;"",DATEDIF(C18,E18,"M"),"")</f>
        <v/>
      </c>
      <c r="J18" t="str">
        <f>IF($B18&lt;&gt;"",VALUE(RIGHT(LEFT(D18,8),3)),"")</f>
        <v/>
      </c>
      <c r="K18" t="str">
        <f>IF($B18&lt;&gt;"",VLOOKUP(I18,'ИНФОРМАЦИОННЫЙ СПРАВОЧНИК'!$A$3:$D$16,3,0),"")</f>
        <v/>
      </c>
      <c r="L18" t="str">
        <f>IF($B18&lt;&gt;"",LOOKUP(J18,'ИНОФРМАЦИОННЫЙ СПРАВОЧНИК СОРТ'!$A$1:$A$14,'ИНОФРМАЦИОННЫЙ СПРАВОЧНИК СОРТ'!$C$1:$C$14),"")</f>
        <v/>
      </c>
      <c r="M18" s="18" t="str">
        <f>IF($B18&lt;&gt;"",FV(G18/12,F18,,-H18),"")</f>
        <v/>
      </c>
      <c r="N18" s="17" t="str">
        <f>IF($B18&lt;&gt;"",VLOOKUP(I18,'ИНФОРМАЦИОННЫЙ СПРАВОЧНИК'!$A$3:$D$16,4,0)*M18,"")</f>
        <v/>
      </c>
    </row>
    <row r="19" spans="1:14" hidden="1" x14ac:dyDescent="0.3">
      <c r="D19" s="15"/>
      <c r="E19" s="13" t="str">
        <f ca="1">IF($B19&lt;&gt;"",TODAY(),"")</f>
        <v/>
      </c>
      <c r="F19" t="str">
        <f>IF($B19&lt;&gt;"",DATEDIF(C19,E19,"M"),"")</f>
        <v/>
      </c>
      <c r="J19" t="str">
        <f>IF($B19&lt;&gt;"",VALUE(RIGHT(LEFT(D19,8),3)),"")</f>
        <v/>
      </c>
      <c r="K19" t="str">
        <f>IF($B19&lt;&gt;"",VLOOKUP(I19,'ИНФОРМАЦИОННЫЙ СПРАВОЧНИК'!$A$3:$D$16,3,0),"")</f>
        <v/>
      </c>
      <c r="L19" t="str">
        <f>IF($B19&lt;&gt;"",LOOKUP(J19,'ИНОФРМАЦИОННЫЙ СПРАВОЧНИК СОРТ'!$A$1:$A$14,'ИНОФРМАЦИОННЫЙ СПРАВОЧНИК СОРТ'!$C$1:$C$14),"")</f>
        <v/>
      </c>
      <c r="M19" s="18" t="str">
        <f>IF($B19&lt;&gt;"",FV(G19/12,F19,,-H19),"")</f>
        <v/>
      </c>
      <c r="N19" s="17" t="str">
        <f>IF($B19&lt;&gt;"",VLOOKUP(I19,'ИНФОРМАЦИОННЫЙ СПРАВОЧНИК'!$A$3:$D$16,4,0)*M19,"")</f>
        <v/>
      </c>
    </row>
    <row r="20" spans="1:14" hidden="1" x14ac:dyDescent="0.3">
      <c r="D20" s="15"/>
      <c r="E20" s="13" t="str">
        <f ca="1">IF($B20&lt;&gt;"",TODAY(),"")</f>
        <v/>
      </c>
      <c r="F20" t="str">
        <f>IF($B20&lt;&gt;"",DATEDIF(C20,E20,"M"),"")</f>
        <v/>
      </c>
      <c r="J20" t="str">
        <f>IF($B20&lt;&gt;"",VALUE(RIGHT(LEFT(D20,8),3)),"")</f>
        <v/>
      </c>
      <c r="K20" t="str">
        <f>IF($B20&lt;&gt;"",VLOOKUP(I20,'ИНФОРМАЦИОННЫЙ СПРАВОЧНИК'!$A$3:$D$16,3,0),"")</f>
        <v/>
      </c>
      <c r="L20" t="str">
        <f>IF($B20&lt;&gt;"",LOOKUP(J20,'ИНОФРМАЦИОННЫЙ СПРАВОЧНИК СОРТ'!$A$1:$A$14,'ИНОФРМАЦИОННЫЙ СПРАВОЧНИК СОРТ'!$C$1:$C$14),"")</f>
        <v/>
      </c>
      <c r="M20" s="18" t="str">
        <f>IF($B20&lt;&gt;"",FV(G20/12,F20,,-H20),"")</f>
        <v/>
      </c>
      <c r="N20" s="17" t="str">
        <f>IF($B20&lt;&gt;"",VLOOKUP(I20,'ИНФОРМАЦИОННЫЙ СПРАВОЧНИК'!$A$3:$D$16,4,0)*M20,"")</f>
        <v/>
      </c>
    </row>
    <row r="21" spans="1:14" hidden="1" x14ac:dyDescent="0.3">
      <c r="D21" s="15"/>
      <c r="E21" s="13" t="str">
        <f ca="1">IF($B21&lt;&gt;"",TODAY(),"")</f>
        <v/>
      </c>
      <c r="F21" t="str">
        <f>IF($B21&lt;&gt;"",DATEDIF(C21,E21,"M"),"")</f>
        <v/>
      </c>
      <c r="J21" t="str">
        <f>IF($B21&lt;&gt;"",VALUE(RIGHT(LEFT(D21,8),3)),"")</f>
        <v/>
      </c>
      <c r="K21" t="str">
        <f>IF($B21&lt;&gt;"",VLOOKUP(I21,'ИНФОРМАЦИОННЫЙ СПРАВОЧНИК'!$A$3:$D$16,3,0),"")</f>
        <v/>
      </c>
      <c r="L21" t="str">
        <f>IF($B21&lt;&gt;"",LOOKUP(J21,'ИНОФРМАЦИОННЫЙ СПРАВОЧНИК СОРТ'!$A$1:$A$14,'ИНОФРМАЦИОННЫЙ СПРАВОЧНИК СОРТ'!$C$1:$C$14),"")</f>
        <v/>
      </c>
      <c r="M21" s="18" t="str">
        <f>IF($B21&lt;&gt;"",FV(G21/12,F21,,-H21),"")</f>
        <v/>
      </c>
      <c r="N21" s="17" t="str">
        <f>IF($B21&lt;&gt;"",VLOOKUP(I21,'ИНФОРМАЦИОННЫЙ СПРАВОЧНИК'!$A$3:$D$16,4,0)*M21,"")</f>
        <v/>
      </c>
    </row>
    <row r="22" spans="1:14" hidden="1" x14ac:dyDescent="0.3">
      <c r="D22" s="15"/>
      <c r="E22" s="13" t="str">
        <f ca="1">IF($B22&lt;&gt;"",TODAY(),"")</f>
        <v/>
      </c>
      <c r="F22" t="str">
        <f>IF($B22&lt;&gt;"",DATEDIF(C22,E22,"M"),"")</f>
        <v/>
      </c>
      <c r="J22" t="str">
        <f>IF($B22&lt;&gt;"",VALUE(RIGHT(LEFT(D22,8),3)),"")</f>
        <v/>
      </c>
      <c r="K22" t="str">
        <f>IF($B22&lt;&gt;"",VLOOKUP(I22,'ИНФОРМАЦИОННЫЙ СПРАВОЧНИК'!$A$3:$D$16,3,0),"")</f>
        <v/>
      </c>
      <c r="L22" t="str">
        <f>IF($B22&lt;&gt;"",LOOKUP(J22,'ИНОФРМАЦИОННЫЙ СПРАВОЧНИК СОРТ'!$A$1:$A$14,'ИНОФРМАЦИОННЫЙ СПРАВОЧНИК СОРТ'!$C$1:$C$14),"")</f>
        <v/>
      </c>
      <c r="M22" s="18" t="str">
        <f>IF($B22&lt;&gt;"",FV(G22/12,F22,,-H22),"")</f>
        <v/>
      </c>
      <c r="N22" s="17" t="str">
        <f>IF($B22&lt;&gt;"",VLOOKUP(I22,'ИНФОРМАЦИОННЫЙ СПРАВОЧНИК'!$A$3:$D$16,4,0)*M22,"")</f>
        <v/>
      </c>
    </row>
    <row r="23" spans="1:14" hidden="1" x14ac:dyDescent="0.3">
      <c r="D23" s="15"/>
      <c r="E23" s="13" t="str">
        <f ca="1">IF($B23&lt;&gt;"",TODAY(),"")</f>
        <v/>
      </c>
      <c r="F23" t="str">
        <f>IF($B23&lt;&gt;"",DATEDIF(C23,E23,"M"),"")</f>
        <v/>
      </c>
      <c r="J23" t="str">
        <f>IF($B23&lt;&gt;"",VALUE(RIGHT(LEFT(D23,8),3)),"")</f>
        <v/>
      </c>
      <c r="K23" t="str">
        <f>IF($B23&lt;&gt;"",VLOOKUP(I23,'ИНФОРМАЦИОННЫЙ СПРАВОЧНИК'!$A$3:$D$16,3,0),"")</f>
        <v/>
      </c>
      <c r="L23" t="str">
        <f>IF($B23&lt;&gt;"",LOOKUP(J23,'ИНОФРМАЦИОННЫЙ СПРАВОЧНИК СОРТ'!$A$1:$A$14,'ИНОФРМАЦИОННЫЙ СПРАВОЧНИК СОРТ'!$C$1:$C$14),"")</f>
        <v/>
      </c>
      <c r="M23" s="18" t="str">
        <f>IF($B23&lt;&gt;"",FV(G23/12,F23,,-H23),"")</f>
        <v/>
      </c>
      <c r="N23" s="17" t="str">
        <f>IF($B23&lt;&gt;"",VLOOKUP(I23,'ИНФОРМАЦИОННЫЙ СПРАВОЧНИК'!$A$3:$D$16,4,0)*M23,"")</f>
        <v/>
      </c>
    </row>
    <row r="24" spans="1:14" hidden="1" x14ac:dyDescent="0.3">
      <c r="D24" s="15"/>
      <c r="E24" s="13" t="str">
        <f ca="1">IF($B24&lt;&gt;"",TODAY(),"")</f>
        <v/>
      </c>
      <c r="F24" t="str">
        <f>IF($B24&lt;&gt;"",DATEDIF(C24,E24,"M"),"")</f>
        <v/>
      </c>
      <c r="J24" t="str">
        <f>IF($B24&lt;&gt;"",VALUE(RIGHT(LEFT(D24,8),3)),"")</f>
        <v/>
      </c>
      <c r="K24" t="str">
        <f>IF($B24&lt;&gt;"",VLOOKUP(I24,'ИНФОРМАЦИОННЫЙ СПРАВОЧНИК'!$A$3:$D$16,3,0),"")</f>
        <v/>
      </c>
      <c r="L24" t="str">
        <f>IF($B24&lt;&gt;"",LOOKUP(J24,'ИНОФРМАЦИОННЫЙ СПРАВОЧНИК СОРТ'!$A$1:$A$14,'ИНОФРМАЦИОННЫЙ СПРАВОЧНИК СОРТ'!$C$1:$C$14),"")</f>
        <v/>
      </c>
      <c r="M24" s="18" t="str">
        <f>IF($B24&lt;&gt;"",FV(G24/12,F24,,-H24),"")</f>
        <v/>
      </c>
      <c r="N24" s="17" t="str">
        <f>IF($B24&lt;&gt;"",VLOOKUP(I24,'ИНФОРМАЦИОННЫЙ СПРАВОЧНИК'!$A$3:$D$16,4,0)*M24,"")</f>
        <v/>
      </c>
    </row>
    <row r="25" spans="1:14" hidden="1" x14ac:dyDescent="0.3">
      <c r="D25" s="15"/>
      <c r="E25" s="13" t="str">
        <f ca="1">IF($B25&lt;&gt;"",TODAY(),"")</f>
        <v/>
      </c>
      <c r="F25" t="str">
        <f>IF($B25&lt;&gt;"",DATEDIF(C25,E25,"M"),"")</f>
        <v/>
      </c>
      <c r="J25" t="str">
        <f>IF($B25&lt;&gt;"",VALUE(RIGHT(LEFT(D25,8),3)),"")</f>
        <v/>
      </c>
      <c r="K25" t="str">
        <f>IF($B25&lt;&gt;"",VLOOKUP(I25,'ИНФОРМАЦИОННЫЙ СПРАВОЧНИК'!$A$3:$D$16,3,0),"")</f>
        <v/>
      </c>
      <c r="L25" t="str">
        <f>IF($B25&lt;&gt;"",LOOKUP(J25,'ИНОФРМАЦИОННЫЙ СПРАВОЧНИК СОРТ'!$A$1:$A$14,'ИНОФРМАЦИОННЫЙ СПРАВОЧНИК СОРТ'!$C$1:$C$14),"")</f>
        <v/>
      </c>
      <c r="M25" s="18" t="str">
        <f>IF($B25&lt;&gt;"",FV(G25/12,F25,,-H25),"")</f>
        <v/>
      </c>
      <c r="N25" s="17" t="str">
        <f>IF($B25&lt;&gt;"",VLOOKUP(I25,'ИНФОРМАЦИОННЫЙ СПРАВОЧНИК'!$A$3:$D$16,4,0)*M25,"")</f>
        <v/>
      </c>
    </row>
    <row r="26" spans="1:14" hidden="1" x14ac:dyDescent="0.3">
      <c r="D26" s="15"/>
      <c r="E26" s="13" t="str">
        <f ca="1">IF($B26&lt;&gt;"",TODAY(),"")</f>
        <v/>
      </c>
      <c r="F26" t="str">
        <f>IF($B26&lt;&gt;"",DATEDIF(C26,E26,"M"),"")</f>
        <v/>
      </c>
      <c r="K26" t="str">
        <f>IF($B26&lt;&gt;"",VLOOKUP(I26,'ИНФОРМАЦИОННЫЙ СПРАВОЧНИК'!$A$3:$D$16,3,0),"")</f>
        <v/>
      </c>
      <c r="L26" t="str">
        <f>IF($B26&lt;&gt;"",LOOKUP(J26,'ИНОФРМАЦИОННЫЙ СПРАВОЧНИК СОРТ'!$A$1:$A$14,'ИНОФРМАЦИОННЫЙ СПРАВОЧНИК СОРТ'!$C$1:$C$14),"")</f>
        <v/>
      </c>
      <c r="M26" s="18" t="str">
        <f>IF($B26&lt;&gt;"",FV(G26/12,F26,,-H26),"")</f>
        <v/>
      </c>
      <c r="N26" s="17" t="str">
        <f>IF($B26&lt;&gt;"",VLOOKUP(I26,'ИНФОРМАЦИОННЫЙ СПРАВОЧНИК'!$A$3:$D$16,4,0)*M26,"")</f>
        <v/>
      </c>
    </row>
    <row r="27" spans="1:14" hidden="1" x14ac:dyDescent="0.3">
      <c r="D27" s="15"/>
      <c r="E27" s="13" t="str">
        <f ca="1">IF($B27&lt;&gt;"",TODAY(),"")</f>
        <v/>
      </c>
      <c r="F27" t="str">
        <f>IF($B27&lt;&gt;"",DATEDIF(C27,E27,"M"),"")</f>
        <v/>
      </c>
      <c r="K27" t="str">
        <f>IF($B27&lt;&gt;"",VLOOKUP(I27,'ИНФОРМАЦИОННЫЙ СПРАВОЧНИК'!$A$3:$D$16,3,0),"")</f>
        <v/>
      </c>
      <c r="L27" t="str">
        <f>IF($B27&lt;&gt;"",LOOKUP(J27,'ИНОФРМАЦИОННЫЙ СПРАВОЧНИК СОРТ'!$A$1:$A$14,'ИНОФРМАЦИОННЫЙ СПРАВОЧНИК СОРТ'!$C$1:$C$14),"")</f>
        <v/>
      </c>
      <c r="M27" s="18"/>
      <c r="N27" s="17" t="str">
        <f>IF($B27&lt;&gt;"",VLOOKUP(I27,'ИНФОРМАЦИОННЫЙ СПРАВОЧНИК'!$A$3:$D$16,4,0)*M27,"")</f>
        <v/>
      </c>
    </row>
    <row r="28" spans="1:14" hidden="1" x14ac:dyDescent="0.3">
      <c r="D28" s="15"/>
      <c r="E28" s="13" t="str">
        <f ca="1">IF($B28&lt;&gt;"",TODAY(),"")</f>
        <v/>
      </c>
      <c r="F28" t="str">
        <f>IF($B28&lt;&gt;"",DATEDIF(C28,E28,"M"),"")</f>
        <v/>
      </c>
      <c r="K28" t="str">
        <f>IF($B28&lt;&gt;"",VLOOKUP(I28,'ИНФОРМАЦИОННЫЙ СПРАВОЧНИК'!$A$3:$D$16,3,0),"")</f>
        <v/>
      </c>
      <c r="L28" t="str">
        <f>IF($B28&lt;&gt;"",LOOKUP(J28,'ИНОФРМАЦИОННЫЙ СПРАВОЧНИК СОРТ'!$A$1:$A$14,'ИНОФРМАЦИОННЫЙ СПРАВОЧНИК СОРТ'!$C$1:$C$14),"")</f>
        <v/>
      </c>
      <c r="M28" s="18"/>
    </row>
    <row r="29" spans="1:14" hidden="1" x14ac:dyDescent="0.3">
      <c r="D29" s="15"/>
      <c r="E29" s="13" t="str">
        <f ca="1">IF($B29&lt;&gt;"",TODAY(),"")</f>
        <v/>
      </c>
      <c r="F29" t="str">
        <f>IF($B29&lt;&gt;"",DATEDIF(C29,E29,"M"),"")</f>
        <v/>
      </c>
      <c r="M29" s="18"/>
    </row>
    <row r="30" spans="1:14" hidden="1" x14ac:dyDescent="0.3">
      <c r="D30" s="15"/>
      <c r="E30" s="13" t="str">
        <f ca="1">IF($B30&lt;&gt;"",TODAY(),"")</f>
        <v/>
      </c>
      <c r="M30" s="18"/>
    </row>
    <row r="31" spans="1:14" hidden="1" x14ac:dyDescent="0.3">
      <c r="D31" s="15"/>
      <c r="E31" s="13" t="str">
        <f ca="1">IF($B31&lt;&gt;"",TODAY(),"")</f>
        <v/>
      </c>
      <c r="M31" s="18"/>
    </row>
    <row r="32" spans="1:14" hidden="1" x14ac:dyDescent="0.3">
      <c r="D32" s="15"/>
      <c r="E32" s="13" t="str">
        <f ca="1">IF($B32&lt;&gt;"",TODAY(),"")</f>
        <v/>
      </c>
      <c r="M32" s="18"/>
    </row>
    <row r="33" spans="4:13" hidden="1" x14ac:dyDescent="0.3">
      <c r="D33" s="15"/>
      <c r="E33" s="13" t="str">
        <f ca="1">IF($B33&lt;&gt;"",TODAY(),"")</f>
        <v/>
      </c>
      <c r="M33" s="18"/>
    </row>
    <row r="34" spans="4:13" hidden="1" x14ac:dyDescent="0.3">
      <c r="D34" s="15"/>
      <c r="E34" s="13" t="str">
        <f ca="1">IF($B34&lt;&gt;"",TODAY(),"")</f>
        <v/>
      </c>
      <c r="M34" s="18"/>
    </row>
    <row r="35" spans="4:13" hidden="1" x14ac:dyDescent="0.3">
      <c r="D35" s="15"/>
      <c r="E35" s="13" t="str">
        <f ca="1">IF($B35&lt;&gt;"",TODAY(),"")</f>
        <v/>
      </c>
      <c r="M35" s="18"/>
    </row>
    <row r="36" spans="4:13" hidden="1" x14ac:dyDescent="0.3">
      <c r="D36" s="15"/>
      <c r="E36" s="13" t="str">
        <f ca="1">IF($B36&lt;&gt;"",TODAY(),"")</f>
        <v/>
      </c>
      <c r="M36" s="18"/>
    </row>
    <row r="37" spans="4:13" hidden="1" x14ac:dyDescent="0.3">
      <c r="D37" s="15"/>
      <c r="E37" s="13" t="str">
        <f ca="1">IF($B37&lt;&gt;"",TODAY(),"")</f>
        <v/>
      </c>
      <c r="M37" s="18"/>
    </row>
    <row r="38" spans="4:13" hidden="1" x14ac:dyDescent="0.3">
      <c r="D38" s="15"/>
      <c r="E38" s="13" t="str">
        <f ca="1">IF($B38&lt;&gt;"",TODAY(),"")</f>
        <v/>
      </c>
      <c r="M38" s="18"/>
    </row>
    <row r="39" spans="4:13" hidden="1" x14ac:dyDescent="0.3">
      <c r="D39" s="15"/>
      <c r="E39" s="13" t="str">
        <f ca="1">IF($B39&lt;&gt;"",TODAY(),"")</f>
        <v/>
      </c>
      <c r="M39" s="18"/>
    </row>
    <row r="40" spans="4:13" hidden="1" x14ac:dyDescent="0.3">
      <c r="D40" s="15"/>
      <c r="E40" s="13" t="str">
        <f ca="1">IF($B40&lt;&gt;"",TODAY(),"")</f>
        <v/>
      </c>
      <c r="M40" s="18"/>
    </row>
    <row r="41" spans="4:13" hidden="1" x14ac:dyDescent="0.3">
      <c r="D41" s="15"/>
      <c r="E41" s="13" t="str">
        <f ca="1">IF($B41&lt;&gt;"",TODAY(),"")</f>
        <v/>
      </c>
      <c r="M41" s="18"/>
    </row>
    <row r="42" spans="4:13" hidden="1" x14ac:dyDescent="0.3">
      <c r="D42" s="15"/>
      <c r="E42" s="13" t="str">
        <f ca="1">IF($B42&lt;&gt;"",TODAY(),"")</f>
        <v/>
      </c>
      <c r="M42" s="18"/>
    </row>
    <row r="43" spans="4:13" hidden="1" x14ac:dyDescent="0.3">
      <c r="D43" s="15"/>
      <c r="E43" s="13" t="str">
        <f ca="1">IF($B43&lt;&gt;"",TODAY(),"")</f>
        <v/>
      </c>
      <c r="M43" s="18"/>
    </row>
    <row r="44" spans="4:13" hidden="1" x14ac:dyDescent="0.3">
      <c r="D44" s="15"/>
      <c r="E44" s="13" t="str">
        <f ca="1">IF($B44&lt;&gt;"",TODAY(),"")</f>
        <v/>
      </c>
      <c r="M44" s="18"/>
    </row>
    <row r="45" spans="4:13" hidden="1" x14ac:dyDescent="0.3">
      <c r="D45" s="15"/>
      <c r="E45" s="13" t="str">
        <f ca="1">IF($B45&lt;&gt;"",TODAY(),"")</f>
        <v/>
      </c>
      <c r="M45" s="18"/>
    </row>
    <row r="46" spans="4:13" hidden="1" x14ac:dyDescent="0.3">
      <c r="D46" s="15"/>
      <c r="E46" s="13" t="str">
        <f ca="1">IF($B46&lt;&gt;"",TODAY(),"")</f>
        <v/>
      </c>
      <c r="M46" s="18"/>
    </row>
    <row r="47" spans="4:13" hidden="1" x14ac:dyDescent="0.3">
      <c r="D47" s="15"/>
      <c r="E47" s="13" t="str">
        <f ca="1">IF($B47&lt;&gt;"",TODAY(),"")</f>
        <v/>
      </c>
      <c r="M47" s="18"/>
    </row>
    <row r="48" spans="4:13" hidden="1" x14ac:dyDescent="0.3">
      <c r="D48" s="15"/>
      <c r="E48" s="13" t="str">
        <f ca="1">IF($B48&lt;&gt;"",TODAY(),"")</f>
        <v/>
      </c>
      <c r="M48" s="18"/>
    </row>
    <row r="49" spans="4:13" hidden="1" x14ac:dyDescent="0.3">
      <c r="D49" s="15"/>
      <c r="E49" s="13" t="str">
        <f ca="1">IF($B49&lt;&gt;"",TODAY(),"")</f>
        <v/>
      </c>
      <c r="M49" s="18"/>
    </row>
    <row r="50" spans="4:13" hidden="1" x14ac:dyDescent="0.3">
      <c r="D50" s="15"/>
      <c r="E50" s="13" t="str">
        <f ca="1">IF($B50&lt;&gt;"",TODAY(),"")</f>
        <v/>
      </c>
      <c r="M50" s="18"/>
    </row>
    <row r="51" spans="4:13" hidden="1" x14ac:dyDescent="0.3">
      <c r="D51" s="15"/>
      <c r="E51" s="13" t="str">
        <f ca="1">IF($B51&lt;&gt;"",TODAY(),"")</f>
        <v/>
      </c>
      <c r="M51" s="18"/>
    </row>
    <row r="52" spans="4:13" hidden="1" x14ac:dyDescent="0.3">
      <c r="D52" s="15"/>
      <c r="E52" s="13" t="str">
        <f ca="1">IF($B52&lt;&gt;"",TODAY(),"")</f>
        <v/>
      </c>
      <c r="M52" s="18"/>
    </row>
    <row r="53" spans="4:13" hidden="1" x14ac:dyDescent="0.3">
      <c r="D53" s="15"/>
      <c r="E53" s="13" t="str">
        <f ca="1">IF($B53&lt;&gt;"",TODAY(),"")</f>
        <v/>
      </c>
      <c r="M53" s="18"/>
    </row>
    <row r="54" spans="4:13" hidden="1" x14ac:dyDescent="0.3">
      <c r="D54" s="15"/>
      <c r="E54" s="13" t="str">
        <f ca="1">IF($B54&lt;&gt;"",TODAY(),"")</f>
        <v/>
      </c>
      <c r="M54" s="18"/>
    </row>
    <row r="55" spans="4:13" hidden="1" x14ac:dyDescent="0.3">
      <c r="D55" s="15"/>
      <c r="E55" s="13" t="str">
        <f ca="1">IF($B55&lt;&gt;"",TODAY(),"")</f>
        <v/>
      </c>
      <c r="M55" s="18"/>
    </row>
    <row r="56" spans="4:13" hidden="1" x14ac:dyDescent="0.3">
      <c r="D56" s="15"/>
      <c r="E56" s="13" t="str">
        <f ca="1">IF($B56&lt;&gt;"",TODAY(),"")</f>
        <v/>
      </c>
      <c r="M56" s="18"/>
    </row>
    <row r="57" spans="4:13" hidden="1" x14ac:dyDescent="0.3">
      <c r="D57" s="15"/>
      <c r="E57" s="13" t="str">
        <f ca="1">IF($B57&lt;&gt;"",TODAY(),"")</f>
        <v/>
      </c>
      <c r="M57" s="18"/>
    </row>
    <row r="58" spans="4:13" hidden="1" x14ac:dyDescent="0.3">
      <c r="D58" s="15"/>
      <c r="E58" s="13" t="str">
        <f ca="1">IF($B58&lt;&gt;"",TODAY(),"")</f>
        <v/>
      </c>
      <c r="M58" s="18"/>
    </row>
    <row r="59" spans="4:13" hidden="1" x14ac:dyDescent="0.3">
      <c r="D59" s="15"/>
      <c r="E59" s="13" t="str">
        <f ca="1">IF($B59&lt;&gt;"",TODAY(),"")</f>
        <v/>
      </c>
      <c r="M59" s="18"/>
    </row>
    <row r="60" spans="4:13" hidden="1" x14ac:dyDescent="0.3">
      <c r="D60" s="15"/>
      <c r="E60" s="13" t="str">
        <f ca="1">IF($B60&lt;&gt;"",TODAY(),"")</f>
        <v/>
      </c>
      <c r="M60" s="18"/>
    </row>
    <row r="61" spans="4:13" hidden="1" x14ac:dyDescent="0.3">
      <c r="D61" s="15"/>
      <c r="E61" s="13" t="str">
        <f ca="1">IF($B61&lt;&gt;"",TODAY(),"")</f>
        <v/>
      </c>
      <c r="M61" s="18"/>
    </row>
    <row r="62" spans="4:13" hidden="1" x14ac:dyDescent="0.3">
      <c r="D62" s="15"/>
      <c r="E62" s="13" t="str">
        <f ca="1">IF($B62&lt;&gt;"",TODAY(),"")</f>
        <v/>
      </c>
      <c r="M62" s="18"/>
    </row>
    <row r="63" spans="4:13" hidden="1" x14ac:dyDescent="0.3">
      <c r="D63" s="15"/>
      <c r="E63" s="13" t="str">
        <f ca="1">IF($B63&lt;&gt;"",TODAY(),"")</f>
        <v/>
      </c>
      <c r="M63" s="18"/>
    </row>
    <row r="64" spans="4:13" hidden="1" x14ac:dyDescent="0.3">
      <c r="D64" s="15"/>
      <c r="E64" s="13" t="str">
        <f ca="1">IF($B64&lt;&gt;"",TODAY(),"")</f>
        <v/>
      </c>
      <c r="M64" s="18"/>
    </row>
    <row r="65" spans="4:13" hidden="1" x14ac:dyDescent="0.3">
      <c r="D65" s="15"/>
      <c r="E65" s="13" t="str">
        <f ca="1">IF($B65&lt;&gt;"",TODAY(),"")</f>
        <v/>
      </c>
      <c r="M65" s="18"/>
    </row>
    <row r="66" spans="4:13" hidden="1" x14ac:dyDescent="0.3">
      <c r="D66" s="15"/>
      <c r="E66" s="13" t="str">
        <f ca="1">IF($B66&lt;&gt;"",TODAY(),"")</f>
        <v/>
      </c>
      <c r="M66" s="18"/>
    </row>
    <row r="67" spans="4:13" hidden="1" x14ac:dyDescent="0.3">
      <c r="D67" s="15"/>
      <c r="E67" s="13" t="str">
        <f ca="1">IF($B67&lt;&gt;"",TODAY(),"")</f>
        <v/>
      </c>
      <c r="M67" s="18"/>
    </row>
    <row r="68" spans="4:13" hidden="1" x14ac:dyDescent="0.3">
      <c r="D68" s="15"/>
      <c r="E68" s="13" t="str">
        <f ca="1">IF($B68&lt;&gt;"",TODAY(),"")</f>
        <v/>
      </c>
      <c r="M68" s="18"/>
    </row>
  </sheetData>
  <autoFilter ref="I4:I68">
    <filterColumn colId="0">
      <filters>
        <filter val="978"/>
      </filters>
    </filterColumn>
  </autoFilter>
  <sortState ref="A4:L22">
    <sortCondition descending="1" ref="G4:G22"/>
  </sortState>
  <mergeCells count="1">
    <mergeCell ref="A1:C1"/>
  </mergeCells>
  <dataValidations count="2">
    <dataValidation type="textLength" operator="equal" allowBlank="1" showInputMessage="1" showErrorMessage="1" sqref="D4:D17">
      <formula1>20</formula1>
    </dataValidation>
    <dataValidation type="list" allowBlank="1" showInputMessage="1" showErrorMessage="1" sqref="G4:G17">
      <formula1>"5%,10%,15%,20%"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4" sqref="A4"/>
    </sheetView>
  </sheetViews>
  <sheetFormatPr defaultRowHeight="14.4" x14ac:dyDescent="0.3"/>
  <cols>
    <col min="1" max="1" width="14" customWidth="1"/>
    <col min="2" max="2" width="21" customWidth="1"/>
    <col min="3" max="3" width="32.109375" customWidth="1"/>
    <col min="4" max="4" width="29.33203125" customWidth="1"/>
  </cols>
  <sheetData>
    <row r="1" spans="1:4" ht="18" thickBot="1" x14ac:dyDescent="0.35">
      <c r="A1" s="6" t="s">
        <v>33</v>
      </c>
      <c r="B1" s="6"/>
      <c r="C1" s="6"/>
      <c r="D1" s="6"/>
    </row>
    <row r="2" spans="1:4" ht="30.6" thickBot="1" x14ac:dyDescent="0.35">
      <c r="A2" s="1" t="s">
        <v>1</v>
      </c>
      <c r="B2" s="2" t="s">
        <v>2</v>
      </c>
      <c r="C2" s="2" t="s">
        <v>3</v>
      </c>
      <c r="D2" s="2" t="s">
        <v>4</v>
      </c>
    </row>
    <row r="3" spans="1:4" ht="16.2" thickBot="1" x14ac:dyDescent="0.35">
      <c r="A3" s="3">
        <v>36</v>
      </c>
      <c r="B3" s="4" t="s">
        <v>5</v>
      </c>
      <c r="C3" s="4" t="s">
        <v>6</v>
      </c>
      <c r="D3" s="5">
        <v>49.4</v>
      </c>
    </row>
    <row r="4" spans="1:4" ht="31.8" thickBot="1" x14ac:dyDescent="0.35">
      <c r="A4" s="3">
        <v>826</v>
      </c>
      <c r="B4" s="4" t="s">
        <v>7</v>
      </c>
      <c r="C4" s="4" t="s">
        <v>8</v>
      </c>
      <c r="D4" s="5">
        <v>89.3</v>
      </c>
    </row>
    <row r="5" spans="1:4" ht="16.2" thickBot="1" x14ac:dyDescent="0.35">
      <c r="A5" s="3">
        <v>840</v>
      </c>
      <c r="B5" s="4" t="s">
        <v>9</v>
      </c>
      <c r="C5" s="4" t="s">
        <v>10</v>
      </c>
      <c r="D5" s="5">
        <v>69.03</v>
      </c>
    </row>
    <row r="6" spans="1:4" ht="16.2" thickBot="1" x14ac:dyDescent="0.35">
      <c r="A6" s="3">
        <v>978</v>
      </c>
      <c r="B6" s="4" t="s">
        <v>11</v>
      </c>
      <c r="C6" s="4" t="s">
        <v>12</v>
      </c>
      <c r="D6" s="5">
        <v>80.36</v>
      </c>
    </row>
    <row r="7" spans="1:4" ht="16.2" thickBot="1" x14ac:dyDescent="0.35">
      <c r="A7" s="3">
        <v>124</v>
      </c>
      <c r="B7" s="4" t="s">
        <v>13</v>
      </c>
      <c r="C7" s="4" t="s">
        <v>14</v>
      </c>
      <c r="D7" s="5">
        <v>52.57</v>
      </c>
    </row>
    <row r="8" spans="1:4" ht="16.2" thickBot="1" x14ac:dyDescent="0.35">
      <c r="A8" s="3">
        <v>949</v>
      </c>
      <c r="B8" s="4" t="s">
        <v>15</v>
      </c>
      <c r="C8" s="4" t="s">
        <v>16</v>
      </c>
      <c r="D8" s="5">
        <v>10.62</v>
      </c>
    </row>
    <row r="9" spans="1:4" ht="16.2" thickBot="1" x14ac:dyDescent="0.35">
      <c r="A9" s="3">
        <v>702</v>
      </c>
      <c r="B9" s="4" t="s">
        <v>17</v>
      </c>
      <c r="C9" s="4" t="s">
        <v>18</v>
      </c>
      <c r="D9" s="5">
        <v>50.2</v>
      </c>
    </row>
    <row r="10" spans="1:4" ht="16.2" thickBot="1" x14ac:dyDescent="0.35">
      <c r="A10" s="3">
        <v>756</v>
      </c>
      <c r="B10" s="4" t="s">
        <v>19</v>
      </c>
      <c r="C10" s="4" t="s">
        <v>20</v>
      </c>
      <c r="D10" s="5">
        <v>71.52</v>
      </c>
    </row>
    <row r="11" spans="1:4" ht="16.2" thickBot="1" x14ac:dyDescent="0.35">
      <c r="A11" s="3">
        <v>986</v>
      </c>
      <c r="B11" s="4" t="s">
        <v>21</v>
      </c>
      <c r="C11" s="4" t="s">
        <v>22</v>
      </c>
      <c r="D11" s="5">
        <v>17.8</v>
      </c>
    </row>
    <row r="12" spans="1:4" ht="16.2" thickBot="1" x14ac:dyDescent="0.35">
      <c r="A12" s="3">
        <v>428</v>
      </c>
      <c r="B12" s="4" t="s">
        <v>23</v>
      </c>
      <c r="C12" s="4" t="s">
        <v>24</v>
      </c>
      <c r="D12" s="5">
        <v>85.68</v>
      </c>
    </row>
    <row r="13" spans="1:4" ht="30.6" thickBot="1" x14ac:dyDescent="0.35">
      <c r="A13" s="3">
        <v>960</v>
      </c>
      <c r="B13" s="4" t="s">
        <v>25</v>
      </c>
      <c r="C13" s="4" t="s">
        <v>26</v>
      </c>
      <c r="D13" s="5">
        <v>49.57</v>
      </c>
    </row>
    <row r="14" spans="1:4" ht="16.2" thickBot="1" x14ac:dyDescent="0.35">
      <c r="A14" s="3">
        <v>944</v>
      </c>
      <c r="B14" s="4" t="s">
        <v>27</v>
      </c>
      <c r="C14" s="4" t="s">
        <v>28</v>
      </c>
      <c r="D14" s="5">
        <v>40.69</v>
      </c>
    </row>
    <row r="15" spans="1:4" ht="16.2" thickBot="1" x14ac:dyDescent="0.35">
      <c r="A15" s="3">
        <v>975</v>
      </c>
      <c r="B15" s="4" t="s">
        <v>29</v>
      </c>
      <c r="C15" s="4" t="s">
        <v>30</v>
      </c>
      <c r="D15" s="5">
        <v>41.1</v>
      </c>
    </row>
    <row r="16" spans="1:4" ht="16.2" thickBot="1" x14ac:dyDescent="0.35">
      <c r="A16" s="3">
        <v>810</v>
      </c>
      <c r="B16" s="4" t="s">
        <v>31</v>
      </c>
      <c r="C16" s="4" t="s">
        <v>32</v>
      </c>
      <c r="D16" s="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7" sqref="D17"/>
    </sheetView>
  </sheetViews>
  <sheetFormatPr defaultRowHeight="14.4" x14ac:dyDescent="0.3"/>
  <cols>
    <col min="1" max="1" width="14" customWidth="1"/>
    <col min="2" max="2" width="21" customWidth="1"/>
    <col min="3" max="3" width="32.109375" customWidth="1"/>
    <col min="4" max="4" width="29.33203125" customWidth="1"/>
  </cols>
  <sheetData>
    <row r="1" spans="1:4" ht="16.2" thickBot="1" x14ac:dyDescent="0.35">
      <c r="A1" s="3">
        <v>36</v>
      </c>
      <c r="B1" s="4" t="s">
        <v>5</v>
      </c>
      <c r="C1" s="4" t="s">
        <v>6</v>
      </c>
      <c r="D1" s="5">
        <v>49.4</v>
      </c>
    </row>
    <row r="2" spans="1:4" ht="16.2" thickBot="1" x14ac:dyDescent="0.35">
      <c r="A2" s="3">
        <v>124</v>
      </c>
      <c r="B2" s="4" t="s">
        <v>13</v>
      </c>
      <c r="C2" s="4" t="s">
        <v>14</v>
      </c>
      <c r="D2" s="5">
        <v>52.57</v>
      </c>
    </row>
    <row r="3" spans="1:4" ht="16.2" thickBot="1" x14ac:dyDescent="0.35">
      <c r="A3" s="3">
        <v>428</v>
      </c>
      <c r="B3" s="4" t="s">
        <v>23</v>
      </c>
      <c r="C3" s="4" t="s">
        <v>24</v>
      </c>
      <c r="D3" s="5">
        <v>85.68</v>
      </c>
    </row>
    <row r="4" spans="1:4" ht="16.2" thickBot="1" x14ac:dyDescent="0.35">
      <c r="A4" s="3">
        <v>702</v>
      </c>
      <c r="B4" s="4" t="s">
        <v>17</v>
      </c>
      <c r="C4" s="4" t="s">
        <v>18</v>
      </c>
      <c r="D4" s="5">
        <v>50.2</v>
      </c>
    </row>
    <row r="5" spans="1:4" ht="16.2" thickBot="1" x14ac:dyDescent="0.35">
      <c r="A5" s="3">
        <v>756</v>
      </c>
      <c r="B5" s="4" t="s">
        <v>19</v>
      </c>
      <c r="C5" s="4" t="s">
        <v>20</v>
      </c>
      <c r="D5" s="5">
        <v>71.52</v>
      </c>
    </row>
    <row r="6" spans="1:4" ht="16.2" thickBot="1" x14ac:dyDescent="0.35">
      <c r="A6" s="3">
        <v>810</v>
      </c>
      <c r="B6" s="4" t="s">
        <v>31</v>
      </c>
      <c r="C6" s="4" t="s">
        <v>32</v>
      </c>
      <c r="D6" s="5">
        <v>1</v>
      </c>
    </row>
    <row r="7" spans="1:4" ht="31.8" thickBot="1" x14ac:dyDescent="0.35">
      <c r="A7" s="3">
        <v>826</v>
      </c>
      <c r="B7" s="4" t="s">
        <v>7</v>
      </c>
      <c r="C7" s="4" t="s">
        <v>8</v>
      </c>
      <c r="D7" s="5">
        <v>89.3</v>
      </c>
    </row>
    <row r="8" spans="1:4" ht="16.2" thickBot="1" x14ac:dyDescent="0.35">
      <c r="A8" s="3">
        <v>840</v>
      </c>
      <c r="B8" s="4" t="s">
        <v>9</v>
      </c>
      <c r="C8" s="4" t="s">
        <v>10</v>
      </c>
      <c r="D8" s="5">
        <v>69.03</v>
      </c>
    </row>
    <row r="9" spans="1:4" ht="16.2" thickBot="1" x14ac:dyDescent="0.35">
      <c r="A9" s="3">
        <v>944</v>
      </c>
      <c r="B9" s="4" t="s">
        <v>27</v>
      </c>
      <c r="C9" s="4" t="s">
        <v>28</v>
      </c>
      <c r="D9" s="5">
        <v>40.69</v>
      </c>
    </row>
    <row r="10" spans="1:4" ht="16.2" thickBot="1" x14ac:dyDescent="0.35">
      <c r="A10" s="3">
        <v>949</v>
      </c>
      <c r="B10" s="4" t="s">
        <v>15</v>
      </c>
      <c r="C10" s="4" t="s">
        <v>16</v>
      </c>
      <c r="D10" s="5">
        <v>10.62</v>
      </c>
    </row>
    <row r="11" spans="1:4" ht="30.6" thickBot="1" x14ac:dyDescent="0.35">
      <c r="A11" s="3">
        <v>960</v>
      </c>
      <c r="B11" s="4" t="s">
        <v>25</v>
      </c>
      <c r="C11" s="4" t="s">
        <v>26</v>
      </c>
      <c r="D11" s="5">
        <v>49.57</v>
      </c>
    </row>
    <row r="12" spans="1:4" ht="16.2" thickBot="1" x14ac:dyDescent="0.35">
      <c r="A12" s="3">
        <v>975</v>
      </c>
      <c r="B12" s="4" t="s">
        <v>29</v>
      </c>
      <c r="C12" s="4" t="s">
        <v>30</v>
      </c>
      <c r="D12" s="5">
        <v>41.1</v>
      </c>
    </row>
    <row r="13" spans="1:4" ht="16.2" thickBot="1" x14ac:dyDescent="0.35">
      <c r="A13" s="3">
        <v>978</v>
      </c>
      <c r="B13" s="4" t="s">
        <v>11</v>
      </c>
      <c r="C13" s="4" t="s">
        <v>12</v>
      </c>
      <c r="D13" s="5">
        <v>80.36</v>
      </c>
    </row>
    <row r="14" spans="1:4" ht="16.2" thickBot="1" x14ac:dyDescent="0.35">
      <c r="A14" s="3">
        <v>986</v>
      </c>
      <c r="B14" s="4" t="s">
        <v>21</v>
      </c>
      <c r="C14" s="4" t="s">
        <v>22</v>
      </c>
      <c r="D14" s="5">
        <v>17.8</v>
      </c>
    </row>
  </sheetData>
  <sortState ref="A1:D14">
    <sortCondition ref="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Лист2</vt:lpstr>
      <vt:lpstr>ИНФОРМАЦИОННЫЙ СПРАВОЧНИК</vt:lpstr>
      <vt:lpstr>ИНОФРМАЦИОННЫЙ СПРАВОЧНИК СОРТ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</dc:creator>
  <cp:lastModifiedBy>Настя Кот</cp:lastModifiedBy>
  <dcterms:created xsi:type="dcterms:W3CDTF">2013-09-25T08:10:16Z</dcterms:created>
  <dcterms:modified xsi:type="dcterms:W3CDTF">2020-11-23T12:47:56Z</dcterms:modified>
</cp:coreProperties>
</file>