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atsciltd.sharepoint.com/sites/Reata/Shared Documents/RTA 901 Suzuki Screening and Optimization/05 - Experimental/"/>
    </mc:Choice>
  </mc:AlternateContent>
  <xr:revisionPtr revIDLastSave="750" documentId="8_{D600DF3E-F1B3-4A4D-8FAE-924AFF30CF31}" xr6:coauthVersionLast="47" xr6:coauthVersionMax="47" xr10:uidLastSave="{A01311EB-A029-4B54-907E-3CE9B16CC104}"/>
  <bookViews>
    <workbookView xWindow="-108" yWindow="-108" windowWidth="23256" windowHeight="12576" firstSheet="1" activeTab="1" xr2:uid="{CC241E92-57FF-4F39-8FDB-5A2470B8EB1D}"/>
  </bookViews>
  <sheets>
    <sheet name="Screen Plate (image only)" sheetId="9" r:id="rId1"/>
    <sheet name="Screen Plate" sheetId="1" r:id="rId2"/>
    <sheet name="Calculations" sheetId="2" r:id="rId3"/>
    <sheet name="UPLC Data (iClass)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G14" i="1"/>
  <c r="H14" i="1"/>
  <c r="I14" i="1"/>
  <c r="F15" i="1"/>
  <c r="G15" i="1"/>
  <c r="H15" i="1"/>
  <c r="I15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K30" i="7"/>
  <c r="L30" i="7" s="1"/>
  <c r="K31" i="7"/>
  <c r="L31" i="7" s="1"/>
  <c r="N31" i="7"/>
  <c r="O31" i="7"/>
  <c r="K32" i="7"/>
  <c r="M32" i="7" s="1"/>
  <c r="K20" i="7"/>
  <c r="K27" i="7"/>
  <c r="L27" i="7" s="1"/>
  <c r="K28" i="7"/>
  <c r="L28" i="7" s="1"/>
  <c r="K29" i="7"/>
  <c r="L29" i="7" s="1"/>
  <c r="P22" i="2"/>
  <c r="P23" i="2"/>
  <c r="J22" i="2"/>
  <c r="J23" i="2"/>
  <c r="K4" i="7"/>
  <c r="K5" i="7"/>
  <c r="K6" i="7"/>
  <c r="K7" i="7"/>
  <c r="K8" i="7"/>
  <c r="K9" i="7"/>
  <c r="M9" i="7" s="1"/>
  <c r="K10" i="7"/>
  <c r="K11" i="7"/>
  <c r="K12" i="7"/>
  <c r="K13" i="7"/>
  <c r="K14" i="7"/>
  <c r="K15" i="7"/>
  <c r="K16" i="7"/>
  <c r="K17" i="7"/>
  <c r="K18" i="7"/>
  <c r="K19" i="7"/>
  <c r="K21" i="7"/>
  <c r="K22" i="7"/>
  <c r="K23" i="7"/>
  <c r="K24" i="7"/>
  <c r="K25" i="7"/>
  <c r="K26" i="7"/>
  <c r="K3" i="7"/>
  <c r="R4" i="2"/>
  <c r="P21" i="2"/>
  <c r="J21" i="2" s="1"/>
  <c r="P20" i="2"/>
  <c r="J20" i="2" s="1"/>
  <c r="P9" i="2"/>
  <c r="J9" i="2" s="1"/>
  <c r="P10" i="2"/>
  <c r="J10" i="2" s="1"/>
  <c r="O32" i="7" l="1"/>
  <c r="M31" i="7"/>
  <c r="N30" i="7"/>
  <c r="M30" i="7"/>
  <c r="L9" i="7"/>
  <c r="N32" i="7"/>
  <c r="L32" i="7"/>
  <c r="O30" i="7"/>
  <c r="N29" i="7"/>
  <c r="M29" i="7"/>
  <c r="O29" i="7"/>
  <c r="N28" i="7"/>
  <c r="M28" i="7"/>
  <c r="O28" i="7"/>
  <c r="M27" i="7"/>
  <c r="O27" i="7"/>
  <c r="N27" i="7"/>
  <c r="L5" i="7"/>
  <c r="C4" i="1" s="1"/>
  <c r="M5" i="7"/>
  <c r="M26" i="7"/>
  <c r="L26" i="7"/>
  <c r="M25" i="7"/>
  <c r="L25" i="7"/>
  <c r="M24" i="7"/>
  <c r="L24" i="7"/>
  <c r="M23" i="7"/>
  <c r="L23" i="7"/>
  <c r="M22" i="7"/>
  <c r="L22" i="7"/>
  <c r="M21" i="7"/>
  <c r="E15" i="1" s="1"/>
  <c r="L21" i="7"/>
  <c r="E14" i="1" s="1"/>
  <c r="M20" i="7"/>
  <c r="L20" i="7"/>
  <c r="M19" i="7"/>
  <c r="D15" i="1" s="1"/>
  <c r="L19" i="7"/>
  <c r="D14" i="1" s="1"/>
  <c r="M18" i="7"/>
  <c r="L18" i="7"/>
  <c r="M17" i="7"/>
  <c r="C15" i="1" s="1"/>
  <c r="L17" i="7"/>
  <c r="C14" i="1" s="1"/>
  <c r="M16" i="7"/>
  <c r="L16" i="7"/>
  <c r="M15" i="7"/>
  <c r="B15" i="1" s="1"/>
  <c r="L15" i="7"/>
  <c r="B14" i="1" s="1"/>
  <c r="M14" i="7"/>
  <c r="L14" i="7"/>
  <c r="M13" i="7"/>
  <c r="L13" i="7"/>
  <c r="M12" i="7"/>
  <c r="L12" i="7"/>
  <c r="M11" i="7"/>
  <c r="L11" i="7"/>
  <c r="M10" i="7"/>
  <c r="L10" i="7"/>
  <c r="M8" i="7"/>
  <c r="L8" i="7"/>
  <c r="M7" i="7"/>
  <c r="L7" i="7"/>
  <c r="M6" i="7"/>
  <c r="L6" i="7"/>
  <c r="M4" i="7"/>
  <c r="L4" i="7"/>
  <c r="M3" i="7"/>
  <c r="L3" i="7"/>
  <c r="P5" i="2"/>
  <c r="T6" i="2"/>
  <c r="T5" i="2"/>
  <c r="T4" i="2"/>
  <c r="M4" i="2" l="1"/>
  <c r="P7" i="2" l="1"/>
  <c r="P8" i="2"/>
  <c r="P11" i="2"/>
  <c r="P12" i="2"/>
  <c r="P13" i="2"/>
  <c r="P14" i="2"/>
  <c r="J14" i="2" s="1"/>
  <c r="P15" i="2"/>
  <c r="J15" i="2" s="1"/>
  <c r="P16" i="2"/>
  <c r="J16" i="2" s="1"/>
  <c r="P17" i="2"/>
  <c r="J17" i="2" s="1"/>
  <c r="J7" i="2" l="1"/>
  <c r="J11" i="2" l="1"/>
  <c r="H26" i="2"/>
  <c r="H27" i="2"/>
  <c r="G27" i="2" l="1"/>
  <c r="R27" i="2"/>
  <c r="G26" i="2"/>
  <c r="R26" i="2"/>
  <c r="O24" i="7"/>
  <c r="N24" i="7"/>
  <c r="O18" i="7"/>
  <c r="N18" i="7"/>
  <c r="N23" i="7"/>
  <c r="O23" i="7"/>
  <c r="O17" i="7"/>
  <c r="N17" i="7"/>
  <c r="O22" i="7"/>
  <c r="N22" i="7"/>
  <c r="N16" i="7"/>
  <c r="O16" i="7"/>
  <c r="N21" i="7"/>
  <c r="O21" i="7"/>
  <c r="O15" i="7"/>
  <c r="N15" i="7"/>
  <c r="O26" i="7"/>
  <c r="N26" i="7"/>
  <c r="N20" i="7"/>
  <c r="O20" i="7"/>
  <c r="O14" i="7"/>
  <c r="G8" i="1"/>
  <c r="G9" i="1"/>
  <c r="N14" i="7"/>
  <c r="N12" i="7"/>
  <c r="F8" i="1"/>
  <c r="O12" i="7"/>
  <c r="F9" i="1"/>
  <c r="N10" i="7"/>
  <c r="E9" i="1"/>
  <c r="O10" i="7"/>
  <c r="E8" i="1"/>
  <c r="N8" i="7"/>
  <c r="O8" i="7"/>
  <c r="D9" i="1"/>
  <c r="D8" i="1"/>
  <c r="N6" i="7"/>
  <c r="O6" i="7"/>
  <c r="C8" i="1"/>
  <c r="C9" i="1"/>
  <c r="O25" i="7"/>
  <c r="N25" i="7"/>
  <c r="O19" i="7"/>
  <c r="N19" i="7"/>
  <c r="O13" i="7"/>
  <c r="N13" i="7"/>
  <c r="G4" i="1"/>
  <c r="G5" i="1"/>
  <c r="F4" i="1"/>
  <c r="N11" i="7"/>
  <c r="O11" i="7"/>
  <c r="F5" i="1"/>
  <c r="E4" i="1"/>
  <c r="E5" i="1"/>
  <c r="N9" i="7"/>
  <c r="O9" i="7"/>
  <c r="O7" i="7"/>
  <c r="D4" i="1"/>
  <c r="D5" i="1"/>
  <c r="N7" i="7"/>
  <c r="C5" i="1"/>
  <c r="O5" i="7"/>
  <c r="N5" i="7"/>
  <c r="O4" i="7"/>
  <c r="B8" i="1"/>
  <c r="N4" i="7"/>
  <c r="B9" i="1"/>
  <c r="P6" i="2"/>
  <c r="J6" i="2" s="1"/>
  <c r="J5" i="2"/>
  <c r="I4" i="2" l="1"/>
  <c r="P4" i="2"/>
  <c r="J4" i="2" s="1"/>
  <c r="I23" i="2" l="1"/>
  <c r="I22" i="2"/>
  <c r="I21" i="2"/>
  <c r="I20" i="2"/>
  <c r="I10" i="2"/>
  <c r="I9" i="2"/>
  <c r="I15" i="2"/>
  <c r="I14" i="2"/>
  <c r="I16" i="2"/>
  <c r="I17" i="2"/>
  <c r="I5" i="2"/>
  <c r="I7" i="2"/>
  <c r="I11" i="2"/>
  <c r="H4" i="2"/>
  <c r="I6" i="2"/>
  <c r="G22" i="2" l="1"/>
  <c r="M22" i="2" s="1"/>
  <c r="H22" i="2"/>
  <c r="G23" i="2"/>
  <c r="M23" i="2" s="1"/>
  <c r="H23" i="2"/>
  <c r="H20" i="2"/>
  <c r="G20" i="2"/>
  <c r="R20" i="2" s="1"/>
  <c r="G21" i="2"/>
  <c r="R21" i="2" s="1"/>
  <c r="H21" i="2"/>
  <c r="H9" i="2"/>
  <c r="G9" i="2"/>
  <c r="R9" i="2" s="1"/>
  <c r="G10" i="2"/>
  <c r="R10" i="2" s="1"/>
  <c r="H10" i="2"/>
  <c r="G14" i="2"/>
  <c r="R14" i="2" s="1"/>
  <c r="H14" i="2"/>
  <c r="G15" i="2"/>
  <c r="R15" i="2" s="1"/>
  <c r="H15" i="2"/>
  <c r="G5" i="2"/>
  <c r="R5" i="2" s="1"/>
  <c r="H5" i="2"/>
  <c r="G17" i="2"/>
  <c r="R17" i="2" s="1"/>
  <c r="H17" i="2"/>
  <c r="G16" i="2"/>
  <c r="R16" i="2" s="1"/>
  <c r="H16" i="2"/>
  <c r="G7" i="2"/>
  <c r="H7" i="2"/>
  <c r="G11" i="2"/>
  <c r="R11" i="2" s="1"/>
  <c r="H11" i="2"/>
  <c r="G6" i="2"/>
  <c r="R6" i="2" s="1"/>
  <c r="H6" i="2"/>
  <c r="H28" i="2"/>
  <c r="B4" i="1"/>
  <c r="B5" i="1"/>
  <c r="O3" i="7"/>
  <c r="N3" i="7"/>
  <c r="M21" i="2" l="1"/>
  <c r="M20" i="2"/>
  <c r="M10" i="2"/>
  <c r="M9" i="2"/>
  <c r="M5" i="2"/>
  <c r="M15" i="2"/>
  <c r="M14" i="2"/>
  <c r="M16" i="2"/>
  <c r="M17" i="2"/>
  <c r="M6" i="2"/>
  <c r="M11" i="2"/>
</calcChain>
</file>

<file path=xl/sharedStrings.xml><?xml version="1.0" encoding="utf-8"?>
<sst xmlns="http://schemas.openxmlformats.org/spreadsheetml/2006/main" count="256" uniqueCount="156">
  <si>
    <r>
      <rPr>
        <sz val="10"/>
        <color rgb="FF000000"/>
        <rFont val="Calibri"/>
      </rPr>
      <t>Pd(dppf)Cl</t>
    </r>
    <r>
      <rPr>
        <vertAlign val="subscript"/>
        <sz val="10"/>
        <color rgb="FF000000"/>
        <rFont val="Calibri"/>
      </rPr>
      <t>2</t>
    </r>
  </si>
  <si>
    <r>
      <rPr>
        <sz val="10"/>
        <color rgb="FF000000"/>
        <rFont val="Calibri"/>
      </rPr>
      <t>Pd(dppf)Cl</t>
    </r>
    <r>
      <rPr>
        <vertAlign val="subscript"/>
        <sz val="10"/>
        <color rgb="FF000000"/>
        <rFont val="Calibri"/>
      </rPr>
      <t>3</t>
    </r>
    <r>
      <rPr>
        <sz val="11"/>
        <color theme="1"/>
        <rFont val="Calibri"/>
        <scheme val="minor"/>
      </rPr>
      <t/>
    </r>
  </si>
  <si>
    <r>
      <rPr>
        <sz val="10"/>
        <color rgb="FF000000"/>
        <rFont val="Calibri"/>
      </rPr>
      <t>Pd(dppf)Cl</t>
    </r>
    <r>
      <rPr>
        <vertAlign val="subscript"/>
        <sz val="10"/>
        <color rgb="FF000000"/>
        <rFont val="Calibri"/>
      </rPr>
      <t>4</t>
    </r>
    <r>
      <rPr>
        <sz val="11"/>
        <color theme="1"/>
        <rFont val="Calibri"/>
        <scheme val="minor"/>
      </rPr>
      <t/>
    </r>
  </si>
  <si>
    <t>No product formation</t>
  </si>
  <si>
    <t>A</t>
  </si>
  <si>
    <t>TPGS-750-M</t>
  </si>
  <si>
    <t>PS-750-M</t>
  </si>
  <si>
    <t>Tween 20</t>
  </si>
  <si>
    <t>Triton X-100</t>
  </si>
  <si>
    <t>PEG 2000</t>
  </si>
  <si>
    <t>PEG 600</t>
  </si>
  <si>
    <t>Tween 80*</t>
  </si>
  <si>
    <t>Water Control</t>
  </si>
  <si>
    <r>
      <rPr>
        <sz val="10"/>
        <color rgb="FF000000"/>
        <rFont val="Calibri"/>
      </rPr>
      <t>Ni(dppf)Cl</t>
    </r>
    <r>
      <rPr>
        <vertAlign val="subscript"/>
        <sz val="10"/>
        <color rgb="FF000000"/>
        <rFont val="Calibri"/>
      </rPr>
      <t>2</t>
    </r>
  </si>
  <si>
    <r>
      <rPr>
        <sz val="10"/>
        <color rgb="FF000000"/>
        <rFont val="Calibri"/>
      </rPr>
      <t>Ni(dppf)Cl</t>
    </r>
    <r>
      <rPr>
        <vertAlign val="subscript"/>
        <sz val="10"/>
        <color rgb="FF000000"/>
        <rFont val="Calibri"/>
      </rPr>
      <t>3</t>
    </r>
    <r>
      <rPr>
        <sz val="11"/>
        <color theme="1"/>
        <rFont val="Calibri"/>
        <scheme val="minor"/>
      </rPr>
      <t/>
    </r>
  </si>
  <si>
    <r>
      <t xml:space="preserve">60 - 85% yield </t>
    </r>
    <r>
      <rPr>
        <b/>
        <sz val="11"/>
        <color theme="1"/>
        <rFont val="Calibri"/>
        <family val="2"/>
        <scheme val="minor"/>
      </rPr>
      <t>7</t>
    </r>
  </si>
  <si>
    <t>B</t>
  </si>
  <si>
    <t>C</t>
  </si>
  <si>
    <r>
      <t xml:space="preserve">Conversions and yields are uncorrected based on relative intensity of 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5-desbr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7-desF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5 dimer</t>
    </r>
  </si>
  <si>
    <t>D</t>
  </si>
  <si>
    <t>*testing conducted separately at a different date</t>
  </si>
  <si>
    <t>E</t>
  </si>
  <si>
    <t>conv. %</t>
  </si>
  <si>
    <t>yield %</t>
  </si>
  <si>
    <r>
      <t>Pd(dppf)Cl</t>
    </r>
    <r>
      <rPr>
        <b/>
        <vertAlign val="subscript"/>
        <sz val="10"/>
        <color rgb="FF000000"/>
        <rFont val="Calibri"/>
        <family val="2"/>
      </rPr>
      <t>2</t>
    </r>
  </si>
  <si>
    <t>Tween 80</t>
  </si>
  <si>
    <t>CONTROL H2O</t>
  </si>
  <si>
    <r>
      <rPr>
        <sz val="11"/>
        <color rgb="FF000000"/>
        <rFont val="Calibri"/>
      </rPr>
      <t xml:space="preserve">0.1 - 50.0% yield </t>
    </r>
    <r>
      <rPr>
        <b/>
        <sz val="11"/>
        <color rgb="FF000000"/>
        <rFont val="Calibri"/>
      </rPr>
      <t>7</t>
    </r>
  </si>
  <si>
    <r>
      <rPr>
        <sz val="11"/>
        <color rgb="FF000000"/>
        <rFont val="Calibri"/>
      </rPr>
      <t xml:space="preserve">50 - 85% yield </t>
    </r>
    <r>
      <rPr>
        <b/>
        <sz val="11"/>
        <color rgb="FF000000"/>
        <rFont val="Calibri"/>
      </rPr>
      <t>7</t>
    </r>
  </si>
  <si>
    <r>
      <t xml:space="preserve">&gt;90% conv., &gt;75% yield </t>
    </r>
    <r>
      <rPr>
        <b/>
        <sz val="11"/>
        <color theme="1"/>
        <rFont val="Calibri"/>
        <family val="2"/>
        <scheme val="minor"/>
      </rPr>
      <t>7</t>
    </r>
  </si>
  <si>
    <t>Shading indicates user input required</t>
  </si>
  <si>
    <t>Shading indicated mass/vol added to plate</t>
  </si>
  <si>
    <t>Stock solutions</t>
  </si>
  <si>
    <t>Minimum mass required for stock solution</t>
  </si>
  <si>
    <t>Description</t>
  </si>
  <si>
    <t>Location</t>
  </si>
  <si>
    <t>CAS</t>
  </si>
  <si>
    <t>MW (g/mol)</t>
  </si>
  <si>
    <t>Density (g/ml)</t>
  </si>
  <si>
    <t>Equiv.</t>
  </si>
  <si>
    <t>Mass (mg)</t>
  </si>
  <si>
    <r>
      <t>Vol (</t>
    </r>
    <r>
      <rPr>
        <sz val="11"/>
        <color theme="1"/>
        <rFont val="Calibri"/>
        <family val="2"/>
      </rPr>
      <t>μL)</t>
    </r>
  </si>
  <si>
    <t>μmol</t>
  </si>
  <si>
    <t>Conc. mM</t>
  </si>
  <si>
    <t>Scale factor</t>
  </si>
  <si>
    <t>Volume (mL)</t>
  </si>
  <si>
    <t>Reagent</t>
  </si>
  <si>
    <t>5 (ArBr)</t>
  </si>
  <si>
    <t>6 (Boronic Acid)</t>
  </si>
  <si>
    <t>Potassium carbonate</t>
  </si>
  <si>
    <t>Pd(dppf)Cl2</t>
  </si>
  <si>
    <t>all stock solutions to be prepared in DCE</t>
  </si>
  <si>
    <t>(MeCN)2PdCl2</t>
  </si>
  <si>
    <t>14592-56-4</t>
  </si>
  <si>
    <t>(NH4)2PdCl4</t>
  </si>
  <si>
    <t>13820-40-1</t>
  </si>
  <si>
    <t>[Pd(Oac)2]</t>
  </si>
  <si>
    <t>box 5, box 7, blue tray 14, others</t>
  </si>
  <si>
    <t>3375-31-3</t>
  </si>
  <si>
    <t>Ligand</t>
  </si>
  <si>
    <t>PPh3</t>
  </si>
  <si>
    <t xml:space="preserve">box 10, </t>
  </si>
  <si>
    <t>603-35-0</t>
  </si>
  <si>
    <t>P(otol)3</t>
  </si>
  <si>
    <t>box 10</t>
  </si>
  <si>
    <t>6163-58-2</t>
  </si>
  <si>
    <t>*JohnPhos</t>
  </si>
  <si>
    <t>box 10, green pl tray 1, orange pl tray 2</t>
  </si>
  <si>
    <t>224311-51-7</t>
  </si>
  <si>
    <t>dppf</t>
  </si>
  <si>
    <t>blue tray 16</t>
  </si>
  <si>
    <t>12150-46-8</t>
  </si>
  <si>
    <t>Preformed catalysts</t>
  </si>
  <si>
    <t>Pd(DPPF)Cl2</t>
  </si>
  <si>
    <t>72287-26-4</t>
  </si>
  <si>
    <t>Ni(DPPF)Cl2</t>
  </si>
  <si>
    <t>67292-34-6</t>
  </si>
  <si>
    <t>Pd(DPPF)Cl2 Tween 80</t>
  </si>
  <si>
    <t>Ni(DPPF)Cl2 Tween 80</t>
  </si>
  <si>
    <t>Solvent</t>
  </si>
  <si>
    <t>org solvent THF</t>
  </si>
  <si>
    <t>uL</t>
  </si>
  <si>
    <t>Surfactant soln</t>
  </si>
  <si>
    <t>Volume additional solvent required?</t>
  </si>
  <si>
    <t>Ethanol</t>
  </si>
  <si>
    <t>78.4 C</t>
  </si>
  <si>
    <t>iso-propanol</t>
  </si>
  <si>
    <t>82.5 C</t>
  </si>
  <si>
    <t>iso-amyl alcohol</t>
  </si>
  <si>
    <t>131 C</t>
  </si>
  <si>
    <t>Anisole</t>
  </si>
  <si>
    <t>2-MeTHF</t>
  </si>
  <si>
    <t>80.2 C</t>
  </si>
  <si>
    <t>Toluene</t>
  </si>
  <si>
    <t>110.6 C</t>
  </si>
  <si>
    <t>Dioxane</t>
  </si>
  <si>
    <t>101 C</t>
  </si>
  <si>
    <t>Acetonitrile</t>
  </si>
  <si>
    <t>82 C</t>
  </si>
  <si>
    <t>CPME</t>
  </si>
  <si>
    <t>106 C</t>
  </si>
  <si>
    <t>DMAC</t>
  </si>
  <si>
    <t>THF</t>
  </si>
  <si>
    <t>66 C</t>
  </si>
  <si>
    <t>Rxtn Stage</t>
  </si>
  <si>
    <t>5-desBr</t>
  </si>
  <si>
    <t>Compd 5</t>
  </si>
  <si>
    <t>Compd 6</t>
  </si>
  <si>
    <t>3-F-PhOH</t>
  </si>
  <si>
    <t>Compd7</t>
  </si>
  <si>
    <t>5 dimer</t>
  </si>
  <si>
    <t>7-desF</t>
  </si>
  <si>
    <t>6-dimer</t>
  </si>
  <si>
    <t>Total others</t>
  </si>
  <si>
    <t>Uncorrected conv.</t>
  </si>
  <si>
    <t>Uncorrected yield 7</t>
  </si>
  <si>
    <t>Uncorrected yield 7-desF</t>
  </si>
  <si>
    <t>Yield dimer</t>
  </si>
  <si>
    <t>DPPFO</t>
  </si>
  <si>
    <t>Triton</t>
  </si>
  <si>
    <t>0.257 min</t>
  </si>
  <si>
    <t>0.516 min</t>
  </si>
  <si>
    <t>0.904 min</t>
  </si>
  <si>
    <t>1.19 min</t>
  </si>
  <si>
    <t>????</t>
  </si>
  <si>
    <t>1.861???</t>
  </si>
  <si>
    <t>%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</si>
  <si>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</si>
  <si>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</si>
  <si>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</si>
  <si>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</si>
  <si>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</si>
  <si>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</si>
  <si>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</si>
  <si>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</si>
  <si>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</si>
  <si>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</si>
  <si>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</si>
  <si>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</si>
  <si>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7A</t>
  </si>
  <si>
    <t>7B</t>
  </si>
  <si>
    <t>8A</t>
  </si>
  <si>
    <t>Acetone</t>
  </si>
  <si>
    <t>56 C</t>
  </si>
  <si>
    <t>Exp12</t>
  </si>
  <si>
    <t>12A</t>
  </si>
  <si>
    <t>12B</t>
  </si>
  <si>
    <t>Exp13</t>
  </si>
  <si>
    <t>13A</t>
  </si>
  <si>
    <t>13B</t>
  </si>
  <si>
    <t>2.2 h</t>
  </si>
  <si>
    <t>19 h</t>
  </si>
  <si>
    <t>MeCN</t>
  </si>
  <si>
    <t>First plate</t>
  </si>
  <si>
    <t>Second plate</t>
  </si>
  <si>
    <t>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</si>
</sst>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</font>
    <font>
      <vertAlign val="subscript"/>
      <sz val="10"/>
      <color rgb="FF000000"/>
      <name val="Calibri"/>
    </font>
    <font>
      <sz val="11"/>
      <color rgb="FF808080"/>
      <name val="Calibri"/>
      <family val="2"/>
      <scheme val="minor"/>
    </font>
    <font>
      <sz val="11"/>
      <color rgb="FFA6A6A6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0"/>
      <color theme="1"/>
      <name val="Calibri"/>
      <family val="2"/>
      <scheme val="minor"/>
    </font>
    <font>
      <b/>
      <vertAlign val="subscript"/>
      <sz val="10"/>
      <color rgb="FF000000"/>
      <name val="Calibri"/>
      <family val="2"/>
    </font>
    <font>
      <b/>
      <sz val="10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6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DD1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E2EFDA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0" borderId="4" xfId="0" applyBorder="1"/>
    <xf numFmtId="0" fontId="3" fillId="0" borderId="0" xfId="0" applyFont="1" applyAlignment="1">
      <alignment horizontal="center" wrapText="1"/>
    </xf>
    <xf numFmtId="164" fontId="0" fillId="0" borderId="0" xfId="0" applyNumberFormat="1"/>
    <xf numFmtId="0" fontId="0" fillId="0" borderId="6" xfId="0" applyBorder="1"/>
    <xf numFmtId="0" fontId="0" fillId="0" borderId="3" xfId="0" applyBorder="1"/>
    <xf numFmtId="0" fontId="0" fillId="0" borderId="8" xfId="0" applyBorder="1"/>
    <xf numFmtId="0" fontId="2" fillId="0" borderId="0" xfId="0" applyFont="1"/>
    <xf numFmtId="1" fontId="0" fillId="0" borderId="0" xfId="0" applyNumberFormat="1"/>
    <xf numFmtId="0" fontId="0" fillId="5" borderId="0" xfId="0" applyFill="1"/>
    <xf numFmtId="0" fontId="0" fillId="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/>
    <xf numFmtId="165" fontId="6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0" fillId="3" borderId="0" xfId="0" applyFill="1"/>
    <xf numFmtId="0" fontId="0" fillId="12" borderId="0" xfId="0" applyFill="1"/>
    <xf numFmtId="1" fontId="0" fillId="12" borderId="0" xfId="0" applyNumberFormat="1" applyFill="1"/>
    <xf numFmtId="0" fontId="7" fillId="8" borderId="9" xfId="0" applyFont="1" applyFill="1" applyBorder="1" applyAlignment="1">
      <alignment horizontal="center" vertical="center"/>
    </xf>
    <xf numFmtId="0" fontId="6" fillId="13" borderId="9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165" fontId="6" fillId="13" borderId="2" xfId="0" applyNumberFormat="1" applyFont="1" applyFill="1" applyBorder="1" applyAlignment="1">
      <alignment horizontal="center" vertical="center"/>
    </xf>
    <xf numFmtId="165" fontId="6" fillId="13" borderId="5" xfId="0" applyNumberFormat="1" applyFont="1" applyFill="1" applyBorder="1" applyAlignment="1">
      <alignment horizontal="center" vertical="center"/>
    </xf>
    <xf numFmtId="0" fontId="0" fillId="13" borderId="0" xfId="0" applyFill="1"/>
    <xf numFmtId="1" fontId="0" fillId="13" borderId="0" xfId="0" applyNumberFormat="1" applyFill="1"/>
    <xf numFmtId="164" fontId="0" fillId="13" borderId="0" xfId="0" applyNumberFormat="1" applyFill="1"/>
    <xf numFmtId="0" fontId="0" fillId="13" borderId="8" xfId="0" applyFill="1" applyBorder="1"/>
    <xf numFmtId="0" fontId="0" fillId="13" borderId="4" xfId="0" applyFill="1" applyBorder="1"/>
    <xf numFmtId="0" fontId="2" fillId="13" borderId="0" xfId="0" applyFont="1" applyFill="1"/>
    <xf numFmtId="0" fontId="0" fillId="13" borderId="0" xfId="0" applyFill="1" applyAlignment="1">
      <alignment horizontal="left" vertical="center"/>
    </xf>
    <xf numFmtId="0" fontId="5" fillId="13" borderId="0" xfId="0" applyFont="1" applyFill="1" applyAlignment="1">
      <alignment horizontal="left"/>
    </xf>
    <xf numFmtId="0" fontId="9" fillId="14" borderId="8" xfId="0" applyFont="1" applyFill="1" applyBorder="1"/>
    <xf numFmtId="0" fontId="9" fillId="14" borderId="0" xfId="0" applyFont="1" applyFill="1"/>
    <xf numFmtId="0" fontId="9" fillId="14" borderId="4" xfId="0" applyFont="1" applyFill="1" applyBorder="1"/>
    <xf numFmtId="0" fontId="0" fillId="14" borderId="0" xfId="0" applyFill="1"/>
    <xf numFmtId="1" fontId="0" fillId="14" borderId="0" xfId="0" applyNumberFormat="1" applyFill="1"/>
    <xf numFmtId="0" fontId="10" fillId="13" borderId="0" xfId="0" applyFont="1" applyFill="1"/>
    <xf numFmtId="0" fontId="0" fillId="15" borderId="0" xfId="0" applyFill="1"/>
    <xf numFmtId="0" fontId="0" fillId="16" borderId="0" xfId="0" applyFill="1"/>
    <xf numFmtId="165" fontId="6" fillId="4" borderId="1" xfId="0" applyNumberFormat="1" applyFont="1" applyFill="1" applyBorder="1" applyAlignment="1">
      <alignment horizontal="center" vertical="center"/>
    </xf>
    <xf numFmtId="165" fontId="6" fillId="4" borderId="2" xfId="0" applyNumberFormat="1" applyFont="1" applyFill="1" applyBorder="1" applyAlignment="1">
      <alignment horizontal="center" vertical="center"/>
    </xf>
    <xf numFmtId="165" fontId="6" fillId="15" borderId="1" xfId="0" applyNumberFormat="1" applyFont="1" applyFill="1" applyBorder="1" applyAlignment="1">
      <alignment horizontal="center" vertical="center"/>
    </xf>
    <xf numFmtId="165" fontId="6" fillId="15" borderId="2" xfId="0" applyNumberFormat="1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/>
    <xf numFmtId="0" fontId="0" fillId="0" borderId="8" xfId="0" applyFill="1" applyBorder="1"/>
    <xf numFmtId="0" fontId="0" fillId="0" borderId="4" xfId="0" applyFill="1" applyBorder="1"/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7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13" borderId="8" xfId="0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165" fontId="6" fillId="7" borderId="1" xfId="0" applyNumberFormat="1" applyFont="1" applyFill="1" applyBorder="1" applyAlignment="1">
      <alignment horizontal="center" vertical="center"/>
    </xf>
    <xf numFmtId="165" fontId="6" fillId="7" borderId="2" xfId="0" applyNumberFormat="1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65" fontId="6" fillId="0" borderId="0" xfId="0" applyNumberFormat="1" applyFont="1" applyFill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 vertical="center"/>
    </xf>
    <xf numFmtId="165" fontId="13" fillId="0" borderId="1" xfId="0" applyNumberFormat="1" applyFont="1" applyFill="1" applyBorder="1" applyAlignment="1">
      <alignment horizontal="center" vertical="center"/>
    </xf>
    <xf numFmtId="165" fontId="6" fillId="0" borderId="2" xfId="0" applyNumberFormat="1" applyFont="1" applyFill="1" applyBorder="1" applyAlignment="1">
      <alignment horizontal="center" vertical="center"/>
    </xf>
    <xf numFmtId="165" fontId="13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D6D6"/>
      <color rgb="FFED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B8174-4BF7-41F2-810A-21849335AA05}">
  <dimension ref="A1:K17"/>
  <sheetViews>
    <sheetView zoomScaleNormal="100" workbookViewId="0">
      <selection activeCell="E22" sqref="E22"/>
    </sheetView>
  </sheetViews>
  <sheetFormatPr defaultColWidth="20.6640625" defaultRowHeight="14.4" x14ac:dyDescent="0.3"/>
  <cols>
    <col min="1" max="1" width="4" style="1" customWidth="1"/>
    <col min="2" max="9" width="20.6640625" style="17" customWidth="1"/>
    <col min="10" max="10" width="3.6640625" style="1" customWidth="1"/>
    <col min="11" max="16384" width="20.6640625" style="1"/>
  </cols>
  <sheetData>
    <row r="1" spans="1:11" ht="13.2" customHeight="1" thickBot="1" x14ac:dyDescent="0.35">
      <c r="B1" s="17">
        <v>1</v>
      </c>
      <c r="C1" s="17">
        <v>2</v>
      </c>
      <c r="D1" s="17">
        <v>3</v>
      </c>
      <c r="E1" s="17">
        <v>4</v>
      </c>
      <c r="F1" s="17">
        <v>5</v>
      </c>
      <c r="G1" s="17">
        <v>6</v>
      </c>
      <c r="H1" s="17">
        <v>7</v>
      </c>
      <c r="I1" s="17">
        <v>8</v>
      </c>
    </row>
    <row r="2" spans="1:11" ht="13.2" customHeight="1" x14ac:dyDescent="0.3">
      <c r="B2" s="22" t="s">
        <v>0</v>
      </c>
      <c r="C2" s="22" t="s">
        <v>0</v>
      </c>
      <c r="D2" s="22" t="s">
        <v>0</v>
      </c>
      <c r="E2" s="22" t="s">
        <v>0</v>
      </c>
      <c r="F2" s="22" t="s">
        <v>0</v>
      </c>
      <c r="G2" s="22" t="s">
        <v>0</v>
      </c>
      <c r="H2" s="22" t="s">
        <v>1</v>
      </c>
      <c r="I2" s="22" t="s">
        <v>2</v>
      </c>
      <c r="K2" s="54" t="s">
        <v>3</v>
      </c>
    </row>
    <row r="3" spans="1:11" ht="13.2" customHeight="1" x14ac:dyDescent="0.3">
      <c r="A3" s="1" t="s">
        <v>4</v>
      </c>
      <c r="B3" s="18" t="s">
        <v>5</v>
      </c>
      <c r="C3" s="18" t="s">
        <v>6</v>
      </c>
      <c r="D3" s="18" t="s">
        <v>7</v>
      </c>
      <c r="E3" s="18" t="s">
        <v>8</v>
      </c>
      <c r="F3" s="18" t="s">
        <v>9</v>
      </c>
      <c r="G3" s="18" t="s">
        <v>10</v>
      </c>
      <c r="H3" s="18" t="s">
        <v>11</v>
      </c>
      <c r="I3" s="18" t="s">
        <v>12</v>
      </c>
      <c r="K3" s="54"/>
    </row>
    <row r="4" spans="1:11" ht="13.2" customHeight="1" thickBot="1" x14ac:dyDescent="0.35">
      <c r="B4" s="16"/>
      <c r="C4" s="16"/>
      <c r="D4" s="16"/>
      <c r="E4" s="16"/>
      <c r="F4" s="16"/>
      <c r="G4" s="16"/>
      <c r="H4" s="16"/>
      <c r="I4" s="16"/>
      <c r="K4" s="13"/>
    </row>
    <row r="5" spans="1:11" ht="13.2" customHeight="1" x14ac:dyDescent="0.3">
      <c r="B5" s="22" t="s">
        <v>13</v>
      </c>
      <c r="C5" s="22" t="s">
        <v>13</v>
      </c>
      <c r="D5" s="22" t="s">
        <v>13</v>
      </c>
      <c r="E5" s="22" t="s">
        <v>13</v>
      </c>
      <c r="F5" s="22" t="s">
        <v>13</v>
      </c>
      <c r="G5" s="22" t="s">
        <v>13</v>
      </c>
      <c r="H5" s="22" t="s">
        <v>14</v>
      </c>
      <c r="I5" s="23"/>
      <c r="K5" s="55" t="s">
        <v>15</v>
      </c>
    </row>
    <row r="6" spans="1:11" ht="13.2" customHeight="1" x14ac:dyDescent="0.3">
      <c r="A6" s="1" t="s">
        <v>16</v>
      </c>
      <c r="B6" s="18" t="s">
        <v>5</v>
      </c>
      <c r="C6" s="18" t="s">
        <v>6</v>
      </c>
      <c r="D6" s="18" t="s">
        <v>7</v>
      </c>
      <c r="E6" s="18" t="s">
        <v>8</v>
      </c>
      <c r="F6" s="18" t="s">
        <v>9</v>
      </c>
      <c r="G6" s="18" t="s">
        <v>10</v>
      </c>
      <c r="H6" s="18" t="s">
        <v>11</v>
      </c>
      <c r="I6" s="24"/>
      <c r="K6" s="55"/>
    </row>
    <row r="7" spans="1:11" ht="13.2" customHeight="1" thickBot="1" x14ac:dyDescent="0.35">
      <c r="B7" s="16"/>
      <c r="C7" s="16"/>
      <c r="D7" s="16"/>
      <c r="E7" s="16"/>
      <c r="F7" s="16"/>
      <c r="G7" s="16"/>
      <c r="H7" s="16"/>
      <c r="I7" s="26"/>
      <c r="K7" s="14"/>
    </row>
    <row r="8" spans="1:11" ht="13.2" customHeight="1" x14ac:dyDescent="0.3">
      <c r="B8" s="23"/>
      <c r="C8" s="23"/>
      <c r="D8" s="23"/>
      <c r="E8" s="23"/>
      <c r="F8" s="23"/>
      <c r="G8" s="23"/>
      <c r="H8" s="23"/>
      <c r="I8" s="23"/>
    </row>
    <row r="9" spans="1:11" ht="13.2" customHeight="1" x14ac:dyDescent="0.3">
      <c r="A9" s="1" t="s">
        <v>17</v>
      </c>
      <c r="B9" s="24"/>
      <c r="C9" s="24"/>
      <c r="D9" s="24"/>
      <c r="E9" s="24"/>
      <c r="F9" s="24"/>
      <c r="G9" s="24"/>
      <c r="H9" s="24"/>
      <c r="I9" s="24"/>
      <c r="K9" s="56" t="s">
        <v>18</v>
      </c>
    </row>
    <row r="10" spans="1:11" ht="13.2" customHeight="1" thickBot="1" x14ac:dyDescent="0.35">
      <c r="B10" s="25"/>
      <c r="C10" s="25"/>
      <c r="D10" s="25"/>
      <c r="E10" s="25"/>
      <c r="F10" s="25"/>
      <c r="G10" s="25"/>
      <c r="H10" s="25"/>
      <c r="I10" s="26"/>
      <c r="K10" s="56"/>
    </row>
    <row r="11" spans="1:11" ht="13.2" customHeight="1" x14ac:dyDescent="0.3">
      <c r="B11" s="23"/>
      <c r="C11" s="23"/>
      <c r="D11" s="23"/>
      <c r="E11" s="23"/>
      <c r="F11" s="23"/>
      <c r="G11" s="23"/>
      <c r="H11" s="23"/>
      <c r="I11" s="23"/>
      <c r="K11" s="56"/>
    </row>
    <row r="12" spans="1:11" ht="13.2" customHeight="1" x14ac:dyDescent="0.3">
      <c r="A12" s="1" t="s">
        <v>19</v>
      </c>
      <c r="B12" s="24"/>
      <c r="C12" s="24"/>
      <c r="D12" s="24"/>
      <c r="E12" s="24"/>
      <c r="F12" s="24"/>
      <c r="G12" s="24"/>
      <c r="H12" s="24"/>
      <c r="I12" s="24"/>
      <c r="K12" s="56"/>
    </row>
    <row r="13" spans="1:11" ht="13.2" customHeight="1" thickBot="1" x14ac:dyDescent="0.35">
      <c r="B13" s="25"/>
      <c r="C13" s="25"/>
      <c r="D13" s="25"/>
      <c r="E13" s="25"/>
      <c r="F13" s="25"/>
      <c r="G13" s="25"/>
      <c r="H13" s="25"/>
      <c r="I13" s="26"/>
    </row>
    <row r="14" spans="1:11" ht="13.2" customHeight="1" x14ac:dyDescent="0.3">
      <c r="B14" s="23"/>
      <c r="C14" s="23"/>
      <c r="D14" s="23"/>
      <c r="E14" s="23"/>
      <c r="F14" s="23"/>
      <c r="G14" s="23"/>
      <c r="H14" s="23"/>
      <c r="I14" s="23"/>
      <c r="K14" s="56" t="s">
        <v>20</v>
      </c>
    </row>
    <row r="15" spans="1:11" ht="13.2" customHeight="1" x14ac:dyDescent="0.3">
      <c r="A15" s="1" t="s">
        <v>21</v>
      </c>
      <c r="B15" s="24"/>
      <c r="C15" s="24"/>
      <c r="D15" s="24"/>
      <c r="E15" s="24"/>
      <c r="F15" s="24"/>
      <c r="G15" s="24"/>
      <c r="H15" s="24"/>
      <c r="I15" s="24"/>
      <c r="K15" s="56"/>
    </row>
    <row r="16" spans="1:11" ht="13.2" customHeight="1" thickBot="1" x14ac:dyDescent="0.35">
      <c r="B16" s="25"/>
      <c r="C16" s="25"/>
      <c r="D16" s="25"/>
      <c r="E16" s="25"/>
      <c r="F16" s="25"/>
      <c r="G16" s="25"/>
      <c r="H16" s="25"/>
      <c r="I16" s="26"/>
      <c r="K16" s="56"/>
    </row>
    <row r="17" spans="11:11" x14ac:dyDescent="0.3">
      <c r="K17" s="56"/>
    </row>
  </sheetData>
  <mergeCells count="4">
    <mergeCell ref="K2:K3"/>
    <mergeCell ref="K5:K6"/>
    <mergeCell ref="K9:K12"/>
    <mergeCell ref="K14:K17"/>
  </mergeCell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5190E-5EF1-4502-9AEB-23DD5662E534}">
  <sheetPr codeName="Sheet1"/>
  <dimension ref="A1:K22"/>
  <sheetViews>
    <sheetView tabSelected="1" zoomScaleNormal="100" workbookViewId="0">
      <selection activeCell="I18" sqref="I18"/>
    </sheetView>
  </sheetViews>
  <sheetFormatPr defaultColWidth="20.6640625" defaultRowHeight="14.4" x14ac:dyDescent="0.3"/>
  <cols>
    <col min="1" max="1" width="8.6640625" style="1" customWidth="1"/>
    <col min="2" max="9" width="20.6640625" style="1" customWidth="1"/>
    <col min="10" max="16384" width="20.6640625" style="1"/>
  </cols>
  <sheetData>
    <row r="1" spans="1:11" ht="13.2" customHeight="1" thickBot="1" x14ac:dyDescent="0.3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11" ht="13.2" customHeight="1" x14ac:dyDescent="0.3">
      <c r="B2" s="22" t="s">
        <v>102</v>
      </c>
      <c r="C2" s="22" t="s">
        <v>142</v>
      </c>
      <c r="D2" s="22" t="s">
        <v>84</v>
      </c>
      <c r="E2" s="22" t="s">
        <v>102</v>
      </c>
      <c r="F2" s="22" t="s">
        <v>142</v>
      </c>
      <c r="G2" s="22" t="s">
        <v>84</v>
      </c>
      <c r="H2" s="1" t="s">
        <v>150</v>
      </c>
    </row>
    <row r="3" spans="1:11" ht="13.2" customHeight="1" x14ac:dyDescent="0.3">
      <c r="A3" s="1" t="s">
        <v>4</v>
      </c>
      <c r="B3" s="18" t="s">
        <v>10</v>
      </c>
      <c r="C3" s="18" t="s">
        <v>10</v>
      </c>
      <c r="D3" s="18" t="s">
        <v>10</v>
      </c>
      <c r="E3" s="18" t="s">
        <v>25</v>
      </c>
      <c r="F3" s="18" t="s">
        <v>25</v>
      </c>
      <c r="G3" s="18" t="s">
        <v>25</v>
      </c>
    </row>
    <row r="4" spans="1:11" ht="13.2" customHeight="1" x14ac:dyDescent="0.3">
      <c r="A4" s="1" t="s">
        <v>22</v>
      </c>
      <c r="B4" s="43">
        <f>'UPLC Data (iClass)'!L3</f>
        <v>43.837101269742959</v>
      </c>
      <c r="C4" s="43">
        <f>'UPLC Data (iClass)'!L5</f>
        <v>51.480051480051472</v>
      </c>
      <c r="D4" s="43">
        <f>'UPLC Data (iClass)'!L7</f>
        <v>24.43591711435149</v>
      </c>
      <c r="E4" s="43">
        <f>'UPLC Data (iClass)'!L9</f>
        <v>59.397138491457149</v>
      </c>
      <c r="F4" s="47">
        <f>'UPLC Data (iClass)'!L11</f>
        <v>35.508534850640132</v>
      </c>
      <c r="G4" s="43">
        <f>'UPLC Data (iClass)'!L13</f>
        <v>16.783816218069603</v>
      </c>
    </row>
    <row r="5" spans="1:11" ht="13.2" customHeight="1" thickBot="1" x14ac:dyDescent="0.35">
      <c r="A5" s="1" t="s">
        <v>23</v>
      </c>
      <c r="B5" s="44">
        <f>'UPLC Data (iClass)'!M3</f>
        <v>32.734592753174361</v>
      </c>
      <c r="C5" s="44">
        <f>'UPLC Data (iClass)'!M5</f>
        <v>39.396539396539396</v>
      </c>
      <c r="D5" s="44">
        <f>'UPLC Data (iClass)'!M7</f>
        <v>14.520337682271684</v>
      </c>
      <c r="E5" s="44">
        <f>'UPLC Data (iClass)'!M9</f>
        <v>50.006945409084587</v>
      </c>
      <c r="F5" s="44">
        <f>'UPLC Data (iClass)'!M11</f>
        <v>21.194879089615927</v>
      </c>
      <c r="G5" s="44">
        <f>'UPLC Data (iClass)'!M13</f>
        <v>5.2803017315275156</v>
      </c>
    </row>
    <row r="6" spans="1:11" ht="13.2" customHeight="1" x14ac:dyDescent="0.3">
      <c r="B6" s="22" t="s">
        <v>102</v>
      </c>
      <c r="C6" s="22" t="s">
        <v>142</v>
      </c>
      <c r="D6" s="22" t="s">
        <v>84</v>
      </c>
      <c r="E6" s="22" t="s">
        <v>102</v>
      </c>
      <c r="F6" s="22" t="s">
        <v>142</v>
      </c>
      <c r="G6" s="22" t="s">
        <v>84</v>
      </c>
      <c r="H6" s="1" t="s">
        <v>151</v>
      </c>
    </row>
    <row r="7" spans="1:11" ht="13.2" customHeight="1" x14ac:dyDescent="0.3">
      <c r="A7" s="1" t="s">
        <v>16</v>
      </c>
      <c r="B7" s="18" t="s">
        <v>10</v>
      </c>
      <c r="C7" s="18" t="s">
        <v>10</v>
      </c>
      <c r="D7" s="18" t="s">
        <v>10</v>
      </c>
      <c r="E7" s="18" t="s">
        <v>25</v>
      </c>
      <c r="F7" s="18" t="s">
        <v>25</v>
      </c>
      <c r="G7" s="18" t="s">
        <v>25</v>
      </c>
    </row>
    <row r="8" spans="1:11" ht="13.2" customHeight="1" x14ac:dyDescent="0.3">
      <c r="A8" s="1" t="s">
        <v>22</v>
      </c>
      <c r="B8" s="43">
        <f>'UPLC Data (iClass)'!L4</f>
        <v>71.750895012904834</v>
      </c>
      <c r="C8" s="66">
        <f>'UPLC Data (iClass)'!L6</f>
        <v>96.966710468681569</v>
      </c>
      <c r="D8" s="68">
        <f>'UPLC Data (iClass)'!L8</f>
        <v>86.937639198218235</v>
      </c>
      <c r="E8" s="66">
        <f>'UPLC Data (iClass)'!L10</f>
        <v>98.084462865464317</v>
      </c>
      <c r="F8" s="68">
        <f>'UPLC Data (iClass)'!L12</f>
        <v>83.934871099050198</v>
      </c>
      <c r="G8" s="43">
        <f>'UPLC Data (iClass)'!L14</f>
        <v>38.742882172579939</v>
      </c>
    </row>
    <row r="9" spans="1:11" ht="13.2" customHeight="1" thickBot="1" x14ac:dyDescent="0.35">
      <c r="A9" s="1" t="s">
        <v>23</v>
      </c>
      <c r="B9" s="44">
        <f>'UPLC Data (iClass)'!M4</f>
        <v>64.690700191491132</v>
      </c>
      <c r="C9" s="67">
        <f>'UPLC Data (iClass)'!M6</f>
        <v>85.72054314498466</v>
      </c>
      <c r="D9" s="69">
        <f>'UPLC Data (iClass)'!M8</f>
        <v>74.164810690423138</v>
      </c>
      <c r="E9" s="67">
        <f>'UPLC Data (iClass)'!M10</f>
        <v>88.954856054665612</v>
      </c>
      <c r="F9" s="69">
        <f>'UPLC Data (iClass)'!M12</f>
        <v>74.409769335142471</v>
      </c>
      <c r="G9" s="44">
        <f>'UPLC Data (iClass)'!M14</f>
        <v>15.85632939115199</v>
      </c>
    </row>
    <row r="10" spans="1:11" ht="30" customHeight="1" x14ac:dyDescent="0.3"/>
    <row r="11" spans="1:11" ht="15" thickBot="1" x14ac:dyDescent="0.35">
      <c r="B11" s="1">
        <v>7</v>
      </c>
      <c r="C11" s="1">
        <v>8</v>
      </c>
      <c r="D11" s="1">
        <v>9</v>
      </c>
      <c r="E11" s="1">
        <v>10</v>
      </c>
    </row>
    <row r="12" spans="1:11" ht="15" x14ac:dyDescent="0.3">
      <c r="B12" s="22" t="s">
        <v>91</v>
      </c>
      <c r="C12" s="22" t="s">
        <v>152</v>
      </c>
      <c r="D12" s="22" t="s">
        <v>91</v>
      </c>
      <c r="E12" s="22" t="s">
        <v>152</v>
      </c>
      <c r="F12" s="70" t="s">
        <v>0</v>
      </c>
      <c r="G12" s="70" t="s">
        <v>0</v>
      </c>
      <c r="H12" s="70" t="s">
        <v>0</v>
      </c>
      <c r="I12" s="71" t="s">
        <v>24</v>
      </c>
      <c r="K12" s="54" t="s">
        <v>3</v>
      </c>
    </row>
    <row r="13" spans="1:11" x14ac:dyDescent="0.3">
      <c r="A13" s="1" t="s">
        <v>16</v>
      </c>
      <c r="B13" s="18" t="s">
        <v>10</v>
      </c>
      <c r="C13" s="18" t="s">
        <v>10</v>
      </c>
      <c r="D13" s="18" t="s">
        <v>25</v>
      </c>
      <c r="E13" s="18" t="s">
        <v>25</v>
      </c>
      <c r="F13" s="72" t="s">
        <v>9</v>
      </c>
      <c r="G13" s="72" t="s">
        <v>10</v>
      </c>
      <c r="H13" s="72" t="s">
        <v>25</v>
      </c>
      <c r="I13" s="73" t="s">
        <v>26</v>
      </c>
      <c r="K13" s="54"/>
    </row>
    <row r="14" spans="1:11" x14ac:dyDescent="0.3">
      <c r="A14" s="1" t="s">
        <v>22</v>
      </c>
      <c r="B14" s="45">
        <f>'UPLC Data (iClass)'!L15</f>
        <v>91.19908204245553</v>
      </c>
      <c r="C14" s="45">
        <f>'UPLC Data (iClass)'!L17</f>
        <v>98.281300989883619</v>
      </c>
      <c r="D14" s="45">
        <f>'UPLC Data (iClass)'!L19</f>
        <v>98.298906439854193</v>
      </c>
      <c r="E14" s="45">
        <f>'UPLC Data (iClass)'!L21</f>
        <v>95.284588927105304</v>
      </c>
      <c r="F14" s="74">
        <f>'UPLC Data (iClass)'!L23</f>
        <v>100</v>
      </c>
      <c r="G14" s="75">
        <f>'UPLC Data (iClass)'!L25</f>
        <v>100</v>
      </c>
      <c r="H14" s="75">
        <f>'UPLC Data (iClass)'!L27</f>
        <v>100</v>
      </c>
      <c r="I14" s="76">
        <f>'UPLC Data (iClass)'!L29</f>
        <v>89.444878811571527</v>
      </c>
      <c r="K14" s="59" t="s">
        <v>27</v>
      </c>
    </row>
    <row r="15" spans="1:11" ht="15" thickBot="1" x14ac:dyDescent="0.35">
      <c r="A15" s="1" t="s">
        <v>23</v>
      </c>
      <c r="B15" s="46">
        <f>'UPLC Data (iClass)'!M15</f>
        <v>80.160642570281112</v>
      </c>
      <c r="C15" s="46">
        <f>'UPLC Data (iClass)'!M17</f>
        <v>89.840095725008169</v>
      </c>
      <c r="D15" s="46">
        <f>'UPLC Data (iClass)'!M19</f>
        <v>88.412680879266546</v>
      </c>
      <c r="E15" s="46">
        <f>'UPLC Data (iClass)'!M21</f>
        <v>85.210251858426716</v>
      </c>
      <c r="F15" s="77">
        <f>'UPLC Data (iClass)'!M23</f>
        <v>0</v>
      </c>
      <c r="G15" s="77">
        <f>'UPLC Data (iClass)'!M25</f>
        <v>0</v>
      </c>
      <c r="H15" s="77">
        <f>'UPLC Data (iClass)'!M27</f>
        <v>0</v>
      </c>
      <c r="I15" s="78">
        <f>'UPLC Data (iClass)'!M29</f>
        <v>70.724896682676189</v>
      </c>
      <c r="K15" s="59"/>
    </row>
    <row r="16" spans="1:11" ht="15" x14ac:dyDescent="0.3">
      <c r="B16" s="70" t="s">
        <v>13</v>
      </c>
      <c r="C16" s="70" t="s">
        <v>13</v>
      </c>
      <c r="D16" s="70" t="s">
        <v>13</v>
      </c>
      <c r="E16" s="70" t="s">
        <v>13</v>
      </c>
      <c r="F16" s="70" t="s">
        <v>13</v>
      </c>
      <c r="G16" s="70" t="s">
        <v>13</v>
      </c>
      <c r="H16" s="70" t="s">
        <v>13</v>
      </c>
      <c r="K16" s="57" t="s">
        <v>28</v>
      </c>
    </row>
    <row r="17" spans="1:11" x14ac:dyDescent="0.3">
      <c r="A17" s="1" t="s">
        <v>16</v>
      </c>
      <c r="B17" s="72" t="s">
        <v>5</v>
      </c>
      <c r="C17" s="72" t="s">
        <v>6</v>
      </c>
      <c r="D17" s="72" t="s">
        <v>7</v>
      </c>
      <c r="E17" s="72" t="s">
        <v>8</v>
      </c>
      <c r="F17" s="72" t="s">
        <v>9</v>
      </c>
      <c r="G17" s="72" t="s">
        <v>10</v>
      </c>
      <c r="H17" s="72" t="s">
        <v>25</v>
      </c>
      <c r="K17" s="57"/>
    </row>
    <row r="18" spans="1:11" x14ac:dyDescent="0.3">
      <c r="A18" s="1" t="s">
        <v>22</v>
      </c>
      <c r="B18" s="75">
        <f>'UPLC Data (iClass)'!L16</f>
        <v>100</v>
      </c>
      <c r="C18" s="75">
        <f>'UPLC Data (iClass)'!L18</f>
        <v>100</v>
      </c>
      <c r="D18" s="75">
        <f>'UPLC Data (iClass)'!L20</f>
        <v>100</v>
      </c>
      <c r="E18" s="75">
        <f>'UPLC Data (iClass)'!L22</f>
        <v>100</v>
      </c>
      <c r="F18" s="75">
        <f>'UPLC Data (iClass)'!L24</f>
        <v>100</v>
      </c>
      <c r="G18" s="75">
        <f>'UPLC Data (iClass)'!L26</f>
        <v>100</v>
      </c>
      <c r="H18" s="75">
        <f>'UPLC Data (iClass)'!L28</f>
        <v>100</v>
      </c>
      <c r="K18" s="58" t="s">
        <v>29</v>
      </c>
    </row>
    <row r="19" spans="1:11" ht="15" thickBot="1" x14ac:dyDescent="0.35">
      <c r="A19" s="1" t="s">
        <v>23</v>
      </c>
      <c r="B19" s="77">
        <f>'UPLC Data (iClass)'!M16</f>
        <v>0</v>
      </c>
      <c r="C19" s="77">
        <f>'UPLC Data (iClass)'!M18</f>
        <v>0</v>
      </c>
      <c r="D19" s="77">
        <f>'UPLC Data (iClass)'!M20</f>
        <v>0</v>
      </c>
      <c r="E19" s="77">
        <f>'UPLC Data (iClass)'!M22</f>
        <v>0</v>
      </c>
      <c r="F19" s="77">
        <f>'UPLC Data (iClass)'!M24</f>
        <v>0</v>
      </c>
      <c r="G19" s="77">
        <f>'UPLC Data (iClass)'!M26</f>
        <v>0</v>
      </c>
      <c r="H19" s="77">
        <f>'UPLC Data (iClass)'!M28</f>
        <v>0</v>
      </c>
      <c r="K19" s="58"/>
    </row>
    <row r="20" spans="1:11" x14ac:dyDescent="0.3">
      <c r="K20" s="48"/>
    </row>
    <row r="22" spans="1:11" x14ac:dyDescent="0.3">
      <c r="B22" s="1" t="s">
        <v>139</v>
      </c>
      <c r="C22" s="1" t="s">
        <v>140</v>
      </c>
      <c r="D22" s="1" t="s">
        <v>141</v>
      </c>
      <c r="E22" s="1" t="s">
        <v>155</v>
      </c>
    </row>
  </sheetData>
  <mergeCells count="4">
    <mergeCell ref="K16:K17"/>
    <mergeCell ref="K18:K19"/>
    <mergeCell ref="K12:K13"/>
    <mergeCell ref="K14:K15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F0EFE-2B79-4F4F-8A2C-AE8CB7818FA2}">
  <sheetPr>
    <pageSetUpPr fitToPage="1"/>
  </sheetPr>
  <dimension ref="A1:T41"/>
  <sheetViews>
    <sheetView zoomScale="90" zoomScaleNormal="90" workbookViewId="0">
      <selection activeCell="A31" sqref="A31"/>
    </sheetView>
  </sheetViews>
  <sheetFormatPr defaultRowHeight="14.4" x14ac:dyDescent="0.3"/>
  <cols>
    <col min="1" max="1" width="22.33203125" customWidth="1"/>
    <col min="2" max="2" width="31.88671875" customWidth="1"/>
    <col min="3" max="3" width="13" customWidth="1"/>
    <col min="4" max="4" width="9.33203125" customWidth="1"/>
    <col min="5" max="5" width="8" customWidth="1"/>
    <col min="7" max="7" width="10" customWidth="1"/>
    <col min="8" max="8" width="9.5546875" bestFit="1" customWidth="1"/>
    <col min="9" max="9" width="10.33203125" customWidth="1"/>
    <col min="10" max="10" width="11.44140625" customWidth="1"/>
    <col min="11" max="11" width="3.33203125" customWidth="1"/>
    <col min="12" max="12" width="8.6640625" customWidth="1"/>
    <col min="13" max="13" width="7.88671875" customWidth="1"/>
    <col min="16" max="16" width="7.6640625" customWidth="1"/>
    <col min="18" max="18" width="17.6640625" customWidth="1"/>
  </cols>
  <sheetData>
    <row r="1" spans="1:20" x14ac:dyDescent="0.3">
      <c r="A1" s="3" t="s">
        <v>30</v>
      </c>
      <c r="C1" s="20" t="s">
        <v>31</v>
      </c>
      <c r="L1" s="7"/>
      <c r="M1" s="60" t="s">
        <v>32</v>
      </c>
      <c r="N1" s="60"/>
      <c r="O1" s="60"/>
      <c r="P1" s="60"/>
      <c r="Q1" s="8"/>
      <c r="R1" s="61" t="s">
        <v>33</v>
      </c>
    </row>
    <row r="2" spans="1:20" ht="28.8" x14ac:dyDescent="0.3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 t="s">
        <v>39</v>
      </c>
      <c r="G2" s="2" t="s">
        <v>40</v>
      </c>
      <c r="H2" s="2" t="s">
        <v>41</v>
      </c>
      <c r="I2" s="5" t="s">
        <v>42</v>
      </c>
      <c r="J2" s="2" t="s">
        <v>43</v>
      </c>
      <c r="L2" s="9"/>
      <c r="M2" s="2" t="s">
        <v>44</v>
      </c>
      <c r="N2" s="2" t="s">
        <v>40</v>
      </c>
      <c r="O2" s="2" t="s">
        <v>45</v>
      </c>
      <c r="P2" s="2" t="s">
        <v>43</v>
      </c>
      <c r="Q2" s="4"/>
      <c r="R2" s="61"/>
    </row>
    <row r="3" spans="1:20" x14ac:dyDescent="0.3">
      <c r="A3" s="10" t="s">
        <v>46</v>
      </c>
      <c r="L3" s="9"/>
      <c r="Q3" s="4"/>
    </row>
    <row r="4" spans="1:20" x14ac:dyDescent="0.3">
      <c r="A4" t="s">
        <v>47</v>
      </c>
      <c r="D4">
        <v>230.06</v>
      </c>
      <c r="F4">
        <v>1</v>
      </c>
      <c r="G4" s="3">
        <v>60</v>
      </c>
      <c r="H4" s="38" t="e">
        <f>1000*I4/J4</f>
        <v>#DIV/0!</v>
      </c>
      <c r="I4" s="6">
        <f>G4/D4*1000</f>
        <v>260.80153003564288</v>
      </c>
      <c r="J4" t="e">
        <f>P4</f>
        <v>#DIV/0!</v>
      </c>
      <c r="L4" s="35"/>
      <c r="M4" s="36">
        <f>N4/G4</f>
        <v>0</v>
      </c>
      <c r="N4" s="36"/>
      <c r="O4" s="36"/>
      <c r="P4" s="36" t="e">
        <f t="shared" ref="P4:P17" si="0">1000*(N4/D4)/O4</f>
        <v>#DIV/0!</v>
      </c>
      <c r="Q4" s="37"/>
      <c r="R4">
        <f>G4*15</f>
        <v>900</v>
      </c>
      <c r="T4">
        <f>N4/48</f>
        <v>0</v>
      </c>
    </row>
    <row r="5" spans="1:20" x14ac:dyDescent="0.3">
      <c r="A5" t="s">
        <v>48</v>
      </c>
      <c r="D5">
        <v>139.91999999999999</v>
      </c>
      <c r="F5" s="3">
        <v>1.5</v>
      </c>
      <c r="G5" s="20">
        <f>I5*D5/1000</f>
        <v>54.737025123880727</v>
      </c>
      <c r="H5" s="39" t="e">
        <f>1000*I5/J5</f>
        <v>#DIV/0!</v>
      </c>
      <c r="I5" s="6">
        <f>$I$4*F5</f>
        <v>391.20229505346435</v>
      </c>
      <c r="J5" t="e">
        <f>P5</f>
        <v>#DIV/0!</v>
      </c>
      <c r="L5" s="35"/>
      <c r="M5" s="36">
        <f>N5/G5</f>
        <v>0</v>
      </c>
      <c r="N5" s="36"/>
      <c r="O5" s="36"/>
      <c r="P5" s="36" t="e">
        <f>1000*(N5/D5)/O5</f>
        <v>#DIV/0!</v>
      </c>
      <c r="Q5" s="37"/>
      <c r="R5">
        <f>G5*15</f>
        <v>821.05537685821093</v>
      </c>
      <c r="T5">
        <f>N5/48</f>
        <v>0</v>
      </c>
    </row>
    <row r="6" spans="1:20" x14ac:dyDescent="0.3">
      <c r="A6" t="s">
        <v>49</v>
      </c>
      <c r="D6">
        <v>138.21</v>
      </c>
      <c r="F6" s="3">
        <v>3</v>
      </c>
      <c r="G6" s="20">
        <f>I6*D6/1000</f>
        <v>108.13613839867863</v>
      </c>
      <c r="H6" s="39" t="e">
        <f>1000*I6/J6</f>
        <v>#DIV/0!</v>
      </c>
      <c r="I6" s="6">
        <f>$I$4*F6</f>
        <v>782.40459010692871</v>
      </c>
      <c r="J6" t="e">
        <f>P6</f>
        <v>#DIV/0!</v>
      </c>
      <c r="L6" s="35"/>
      <c r="M6" s="36">
        <f>N6/G6</f>
        <v>0</v>
      </c>
      <c r="N6" s="36"/>
      <c r="O6" s="36"/>
      <c r="P6" s="36" t="e">
        <f t="shared" si="0"/>
        <v>#DIV/0!</v>
      </c>
      <c r="Q6" s="37"/>
      <c r="R6">
        <f>G6*15</f>
        <v>1622.0420759801793</v>
      </c>
      <c r="T6">
        <f>N5/6000*149</f>
        <v>0</v>
      </c>
    </row>
    <row r="7" spans="1:20" x14ac:dyDescent="0.3">
      <c r="A7" s="49" t="s">
        <v>50</v>
      </c>
      <c r="B7" s="49"/>
      <c r="C7" s="49"/>
      <c r="D7" s="49">
        <v>731.7</v>
      </c>
      <c r="E7" s="49"/>
      <c r="F7" s="3">
        <v>0.01</v>
      </c>
      <c r="G7" s="20">
        <f>I7*D7/1000</f>
        <v>1.9082847952707993</v>
      </c>
      <c r="H7" s="50" t="e">
        <f>1000*I7/J7</f>
        <v>#DIV/0!</v>
      </c>
      <c r="I7" s="51">
        <f>$I$4*F7</f>
        <v>2.608015300356429</v>
      </c>
      <c r="J7" s="49" t="e">
        <f>P7</f>
        <v>#DIV/0!</v>
      </c>
      <c r="K7" s="49"/>
      <c r="L7" s="52"/>
      <c r="M7" s="49"/>
      <c r="N7" s="49"/>
      <c r="O7" s="49"/>
      <c r="P7" s="49" t="e">
        <f t="shared" si="0"/>
        <v>#DIV/0!</v>
      </c>
      <c r="Q7" s="53"/>
      <c r="R7" s="49"/>
      <c r="S7" s="49"/>
      <c r="T7" s="49"/>
    </row>
    <row r="8" spans="1:20" ht="14.4" customHeight="1" x14ac:dyDescent="0.3">
      <c r="A8" s="27"/>
      <c r="B8" s="27"/>
      <c r="C8" s="27"/>
      <c r="D8" s="27"/>
      <c r="E8" s="27"/>
      <c r="F8" s="27"/>
      <c r="G8" s="27"/>
      <c r="H8" s="27"/>
      <c r="I8" s="27"/>
      <c r="J8" s="27"/>
      <c r="K8" s="27"/>
      <c r="L8" s="62" t="s">
        <v>51</v>
      </c>
      <c r="M8" s="27"/>
      <c r="N8" s="27"/>
      <c r="O8" s="27"/>
      <c r="P8" s="27" t="e">
        <f t="shared" si="0"/>
        <v>#DIV/0!</v>
      </c>
      <c r="Q8" s="31"/>
      <c r="R8" s="27"/>
      <c r="S8" s="27"/>
      <c r="T8" s="27"/>
    </row>
    <row r="9" spans="1:20" x14ac:dyDescent="0.3">
      <c r="A9" s="27" t="s">
        <v>52</v>
      </c>
      <c r="B9" s="27"/>
      <c r="C9" s="27" t="s">
        <v>53</v>
      </c>
      <c r="D9" s="27">
        <v>259.41000000000003</v>
      </c>
      <c r="E9" s="27"/>
      <c r="F9" s="27">
        <v>0.01</v>
      </c>
      <c r="G9" s="27">
        <f t="shared" ref="G9:G10" si="1">I9*D9/1000</f>
        <v>0.67654524906546132</v>
      </c>
      <c r="H9" s="28" t="e">
        <f t="shared" ref="H9:H10" si="2">1000*I9/J9</f>
        <v>#DIV/0!</v>
      </c>
      <c r="I9" s="29">
        <f t="shared" ref="I9:I10" si="3">$I$4*F9</f>
        <v>2.608015300356429</v>
      </c>
      <c r="J9" s="27" t="e">
        <f t="shared" ref="J9:J10" si="4">P9</f>
        <v>#DIV/0!</v>
      </c>
      <c r="K9" s="27"/>
      <c r="L9" s="62"/>
      <c r="M9" s="27">
        <f>N9/G9</f>
        <v>0</v>
      </c>
      <c r="N9" s="27"/>
      <c r="O9" s="27"/>
      <c r="P9" s="27" t="e">
        <f t="shared" ref="P9" si="5">1000*(N9/D9)/O9</f>
        <v>#DIV/0!</v>
      </c>
      <c r="Q9" s="31"/>
      <c r="R9" s="27">
        <f>G9*50</f>
        <v>33.827262453273065</v>
      </c>
      <c r="S9" s="27"/>
      <c r="T9" s="27"/>
    </row>
    <row r="10" spans="1:20" x14ac:dyDescent="0.3">
      <c r="A10" s="27" t="s">
        <v>54</v>
      </c>
      <c r="B10" s="27"/>
      <c r="C10" s="27" t="s">
        <v>55</v>
      </c>
      <c r="D10" s="27">
        <v>284.29000000000002</v>
      </c>
      <c r="E10" s="27"/>
      <c r="F10" s="27">
        <v>0.01</v>
      </c>
      <c r="G10" s="27">
        <f t="shared" si="1"/>
        <v>0.74143266973832933</v>
      </c>
      <c r="H10" s="28" t="e">
        <f t="shared" si="2"/>
        <v>#DIV/0!</v>
      </c>
      <c r="I10" s="29">
        <f t="shared" si="3"/>
        <v>2.608015300356429</v>
      </c>
      <c r="J10" s="27" t="e">
        <f t="shared" si="4"/>
        <v>#DIV/0!</v>
      </c>
      <c r="K10" s="27"/>
      <c r="L10" s="62"/>
      <c r="M10" s="27">
        <f>N10/G10</f>
        <v>0</v>
      </c>
      <c r="N10" s="27"/>
      <c r="O10" s="27"/>
      <c r="P10" s="27" t="e">
        <f t="shared" ref="P10" si="6">1000*(N10/D10)/O10</f>
        <v>#DIV/0!</v>
      </c>
      <c r="Q10" s="31"/>
      <c r="R10" s="27">
        <f>G10*50</f>
        <v>37.071633486916468</v>
      </c>
      <c r="S10" s="27"/>
      <c r="T10" s="27"/>
    </row>
    <row r="11" spans="1:20" x14ac:dyDescent="0.3">
      <c r="A11" s="33" t="s">
        <v>56</v>
      </c>
      <c r="B11" s="33" t="s">
        <v>57</v>
      </c>
      <c r="C11" s="27" t="s">
        <v>58</v>
      </c>
      <c r="D11" s="27">
        <v>224.51</v>
      </c>
      <c r="E11" s="27"/>
      <c r="F11" s="27">
        <v>0.01</v>
      </c>
      <c r="G11" s="27">
        <f t="shared" ref="G11" si="7">I11*D11/1000</f>
        <v>0.58552551508302186</v>
      </c>
      <c r="H11" s="28" t="e">
        <f t="shared" ref="H11" si="8">1000*I11/J11</f>
        <v>#DIV/0!</v>
      </c>
      <c r="I11" s="29">
        <f t="shared" ref="I11" si="9">$I$4*F11</f>
        <v>2.608015300356429</v>
      </c>
      <c r="J11" s="27" t="e">
        <f t="shared" ref="J11" si="10">P11</f>
        <v>#DIV/0!</v>
      </c>
      <c r="K11" s="27"/>
      <c r="L11" s="62"/>
      <c r="M11" s="27">
        <f>N11/G11</f>
        <v>0</v>
      </c>
      <c r="N11" s="27"/>
      <c r="O11" s="27"/>
      <c r="P11" s="27" t="e">
        <f t="shared" si="0"/>
        <v>#DIV/0!</v>
      </c>
      <c r="Q11" s="31"/>
      <c r="R11" s="27">
        <f>G11*50</f>
        <v>29.276275754151094</v>
      </c>
      <c r="S11" s="27"/>
      <c r="T11" s="27"/>
    </row>
    <row r="12" spans="1:20" x14ac:dyDescent="0.3">
      <c r="A12" s="33"/>
      <c r="B12" s="33"/>
      <c r="C12" s="27"/>
      <c r="D12" s="27"/>
      <c r="E12" s="27"/>
      <c r="F12" s="27"/>
      <c r="G12" s="27"/>
      <c r="H12" s="28"/>
      <c r="I12" s="29"/>
      <c r="J12" s="27"/>
      <c r="K12" s="27"/>
      <c r="L12" s="62"/>
      <c r="M12" s="27"/>
      <c r="N12" s="27"/>
      <c r="O12" s="27"/>
      <c r="P12" s="27" t="e">
        <f t="shared" si="0"/>
        <v>#DIV/0!</v>
      </c>
      <c r="Q12" s="31"/>
      <c r="R12" s="27"/>
      <c r="S12" s="27"/>
      <c r="T12" s="27"/>
    </row>
    <row r="13" spans="1:20" x14ac:dyDescent="0.3">
      <c r="A13" s="32" t="s">
        <v>59</v>
      </c>
      <c r="B13" s="33"/>
      <c r="C13" s="27"/>
      <c r="D13" s="27"/>
      <c r="E13" s="27"/>
      <c r="F13" s="27"/>
      <c r="G13" s="27"/>
      <c r="H13" s="28"/>
      <c r="I13" s="29"/>
      <c r="J13" s="27"/>
      <c r="K13" s="27"/>
      <c r="L13" s="62"/>
      <c r="M13" s="27"/>
      <c r="N13" s="27"/>
      <c r="O13" s="27"/>
      <c r="P13" s="27" t="e">
        <f t="shared" si="0"/>
        <v>#DIV/0!</v>
      </c>
      <c r="Q13" s="31"/>
      <c r="R13" s="27"/>
      <c r="S13" s="27"/>
      <c r="T13" s="27"/>
    </row>
    <row r="14" spans="1:20" x14ac:dyDescent="0.3">
      <c r="A14" s="27" t="s">
        <v>60</v>
      </c>
      <c r="B14" s="27" t="s">
        <v>61</v>
      </c>
      <c r="C14" s="34" t="s">
        <v>62</v>
      </c>
      <c r="D14" s="27">
        <v>262.29000000000002</v>
      </c>
      <c r="E14" s="27"/>
      <c r="F14" s="27">
        <v>0.02</v>
      </c>
      <c r="G14" s="27">
        <f>I14*D14/1000</f>
        <v>1.3681126662609757</v>
      </c>
      <c r="H14" s="28" t="e">
        <f>1000*I14/J14</f>
        <v>#DIV/0!</v>
      </c>
      <c r="I14" s="29">
        <f>$I$4*F14</f>
        <v>5.2160306007128581</v>
      </c>
      <c r="J14" s="27" t="e">
        <f>P14</f>
        <v>#DIV/0!</v>
      </c>
      <c r="K14" s="27"/>
      <c r="L14" s="30"/>
      <c r="M14" s="27">
        <f t="shared" ref="M14:M17" si="11">N14/G14</f>
        <v>0</v>
      </c>
      <c r="N14" s="27"/>
      <c r="O14" s="27"/>
      <c r="P14" s="27" t="e">
        <f t="shared" si="0"/>
        <v>#DIV/0!</v>
      </c>
      <c r="Q14" s="31"/>
      <c r="R14" s="27">
        <f>G14*15</f>
        <v>20.521689993914634</v>
      </c>
      <c r="S14" s="27"/>
      <c r="T14" s="27"/>
    </row>
    <row r="15" spans="1:20" x14ac:dyDescent="0.3">
      <c r="A15" s="27" t="s">
        <v>63</v>
      </c>
      <c r="B15" s="27" t="s">
        <v>64</v>
      </c>
      <c r="C15" s="34" t="s">
        <v>65</v>
      </c>
      <c r="D15" s="27">
        <v>304.37</v>
      </c>
      <c r="E15" s="27"/>
      <c r="F15" s="27">
        <v>0.02</v>
      </c>
      <c r="G15" s="27">
        <f>I15*D15/1000</f>
        <v>1.5876032339389725</v>
      </c>
      <c r="H15" s="28" t="e">
        <f>1000*I15/J15</f>
        <v>#DIV/0!</v>
      </c>
      <c r="I15" s="29">
        <f>$I$4*F15</f>
        <v>5.2160306007128581</v>
      </c>
      <c r="J15" s="27" t="e">
        <f>P15</f>
        <v>#DIV/0!</v>
      </c>
      <c r="K15" s="27"/>
      <c r="L15" s="30"/>
      <c r="M15" s="27">
        <f t="shared" si="11"/>
        <v>0</v>
      </c>
      <c r="N15" s="27"/>
      <c r="O15" s="27"/>
      <c r="P15" s="27" t="e">
        <f t="shared" si="0"/>
        <v>#DIV/0!</v>
      </c>
      <c r="Q15" s="31"/>
      <c r="R15" s="27">
        <f>G15*15</f>
        <v>23.814048509084589</v>
      </c>
      <c r="S15" s="27"/>
      <c r="T15" s="27"/>
    </row>
    <row r="16" spans="1:20" x14ac:dyDescent="0.3">
      <c r="A16" s="27" t="s">
        <v>66</v>
      </c>
      <c r="B16" s="27" t="s">
        <v>67</v>
      </c>
      <c r="C16" s="27" t="s">
        <v>68</v>
      </c>
      <c r="D16" s="27">
        <v>298.39999999999998</v>
      </c>
      <c r="E16" s="27"/>
      <c r="F16" s="27">
        <v>0.02</v>
      </c>
      <c r="G16" s="27">
        <f>I16*D16/1000</f>
        <v>1.5564635312527166</v>
      </c>
      <c r="H16" s="28" t="e">
        <f>1000*I16/J16</f>
        <v>#DIV/0!</v>
      </c>
      <c r="I16" s="29">
        <f>$I$4*F16</f>
        <v>5.2160306007128581</v>
      </c>
      <c r="J16" s="27" t="e">
        <f>P16</f>
        <v>#DIV/0!</v>
      </c>
      <c r="K16" s="27"/>
      <c r="L16" s="30"/>
      <c r="M16" s="27">
        <f t="shared" si="11"/>
        <v>0</v>
      </c>
      <c r="N16" s="27"/>
      <c r="O16" s="27"/>
      <c r="P16" s="27" t="e">
        <f t="shared" si="0"/>
        <v>#DIV/0!</v>
      </c>
      <c r="Q16" s="31"/>
      <c r="R16" s="27">
        <f>G16*15</f>
        <v>23.346952968790749</v>
      </c>
      <c r="S16" s="27"/>
      <c r="T16" s="27"/>
    </row>
    <row r="17" spans="1:20" x14ac:dyDescent="0.3">
      <c r="A17" s="27" t="s">
        <v>69</v>
      </c>
      <c r="B17" s="27" t="s">
        <v>70</v>
      </c>
      <c r="C17" s="34" t="s">
        <v>71</v>
      </c>
      <c r="D17" s="27">
        <v>554.38</v>
      </c>
      <c r="E17" s="27"/>
      <c r="F17" s="27">
        <v>0.01</v>
      </c>
      <c r="G17" s="27">
        <f>I17*D17/1000</f>
        <v>1.4458315222115972</v>
      </c>
      <c r="H17" s="28" t="e">
        <f>1000*I17/J17</f>
        <v>#DIV/0!</v>
      </c>
      <c r="I17" s="29">
        <f>$I$4*F17</f>
        <v>2.608015300356429</v>
      </c>
      <c r="J17" s="27" t="e">
        <f>P17</f>
        <v>#DIV/0!</v>
      </c>
      <c r="K17" s="27"/>
      <c r="L17" s="30"/>
      <c r="M17" s="27">
        <f t="shared" si="11"/>
        <v>0</v>
      </c>
      <c r="N17" s="27"/>
      <c r="O17" s="27"/>
      <c r="P17" s="27" t="e">
        <f t="shared" si="0"/>
        <v>#DIV/0!</v>
      </c>
      <c r="Q17" s="31"/>
      <c r="R17" s="27">
        <f>G17*20</f>
        <v>28.916630444231942</v>
      </c>
      <c r="S17" s="27"/>
      <c r="T17" s="27"/>
    </row>
    <row r="18" spans="1:20" x14ac:dyDescent="0.3">
      <c r="H18" s="11"/>
      <c r="I18" s="6"/>
    </row>
    <row r="19" spans="1:20" x14ac:dyDescent="0.3">
      <c r="A19" s="10" t="s">
        <v>72</v>
      </c>
      <c r="H19" s="11"/>
      <c r="I19" s="6"/>
    </row>
    <row r="20" spans="1:20" x14ac:dyDescent="0.3">
      <c r="A20" s="12" t="s">
        <v>73</v>
      </c>
      <c r="C20" t="s">
        <v>74</v>
      </c>
      <c r="D20">
        <v>731.7</v>
      </c>
      <c r="F20" s="3">
        <v>0.01</v>
      </c>
      <c r="G20">
        <f>I20*D20/1000</f>
        <v>1.9082847952707993</v>
      </c>
      <c r="H20" s="21">
        <f>1000*I20/J20</f>
        <v>149.64247675145117</v>
      </c>
      <c r="I20" s="6">
        <f>$I$4*F20</f>
        <v>2.608015300356429</v>
      </c>
      <c r="J20">
        <f>P20</f>
        <v>17.42830883966332</v>
      </c>
      <c r="L20" s="9"/>
      <c r="M20">
        <f t="shared" ref="M20:M21" si="12">N20/G20</f>
        <v>14.568056125005691</v>
      </c>
      <c r="N20" s="3">
        <v>27.8</v>
      </c>
      <c r="O20" s="3">
        <v>2.1800000000000002</v>
      </c>
      <c r="P20">
        <f t="shared" ref="P20:P21" si="13">1000*(N20/D20)/O20</f>
        <v>17.42830883966332</v>
      </c>
      <c r="Q20" s="4"/>
      <c r="R20">
        <f>G20*8</f>
        <v>15.266278362166394</v>
      </c>
    </row>
    <row r="21" spans="1:20" x14ac:dyDescent="0.3">
      <c r="A21" s="12" t="s">
        <v>75</v>
      </c>
      <c r="C21" t="s">
        <v>76</v>
      </c>
      <c r="D21">
        <v>683.98</v>
      </c>
      <c r="F21" s="3">
        <v>0.01</v>
      </c>
      <c r="G21">
        <f>I21*D21/1000</f>
        <v>1.7838303051377904</v>
      </c>
      <c r="H21" s="21">
        <f>1000*I21/J21</f>
        <v>150.47276043339187</v>
      </c>
      <c r="I21" s="6">
        <f>$I$4*F21</f>
        <v>2.608015300356429</v>
      </c>
      <c r="J21">
        <f>P21</f>
        <v>17.332142328251436</v>
      </c>
      <c r="L21" s="9"/>
      <c r="M21">
        <f t="shared" si="12"/>
        <v>16.481388344688437</v>
      </c>
      <c r="N21" s="3">
        <v>29.4</v>
      </c>
      <c r="O21" s="3">
        <v>2.48</v>
      </c>
      <c r="P21">
        <f t="shared" si="13"/>
        <v>17.332142328251436</v>
      </c>
      <c r="Q21" s="4"/>
      <c r="R21">
        <f>G21*8</f>
        <v>14.270642441102323</v>
      </c>
    </row>
    <row r="22" spans="1:20" x14ac:dyDescent="0.3">
      <c r="A22" s="12" t="s">
        <v>77</v>
      </c>
      <c r="C22" t="s">
        <v>74</v>
      </c>
      <c r="D22">
        <v>731.7</v>
      </c>
      <c r="F22" s="3">
        <v>0.01</v>
      </c>
      <c r="G22">
        <f>I22*D22/1000</f>
        <v>1.9082847952707993</v>
      </c>
      <c r="H22" s="21">
        <f>1000*I22/J22</f>
        <v>150.04071291060484</v>
      </c>
      <c r="I22" s="6">
        <f>$I$4*F22</f>
        <v>2.608015300356429</v>
      </c>
      <c r="J22">
        <f>P22</f>
        <v>17.382050843162151</v>
      </c>
      <c r="M22">
        <f>N22/G22</f>
        <v>6.8648034258120347</v>
      </c>
      <c r="N22" s="3">
        <v>13.1</v>
      </c>
      <c r="O22" s="3">
        <v>1.03</v>
      </c>
      <c r="P22">
        <f>1000*(N22/D22)/O22</f>
        <v>17.382050843162151</v>
      </c>
    </row>
    <row r="23" spans="1:20" x14ac:dyDescent="0.3">
      <c r="A23" s="12" t="s">
        <v>78</v>
      </c>
      <c r="C23" t="s">
        <v>76</v>
      </c>
      <c r="D23">
        <v>683.98</v>
      </c>
      <c r="F23" s="3">
        <v>0.01</v>
      </c>
      <c r="G23">
        <f>I23*D23/1000</f>
        <v>1.7838303051377904</v>
      </c>
      <c r="H23" s="21">
        <f>1000*I23/J23</f>
        <v>149.56731020001473</v>
      </c>
      <c r="I23" s="6">
        <f>$I$4*F23</f>
        <v>2.608015300356429</v>
      </c>
      <c r="J23">
        <f>P23</f>
        <v>17.437067611022481</v>
      </c>
      <c r="M23">
        <f>N23/G23</f>
        <v>7.2876887238418266</v>
      </c>
      <c r="N23" s="3">
        <v>13</v>
      </c>
      <c r="O23" s="3">
        <v>1.0900000000000001</v>
      </c>
      <c r="P23">
        <f>1000*(N23/D23)/O23</f>
        <v>17.437067611022481</v>
      </c>
    </row>
    <row r="24" spans="1:20" x14ac:dyDescent="0.3">
      <c r="H24" s="11"/>
      <c r="I24" s="6"/>
    </row>
    <row r="25" spans="1:20" x14ac:dyDescent="0.3">
      <c r="A25" s="10" t="s">
        <v>79</v>
      </c>
      <c r="H25" s="11"/>
    </row>
    <row r="26" spans="1:20" x14ac:dyDescent="0.3">
      <c r="A26" t="s">
        <v>80</v>
      </c>
      <c r="D26">
        <v>72.11</v>
      </c>
      <c r="E26">
        <v>0.88900000000000001</v>
      </c>
      <c r="F26" s="3">
        <v>2.5</v>
      </c>
      <c r="G26">
        <f>H26*E26</f>
        <v>133.35</v>
      </c>
      <c r="H26" s="21">
        <f>G4*F26</f>
        <v>150</v>
      </c>
      <c r="I26" t="s">
        <v>81</v>
      </c>
      <c r="R26">
        <f>H26*15</f>
        <v>2250</v>
      </c>
    </row>
    <row r="27" spans="1:20" x14ac:dyDescent="0.3">
      <c r="A27" t="s">
        <v>82</v>
      </c>
      <c r="D27">
        <v>18.02</v>
      </c>
      <c r="E27">
        <v>1</v>
      </c>
      <c r="F27" s="3">
        <v>10</v>
      </c>
      <c r="G27">
        <f>H27*E27</f>
        <v>600</v>
      </c>
      <c r="H27" s="21">
        <f>G4*F27</f>
        <v>600</v>
      </c>
      <c r="I27" s="6" t="s">
        <v>81</v>
      </c>
      <c r="R27">
        <f>H27*3</f>
        <v>1800</v>
      </c>
    </row>
    <row r="28" spans="1:20" x14ac:dyDescent="0.3">
      <c r="C28" t="s">
        <v>83</v>
      </c>
      <c r="H28" s="11" t="e">
        <f>500-H4-#REF!-H27</f>
        <v>#DIV/0!</v>
      </c>
    </row>
    <row r="30" spans="1:20" x14ac:dyDescent="0.3">
      <c r="A30" s="19" t="s">
        <v>84</v>
      </c>
      <c r="B30" s="15" t="s">
        <v>85</v>
      </c>
    </row>
    <row r="31" spans="1:20" x14ac:dyDescent="0.3">
      <c r="A31" s="19" t="s">
        <v>86</v>
      </c>
      <c r="B31" t="s">
        <v>87</v>
      </c>
    </row>
    <row r="32" spans="1:20" x14ac:dyDescent="0.3">
      <c r="A32" s="19" t="s">
        <v>88</v>
      </c>
      <c r="B32" t="s">
        <v>89</v>
      </c>
    </row>
    <row r="33" spans="1:2" x14ac:dyDescent="0.3">
      <c r="A33" t="s">
        <v>90</v>
      </c>
    </row>
    <row r="34" spans="1:2" x14ac:dyDescent="0.3">
      <c r="A34" s="19" t="s">
        <v>91</v>
      </c>
      <c r="B34" t="s">
        <v>92</v>
      </c>
    </row>
    <row r="35" spans="1:2" x14ac:dyDescent="0.3">
      <c r="A35" s="19" t="s">
        <v>93</v>
      </c>
      <c r="B35" t="s">
        <v>94</v>
      </c>
    </row>
    <row r="36" spans="1:2" x14ac:dyDescent="0.3">
      <c r="A36" t="s">
        <v>95</v>
      </c>
      <c r="B36" t="s">
        <v>96</v>
      </c>
    </row>
    <row r="37" spans="1:2" x14ac:dyDescent="0.3">
      <c r="A37" s="19" t="s">
        <v>97</v>
      </c>
      <c r="B37" t="s">
        <v>98</v>
      </c>
    </row>
    <row r="38" spans="1:2" x14ac:dyDescent="0.3">
      <c r="A38" s="19" t="s">
        <v>99</v>
      </c>
      <c r="B38" t="s">
        <v>100</v>
      </c>
    </row>
    <row r="39" spans="1:2" x14ac:dyDescent="0.3">
      <c r="A39" t="s">
        <v>101</v>
      </c>
    </row>
    <row r="40" spans="1:2" x14ac:dyDescent="0.3">
      <c r="A40" t="s">
        <v>102</v>
      </c>
      <c r="B40" t="s">
        <v>103</v>
      </c>
    </row>
    <row r="41" spans="1:2" x14ac:dyDescent="0.3">
      <c r="A41" t="s">
        <v>142</v>
      </c>
      <c r="B41" t="s">
        <v>143</v>
      </c>
    </row>
  </sheetData>
  <mergeCells count="3">
    <mergeCell ref="M1:P1"/>
    <mergeCell ref="R1:R2"/>
    <mergeCell ref="L8:L13"/>
  </mergeCells>
  <pageMargins left="0.7" right="0.7" top="0.75" bottom="0.75" header="0.3" footer="0.3"/>
  <pageSetup paperSize="9" scale="7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019D1-860A-435A-81F0-7E059429388D}">
  <sheetPr>
    <pageSetUpPr fitToPage="1"/>
  </sheetPr>
  <dimension ref="A1:R32"/>
  <sheetViews>
    <sheetView zoomScale="80" zoomScaleNormal="80" workbookViewId="0">
      <pane xSplit="1" topLeftCell="B1" activePane="topRight" state="frozen"/>
      <selection pane="topRight" activeCell="M21" sqref="M21"/>
    </sheetView>
  </sheetViews>
  <sheetFormatPr defaultRowHeight="14.4" x14ac:dyDescent="0.3"/>
  <cols>
    <col min="2" max="2" width="5.33203125" customWidth="1"/>
    <col min="3" max="3" width="9" bestFit="1" customWidth="1"/>
    <col min="4" max="11" width="15.6640625" customWidth="1"/>
    <col min="12" max="12" width="16.44140625" customWidth="1"/>
    <col min="13" max="13" width="22.33203125" customWidth="1"/>
    <col min="14" max="15" width="13.33203125" customWidth="1"/>
    <col min="16" max="16" width="16.33203125" customWidth="1"/>
  </cols>
  <sheetData>
    <row r="1" spans="1:18" x14ac:dyDescent="0.3">
      <c r="A1" s="63" t="s">
        <v>104</v>
      </c>
      <c r="C1" t="s">
        <v>105</v>
      </c>
      <c r="D1" t="s">
        <v>106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s="40" t="s">
        <v>116</v>
      </c>
      <c r="O1" s="40" t="s">
        <v>117</v>
      </c>
      <c r="P1" s="3" t="s">
        <v>30</v>
      </c>
      <c r="Q1" t="s">
        <v>118</v>
      </c>
      <c r="R1" t="s">
        <v>119</v>
      </c>
    </row>
    <row r="2" spans="1:18" x14ac:dyDescent="0.3">
      <c r="A2" s="63"/>
      <c r="C2" t="s">
        <v>120</v>
      </c>
      <c r="D2" t="s">
        <v>121</v>
      </c>
      <c r="E2" t="s">
        <v>122</v>
      </c>
      <c r="F2">
        <v>1.077</v>
      </c>
      <c r="G2" t="s">
        <v>123</v>
      </c>
      <c r="H2" t="s">
        <v>124</v>
      </c>
      <c r="I2" t="s">
        <v>125</v>
      </c>
      <c r="J2">
        <v>1.9550000000000001</v>
      </c>
      <c r="L2" t="s">
        <v>126</v>
      </c>
      <c r="M2" t="s">
        <v>126</v>
      </c>
      <c r="N2" s="40" t="s">
        <v>126</v>
      </c>
      <c r="O2" s="40"/>
      <c r="Q2">
        <v>1.79</v>
      </c>
      <c r="R2">
        <v>2.0270000000000001</v>
      </c>
    </row>
    <row r="3" spans="1:18" x14ac:dyDescent="0.3">
      <c r="A3" s="64" t="s">
        <v>153</v>
      </c>
      <c r="B3" t="s">
        <v>127</v>
      </c>
      <c r="C3" s="3">
        <v>0.37</v>
      </c>
      <c r="D3" s="3">
        <v>35.9</v>
      </c>
      <c r="E3" s="3">
        <v>35.42</v>
      </c>
      <c r="F3" s="3"/>
      <c r="G3" s="3">
        <v>21.14</v>
      </c>
      <c r="H3" s="3"/>
      <c r="I3" s="3"/>
      <c r="J3" s="3">
        <v>2.81</v>
      </c>
      <c r="K3" s="3">
        <f t="shared" ref="K3:K29" si="0">100-SUM(C3:J3)-SUM(Q3:R3)</f>
        <v>4.3599999999999994</v>
      </c>
      <c r="L3">
        <f>100*SUM(F3:K3)/SUM(C3:D3,F3:K3)</f>
        <v>43.837101269742959</v>
      </c>
      <c r="M3">
        <f>100*G3/SUM(C3:D3,F3:K3)</f>
        <v>32.734592753174361</v>
      </c>
      <c r="N3" s="40">
        <f>100*I3/SUM(C3:D3,F3:K3)</f>
        <v>0</v>
      </c>
      <c r="O3" s="40">
        <f>100*H3/SUM(C3:D3,F3:K3)</f>
        <v>0</v>
      </c>
      <c r="Q3" s="3"/>
      <c r="R3" s="42"/>
    </row>
    <row r="4" spans="1:18" x14ac:dyDescent="0.3">
      <c r="A4" s="64"/>
      <c r="B4" t="s">
        <v>128</v>
      </c>
      <c r="C4" s="41">
        <v>1.74</v>
      </c>
      <c r="D4" s="41"/>
      <c r="E4" s="41">
        <v>11.59</v>
      </c>
      <c r="F4" s="3"/>
      <c r="G4" s="3">
        <v>77.7</v>
      </c>
      <c r="H4" s="3"/>
      <c r="I4" s="3"/>
      <c r="J4" s="3">
        <v>8.11</v>
      </c>
      <c r="K4" s="3">
        <f t="shared" si="0"/>
        <v>0.36999999999999944</v>
      </c>
      <c r="L4">
        <f>100*SUM(F4:K4)/SUM(C5:D5,F4:K4)</f>
        <v>71.750895012904834</v>
      </c>
      <c r="M4">
        <f>100*G4/SUM(C5:D5,F4:K4)</f>
        <v>64.690700191491132</v>
      </c>
      <c r="N4" s="40">
        <f>100*I4/SUM(C5:D5,F4:K4)</f>
        <v>0</v>
      </c>
      <c r="O4" s="40">
        <f>100*H4/SUM(C5:D5,F4:K4)</f>
        <v>0</v>
      </c>
      <c r="Q4" s="3">
        <v>0.49</v>
      </c>
      <c r="R4" s="42"/>
    </row>
    <row r="5" spans="1:18" x14ac:dyDescent="0.3">
      <c r="A5" s="64"/>
      <c r="B5" t="s">
        <v>129</v>
      </c>
      <c r="C5" s="3">
        <v>1.04</v>
      </c>
      <c r="D5" s="3">
        <v>32.89</v>
      </c>
      <c r="E5" s="3">
        <v>30.07</v>
      </c>
      <c r="F5" s="3"/>
      <c r="G5" s="3">
        <v>27.55</v>
      </c>
      <c r="H5" s="3"/>
      <c r="I5" s="3"/>
      <c r="J5" s="3">
        <v>3.76</v>
      </c>
      <c r="K5" s="3">
        <f t="shared" si="0"/>
        <v>4.6899999999999977</v>
      </c>
      <c r="L5">
        <f t="shared" ref="L5:L26" si="1">100*SUM(F5:K5)/SUM(C5:D5,F5:K5)</f>
        <v>51.480051480051472</v>
      </c>
      <c r="M5">
        <f t="shared" ref="M5:M26" si="2">100*G5/SUM(C5:D5,F5:K5)</f>
        <v>39.396539396539396</v>
      </c>
      <c r="N5" s="40" t="e">
        <f>100*I5/SUM(#REF!,F5:K5)</f>
        <v>#REF!</v>
      </c>
      <c r="O5" s="40" t="e">
        <f>100*H5/SUM(#REF!,F5:K5)</f>
        <v>#REF!</v>
      </c>
      <c r="Q5" s="3"/>
      <c r="R5" s="42"/>
    </row>
    <row r="6" spans="1:18" x14ac:dyDescent="0.3">
      <c r="A6" s="64"/>
      <c r="B6" t="s">
        <v>130</v>
      </c>
      <c r="C6" s="3">
        <v>2.77</v>
      </c>
      <c r="D6" s="3"/>
      <c r="E6" s="3">
        <v>8.0500000000000007</v>
      </c>
      <c r="F6" s="3"/>
      <c r="G6" s="3">
        <v>78.28</v>
      </c>
      <c r="H6" s="3"/>
      <c r="I6" s="3"/>
      <c r="J6" s="3">
        <v>9.8000000000000007</v>
      </c>
      <c r="K6" s="3">
        <f t="shared" si="0"/>
        <v>0.47000000000000852</v>
      </c>
      <c r="L6">
        <f t="shared" si="1"/>
        <v>96.966710468681569</v>
      </c>
      <c r="M6">
        <f t="shared" si="2"/>
        <v>85.72054314498466</v>
      </c>
      <c r="N6" s="40">
        <f t="shared" ref="N6:N26" si="3">100*I6/SUM(C6:D6,F6:K6)</f>
        <v>0</v>
      </c>
      <c r="O6" s="40">
        <f t="shared" ref="O6:O26" si="4">100*H6/SUM(C6:D6,F6:K6)</f>
        <v>0</v>
      </c>
      <c r="Q6" s="3">
        <v>0.63</v>
      </c>
      <c r="R6" s="42"/>
    </row>
    <row r="7" spans="1:18" x14ac:dyDescent="0.3">
      <c r="A7" s="64"/>
      <c r="B7" t="s">
        <v>131</v>
      </c>
      <c r="C7" s="3">
        <v>0.37</v>
      </c>
      <c r="D7" s="3">
        <v>48.86</v>
      </c>
      <c r="E7" s="3">
        <v>34.74</v>
      </c>
      <c r="F7" s="3"/>
      <c r="G7" s="3">
        <v>9.4600000000000009</v>
      </c>
      <c r="H7" s="3"/>
      <c r="I7" s="3"/>
      <c r="J7" s="3">
        <v>2.81</v>
      </c>
      <c r="K7" s="3">
        <f t="shared" si="0"/>
        <v>3.649999999999991</v>
      </c>
      <c r="L7">
        <f t="shared" si="1"/>
        <v>24.43591711435149</v>
      </c>
      <c r="M7">
        <f t="shared" si="2"/>
        <v>14.520337682271684</v>
      </c>
      <c r="N7" s="40">
        <f t="shared" si="3"/>
        <v>0</v>
      </c>
      <c r="O7" s="40">
        <f t="shared" si="4"/>
        <v>0</v>
      </c>
      <c r="Q7" s="3">
        <v>0.11</v>
      </c>
      <c r="R7" s="42"/>
    </row>
    <row r="8" spans="1:18" x14ac:dyDescent="0.3">
      <c r="A8" s="64"/>
      <c r="B8" t="s">
        <v>132</v>
      </c>
      <c r="C8" s="3">
        <v>2.64</v>
      </c>
      <c r="D8" s="3">
        <v>9.09</v>
      </c>
      <c r="E8" s="3">
        <v>9.67</v>
      </c>
      <c r="F8" s="3"/>
      <c r="G8" s="3">
        <v>66.599999999999994</v>
      </c>
      <c r="H8" s="3"/>
      <c r="I8" s="3"/>
      <c r="J8" s="3">
        <v>10.79</v>
      </c>
      <c r="K8" s="3">
        <f t="shared" si="0"/>
        <v>0.68000000000000793</v>
      </c>
      <c r="L8">
        <f t="shared" si="1"/>
        <v>86.937639198218235</v>
      </c>
      <c r="M8">
        <f t="shared" si="2"/>
        <v>74.164810690423138</v>
      </c>
      <c r="N8" s="40">
        <f t="shared" si="3"/>
        <v>0</v>
      </c>
      <c r="O8" s="40">
        <f t="shared" si="4"/>
        <v>0</v>
      </c>
      <c r="Q8" s="3">
        <v>0.53</v>
      </c>
      <c r="R8" s="42"/>
    </row>
    <row r="9" spans="1:18" x14ac:dyDescent="0.3">
      <c r="A9" s="64"/>
      <c r="B9" t="s">
        <v>133</v>
      </c>
      <c r="C9" s="3">
        <v>2.68</v>
      </c>
      <c r="D9" s="3">
        <v>26.55</v>
      </c>
      <c r="E9" s="3">
        <v>27.87</v>
      </c>
      <c r="F9" s="3"/>
      <c r="G9" s="3">
        <v>36</v>
      </c>
      <c r="H9" s="3"/>
      <c r="I9" s="3"/>
      <c r="J9" s="3">
        <v>4.17</v>
      </c>
      <c r="K9" s="3">
        <f t="shared" si="0"/>
        <v>2.5900000000000039</v>
      </c>
      <c r="L9">
        <f>100*SUM(F9:K9)/SUM(C9:D9,F9:K9)</f>
        <v>59.397138491457149</v>
      </c>
      <c r="M9">
        <f>100*G9/SUM(C9:D9,F9:K9)</f>
        <v>50.006945409084587</v>
      </c>
      <c r="N9" s="40">
        <f t="shared" si="3"/>
        <v>0</v>
      </c>
      <c r="O9" s="40">
        <f t="shared" si="4"/>
        <v>0</v>
      </c>
      <c r="Q9" s="3">
        <v>0.14000000000000001</v>
      </c>
      <c r="R9" s="42"/>
    </row>
    <row r="10" spans="1:18" x14ac:dyDescent="0.3">
      <c r="A10" s="64"/>
      <c r="B10" t="s">
        <v>134</v>
      </c>
      <c r="C10" s="3">
        <v>1.71</v>
      </c>
      <c r="D10" s="3"/>
      <c r="E10" s="3">
        <v>10.73</v>
      </c>
      <c r="F10" s="3"/>
      <c r="G10" s="3">
        <v>79.41</v>
      </c>
      <c r="H10" s="3"/>
      <c r="I10" s="3"/>
      <c r="J10" s="3">
        <v>8.0399999999999991</v>
      </c>
      <c r="K10" s="3">
        <f t="shared" si="0"/>
        <v>0.11000000000001364</v>
      </c>
      <c r="L10">
        <f t="shared" si="1"/>
        <v>98.084462865464317</v>
      </c>
      <c r="M10">
        <f t="shared" si="2"/>
        <v>88.954856054665612</v>
      </c>
      <c r="N10" s="40">
        <f t="shared" si="3"/>
        <v>0</v>
      </c>
      <c r="O10" s="40">
        <f t="shared" si="4"/>
        <v>0</v>
      </c>
      <c r="Q10" s="3"/>
      <c r="R10" s="42"/>
    </row>
    <row r="11" spans="1:18" x14ac:dyDescent="0.3">
      <c r="A11" s="64"/>
      <c r="B11" t="s">
        <v>135</v>
      </c>
      <c r="C11" s="3">
        <v>0.83</v>
      </c>
      <c r="D11" s="3">
        <v>35.44</v>
      </c>
      <c r="E11" s="3">
        <v>43.65</v>
      </c>
      <c r="F11" s="3"/>
      <c r="G11" s="3">
        <v>11.92</v>
      </c>
      <c r="H11" s="3"/>
      <c r="I11" s="3"/>
      <c r="J11" s="3">
        <v>2.94</v>
      </c>
      <c r="K11" s="3">
        <f t="shared" si="0"/>
        <v>5.1100000000000128</v>
      </c>
      <c r="L11">
        <f t="shared" si="1"/>
        <v>35.508534850640132</v>
      </c>
      <c r="M11">
        <f t="shared" si="2"/>
        <v>21.194879089615927</v>
      </c>
      <c r="N11" s="40">
        <f t="shared" si="3"/>
        <v>0</v>
      </c>
      <c r="O11" s="40">
        <f t="shared" si="4"/>
        <v>0</v>
      </c>
      <c r="Q11" s="3">
        <v>0.11</v>
      </c>
      <c r="R11" s="42"/>
    </row>
    <row r="12" spans="1:18" x14ac:dyDescent="0.3">
      <c r="A12" s="64"/>
      <c r="B12" t="s">
        <v>136</v>
      </c>
      <c r="C12" s="3">
        <v>1.48</v>
      </c>
      <c r="D12" s="3">
        <v>10.36</v>
      </c>
      <c r="E12" s="3">
        <v>25.64</v>
      </c>
      <c r="F12" s="3"/>
      <c r="G12" s="3">
        <v>54.84</v>
      </c>
      <c r="H12" s="3"/>
      <c r="I12" s="3"/>
      <c r="J12" s="3">
        <v>5.99</v>
      </c>
      <c r="K12" s="3">
        <f t="shared" si="0"/>
        <v>1.0299999999999976</v>
      </c>
      <c r="L12">
        <f t="shared" si="1"/>
        <v>83.934871099050198</v>
      </c>
      <c r="M12">
        <f t="shared" si="2"/>
        <v>74.409769335142471</v>
      </c>
      <c r="N12" s="40">
        <f t="shared" si="3"/>
        <v>0</v>
      </c>
      <c r="O12" s="40">
        <f t="shared" si="4"/>
        <v>0</v>
      </c>
      <c r="Q12" s="3">
        <v>0.66</v>
      </c>
      <c r="R12" s="42"/>
    </row>
    <row r="13" spans="1:18" x14ac:dyDescent="0.3">
      <c r="A13" s="64"/>
      <c r="B13" t="s">
        <v>137</v>
      </c>
      <c r="C13" s="3">
        <v>0.08</v>
      </c>
      <c r="D13" s="3">
        <v>48.46</v>
      </c>
      <c r="E13" s="3">
        <v>41.42</v>
      </c>
      <c r="F13" s="3"/>
      <c r="G13" s="3">
        <v>3.08</v>
      </c>
      <c r="H13" s="3"/>
      <c r="I13" s="3"/>
      <c r="J13" s="3">
        <v>2.6</v>
      </c>
      <c r="K13" s="3">
        <f t="shared" si="0"/>
        <v>4.1099999999999994</v>
      </c>
      <c r="L13">
        <f t="shared" si="1"/>
        <v>16.783816218069603</v>
      </c>
      <c r="M13">
        <f t="shared" si="2"/>
        <v>5.2803017315275156</v>
      </c>
      <c r="N13" s="40">
        <f t="shared" si="3"/>
        <v>0</v>
      </c>
      <c r="O13" s="40">
        <f t="shared" si="4"/>
        <v>0</v>
      </c>
      <c r="Q13" s="3">
        <v>0.25</v>
      </c>
      <c r="R13" s="42"/>
    </row>
    <row r="14" spans="1:18" x14ac:dyDescent="0.3">
      <c r="A14" s="64"/>
      <c r="B14" t="s">
        <v>138</v>
      </c>
      <c r="C14" s="3">
        <v>0.08</v>
      </c>
      <c r="D14" s="3">
        <v>27.89</v>
      </c>
      <c r="E14" s="3">
        <v>52</v>
      </c>
      <c r="F14" s="3"/>
      <c r="G14" s="3">
        <v>7.24</v>
      </c>
      <c r="H14" s="3"/>
      <c r="I14" s="3"/>
      <c r="J14" s="3">
        <v>6.89</v>
      </c>
      <c r="K14" s="3">
        <f t="shared" si="0"/>
        <v>3.5600000000000058</v>
      </c>
      <c r="L14">
        <f t="shared" si="1"/>
        <v>38.742882172579939</v>
      </c>
      <c r="M14">
        <f t="shared" si="2"/>
        <v>15.85632939115199</v>
      </c>
      <c r="N14" s="40">
        <f t="shared" si="3"/>
        <v>0</v>
      </c>
      <c r="O14" s="40">
        <f t="shared" si="4"/>
        <v>0</v>
      </c>
      <c r="Q14" s="3">
        <v>2.34</v>
      </c>
      <c r="R14" s="42"/>
    </row>
    <row r="15" spans="1:18" x14ac:dyDescent="0.3">
      <c r="A15" s="65" t="s">
        <v>154</v>
      </c>
      <c r="B15" t="s">
        <v>127</v>
      </c>
      <c r="C15" s="3">
        <v>1.52</v>
      </c>
      <c r="D15" s="3">
        <v>6.15</v>
      </c>
      <c r="E15" s="3">
        <v>12.85</v>
      </c>
      <c r="F15" s="3"/>
      <c r="G15" s="3">
        <v>69.86</v>
      </c>
      <c r="H15" s="3"/>
      <c r="I15" s="3"/>
      <c r="J15" s="3">
        <v>6.39</v>
      </c>
      <c r="K15" s="3">
        <f t="shared" si="0"/>
        <v>3.230000000000004</v>
      </c>
      <c r="L15">
        <f t="shared" si="1"/>
        <v>91.19908204245553</v>
      </c>
      <c r="M15">
        <f t="shared" si="2"/>
        <v>80.160642570281112</v>
      </c>
      <c r="N15" s="40">
        <f t="shared" si="3"/>
        <v>0</v>
      </c>
      <c r="O15" s="40">
        <f t="shared" si="4"/>
        <v>0</v>
      </c>
      <c r="Q15" s="3">
        <v>0</v>
      </c>
      <c r="R15" s="42"/>
    </row>
    <row r="16" spans="1:18" x14ac:dyDescent="0.3">
      <c r="A16" s="65"/>
      <c r="B16" t="s">
        <v>128</v>
      </c>
      <c r="C16" s="3"/>
      <c r="D16" s="3"/>
      <c r="E16" s="3"/>
      <c r="F16" s="3"/>
      <c r="G16" s="3"/>
      <c r="H16" s="3"/>
      <c r="I16" s="3"/>
      <c r="J16" s="3"/>
      <c r="K16" s="3">
        <f t="shared" si="0"/>
        <v>100</v>
      </c>
      <c r="L16">
        <f t="shared" si="1"/>
        <v>100</v>
      </c>
      <c r="M16">
        <f t="shared" si="2"/>
        <v>0</v>
      </c>
      <c r="N16" s="40">
        <f t="shared" si="3"/>
        <v>0</v>
      </c>
      <c r="O16" s="40">
        <f t="shared" si="4"/>
        <v>0</v>
      </c>
      <c r="Q16" s="3"/>
      <c r="R16" s="42"/>
    </row>
    <row r="17" spans="1:18" x14ac:dyDescent="0.3">
      <c r="A17" s="65"/>
      <c r="B17" t="s">
        <v>129</v>
      </c>
      <c r="C17" s="3">
        <v>1.58</v>
      </c>
      <c r="D17" s="3">
        <v>0</v>
      </c>
      <c r="E17" s="3">
        <v>8.07</v>
      </c>
      <c r="F17" s="3"/>
      <c r="G17" s="3">
        <v>82.59</v>
      </c>
      <c r="H17" s="3"/>
      <c r="I17" s="3"/>
      <c r="J17" s="3">
        <v>7.34</v>
      </c>
      <c r="K17" s="3">
        <f t="shared" si="0"/>
        <v>0.41999999999998749</v>
      </c>
      <c r="L17">
        <f t="shared" si="1"/>
        <v>98.281300989883619</v>
      </c>
      <c r="M17">
        <f t="shared" si="2"/>
        <v>89.840095725008169</v>
      </c>
      <c r="N17" s="40">
        <f t="shared" si="3"/>
        <v>0</v>
      </c>
      <c r="O17" s="40">
        <f t="shared" si="4"/>
        <v>0</v>
      </c>
      <c r="Q17" s="3">
        <v>0</v>
      </c>
      <c r="R17" s="42"/>
    </row>
    <row r="18" spans="1:18" x14ac:dyDescent="0.3">
      <c r="A18" s="65"/>
      <c r="B18" t="s">
        <v>130</v>
      </c>
      <c r="C18" s="3"/>
      <c r="D18" s="3"/>
      <c r="E18" s="3"/>
      <c r="F18" s="3"/>
      <c r="G18" s="3"/>
      <c r="H18" s="3"/>
      <c r="I18" s="3"/>
      <c r="J18" s="3"/>
      <c r="K18" s="3">
        <f t="shared" si="0"/>
        <v>100</v>
      </c>
      <c r="L18">
        <f t="shared" si="1"/>
        <v>100</v>
      </c>
      <c r="M18">
        <f t="shared" si="2"/>
        <v>0</v>
      </c>
      <c r="N18" s="40">
        <f t="shared" si="3"/>
        <v>0</v>
      </c>
      <c r="O18" s="40">
        <f t="shared" si="4"/>
        <v>0</v>
      </c>
      <c r="Q18" s="3"/>
      <c r="R18" s="42"/>
    </row>
    <row r="19" spans="1:18" x14ac:dyDescent="0.3">
      <c r="A19" s="65"/>
      <c r="B19" t="s">
        <v>131</v>
      </c>
      <c r="C19" s="3">
        <v>1.54</v>
      </c>
      <c r="D19" s="3">
        <v>0</v>
      </c>
      <c r="E19" s="3">
        <v>9.4700000000000006</v>
      </c>
      <c r="F19" s="3"/>
      <c r="G19" s="3">
        <v>80.040000000000006</v>
      </c>
      <c r="H19" s="3"/>
      <c r="I19" s="3"/>
      <c r="J19" s="3">
        <v>7.3</v>
      </c>
      <c r="K19" s="3">
        <f t="shared" si="0"/>
        <v>1.6499999999999915</v>
      </c>
      <c r="L19">
        <f t="shared" si="1"/>
        <v>98.298906439854193</v>
      </c>
      <c r="M19">
        <f t="shared" si="2"/>
        <v>88.412680879266546</v>
      </c>
      <c r="N19" s="40">
        <f t="shared" si="3"/>
        <v>0</v>
      </c>
      <c r="O19" s="40">
        <f t="shared" si="4"/>
        <v>0</v>
      </c>
      <c r="Q19" s="3"/>
      <c r="R19" s="42"/>
    </row>
    <row r="20" spans="1:18" x14ac:dyDescent="0.3">
      <c r="A20" s="65"/>
      <c r="B20" t="s">
        <v>132</v>
      </c>
      <c r="C20" s="3"/>
      <c r="D20" s="3"/>
      <c r="E20" s="3"/>
      <c r="F20" s="3"/>
      <c r="G20" s="3"/>
      <c r="H20" s="3"/>
      <c r="I20" s="3"/>
      <c r="J20" s="3"/>
      <c r="K20" s="3">
        <f>100-SUM(C20:J20)-SUM(Q20:R20)</f>
        <v>100</v>
      </c>
      <c r="L20">
        <f t="shared" si="1"/>
        <v>100</v>
      </c>
      <c r="M20">
        <f t="shared" si="2"/>
        <v>0</v>
      </c>
      <c r="N20" s="40">
        <f t="shared" si="3"/>
        <v>0</v>
      </c>
      <c r="O20" s="40">
        <f t="shared" si="4"/>
        <v>0</v>
      </c>
      <c r="Q20" s="3"/>
      <c r="R20" s="42"/>
    </row>
    <row r="21" spans="1:18" x14ac:dyDescent="0.3">
      <c r="A21" s="65"/>
      <c r="B21" t="s">
        <v>133</v>
      </c>
      <c r="C21" s="3">
        <v>1.27</v>
      </c>
      <c r="D21" s="3">
        <v>2.98</v>
      </c>
      <c r="E21" s="3">
        <v>9.8699999999999992</v>
      </c>
      <c r="F21" s="3"/>
      <c r="G21" s="3">
        <v>76.8</v>
      </c>
      <c r="H21" s="3"/>
      <c r="I21" s="3"/>
      <c r="J21" s="3">
        <v>6.59</v>
      </c>
      <c r="K21" s="3">
        <f t="shared" si="0"/>
        <v>2.4899999999999949</v>
      </c>
      <c r="L21">
        <f t="shared" si="1"/>
        <v>95.284588927105304</v>
      </c>
      <c r="M21">
        <f t="shared" si="2"/>
        <v>85.210251858426716</v>
      </c>
      <c r="N21" s="40">
        <f t="shared" si="3"/>
        <v>0</v>
      </c>
      <c r="O21" s="40">
        <f t="shared" si="4"/>
        <v>0</v>
      </c>
      <c r="Q21" s="3"/>
      <c r="R21" s="42"/>
    </row>
    <row r="22" spans="1:18" x14ac:dyDescent="0.3">
      <c r="A22" s="65"/>
      <c r="B22" t="s">
        <v>134</v>
      </c>
      <c r="C22" s="3"/>
      <c r="D22" s="3"/>
      <c r="E22" s="3"/>
      <c r="F22" s="3"/>
      <c r="G22" s="3"/>
      <c r="H22" s="3"/>
      <c r="I22" s="3"/>
      <c r="J22" s="3"/>
      <c r="K22" s="3">
        <f t="shared" si="0"/>
        <v>100</v>
      </c>
      <c r="L22">
        <f t="shared" si="1"/>
        <v>100</v>
      </c>
      <c r="M22">
        <f t="shared" si="2"/>
        <v>0</v>
      </c>
      <c r="N22" s="40">
        <f t="shared" si="3"/>
        <v>0</v>
      </c>
      <c r="O22" s="40">
        <f t="shared" si="4"/>
        <v>0</v>
      </c>
      <c r="Q22" s="3"/>
      <c r="R22" s="42"/>
    </row>
    <row r="23" spans="1:18" x14ac:dyDescent="0.3">
      <c r="A23" s="65"/>
      <c r="B23" t="s">
        <v>135</v>
      </c>
      <c r="C23" s="3"/>
      <c r="D23" s="3"/>
      <c r="E23" s="3"/>
      <c r="F23" s="3"/>
      <c r="G23" s="3"/>
      <c r="H23" s="3"/>
      <c r="I23" s="3"/>
      <c r="J23" s="3"/>
      <c r="K23" s="3">
        <f t="shared" si="0"/>
        <v>100</v>
      </c>
      <c r="L23">
        <f t="shared" si="1"/>
        <v>100</v>
      </c>
      <c r="M23">
        <f t="shared" si="2"/>
        <v>0</v>
      </c>
      <c r="N23" s="40">
        <f t="shared" si="3"/>
        <v>0</v>
      </c>
      <c r="O23" s="40">
        <f t="shared" si="4"/>
        <v>0</v>
      </c>
      <c r="Q23" s="3"/>
      <c r="R23" s="42"/>
    </row>
    <row r="24" spans="1:18" x14ac:dyDescent="0.3">
      <c r="A24" s="65"/>
      <c r="B24" t="s">
        <v>136</v>
      </c>
      <c r="C24" s="3"/>
      <c r="D24" s="3"/>
      <c r="E24" s="3"/>
      <c r="F24" s="3"/>
      <c r="G24" s="3"/>
      <c r="H24" s="3"/>
      <c r="I24" s="3"/>
      <c r="J24" s="3"/>
      <c r="K24" s="3">
        <f t="shared" si="0"/>
        <v>100</v>
      </c>
      <c r="L24">
        <f t="shared" si="1"/>
        <v>100</v>
      </c>
      <c r="M24">
        <f t="shared" si="2"/>
        <v>0</v>
      </c>
      <c r="N24" s="40">
        <f t="shared" si="3"/>
        <v>0</v>
      </c>
      <c r="O24" s="40">
        <f t="shared" si="4"/>
        <v>0</v>
      </c>
      <c r="Q24" s="3"/>
      <c r="R24" s="42"/>
    </row>
    <row r="25" spans="1:18" x14ac:dyDescent="0.3">
      <c r="A25" s="65"/>
      <c r="B25" t="s">
        <v>137</v>
      </c>
      <c r="C25" s="3"/>
      <c r="D25" s="3"/>
      <c r="E25" s="3"/>
      <c r="F25" s="3"/>
      <c r="G25" s="3"/>
      <c r="H25" s="3"/>
      <c r="I25" s="3"/>
      <c r="J25" s="3"/>
      <c r="K25" s="3">
        <f t="shared" si="0"/>
        <v>100</v>
      </c>
      <c r="L25">
        <f t="shared" si="1"/>
        <v>100</v>
      </c>
      <c r="M25">
        <f t="shared" si="2"/>
        <v>0</v>
      </c>
      <c r="N25" s="40">
        <f t="shared" si="3"/>
        <v>0</v>
      </c>
      <c r="O25" s="40">
        <f t="shared" si="4"/>
        <v>0</v>
      </c>
      <c r="Q25" s="3"/>
      <c r="R25" s="42"/>
    </row>
    <row r="26" spans="1:18" x14ac:dyDescent="0.3">
      <c r="A26" s="65"/>
      <c r="B26" t="s">
        <v>138</v>
      </c>
      <c r="C26" s="3"/>
      <c r="D26" s="3"/>
      <c r="E26" s="3"/>
      <c r="F26" s="3"/>
      <c r="G26" s="3"/>
      <c r="H26" s="3"/>
      <c r="I26" s="3"/>
      <c r="J26" s="3"/>
      <c r="K26" s="3">
        <f t="shared" si="0"/>
        <v>100</v>
      </c>
      <c r="L26">
        <f t="shared" si="1"/>
        <v>100</v>
      </c>
      <c r="M26">
        <f t="shared" si="2"/>
        <v>0</v>
      </c>
      <c r="N26" s="40">
        <f t="shared" si="3"/>
        <v>0</v>
      </c>
      <c r="O26" s="40">
        <f t="shared" si="4"/>
        <v>0</v>
      </c>
      <c r="Q26" s="3"/>
      <c r="R26" s="42"/>
    </row>
    <row r="27" spans="1:18" x14ac:dyDescent="0.3">
      <c r="A27" s="65"/>
      <c r="B27" t="s">
        <v>139</v>
      </c>
      <c r="C27" s="3"/>
      <c r="D27" s="3"/>
      <c r="E27" s="3"/>
      <c r="F27" s="3"/>
      <c r="G27" s="3"/>
      <c r="H27" s="3"/>
      <c r="I27" s="3"/>
      <c r="J27" s="3"/>
      <c r="K27" s="3">
        <f t="shared" si="0"/>
        <v>100</v>
      </c>
      <c r="L27">
        <f>100*SUM(F27:K27)/SUM(C27:D27,F27:K27)</f>
        <v>100</v>
      </c>
      <c r="M27">
        <f>100*G27/SUM(C27:D27,F27:K27)</f>
        <v>0</v>
      </c>
      <c r="N27" s="40">
        <f>100*I27/SUM(C27:D27,F27:K27)</f>
        <v>0</v>
      </c>
      <c r="O27" s="40">
        <f>100*H27/SUM(C27:D27,F27:K27)</f>
        <v>0</v>
      </c>
      <c r="Q27" s="3"/>
      <c r="R27" s="42"/>
    </row>
    <row r="28" spans="1:18" x14ac:dyDescent="0.3">
      <c r="A28" s="65"/>
      <c r="B28" t="s">
        <v>140</v>
      </c>
      <c r="C28" s="3"/>
      <c r="D28" s="3"/>
      <c r="E28" s="3"/>
      <c r="F28" s="3"/>
      <c r="G28" s="3"/>
      <c r="H28" s="3"/>
      <c r="I28" s="3"/>
      <c r="J28" s="3"/>
      <c r="K28" s="3">
        <f t="shared" si="0"/>
        <v>100</v>
      </c>
      <c r="L28">
        <f>100*SUM(F28:K28)/SUM(C28:D28,F28:K28)</f>
        <v>100</v>
      </c>
      <c r="M28">
        <f>100*G28/SUM(C28:D28,F28:K28)</f>
        <v>0</v>
      </c>
      <c r="N28" s="40">
        <f>100*I28/SUM(C28:D28,F28:K28)</f>
        <v>0</v>
      </c>
      <c r="O28" s="40">
        <f>100*H28/SUM(C28:D28,F28:K28)</f>
        <v>0</v>
      </c>
      <c r="Q28" s="3"/>
      <c r="R28" s="42"/>
    </row>
    <row r="29" spans="1:18" x14ac:dyDescent="0.3">
      <c r="A29" t="s">
        <v>144</v>
      </c>
      <c r="B29" t="s">
        <v>145</v>
      </c>
      <c r="C29" s="3">
        <v>2.8</v>
      </c>
      <c r="D29" s="3">
        <v>6.65</v>
      </c>
      <c r="E29" s="3">
        <v>9.68</v>
      </c>
      <c r="F29" s="3">
        <v>0.35</v>
      </c>
      <c r="G29" s="3">
        <v>63.32</v>
      </c>
      <c r="H29" s="3"/>
      <c r="I29" s="3"/>
      <c r="J29" s="3">
        <v>13.68</v>
      </c>
      <c r="K29" s="3">
        <f t="shared" si="0"/>
        <v>2.7300000000000102</v>
      </c>
      <c r="L29">
        <f>100*SUM(F29:K29)/SUM(C29:D29,F29:K29)</f>
        <v>89.444878811571527</v>
      </c>
      <c r="M29">
        <f>100*G29/SUM(C29:D29,F29:K29)</f>
        <v>70.724896682676189</v>
      </c>
      <c r="N29" s="40">
        <f>100*I29/SUM(C29:D29,F29:K29)</f>
        <v>0</v>
      </c>
      <c r="O29" s="40">
        <f>100*H29/SUM(C29:D29,F29:K29)</f>
        <v>0</v>
      </c>
      <c r="Q29" s="3">
        <v>0.79</v>
      </c>
      <c r="R29" s="42"/>
    </row>
    <row r="30" spans="1:18" x14ac:dyDescent="0.3">
      <c r="B30" t="s">
        <v>146</v>
      </c>
      <c r="C30" s="3">
        <v>3.74</v>
      </c>
      <c r="D30" s="3"/>
      <c r="E30" s="3">
        <v>5.42</v>
      </c>
      <c r="F30" s="3">
        <v>0.37</v>
      </c>
      <c r="G30" s="3">
        <v>72.650000000000006</v>
      </c>
      <c r="H30" s="3"/>
      <c r="I30" s="3"/>
      <c r="J30" s="3">
        <v>16.28</v>
      </c>
      <c r="K30" s="3">
        <f t="shared" ref="K30:K32" si="5">100-SUM(C30:J30)-SUM(Q30:R30)</f>
        <v>0.42999999999999194</v>
      </c>
      <c r="L30">
        <f t="shared" ref="L30:L32" si="6">100*SUM(F30:K30)/SUM(C30:D30,F30:K30)</f>
        <v>95.998716165614638</v>
      </c>
      <c r="M30">
        <f t="shared" ref="M30:M32" si="7">100*G30/SUM(C30:D30,F30:K30)</f>
        <v>77.72547341392962</v>
      </c>
      <c r="N30" s="40">
        <f t="shared" ref="N30:N32" si="8">100*I30/SUM(C30:D30,F30:K30)</f>
        <v>0</v>
      </c>
      <c r="O30" s="40">
        <f t="shared" ref="O30:O32" si="9">100*H30/SUM(C30:D30,F30:K30)</f>
        <v>0</v>
      </c>
      <c r="Q30" s="3">
        <v>1.1100000000000001</v>
      </c>
      <c r="R30" s="42"/>
    </row>
    <row r="31" spans="1:18" x14ac:dyDescent="0.3">
      <c r="A31" t="s">
        <v>147</v>
      </c>
      <c r="B31" t="s">
        <v>148</v>
      </c>
      <c r="C31" s="3">
        <v>1.58</v>
      </c>
      <c r="D31" s="3">
        <v>14.15</v>
      </c>
      <c r="E31" s="3">
        <v>13.49</v>
      </c>
      <c r="F31" s="3"/>
      <c r="G31" s="3">
        <v>58.04</v>
      </c>
      <c r="H31" s="3"/>
      <c r="I31" s="3"/>
      <c r="J31" s="3">
        <v>9.16</v>
      </c>
      <c r="K31" s="3">
        <f t="shared" si="5"/>
        <v>3.0300000000000127</v>
      </c>
      <c r="L31">
        <f t="shared" si="6"/>
        <v>81.700791065611924</v>
      </c>
      <c r="M31">
        <f t="shared" si="7"/>
        <v>67.519776640297806</v>
      </c>
      <c r="N31" s="40">
        <f t="shared" si="8"/>
        <v>0</v>
      </c>
      <c r="O31" s="40">
        <f t="shared" si="9"/>
        <v>0</v>
      </c>
      <c r="Q31" s="3">
        <v>0.55000000000000004</v>
      </c>
      <c r="R31" s="42"/>
    </row>
    <row r="32" spans="1:18" x14ac:dyDescent="0.3">
      <c r="B32" t="s">
        <v>149</v>
      </c>
      <c r="C32" s="3">
        <v>2.74</v>
      </c>
      <c r="D32" s="3"/>
      <c r="E32" s="3">
        <v>2.84</v>
      </c>
      <c r="F32" s="3"/>
      <c r="G32" s="3">
        <v>80.55</v>
      </c>
      <c r="H32" s="3"/>
      <c r="I32" s="3"/>
      <c r="J32" s="3">
        <v>12.46</v>
      </c>
      <c r="K32" s="3">
        <f t="shared" si="5"/>
        <v>0.60999999999999654</v>
      </c>
      <c r="L32">
        <f t="shared" si="6"/>
        <v>97.15649647156495</v>
      </c>
      <c r="M32">
        <f t="shared" si="7"/>
        <v>83.592777085927764</v>
      </c>
      <c r="N32" s="40">
        <f t="shared" si="8"/>
        <v>0</v>
      </c>
      <c r="O32" s="40">
        <f t="shared" si="9"/>
        <v>0</v>
      </c>
      <c r="Q32" s="3">
        <v>0.8</v>
      </c>
      <c r="R32" s="42"/>
    </row>
  </sheetData>
  <mergeCells count="3">
    <mergeCell ref="A1:A2"/>
    <mergeCell ref="A3:A14"/>
    <mergeCell ref="A15:A28"/>
  </mergeCells>
  <conditionalFormatting sqref="L3:L32">
    <cfRule type="iconSet" priority="18">
      <iconSet>
        <cfvo type="percent" val="0"/>
        <cfvo type="percent" val="50"/>
        <cfvo type="percent" val="90"/>
      </iconSet>
    </cfRule>
  </conditionalFormatting>
  <conditionalFormatting sqref="M3:O32">
    <cfRule type="iconSet" priority="19">
      <iconSet>
        <cfvo type="percent" val="0"/>
        <cfvo type="num" val="30"/>
        <cfvo type="num" val="60"/>
      </iconSet>
    </cfRule>
  </conditionalFormatting>
  <pageMargins left="0.7" right="0.7" top="0.75" bottom="0.75" header="0.3" footer="0.3"/>
  <pageSetup paperSize="9" scale="4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2c08957-0585-46c2-8b5f-633d6c5df5e3" xsi:nil="true"/>
    <lcf76f155ced4ddcb4097134ff3c332f xmlns="cf130514-ff48-46bf-88ff-d692fa5f132a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01614F5E3BD44D88B33D12C6DB3ED3" ma:contentTypeVersion="16" ma:contentTypeDescription="Create a new document." ma:contentTypeScope="" ma:versionID="355c89797a746212168ac3a917337747">
  <xsd:schema xmlns:xsd="http://www.w3.org/2001/XMLSchema" xmlns:xs="http://www.w3.org/2001/XMLSchema" xmlns:p="http://schemas.microsoft.com/office/2006/metadata/properties" xmlns:ns2="cf130514-ff48-46bf-88ff-d692fa5f132a" xmlns:ns3="b2c08957-0585-46c2-8b5f-633d6c5df5e3" targetNamespace="http://schemas.microsoft.com/office/2006/metadata/properties" ma:root="true" ma:fieldsID="db99c725005a5cb19d00c91c740a8c16" ns2:_="" ns3:_="">
    <xsd:import namespace="cf130514-ff48-46bf-88ff-d692fa5f132a"/>
    <xsd:import namespace="b2c08957-0585-46c2-8b5f-633d6c5df5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TaxCatchAll" minOccurs="0"/>
                <xsd:element ref="ns3:SharedWithUsers" minOccurs="0"/>
                <xsd:element ref="ns3:SharedWithDetail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130514-ff48-46bf-88ff-d692fa5f13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8dda6bb-520e-42c9-b1d9-a1eda62eff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08957-0585-46c2-8b5f-633d6c5df5e3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d35d120f-1a58-4c39-8367-2b43b97d71e2}" ma:internalName="TaxCatchAll" ma:showField="CatchAllData" ma:web="b2c08957-0585-46c2-8b5f-633d6c5df5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82D511-C595-48F6-A1C1-62CDEC51B301}">
  <ds:schemaRefs>
    <ds:schemaRef ds:uri="http://schemas.microsoft.com/office/2006/metadata/properties"/>
    <ds:schemaRef ds:uri="http://schemas.microsoft.com/office/infopath/2007/PartnerControls"/>
    <ds:schemaRef ds:uri="b2c08957-0585-46c2-8b5f-633d6c5df5e3"/>
    <ds:schemaRef ds:uri="cf130514-ff48-46bf-88ff-d692fa5f132a"/>
  </ds:schemaRefs>
</ds:datastoreItem>
</file>

<file path=customXml/itemProps2.xml><?xml version="1.0" encoding="utf-8"?>
<ds:datastoreItem xmlns:ds="http://schemas.openxmlformats.org/officeDocument/2006/customXml" ds:itemID="{F7458DF7-EB28-4FED-896E-6D7F2D9BA1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602DD1-86F0-4397-AE9D-F59007C0A5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130514-ff48-46bf-88ff-d692fa5f132a"/>
    <ds:schemaRef ds:uri="b2c08957-0585-46c2-8b5f-633d6c5df5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Screen Plate (image only)</vt:lpstr>
      <vt:lpstr>Screen Plate</vt:lpstr>
      <vt:lpstr>Calculations</vt:lpstr>
      <vt:lpstr>UPLC Data (iClass)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Rachel Kahan</dc:creator>
  <cp:keywords/>
  <dc:description/>
  <cp:lastModifiedBy>Rachel Kahan</cp:lastModifiedBy>
  <cp:revision/>
  <dcterms:created xsi:type="dcterms:W3CDTF">2022-03-02T13:01:03Z</dcterms:created>
  <dcterms:modified xsi:type="dcterms:W3CDTF">2022-10-07T13:57:03Z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0x0101000F01614F5E3BD44D88B33D12C6DB3ED3</vt:lpwstr>
  </property>
  <property fmtid="{D5CDD505-2E9C-101B-9397-08002B2CF9AE}" pid="3" name="MediaServiceImageTags">
    <vt:lpwstr/>
  </property>
</Properties>
</file>