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sciltd.sharepoint.com/sites/Reata/Shared Documents/RTA 901 Suzuki Screening and Optimization/05 - Experimental/"/>
    </mc:Choice>
  </mc:AlternateContent>
  <xr:revisionPtr revIDLastSave="467" documentId="8_{1C84A813-E281-4235-9DC9-7DC3F9B6267B}" xr6:coauthVersionLast="47" xr6:coauthVersionMax="47" xr10:uidLastSave="{37B7EC4A-02D6-42C1-B0B3-13BC551F44ED}"/>
  <bookViews>
    <workbookView xWindow="-108" yWindow="-108" windowWidth="23256" windowHeight="12576" activeTab="2" xr2:uid="{CC241E92-57FF-4F39-8FDB-5A2470B8EB1D}"/>
  </bookViews>
  <sheets>
    <sheet name="Screen Plate (image only)" sheetId="9" r:id="rId1"/>
    <sheet name="Screen Plate Costs" sheetId="10" r:id="rId2"/>
    <sheet name="Screen Plate" sheetId="1" r:id="rId3"/>
    <sheet name="Calculations" sheetId="2" r:id="rId4"/>
    <sheet name="UPLC Data (iClass)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0" l="1"/>
  <c r="J39" i="7" l="1"/>
  <c r="K39" i="7" s="1"/>
  <c r="F6" i="10"/>
  <c r="D6" i="10"/>
  <c r="B6" i="10"/>
  <c r="F4" i="10"/>
  <c r="D4" i="10"/>
  <c r="B4" i="10"/>
  <c r="G50" i="2"/>
  <c r="F45" i="2"/>
  <c r="G45" i="2"/>
  <c r="F2" i="10"/>
  <c r="D2" i="10"/>
  <c r="F50" i="2"/>
  <c r="F46" i="2"/>
  <c r="G46" i="2" s="1"/>
  <c r="F47" i="2"/>
  <c r="G47" i="2" s="1"/>
  <c r="F51" i="2"/>
  <c r="G51" i="2" s="1"/>
  <c r="F52" i="2"/>
  <c r="G52" i="2" s="1"/>
  <c r="F55" i="2"/>
  <c r="F56" i="2"/>
  <c r="G56" i="2" s="1"/>
  <c r="F57" i="2"/>
  <c r="G57" i="2" s="1"/>
  <c r="J4" i="7"/>
  <c r="K4" i="7" s="1"/>
  <c r="J5" i="7"/>
  <c r="L5" i="7" s="1"/>
  <c r="J6" i="7"/>
  <c r="K6" i="7" s="1"/>
  <c r="J7" i="7"/>
  <c r="K7" i="7" s="1"/>
  <c r="J8" i="7"/>
  <c r="L8" i="7" s="1"/>
  <c r="J9" i="7"/>
  <c r="K9" i="7" s="1"/>
  <c r="J10" i="7"/>
  <c r="K10" i="7" s="1"/>
  <c r="J11" i="7"/>
  <c r="L11" i="7" s="1"/>
  <c r="J12" i="7"/>
  <c r="L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L19" i="7" s="1"/>
  <c r="J20" i="7"/>
  <c r="K20" i="7" s="1"/>
  <c r="J21" i="7"/>
  <c r="L21" i="7" s="1"/>
  <c r="J22" i="7"/>
  <c r="L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L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40" i="7"/>
  <c r="L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L48" i="7" s="1"/>
  <c r="J49" i="7"/>
  <c r="K49" i="7" s="1"/>
  <c r="J50" i="7"/>
  <c r="K50" i="7" s="1"/>
  <c r="J3" i="7"/>
  <c r="K3" i="7" s="1"/>
  <c r="L42" i="7" l="1"/>
  <c r="K11" i="7"/>
  <c r="K40" i="7"/>
  <c r="L16" i="7"/>
  <c r="K21" i="7"/>
  <c r="L39" i="7"/>
  <c r="L18" i="7"/>
  <c r="K5" i="7"/>
  <c r="L10" i="7"/>
  <c r="L4" i="7"/>
  <c r="K30" i="7"/>
  <c r="L17" i="7"/>
  <c r="L29" i="7"/>
  <c r="L28" i="7"/>
  <c r="K48" i="7"/>
  <c r="L15" i="7"/>
  <c r="L47" i="7"/>
  <c r="L27" i="7"/>
  <c r="K12" i="7"/>
  <c r="L46" i="7"/>
  <c r="K22" i="7"/>
  <c r="L36" i="7"/>
  <c r="L45" i="7"/>
  <c r="L35" i="7"/>
  <c r="L34" i="7"/>
  <c r="L24" i="7"/>
  <c r="L41" i="7"/>
  <c r="L33" i="7"/>
  <c r="L23" i="7"/>
  <c r="L9" i="7"/>
  <c r="L7" i="7"/>
  <c r="L6" i="7"/>
  <c r="L50" i="7"/>
  <c r="L44" i="7"/>
  <c r="L38" i="7"/>
  <c r="L32" i="7"/>
  <c r="L26" i="7"/>
  <c r="L20" i="7"/>
  <c r="L14" i="7"/>
  <c r="K8" i="7"/>
  <c r="L49" i="7"/>
  <c r="L43" i="7"/>
  <c r="L37" i="7"/>
  <c r="L31" i="7"/>
  <c r="L25" i="7"/>
  <c r="K19" i="7"/>
  <c r="L13" i="7"/>
  <c r="S3" i="2" l="1"/>
  <c r="R14" i="2"/>
  <c r="R4" i="2"/>
  <c r="P13" i="2"/>
  <c r="J13" i="2" s="1"/>
  <c r="P25" i="2"/>
  <c r="J25" i="2" s="1"/>
  <c r="P24" i="2"/>
  <c r="J24" i="2" s="1"/>
  <c r="P23" i="2"/>
  <c r="J23" i="2" s="1"/>
  <c r="P22" i="2"/>
  <c r="J22" i="2" s="1"/>
  <c r="P10" i="2"/>
  <c r="J10" i="2" s="1"/>
  <c r="P11" i="2"/>
  <c r="J11" i="2" s="1"/>
  <c r="P5" i="2" l="1"/>
  <c r="T6" i="2"/>
  <c r="T5" i="2"/>
  <c r="T4" i="2"/>
  <c r="M4" i="2" l="1"/>
  <c r="B12" i="1"/>
  <c r="P7" i="2" l="1"/>
  <c r="P8" i="2"/>
  <c r="P9" i="2"/>
  <c r="P12" i="2"/>
  <c r="P14" i="2"/>
  <c r="P15" i="2"/>
  <c r="P16" i="2"/>
  <c r="J16" i="2" s="1"/>
  <c r="P17" i="2"/>
  <c r="J17" i="2" s="1"/>
  <c r="P18" i="2"/>
  <c r="J18" i="2" s="1"/>
  <c r="P19" i="2"/>
  <c r="J19" i="2" s="1"/>
  <c r="J7" i="2" l="1"/>
  <c r="J12" i="2" l="1"/>
  <c r="H28" i="2"/>
  <c r="G28" i="2" s="1"/>
  <c r="H29" i="2"/>
  <c r="G29" i="2" s="1"/>
  <c r="M50" i="7" l="1"/>
  <c r="I24" i="1"/>
  <c r="I25" i="1"/>
  <c r="N50" i="7"/>
  <c r="H25" i="1"/>
  <c r="H24" i="1"/>
  <c r="N44" i="7"/>
  <c r="M44" i="7"/>
  <c r="N38" i="7"/>
  <c r="G24" i="1"/>
  <c r="G25" i="1"/>
  <c r="M38" i="7"/>
  <c r="F25" i="1"/>
  <c r="F24" i="1"/>
  <c r="N32" i="7"/>
  <c r="M32" i="7"/>
  <c r="M26" i="7"/>
  <c r="E24" i="1"/>
  <c r="E25" i="1"/>
  <c r="N26" i="7"/>
  <c r="M20" i="7"/>
  <c r="N20" i="7"/>
  <c r="D25" i="1"/>
  <c r="D24" i="1"/>
  <c r="C24" i="1"/>
  <c r="N14" i="7"/>
  <c r="C25" i="1"/>
  <c r="M14" i="7"/>
  <c r="I21" i="1"/>
  <c r="I20" i="1"/>
  <c r="N49" i="7"/>
  <c r="M49" i="7"/>
  <c r="H21" i="1"/>
  <c r="M43" i="7"/>
  <c r="N43" i="7"/>
  <c r="H20" i="1"/>
  <c r="N37" i="7"/>
  <c r="G20" i="1"/>
  <c r="G21" i="1"/>
  <c r="M37" i="7"/>
  <c r="F20" i="1"/>
  <c r="F21" i="1"/>
  <c r="M31" i="7"/>
  <c r="N31" i="7"/>
  <c r="E21" i="1"/>
  <c r="M25" i="7"/>
  <c r="E20" i="1"/>
  <c r="N25" i="7"/>
  <c r="N19" i="7"/>
  <c r="D20" i="1"/>
  <c r="D21" i="1"/>
  <c r="M19" i="7"/>
  <c r="C21" i="1"/>
  <c r="C20" i="1"/>
  <c r="M13" i="7"/>
  <c r="N13" i="7"/>
  <c r="M48" i="7"/>
  <c r="I16" i="1"/>
  <c r="I17" i="1"/>
  <c r="N48" i="7"/>
  <c r="H17" i="1"/>
  <c r="N42" i="7"/>
  <c r="H16" i="1"/>
  <c r="M42" i="7"/>
  <c r="M36" i="7"/>
  <c r="N36" i="7"/>
  <c r="G16" i="1"/>
  <c r="G17" i="1"/>
  <c r="M30" i="7"/>
  <c r="F16" i="1"/>
  <c r="F17" i="1"/>
  <c r="N30" i="7"/>
  <c r="M24" i="7"/>
  <c r="E16" i="1"/>
  <c r="E17" i="1"/>
  <c r="N24" i="7"/>
  <c r="M18" i="7"/>
  <c r="N18" i="7"/>
  <c r="D16" i="1"/>
  <c r="D17" i="1"/>
  <c r="M12" i="7"/>
  <c r="C16" i="1"/>
  <c r="C17" i="1"/>
  <c r="N12" i="7"/>
  <c r="I12" i="1"/>
  <c r="N47" i="7"/>
  <c r="I13" i="1"/>
  <c r="M47" i="7"/>
  <c r="M41" i="7"/>
  <c r="N41" i="7"/>
  <c r="H12" i="1"/>
  <c r="H13" i="1"/>
  <c r="N35" i="7"/>
  <c r="G12" i="1"/>
  <c r="G13" i="1"/>
  <c r="M35" i="7"/>
  <c r="N29" i="7"/>
  <c r="F12" i="1"/>
  <c r="F13" i="1"/>
  <c r="M29" i="7"/>
  <c r="N23" i="7"/>
  <c r="E12" i="1"/>
  <c r="E13" i="1"/>
  <c r="M23" i="7"/>
  <c r="D13" i="1"/>
  <c r="D12" i="1"/>
  <c r="N17" i="7"/>
  <c r="M17" i="7"/>
  <c r="C12" i="1"/>
  <c r="M11" i="7"/>
  <c r="N11" i="7"/>
  <c r="C13" i="1"/>
  <c r="I9" i="1"/>
  <c r="I8" i="1"/>
  <c r="N46" i="7"/>
  <c r="M46" i="7"/>
  <c r="M40" i="7"/>
  <c r="H9" i="1"/>
  <c r="N40" i="7"/>
  <c r="H8" i="1"/>
  <c r="N34" i="7"/>
  <c r="G8" i="1"/>
  <c r="G9" i="1"/>
  <c r="M34" i="7"/>
  <c r="M28" i="7"/>
  <c r="F8" i="1"/>
  <c r="N28" i="7"/>
  <c r="F9" i="1"/>
  <c r="M22" i="7"/>
  <c r="E9" i="1"/>
  <c r="N22" i="7"/>
  <c r="E8" i="1"/>
  <c r="M16" i="7"/>
  <c r="N16" i="7"/>
  <c r="D9" i="1"/>
  <c r="D8" i="1"/>
  <c r="M10" i="7"/>
  <c r="N10" i="7"/>
  <c r="C8" i="1"/>
  <c r="C9" i="1"/>
  <c r="N45" i="7"/>
  <c r="I4" i="1"/>
  <c r="I5" i="1"/>
  <c r="M45" i="7"/>
  <c r="H4" i="1"/>
  <c r="H5" i="1"/>
  <c r="N39" i="7"/>
  <c r="M39" i="7"/>
  <c r="N33" i="7"/>
  <c r="M33" i="7"/>
  <c r="G4" i="1"/>
  <c r="G5" i="1"/>
  <c r="F4" i="1"/>
  <c r="M27" i="7"/>
  <c r="N27" i="7"/>
  <c r="F5" i="1"/>
  <c r="E4" i="1"/>
  <c r="E5" i="1"/>
  <c r="M21" i="7"/>
  <c r="N21" i="7"/>
  <c r="N15" i="7"/>
  <c r="D4" i="1"/>
  <c r="D5" i="1"/>
  <c r="M15" i="7"/>
  <c r="C4" i="1"/>
  <c r="C5" i="1"/>
  <c r="N9" i="7"/>
  <c r="M9" i="7"/>
  <c r="N8" i="7"/>
  <c r="B24" i="1"/>
  <c r="B25" i="1"/>
  <c r="M8" i="7"/>
  <c r="M7" i="7"/>
  <c r="B20" i="1"/>
  <c r="N7" i="7"/>
  <c r="B21" i="1"/>
  <c r="B16" i="1"/>
  <c r="B17" i="1"/>
  <c r="N6" i="7"/>
  <c r="M6" i="7"/>
  <c r="M5" i="7"/>
  <c r="N5" i="7"/>
  <c r="B13" i="1"/>
  <c r="N4" i="7"/>
  <c r="B8" i="1"/>
  <c r="M4" i="7"/>
  <c r="B9" i="1"/>
  <c r="P6" i="2"/>
  <c r="J6" i="2" s="1"/>
  <c r="J5" i="2"/>
  <c r="I4" i="2" l="1"/>
  <c r="I13" i="2" s="1"/>
  <c r="P4" i="2"/>
  <c r="J4" i="2" s="1"/>
  <c r="G13" i="2" l="1"/>
  <c r="H13" i="2"/>
  <c r="I25" i="2"/>
  <c r="I24" i="2"/>
  <c r="I23" i="2"/>
  <c r="I22" i="2"/>
  <c r="I11" i="2"/>
  <c r="I10" i="2"/>
  <c r="I17" i="2"/>
  <c r="I16" i="2"/>
  <c r="I18" i="2"/>
  <c r="I19" i="2"/>
  <c r="I5" i="2"/>
  <c r="I7" i="2"/>
  <c r="I12" i="2"/>
  <c r="H4" i="2"/>
  <c r="I6" i="2"/>
  <c r="M13" i="2" l="1"/>
  <c r="R13" i="2"/>
  <c r="H22" i="2"/>
  <c r="G22" i="2"/>
  <c r="R22" i="2" s="1"/>
  <c r="G23" i="2"/>
  <c r="R23" i="2" s="1"/>
  <c r="H23" i="2"/>
  <c r="H24" i="2"/>
  <c r="G24" i="2"/>
  <c r="R24" i="2" s="1"/>
  <c r="H25" i="2"/>
  <c r="G25" i="2"/>
  <c r="H10" i="2"/>
  <c r="G10" i="2"/>
  <c r="R10" i="2" s="1"/>
  <c r="G11" i="2"/>
  <c r="R11" i="2" s="1"/>
  <c r="H11" i="2"/>
  <c r="G16" i="2"/>
  <c r="R16" i="2" s="1"/>
  <c r="H16" i="2"/>
  <c r="G17" i="2"/>
  <c r="R17" i="2" s="1"/>
  <c r="H17" i="2"/>
  <c r="G5" i="2"/>
  <c r="R5" i="2" s="1"/>
  <c r="H5" i="2"/>
  <c r="G19" i="2"/>
  <c r="R19" i="2" s="1"/>
  <c r="H19" i="2"/>
  <c r="G18" i="2"/>
  <c r="R18" i="2" s="1"/>
  <c r="H18" i="2"/>
  <c r="G7" i="2"/>
  <c r="H7" i="2"/>
  <c r="G12" i="2"/>
  <c r="R12" i="2" s="1"/>
  <c r="H12" i="2"/>
  <c r="G6" i="2"/>
  <c r="H6" i="2"/>
  <c r="H30" i="2"/>
  <c r="B4" i="1"/>
  <c r="L3" i="7"/>
  <c r="B5" i="1" s="1"/>
  <c r="N3" i="7"/>
  <c r="M3" i="7"/>
  <c r="M25" i="2" l="1"/>
  <c r="R25" i="2"/>
  <c r="M24" i="2"/>
  <c r="M23" i="2"/>
  <c r="M22" i="2"/>
  <c r="M11" i="2"/>
  <c r="M10" i="2"/>
  <c r="M5" i="2"/>
  <c r="M17" i="2"/>
  <c r="M16" i="2"/>
  <c r="M18" i="2"/>
  <c r="M19" i="2"/>
  <c r="M6" i="2"/>
  <c r="M12" i="2"/>
</calcChain>
</file>

<file path=xl/sharedStrings.xml><?xml version="1.0" encoding="utf-8"?>
<sst xmlns="http://schemas.openxmlformats.org/spreadsheetml/2006/main" count="420" uniqueCount="190">
  <si>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/DPPF</t>
    </r>
  </si>
  <si>
    <t>No product formation</t>
  </si>
  <si>
    <t>A</t>
  </si>
  <si>
    <t>Acetonitrile</t>
  </si>
  <si>
    <t>Ethanol</t>
  </si>
  <si>
    <r>
      <t xml:space="preserve">60 - 85% yield </t>
    </r>
    <r>
      <rPr>
        <b/>
        <sz val="11"/>
        <color theme="1"/>
        <rFont val="Calibri"/>
        <family val="2"/>
        <scheme val="minor"/>
      </rPr>
      <t>7</t>
    </r>
  </si>
  <si>
    <t>B</t>
  </si>
  <si>
    <t>iso-propanol</t>
  </si>
  <si>
    <t>iso-amyl alcohol</t>
  </si>
  <si>
    <t>C</t>
  </si>
  <si>
    <t>Anisole</t>
  </si>
  <si>
    <t>Toluene</t>
  </si>
  <si>
    <r>
      <t xml:space="preserve">Conversions and yields are uncorrected based on relative intensity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5-desbr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7-desF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5 dimer</t>
    </r>
  </si>
  <si>
    <t>D</t>
  </si>
  <si>
    <t>2-MeTHF</t>
  </si>
  <si>
    <t>Dioxane</t>
  </si>
  <si>
    <t>E</t>
  </si>
  <si>
    <t>CPME</t>
  </si>
  <si>
    <r>
      <t>(MeCN)PdCl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/DPPF</t>
    </r>
  </si>
  <si>
    <r>
      <t>(NH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PdCl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/DPPF</t>
    </r>
  </si>
  <si>
    <r>
      <t>(DPPF)PdCl</t>
    </r>
    <r>
      <rPr>
        <vertAlign val="subscript"/>
        <sz val="10"/>
        <color theme="1"/>
        <rFont val="Calibri"/>
        <family val="2"/>
        <scheme val="minor"/>
      </rPr>
      <t>2</t>
    </r>
  </si>
  <si>
    <t>conv. %</t>
  </si>
  <si>
    <t>yield %</t>
  </si>
  <si>
    <t>2-methylTHF</t>
  </si>
  <si>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/PPh</t>
    </r>
    <r>
      <rPr>
        <vertAlign val="subscript"/>
        <sz val="10"/>
        <color theme="1"/>
        <rFont val="Calibri"/>
        <family val="2"/>
        <scheme val="minor"/>
      </rPr>
      <t>3</t>
    </r>
  </si>
  <si>
    <r>
      <t>(MeCN)PdCl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/PPh</t>
    </r>
    <r>
      <rPr>
        <vertAlign val="subscript"/>
        <sz val="10"/>
        <color theme="1"/>
        <rFont val="Calibri"/>
        <family val="2"/>
        <scheme val="minor"/>
      </rPr>
      <t>3</t>
    </r>
  </si>
  <si>
    <r>
      <t>(NH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PdCl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/PPh</t>
    </r>
    <r>
      <rPr>
        <vertAlign val="subscript"/>
        <sz val="10"/>
        <color theme="1"/>
        <rFont val="Calibri"/>
        <family val="2"/>
        <scheme val="minor"/>
      </rPr>
      <t>3</t>
    </r>
  </si>
  <si>
    <r>
      <t>(PPh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PdCl</t>
    </r>
    <r>
      <rPr>
        <vertAlign val="subscript"/>
        <sz val="10"/>
        <color theme="1"/>
        <rFont val="Calibri"/>
        <family val="2"/>
        <scheme val="minor"/>
      </rPr>
      <t>2</t>
    </r>
  </si>
  <si>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/P(o-tolyl)</t>
    </r>
    <r>
      <rPr>
        <vertAlign val="subscript"/>
        <sz val="10"/>
        <color theme="1"/>
        <rFont val="Calibri"/>
        <family val="2"/>
        <scheme val="minor"/>
      </rPr>
      <t>3</t>
    </r>
  </si>
  <si>
    <r>
      <t>(MeCN)PdCl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/P(o-tolyl)</t>
    </r>
    <r>
      <rPr>
        <vertAlign val="subscript"/>
        <sz val="10"/>
        <color theme="1"/>
        <rFont val="Calibri"/>
        <family val="2"/>
        <scheme val="minor"/>
      </rPr>
      <t>3</t>
    </r>
  </si>
  <si>
    <r>
      <t>(NH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PdCl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/P(o-tolyl)</t>
    </r>
    <r>
      <rPr>
        <vertAlign val="subscript"/>
        <sz val="10"/>
        <color theme="1"/>
        <rFont val="Calibri"/>
        <family val="2"/>
        <scheme val="minor"/>
      </rPr>
      <t>3</t>
    </r>
  </si>
  <si>
    <r>
      <t>(P(o-tolyl)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PdCl</t>
    </r>
    <r>
      <rPr>
        <vertAlign val="subscript"/>
        <sz val="10"/>
        <color theme="1"/>
        <rFont val="Calibri"/>
        <family val="2"/>
        <scheme val="minor"/>
      </rPr>
      <t>2</t>
    </r>
  </si>
  <si>
    <t>F</t>
  </si>
  <si>
    <t>Shading indicates user input required</t>
  </si>
  <si>
    <t>Shading indicated mass/vol added to plate</t>
  </si>
  <si>
    <t>Stock solutions</t>
  </si>
  <si>
    <t>Minimum mass required for stock solution</t>
  </si>
  <si>
    <t>Description</t>
  </si>
  <si>
    <t>Location</t>
  </si>
  <si>
    <t>CAS</t>
  </si>
  <si>
    <t>MW (g/mol)</t>
  </si>
  <si>
    <t>Density (g/ml)</t>
  </si>
  <si>
    <t>Equiv.</t>
  </si>
  <si>
    <t>Mass (mg)</t>
  </si>
  <si>
    <r>
      <t>Vol (</t>
    </r>
    <r>
      <rPr>
        <sz val="11"/>
        <color theme="1"/>
        <rFont val="Calibri"/>
        <family val="2"/>
      </rPr>
      <t>μL)</t>
    </r>
  </si>
  <si>
    <t>μmol</t>
  </si>
  <si>
    <t>Conc. mM</t>
  </si>
  <si>
    <t>Scale factor</t>
  </si>
  <si>
    <t>Volume (mL)</t>
  </si>
  <si>
    <t>Reagent</t>
  </si>
  <si>
    <t>5 (ArBr)</t>
  </si>
  <si>
    <t>6 (Boronic Acid)</t>
  </si>
  <si>
    <t>Potassium carbonate</t>
  </si>
  <si>
    <t>Pd(dppf)Cl2</t>
  </si>
  <si>
    <t>all stock solutions to be prepared in DCE</t>
  </si>
  <si>
    <t>Pd Precursor</t>
  </si>
  <si>
    <t>(MeCN)2PdCl2</t>
  </si>
  <si>
    <t>14592-56-4</t>
  </si>
  <si>
    <t>(NH4)2PdCl4</t>
  </si>
  <si>
    <t>13820-40-1</t>
  </si>
  <si>
    <t>[Pd(Oac)2]</t>
  </si>
  <si>
    <t>box 5, box 7, blue tray 14, others</t>
  </si>
  <si>
    <t>3375-31-3</t>
  </si>
  <si>
    <t>Na2PdCl4</t>
  </si>
  <si>
    <t>13820-53-6</t>
  </si>
  <si>
    <t>Ligand</t>
  </si>
  <si>
    <t>PPh3</t>
  </si>
  <si>
    <t xml:space="preserve">box 10, </t>
  </si>
  <si>
    <t>603-35-0</t>
  </si>
  <si>
    <t>P(otol)3</t>
  </si>
  <si>
    <t>box 10</t>
  </si>
  <si>
    <t>6163-58-2</t>
  </si>
  <si>
    <t>*JohnPhos</t>
  </si>
  <si>
    <t>box 10, green pl tray 1, orange pl tray 2</t>
  </si>
  <si>
    <t>224311-51-7</t>
  </si>
  <si>
    <t>dppf</t>
  </si>
  <si>
    <t>blue tray 16</t>
  </si>
  <si>
    <t>12150-46-8</t>
  </si>
  <si>
    <t>Preformed catalysts</t>
  </si>
  <si>
    <t>Pd(DPPF)Cl2</t>
  </si>
  <si>
    <t>72287-26-4</t>
  </si>
  <si>
    <t>Pd(PPh3)2Cl2</t>
  </si>
  <si>
    <t>13965-03-2</t>
  </si>
  <si>
    <t>Pd(o-tolyl3)2Cl2</t>
  </si>
  <si>
    <t>40691-33-6</t>
  </si>
  <si>
    <t>Solvent</t>
  </si>
  <si>
    <t>org solvent</t>
  </si>
  <si>
    <t>uL</t>
  </si>
  <si>
    <t>Water</t>
  </si>
  <si>
    <t>Volume additional solvent required?</t>
  </si>
  <si>
    <t>78.4 C</t>
  </si>
  <si>
    <t>82.5 C</t>
  </si>
  <si>
    <t>131 C</t>
  </si>
  <si>
    <t>80.2 C</t>
  </si>
  <si>
    <t>110.6 C</t>
  </si>
  <si>
    <t>101 C</t>
  </si>
  <si>
    <t>82 C</t>
  </si>
  <si>
    <t>106 C</t>
  </si>
  <si>
    <t>DMAC</t>
  </si>
  <si>
    <t>5-desBr</t>
  </si>
  <si>
    <t>Compd 5</t>
  </si>
  <si>
    <t>Compd 6</t>
  </si>
  <si>
    <t>7-desBr</t>
  </si>
  <si>
    <t>Compd7</t>
  </si>
  <si>
    <t>5 dimer</t>
  </si>
  <si>
    <t>Total others</t>
  </si>
  <si>
    <t>Uncorrected conv.</t>
  </si>
  <si>
    <t>Uncorrected yield 7</t>
  </si>
  <si>
    <t>Uncorrected yield 7-desF</t>
  </si>
  <si>
    <t>Yield dimer</t>
  </si>
  <si>
    <t>DPPFO</t>
  </si>
  <si>
    <t>P(o-tolyl)3</t>
  </si>
  <si>
    <t>0.257 min</t>
  </si>
  <si>
    <t>???</t>
  </si>
  <si>
    <t>????</t>
  </si>
  <si>
    <t>%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</si>
  <si>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</si>
  <si>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</si>
  <si>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</si>
  <si>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</si>
  <si>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</si>
  <si>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</si>
  <si>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</si>
  <si>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</si>
  <si>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</si>
  <si>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</si>
  <si>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</si>
  <si>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</si>
  <si>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</si>
  <si>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</si>
  <si>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</si>
  <si>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</si>
  <si>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</si>
  <si>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</si>
  <si>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</si>
  <si>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</si>
  <si>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</si>
  <si>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</si>
  <si>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</si>
  <si>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</si>
  <si>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</si>
  <si>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</si>
  <si>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</si>
  <si>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</si>
  <si>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</si>
  <si>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</si>
  <si>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</si>
  <si>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</si>
  <si>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</si>
  <si>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</si>
  <si>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</si>
  <si>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</si>
  <si>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</si>
  <si>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</si>
  <si>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</si>
  <si>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</si>
  <si>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</si>
  <si>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</si>
  <si>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</si>
  <si>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</si>
  <si>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</si>
  <si>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</si>
  <si>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</si>
  <si>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</si>
  <si>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PPh3O</t>
  </si>
  <si>
    <t>P(o-tolyl)3O</t>
  </si>
  <si>
    <t>3-F-PhOH</t>
  </si>
  <si>
    <t>6-dimer</t>
  </si>
  <si>
    <t>0.516 min</t>
  </si>
  <si>
    <t>0.904 min</t>
  </si>
  <si>
    <t>1.19 min</t>
  </si>
  <si>
    <t>price 5g</t>
  </si>
  <si>
    <t>price 100g</t>
  </si>
  <si>
    <t xml:space="preserve">mol </t>
  </si>
  <si>
    <t>100 g strem</t>
  </si>
  <si>
    <t>5 g sigma</t>
  </si>
  <si>
    <t>price comparison - on 5g strem unless stated otherwise</t>
  </si>
  <si>
    <t>DPPF</t>
  </si>
  <si>
    <t>&lt;90% conversion</t>
  </si>
  <si>
    <t>$/mol</t>
  </si>
  <si>
    <t>couldn't find a usd price so have scaled using exchnage rate</t>
  </si>
  <si>
    <t>&gt;30k USD/mol</t>
  </si>
  <si>
    <t>&lt;20k USD/mol</t>
  </si>
  <si>
    <t>20-30k USD/mol</t>
  </si>
  <si>
    <t>&gt;96% conversion</t>
  </si>
  <si>
    <t>90 - 96% conversion</t>
  </si>
  <si>
    <r>
      <t>Pd(OAc)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</si>
  <si>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(MeCN)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</si>
  <si>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(NH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</si>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</sst>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_(&quot;$&quot;* #,##0_);_(&quot;$&quot;* \(#,##0\);_(&quot;$&quot;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D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4" xfId="0" applyBorder="1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1" fontId="0" fillId="0" borderId="0" xfId="0" applyNumberFormat="1"/>
    <xf numFmtId="0" fontId="4" fillId="0" borderId="0" xfId="0" applyFont="1" applyAlignment="1">
      <alignment horizontal="left"/>
    </xf>
    <xf numFmtId="0" fontId="0" fillId="6" borderId="0" xfId="0" applyFill="1"/>
    <xf numFmtId="0" fontId="0" fillId="5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5" fillId="3" borderId="9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13" borderId="1" xfId="0" applyFont="1" applyFill="1" applyBorder="1" applyAlignment="1">
      <alignment horizontal="center" vertical="center"/>
    </xf>
    <xf numFmtId="0" fontId="0" fillId="12" borderId="0" xfId="0" applyFill="1"/>
    <xf numFmtId="1" fontId="0" fillId="12" borderId="0" xfId="0" applyNumberFormat="1" applyFill="1"/>
    <xf numFmtId="164" fontId="0" fillId="12" borderId="0" xfId="0" applyNumberFormat="1" applyFill="1"/>
    <xf numFmtId="0" fontId="0" fillId="12" borderId="8" xfId="0" applyFill="1" applyBorder="1"/>
    <xf numFmtId="0" fontId="0" fillId="12" borderId="4" xfId="0" applyFill="1" applyBorder="1"/>
    <xf numFmtId="0" fontId="0" fillId="14" borderId="0" xfId="0" applyFill="1"/>
    <xf numFmtId="1" fontId="0" fillId="14" borderId="0" xfId="0" applyNumberFormat="1" applyFill="1"/>
    <xf numFmtId="0" fontId="0" fillId="15" borderId="0" xfId="0" applyFill="1"/>
    <xf numFmtId="0" fontId="0" fillId="15" borderId="4" xfId="0" applyFill="1" applyBorder="1"/>
    <xf numFmtId="1" fontId="0" fillId="15" borderId="0" xfId="0" applyNumberFormat="1" applyFill="1"/>
    <xf numFmtId="164" fontId="0" fillId="15" borderId="0" xfId="0" applyNumberFormat="1" applyFill="1"/>
    <xf numFmtId="0" fontId="0" fillId="15" borderId="8" xfId="0" applyFill="1" applyBorder="1"/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wrapText="1"/>
    </xf>
    <xf numFmtId="0" fontId="0" fillId="16" borderId="0" xfId="0" applyFill="1"/>
    <xf numFmtId="1" fontId="0" fillId="16" borderId="0" xfId="0" applyNumberFormat="1" applyFill="1"/>
    <xf numFmtId="164" fontId="0" fillId="16" borderId="0" xfId="0" applyNumberFormat="1" applyFill="1"/>
    <xf numFmtId="0" fontId="0" fillId="0" borderId="0" xfId="0" applyAlignment="1">
      <alignment horizontal="center" vertical="center" wrapText="1"/>
    </xf>
    <xf numFmtId="0" fontId="0" fillId="17" borderId="0" xfId="0" applyFill="1"/>
    <xf numFmtId="0" fontId="0" fillId="0" borderId="0" xfId="0" applyFill="1"/>
    <xf numFmtId="0" fontId="0" fillId="18" borderId="0" xfId="0" applyFill="1"/>
    <xf numFmtId="165" fontId="5" fillId="17" borderId="1" xfId="0" applyNumberFormat="1" applyFont="1" applyFill="1" applyBorder="1" applyAlignment="1">
      <alignment horizontal="center" vertical="center"/>
    </xf>
    <xf numFmtId="165" fontId="5" fillId="17" borderId="2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5" fontId="5" fillId="10" borderId="2" xfId="0" applyNumberFormat="1" applyFont="1" applyFill="1" applyBorder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5" fillId="8" borderId="4" xfId="0" applyNumberFormat="1" applyFont="1" applyFill="1" applyBorder="1" applyAlignment="1">
      <alignment horizontal="center" vertical="center"/>
    </xf>
    <xf numFmtId="165" fontId="5" fillId="8" borderId="5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 vertical="center"/>
    </xf>
    <xf numFmtId="165" fontId="5" fillId="5" borderId="5" xfId="0" applyNumberFormat="1" applyFont="1" applyFill="1" applyBorder="1" applyAlignment="1">
      <alignment horizontal="center" vertical="center"/>
    </xf>
    <xf numFmtId="166" fontId="0" fillId="0" borderId="0" xfId="0" applyNumberFormat="1"/>
    <xf numFmtId="165" fontId="5" fillId="10" borderId="4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5" fillId="8" borderId="6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1" fontId="5" fillId="10" borderId="6" xfId="0" applyNumberFormat="1" applyFont="1" applyFill="1" applyBorder="1" applyAlignment="1">
      <alignment horizontal="center" vertical="center"/>
    </xf>
    <xf numFmtId="1" fontId="5" fillId="10" borderId="3" xfId="0" applyNumberFormat="1" applyFont="1" applyFill="1" applyBorder="1" applyAlignment="1">
      <alignment horizontal="center" vertical="center"/>
    </xf>
    <xf numFmtId="1" fontId="5" fillId="10" borderId="10" xfId="0" applyNumberFormat="1" applyFont="1" applyFill="1" applyBorder="1" applyAlignment="1">
      <alignment horizontal="center" vertical="center"/>
    </xf>
    <xf numFmtId="1" fontId="5" fillId="10" borderId="5" xfId="0" applyNumberFormat="1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1" fontId="5" fillId="10" borderId="11" xfId="0" applyNumberFormat="1" applyFont="1" applyFill="1" applyBorder="1" applyAlignment="1">
      <alignment horizontal="center" vertical="center"/>
    </xf>
    <xf numFmtId="1" fontId="5" fillId="10" borderId="12" xfId="0" applyNumberFormat="1" applyFont="1" applyFill="1" applyBorder="1" applyAlignment="1">
      <alignment horizontal="center" vertical="center"/>
    </xf>
    <xf numFmtId="1" fontId="5" fillId="5" borderId="11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1" fontId="5" fillId="8" borderId="11" xfId="0" applyNumberFormat="1" applyFont="1" applyFill="1" applyBorder="1" applyAlignment="1">
      <alignment horizontal="center" vertical="center"/>
    </xf>
    <xf numFmtId="1" fontId="5" fillId="8" borderId="1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  <color rgb="FFED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8174-4BF7-41F2-810A-21849335AA05}">
  <sheetPr>
    <pageSetUpPr fitToPage="1"/>
  </sheetPr>
  <dimension ref="A1:K19"/>
  <sheetViews>
    <sheetView zoomScaleNormal="100" workbookViewId="0">
      <selection sqref="A1:I19"/>
    </sheetView>
  </sheetViews>
  <sheetFormatPr defaultColWidth="20.6640625" defaultRowHeight="14.4" x14ac:dyDescent="0.3"/>
  <cols>
    <col min="1" max="1" width="4" style="1" customWidth="1"/>
    <col min="2" max="9" width="20.6640625" style="22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</row>
    <row r="2" spans="1:11" ht="13.2" customHeight="1" x14ac:dyDescent="0.3">
      <c r="B2" s="19" t="s">
        <v>0</v>
      </c>
      <c r="C2" s="19" t="s">
        <v>0</v>
      </c>
      <c r="D2" s="19" t="s">
        <v>18</v>
      </c>
      <c r="E2" s="19" t="s">
        <v>18</v>
      </c>
      <c r="F2" s="19" t="s">
        <v>19</v>
      </c>
      <c r="G2" s="19" t="s">
        <v>19</v>
      </c>
      <c r="H2" s="19" t="s">
        <v>20</v>
      </c>
      <c r="I2" s="19" t="s">
        <v>20</v>
      </c>
      <c r="K2" s="66" t="s">
        <v>1</v>
      </c>
    </row>
    <row r="3" spans="1:11" ht="13.2" customHeight="1" x14ac:dyDescent="0.3">
      <c r="A3" s="1" t="s">
        <v>2</v>
      </c>
      <c r="B3" s="24" t="s">
        <v>3</v>
      </c>
      <c r="C3" s="24" t="s">
        <v>4</v>
      </c>
      <c r="D3" s="24" t="s">
        <v>3</v>
      </c>
      <c r="E3" s="24" t="s">
        <v>4</v>
      </c>
      <c r="F3" s="24" t="s">
        <v>3</v>
      </c>
      <c r="G3" s="24" t="s">
        <v>4</v>
      </c>
      <c r="H3" s="24" t="s">
        <v>3</v>
      </c>
      <c r="I3" s="24" t="s">
        <v>4</v>
      </c>
      <c r="K3" s="66"/>
    </row>
    <row r="4" spans="1:11" ht="13.2" customHeight="1" thickBot="1" x14ac:dyDescent="0.35">
      <c r="B4" s="20"/>
      <c r="C4" s="20"/>
      <c r="D4" s="20"/>
      <c r="E4" s="20"/>
      <c r="F4" s="20"/>
      <c r="G4" s="20"/>
      <c r="H4" s="20"/>
      <c r="I4" s="21"/>
      <c r="K4" s="15"/>
    </row>
    <row r="5" spans="1:11" ht="13.2" customHeight="1" x14ac:dyDescent="0.3">
      <c r="B5" s="19" t="s">
        <v>0</v>
      </c>
      <c r="C5" s="19" t="s">
        <v>0</v>
      </c>
      <c r="D5" s="19" t="s">
        <v>18</v>
      </c>
      <c r="E5" s="19" t="s">
        <v>18</v>
      </c>
      <c r="F5" s="19" t="s">
        <v>19</v>
      </c>
      <c r="G5" s="19" t="s">
        <v>19</v>
      </c>
      <c r="H5" s="19" t="s">
        <v>20</v>
      </c>
      <c r="I5" s="19" t="s">
        <v>20</v>
      </c>
      <c r="K5" s="67" t="s">
        <v>5</v>
      </c>
    </row>
    <row r="6" spans="1:11" ht="13.2" customHeight="1" x14ac:dyDescent="0.3">
      <c r="A6" s="1" t="s">
        <v>6</v>
      </c>
      <c r="B6" s="24" t="s">
        <v>23</v>
      </c>
      <c r="C6" s="24" t="s">
        <v>11</v>
      </c>
      <c r="D6" s="24" t="s">
        <v>23</v>
      </c>
      <c r="E6" s="24" t="s">
        <v>11</v>
      </c>
      <c r="F6" s="24" t="s">
        <v>23</v>
      </c>
      <c r="G6" s="24" t="s">
        <v>11</v>
      </c>
      <c r="H6" s="24" t="s">
        <v>23</v>
      </c>
      <c r="I6" s="24" t="s">
        <v>11</v>
      </c>
      <c r="K6" s="67"/>
    </row>
    <row r="7" spans="1:11" ht="13.2" customHeight="1" thickBot="1" x14ac:dyDescent="0.35">
      <c r="B7" s="20"/>
      <c r="C7" s="20"/>
      <c r="D7" s="20"/>
      <c r="E7" s="20"/>
      <c r="F7" s="20"/>
      <c r="G7" s="20"/>
      <c r="H7" s="20"/>
      <c r="I7" s="21"/>
      <c r="K7" s="17"/>
    </row>
    <row r="8" spans="1:11" ht="13.2" customHeight="1" x14ac:dyDescent="0.3">
      <c r="B8" s="19" t="s">
        <v>24</v>
      </c>
      <c r="C8" s="19" t="s">
        <v>24</v>
      </c>
      <c r="D8" s="19" t="s">
        <v>25</v>
      </c>
      <c r="E8" s="19" t="s">
        <v>25</v>
      </c>
      <c r="F8" s="19" t="s">
        <v>26</v>
      </c>
      <c r="G8" s="19" t="s">
        <v>26</v>
      </c>
      <c r="H8" s="19" t="s">
        <v>27</v>
      </c>
      <c r="I8" s="19" t="s">
        <v>27</v>
      </c>
    </row>
    <row r="9" spans="1:11" ht="13.2" customHeight="1" x14ac:dyDescent="0.3">
      <c r="A9" s="1" t="s">
        <v>9</v>
      </c>
      <c r="B9" s="24" t="s">
        <v>3</v>
      </c>
      <c r="C9" s="24" t="s">
        <v>4</v>
      </c>
      <c r="D9" s="24" t="s">
        <v>3</v>
      </c>
      <c r="E9" s="24" t="s">
        <v>4</v>
      </c>
      <c r="F9" s="24" t="s">
        <v>3</v>
      </c>
      <c r="G9" s="24" t="s">
        <v>4</v>
      </c>
      <c r="H9" s="24" t="s">
        <v>3</v>
      </c>
      <c r="I9" s="24" t="s">
        <v>4</v>
      </c>
      <c r="K9" s="68" t="s">
        <v>12</v>
      </c>
    </row>
    <row r="10" spans="1:11" ht="13.2" customHeight="1" thickBot="1" x14ac:dyDescent="0.35">
      <c r="B10" s="20"/>
      <c r="C10" s="20"/>
      <c r="D10" s="20"/>
      <c r="E10" s="20"/>
      <c r="F10" s="20"/>
      <c r="G10" s="20"/>
      <c r="H10" s="20"/>
      <c r="I10" s="21"/>
      <c r="K10" s="68"/>
    </row>
    <row r="11" spans="1:11" ht="13.2" customHeight="1" x14ac:dyDescent="0.3">
      <c r="B11" s="19" t="s">
        <v>24</v>
      </c>
      <c r="C11" s="19" t="s">
        <v>24</v>
      </c>
      <c r="D11" s="19" t="s">
        <v>25</v>
      </c>
      <c r="E11" s="19" t="s">
        <v>25</v>
      </c>
      <c r="F11" s="19" t="s">
        <v>26</v>
      </c>
      <c r="G11" s="19" t="s">
        <v>26</v>
      </c>
      <c r="H11" s="19" t="s">
        <v>27</v>
      </c>
      <c r="I11" s="19" t="s">
        <v>27</v>
      </c>
      <c r="K11" s="68"/>
    </row>
    <row r="12" spans="1:11" ht="13.2" customHeight="1" x14ac:dyDescent="0.3">
      <c r="A12" s="1" t="s">
        <v>13</v>
      </c>
      <c r="B12" s="24" t="s">
        <v>23</v>
      </c>
      <c r="C12" s="24" t="s">
        <v>11</v>
      </c>
      <c r="D12" s="24" t="s">
        <v>23</v>
      </c>
      <c r="E12" s="24" t="s">
        <v>11</v>
      </c>
      <c r="F12" s="24" t="s">
        <v>23</v>
      </c>
      <c r="G12" s="24" t="s">
        <v>11</v>
      </c>
      <c r="H12" s="24" t="s">
        <v>23</v>
      </c>
      <c r="I12" s="24" t="s">
        <v>11</v>
      </c>
      <c r="K12" s="68"/>
    </row>
    <row r="13" spans="1:11" ht="13.2" customHeight="1" thickBot="1" x14ac:dyDescent="0.35">
      <c r="B13" s="20"/>
      <c r="C13" s="20"/>
      <c r="D13" s="20"/>
      <c r="E13" s="20"/>
      <c r="F13" s="20"/>
      <c r="G13" s="20"/>
      <c r="H13" s="20"/>
      <c r="I13" s="21"/>
    </row>
    <row r="14" spans="1:11" ht="13.2" customHeight="1" x14ac:dyDescent="0.3">
      <c r="B14" s="19" t="s">
        <v>28</v>
      </c>
      <c r="C14" s="19" t="s">
        <v>28</v>
      </c>
      <c r="D14" s="19" t="s">
        <v>29</v>
      </c>
      <c r="E14" s="19" t="s">
        <v>29</v>
      </c>
      <c r="F14" s="19" t="s">
        <v>30</v>
      </c>
      <c r="G14" s="19" t="s">
        <v>30</v>
      </c>
      <c r="H14" s="19" t="s">
        <v>31</v>
      </c>
      <c r="I14" s="19" t="s">
        <v>31</v>
      </c>
    </row>
    <row r="15" spans="1:11" ht="13.2" customHeight="1" x14ac:dyDescent="0.3">
      <c r="A15" s="1" t="s">
        <v>16</v>
      </c>
      <c r="B15" s="24" t="s">
        <v>3</v>
      </c>
      <c r="C15" s="24" t="s">
        <v>4</v>
      </c>
      <c r="D15" s="24" t="s">
        <v>3</v>
      </c>
      <c r="E15" s="24" t="s">
        <v>4</v>
      </c>
      <c r="F15" s="24" t="s">
        <v>3</v>
      </c>
      <c r="G15" s="24" t="s">
        <v>4</v>
      </c>
      <c r="H15" s="24" t="s">
        <v>3</v>
      </c>
      <c r="I15" s="24" t="s">
        <v>4</v>
      </c>
    </row>
    <row r="16" spans="1:11" ht="13.2" customHeight="1" thickBot="1" x14ac:dyDescent="0.35">
      <c r="B16" s="20"/>
      <c r="C16" s="20"/>
      <c r="D16" s="20"/>
      <c r="E16" s="20"/>
      <c r="F16" s="20"/>
      <c r="G16" s="20"/>
      <c r="H16" s="20"/>
      <c r="I16" s="21"/>
    </row>
    <row r="17" spans="1:9" ht="15" x14ac:dyDescent="0.3">
      <c r="B17" s="19" t="s">
        <v>28</v>
      </c>
      <c r="C17" s="19" t="s">
        <v>28</v>
      </c>
      <c r="D17" s="19" t="s">
        <v>29</v>
      </c>
      <c r="E17" s="19" t="s">
        <v>29</v>
      </c>
      <c r="F17" s="19" t="s">
        <v>30</v>
      </c>
      <c r="G17" s="19" t="s">
        <v>30</v>
      </c>
      <c r="H17" s="19" t="s">
        <v>31</v>
      </c>
      <c r="I17" s="19" t="s">
        <v>31</v>
      </c>
    </row>
    <row r="18" spans="1:9" x14ac:dyDescent="0.3">
      <c r="A18" s="1" t="s">
        <v>32</v>
      </c>
      <c r="B18" s="24" t="s">
        <v>23</v>
      </c>
      <c r="C18" s="24" t="s">
        <v>11</v>
      </c>
      <c r="D18" s="24" t="s">
        <v>23</v>
      </c>
      <c r="E18" s="24" t="s">
        <v>11</v>
      </c>
      <c r="F18" s="24" t="s">
        <v>23</v>
      </c>
      <c r="G18" s="24" t="s">
        <v>11</v>
      </c>
      <c r="H18" s="24" t="s">
        <v>23</v>
      </c>
      <c r="I18" s="24" t="s">
        <v>11</v>
      </c>
    </row>
    <row r="19" spans="1:9" ht="15" thickBot="1" x14ac:dyDescent="0.35">
      <c r="B19" s="20"/>
      <c r="C19" s="20"/>
      <c r="D19" s="20"/>
      <c r="E19" s="20"/>
      <c r="F19" s="20"/>
      <c r="G19" s="20"/>
      <c r="H19" s="20"/>
      <c r="I19" s="21"/>
    </row>
  </sheetData>
  <mergeCells count="3">
    <mergeCell ref="K2:K3"/>
    <mergeCell ref="K5:K6"/>
    <mergeCell ref="K9:K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F80-E4B8-4236-A347-7DDF9F197976}">
  <dimension ref="A1:K10"/>
  <sheetViews>
    <sheetView zoomScaleNormal="100" workbookViewId="0">
      <selection sqref="A1:I10"/>
    </sheetView>
  </sheetViews>
  <sheetFormatPr defaultColWidth="20.6640625" defaultRowHeight="14.4" x14ac:dyDescent="0.3"/>
  <cols>
    <col min="1" max="1" width="11.21875" style="1" customWidth="1"/>
    <col min="2" max="9" width="15.77734375" style="1" customWidth="1"/>
    <col min="10" max="10" width="3.6640625" style="1" customWidth="1"/>
    <col min="11" max="16384" width="20.6640625" style="1"/>
  </cols>
  <sheetData>
    <row r="1" spans="1:11" ht="17.399999999999999" customHeight="1" thickBot="1" x14ac:dyDescent="0.35">
      <c r="B1" s="63" t="s">
        <v>186</v>
      </c>
      <c r="C1" s="65">
        <v>18005.701999999997</v>
      </c>
      <c r="D1" s="63" t="s">
        <v>187</v>
      </c>
      <c r="E1" s="65">
        <v>21531.030000000002</v>
      </c>
      <c r="F1" s="63" t="s">
        <v>188</v>
      </c>
      <c r="G1" s="65">
        <v>16375.104000000001</v>
      </c>
      <c r="H1" s="64" t="s">
        <v>189</v>
      </c>
    </row>
    <row r="2" spans="1:11" ht="13.2" customHeight="1" x14ac:dyDescent="0.3">
      <c r="A2" s="63" t="s">
        <v>177</v>
      </c>
      <c r="B2" s="69">
        <f>$A$3+C1</f>
        <v>28649.797999999995</v>
      </c>
      <c r="C2" s="70"/>
      <c r="D2" s="77">
        <f>$A$3+E1</f>
        <v>32175.126000000004</v>
      </c>
      <c r="E2" s="78"/>
      <c r="F2" s="69">
        <f>$A$3+G1</f>
        <v>27019.200000000001</v>
      </c>
      <c r="G2" s="70"/>
      <c r="H2" s="77">
        <v>36182</v>
      </c>
      <c r="I2" s="78"/>
      <c r="K2" s="66"/>
    </row>
    <row r="3" spans="1:11" ht="13.2" customHeight="1" thickBot="1" x14ac:dyDescent="0.35">
      <c r="A3" s="65">
        <v>10644.096</v>
      </c>
      <c r="B3" s="71"/>
      <c r="C3" s="72"/>
      <c r="D3" s="79"/>
      <c r="E3" s="80"/>
      <c r="F3" s="71"/>
      <c r="G3" s="72"/>
      <c r="H3" s="79"/>
      <c r="I3" s="80"/>
      <c r="K3" s="66"/>
    </row>
    <row r="4" spans="1:11" ht="13.2" customHeight="1" x14ac:dyDescent="0.3">
      <c r="A4" s="63" t="s">
        <v>66</v>
      </c>
      <c r="B4" s="73">
        <f>(2*$A$5)+C1</f>
        <v>18142.092799999999</v>
      </c>
      <c r="C4" s="74"/>
      <c r="D4" s="69">
        <f>(2*$A$5)+E1</f>
        <v>21667.420800000004</v>
      </c>
      <c r="E4" s="70"/>
      <c r="F4" s="73">
        <f>(2*$A$5)+G1</f>
        <v>16511.4948</v>
      </c>
      <c r="G4" s="74"/>
      <c r="H4" s="77">
        <v>30602.84</v>
      </c>
      <c r="I4" s="78"/>
    </row>
    <row r="5" spans="1:11" ht="13.2" customHeight="1" thickBot="1" x14ac:dyDescent="0.35">
      <c r="A5" s="65">
        <v>68.195400000000006</v>
      </c>
      <c r="B5" s="75"/>
      <c r="C5" s="76"/>
      <c r="D5" s="71"/>
      <c r="E5" s="72"/>
      <c r="F5" s="75"/>
      <c r="G5" s="76"/>
      <c r="H5" s="79"/>
      <c r="I5" s="80"/>
      <c r="K5" s="42"/>
    </row>
    <row r="6" spans="1:11" ht="13.2" customHeight="1" x14ac:dyDescent="0.3">
      <c r="A6" s="63" t="s">
        <v>111</v>
      </c>
      <c r="B6" s="69">
        <f>(2*$A$7)+C1</f>
        <v>26528.061999999998</v>
      </c>
      <c r="C6" s="70"/>
      <c r="D6" s="77">
        <f>(2*$A$7)+E1</f>
        <v>30053.39</v>
      </c>
      <c r="E6" s="78"/>
      <c r="F6" s="69">
        <f>(2*$A$7)+G1</f>
        <v>24897.464</v>
      </c>
      <c r="G6" s="70"/>
      <c r="H6" s="69">
        <v>25153.919999999998</v>
      </c>
      <c r="I6" s="70"/>
      <c r="K6" s="68"/>
    </row>
    <row r="7" spans="1:11" ht="13.2" customHeight="1" thickBot="1" x14ac:dyDescent="0.35">
      <c r="A7" s="65">
        <v>4261.1799999999994</v>
      </c>
      <c r="B7" s="71"/>
      <c r="C7" s="72"/>
      <c r="D7" s="79"/>
      <c r="E7" s="80"/>
      <c r="F7" s="71"/>
      <c r="G7" s="72"/>
      <c r="H7" s="71"/>
      <c r="I7" s="72"/>
      <c r="K7" s="68"/>
    </row>
    <row r="9" spans="1:11" x14ac:dyDescent="0.3">
      <c r="B9" s="83" t="s">
        <v>181</v>
      </c>
      <c r="D9" s="85" t="s">
        <v>183</v>
      </c>
      <c r="F9" s="81" t="s">
        <v>182</v>
      </c>
    </row>
    <row r="10" spans="1:11" x14ac:dyDescent="0.3">
      <c r="B10" s="84"/>
      <c r="D10" s="86"/>
      <c r="F10" s="82"/>
    </row>
  </sheetData>
  <mergeCells count="17">
    <mergeCell ref="F9:F10"/>
    <mergeCell ref="D4:E5"/>
    <mergeCell ref="D6:E7"/>
    <mergeCell ref="B6:C7"/>
    <mergeCell ref="B4:C5"/>
    <mergeCell ref="B9:B10"/>
    <mergeCell ref="D9:D10"/>
    <mergeCell ref="B2:C3"/>
    <mergeCell ref="D2:E3"/>
    <mergeCell ref="F2:G3"/>
    <mergeCell ref="H2:I3"/>
    <mergeCell ref="H4:I5"/>
    <mergeCell ref="H6:I7"/>
    <mergeCell ref="F6:G7"/>
    <mergeCell ref="F4:G5"/>
    <mergeCell ref="K2:K3"/>
    <mergeCell ref="K6:K7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90E-5EF1-4502-9AEB-23DD5662E534}">
  <sheetPr codeName="Sheet1"/>
  <dimension ref="A1:K28"/>
  <sheetViews>
    <sheetView tabSelected="1" zoomScaleNormal="100" workbookViewId="0">
      <selection sqref="A1:K25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1" ht="13.2" customHeight="1" x14ac:dyDescent="0.3">
      <c r="B2" s="19" t="s">
        <v>0</v>
      </c>
      <c r="C2" s="19" t="s">
        <v>0</v>
      </c>
      <c r="D2" s="19" t="s">
        <v>18</v>
      </c>
      <c r="E2" s="19" t="s">
        <v>18</v>
      </c>
      <c r="F2" s="19" t="s">
        <v>19</v>
      </c>
      <c r="G2" s="19" t="s">
        <v>19</v>
      </c>
      <c r="H2" s="19" t="s">
        <v>20</v>
      </c>
      <c r="I2" s="19" t="s">
        <v>20</v>
      </c>
      <c r="K2" s="66" t="s">
        <v>1</v>
      </c>
    </row>
    <row r="3" spans="1:11" ht="13.2" customHeight="1" x14ac:dyDescent="0.3">
      <c r="A3" s="1" t="s">
        <v>2</v>
      </c>
      <c r="B3" s="24" t="s">
        <v>3</v>
      </c>
      <c r="C3" s="24" t="s">
        <v>4</v>
      </c>
      <c r="D3" s="24" t="s">
        <v>3</v>
      </c>
      <c r="E3" s="24" t="s">
        <v>4</v>
      </c>
      <c r="F3" s="24" t="s">
        <v>3</v>
      </c>
      <c r="G3" s="24" t="s">
        <v>4</v>
      </c>
      <c r="H3" s="24" t="s">
        <v>3</v>
      </c>
      <c r="I3" s="24" t="s">
        <v>4</v>
      </c>
      <c r="K3" s="66"/>
    </row>
    <row r="4" spans="1:11" ht="13.2" customHeight="1" x14ac:dyDescent="0.3">
      <c r="A4" s="1" t="s">
        <v>21</v>
      </c>
      <c r="B4" s="48">
        <f>'UPLC Data (iClass)'!K3</f>
        <v>97.867892976588621</v>
      </c>
      <c r="C4" s="48">
        <f>'UPLC Data (iClass)'!K9</f>
        <v>96.369904684648134</v>
      </c>
      <c r="D4" s="48">
        <f>'UPLC Data (iClass)'!K15</f>
        <v>98.486730660643687</v>
      </c>
      <c r="E4" s="48">
        <f>'UPLC Data (iClass)'!K21</f>
        <v>96.320258794985847</v>
      </c>
      <c r="F4" s="50">
        <f>'UPLC Data (iClass)'!K27</f>
        <v>97.341274061469747</v>
      </c>
      <c r="G4" s="51">
        <f>'UPLC Data (iClass)'!K33</f>
        <v>95.25316455696202</v>
      </c>
      <c r="H4" s="46">
        <f>'UPLC Data (iClass)'!K39</f>
        <v>25.225692642938693</v>
      </c>
      <c r="I4" s="60">
        <f>'UPLC Data (iClass)'!K45</f>
        <v>96.161616161616166</v>
      </c>
      <c r="K4" s="87" t="s">
        <v>178</v>
      </c>
    </row>
    <row r="5" spans="1:11" ht="13.2" customHeight="1" thickBot="1" x14ac:dyDescent="0.35">
      <c r="A5" s="1" t="s">
        <v>22</v>
      </c>
      <c r="B5" s="49">
        <f>'UPLC Data (iClass)'!L3</f>
        <v>70.662625418060202</v>
      </c>
      <c r="C5" s="49">
        <f>'UPLC Data (iClass)'!L9</f>
        <v>63.688906915432973</v>
      </c>
      <c r="D5" s="49">
        <f>'UPLC Data (iClass)'!L15</f>
        <v>68.650479954827773</v>
      </c>
      <c r="E5" s="49">
        <f>'UPLC Data (iClass)'!L21</f>
        <v>75.515568135867369</v>
      </c>
      <c r="F5" s="49">
        <f>'UPLC Data (iClass)'!L27</f>
        <v>82.218440923109625</v>
      </c>
      <c r="G5" s="52">
        <f>'UPLC Data (iClass)'!L33</f>
        <v>73.856676194365036</v>
      </c>
      <c r="H5" s="47">
        <f>'UPLC Data (iClass)'!L39</f>
        <v>9.3493825879423049</v>
      </c>
      <c r="I5" s="61">
        <f>'UPLC Data (iClass)'!L45</f>
        <v>73.191919191919183</v>
      </c>
      <c r="K5" s="87"/>
    </row>
    <row r="6" spans="1:11" ht="13.2" customHeight="1" x14ac:dyDescent="0.3">
      <c r="B6" s="19" t="s">
        <v>0</v>
      </c>
      <c r="C6" s="19" t="s">
        <v>0</v>
      </c>
      <c r="D6" s="19" t="s">
        <v>18</v>
      </c>
      <c r="E6" s="19" t="s">
        <v>18</v>
      </c>
      <c r="F6" s="19" t="s">
        <v>19</v>
      </c>
      <c r="G6" s="19" t="s">
        <v>19</v>
      </c>
      <c r="H6" s="19" t="s">
        <v>20</v>
      </c>
      <c r="I6" s="19" t="s">
        <v>20</v>
      </c>
      <c r="K6" s="67" t="s">
        <v>185</v>
      </c>
    </row>
    <row r="7" spans="1:11" ht="13.2" customHeight="1" x14ac:dyDescent="0.3">
      <c r="A7" s="1" t="s">
        <v>6</v>
      </c>
      <c r="B7" s="24" t="s">
        <v>23</v>
      </c>
      <c r="C7" s="24" t="s">
        <v>11</v>
      </c>
      <c r="D7" s="24" t="s">
        <v>23</v>
      </c>
      <c r="E7" s="24" t="s">
        <v>11</v>
      </c>
      <c r="F7" s="24" t="s">
        <v>23</v>
      </c>
      <c r="G7" s="24" t="s">
        <v>11</v>
      </c>
      <c r="H7" s="24" t="s">
        <v>23</v>
      </c>
      <c r="I7" s="24" t="s">
        <v>11</v>
      </c>
      <c r="K7" s="67"/>
    </row>
    <row r="8" spans="1:11" ht="13.2" customHeight="1" x14ac:dyDescent="0.3">
      <c r="A8" s="1" t="s">
        <v>21</v>
      </c>
      <c r="B8" s="48">
        <f>'UPLC Data (iClass)'!K4</f>
        <v>98.710691823899367</v>
      </c>
      <c r="C8" s="51">
        <f>'UPLC Data (iClass)'!K10</f>
        <v>92.9</v>
      </c>
      <c r="D8" s="51">
        <f>'UPLC Data (iClass)'!K16</f>
        <v>95.109699945890213</v>
      </c>
      <c r="E8" s="51">
        <f>'UPLC Data (iClass)'!K22</f>
        <v>90.628790942175499</v>
      </c>
      <c r="F8" s="48">
        <f>'UPLC Data (iClass)'!K28</f>
        <v>97.462932454695206</v>
      </c>
      <c r="G8" s="55">
        <f>'UPLC Data (iClass)'!K34</f>
        <v>55.352580480327028</v>
      </c>
      <c r="H8" s="48">
        <f>'UPLC Data (iClass)'!K40</f>
        <v>96.596858638743456</v>
      </c>
      <c r="I8" s="53">
        <f>'UPLC Data (iClass)'!K46</f>
        <v>94.7</v>
      </c>
      <c r="K8" s="88" t="s">
        <v>184</v>
      </c>
    </row>
    <row r="9" spans="1:11" ht="13.2" customHeight="1" thickBot="1" x14ac:dyDescent="0.35">
      <c r="A9" s="1" t="s">
        <v>22</v>
      </c>
      <c r="B9" s="49">
        <f>'UPLC Data (iClass)'!L4</f>
        <v>67.295597484276726</v>
      </c>
      <c r="C9" s="52">
        <f>'UPLC Data (iClass)'!L10</f>
        <v>67.36</v>
      </c>
      <c r="D9" s="52">
        <f>'UPLC Data (iClass)'!L16</f>
        <v>74.538790595105624</v>
      </c>
      <c r="E9" s="52">
        <f>'UPLC Data (iClass)'!L22</f>
        <v>56.378892033966842</v>
      </c>
      <c r="F9" s="49">
        <f>'UPLC Data (iClass)'!L28</f>
        <v>80.867655134541451</v>
      </c>
      <c r="G9" s="56">
        <f>'UPLC Data (iClass)'!L34</f>
        <v>24.003576903423607</v>
      </c>
      <c r="H9" s="49">
        <f>'UPLC Data (iClass)'!L40</f>
        <v>80.837696335078533</v>
      </c>
      <c r="I9" s="54">
        <f>'UPLC Data (iClass)'!L46</f>
        <v>73.08</v>
      </c>
      <c r="K9" s="88"/>
    </row>
    <row r="10" spans="1:11" ht="13.2" customHeight="1" x14ac:dyDescent="0.3">
      <c r="B10" s="19" t="s">
        <v>24</v>
      </c>
      <c r="C10" s="19" t="s">
        <v>24</v>
      </c>
      <c r="D10" s="19" t="s">
        <v>25</v>
      </c>
      <c r="E10" s="19" t="s">
        <v>25</v>
      </c>
      <c r="F10" s="19" t="s">
        <v>26</v>
      </c>
      <c r="G10" s="19" t="s">
        <v>26</v>
      </c>
      <c r="H10" s="19" t="s">
        <v>27</v>
      </c>
      <c r="I10" s="19" t="s">
        <v>27</v>
      </c>
    </row>
    <row r="11" spans="1:11" ht="13.2" customHeight="1" x14ac:dyDescent="0.3">
      <c r="A11" s="1" t="s">
        <v>9</v>
      </c>
      <c r="B11" s="24" t="s">
        <v>3</v>
      </c>
      <c r="C11" s="24" t="s">
        <v>4</v>
      </c>
      <c r="D11" s="24" t="s">
        <v>3</v>
      </c>
      <c r="E11" s="24" t="s">
        <v>4</v>
      </c>
      <c r="F11" s="24" t="s">
        <v>3</v>
      </c>
      <c r="G11" s="24" t="s">
        <v>4</v>
      </c>
      <c r="H11" s="24" t="s">
        <v>3</v>
      </c>
      <c r="I11" s="24" t="s">
        <v>4</v>
      </c>
      <c r="K11" s="68" t="s">
        <v>12</v>
      </c>
    </row>
    <row r="12" spans="1:11" ht="13.2" customHeight="1" x14ac:dyDescent="0.3">
      <c r="A12" s="1" t="s">
        <v>21</v>
      </c>
      <c r="B12" s="51">
        <f>'UPLC Data (iClass)'!K5</f>
        <v>94.484337600166526</v>
      </c>
      <c r="C12" s="51">
        <f>'UPLC Data (iClass)'!K11</f>
        <v>93.469470279013336</v>
      </c>
      <c r="D12" s="51">
        <f>'UPLC Data (iClass)'!K17</f>
        <v>93.34880904319742</v>
      </c>
      <c r="E12" s="51">
        <f>'UPLC Data (iClass)'!K23</f>
        <v>93.279434057604846</v>
      </c>
      <c r="F12" s="51">
        <f>'UPLC Data (iClass)'!K29</f>
        <v>94.333446212890848</v>
      </c>
      <c r="G12" s="51">
        <f>'UPLC Data (iClass)'!K35</f>
        <v>94.424876723357144</v>
      </c>
      <c r="H12" s="51">
        <f>'UPLC Data (iClass)'!K41</f>
        <v>92.956728286688019</v>
      </c>
      <c r="I12" s="53">
        <f>'UPLC Data (iClass)'!K47</f>
        <v>94.097115285904948</v>
      </c>
      <c r="K12" s="68"/>
    </row>
    <row r="13" spans="1:11" ht="13.2" customHeight="1" thickBot="1" x14ac:dyDescent="0.35">
      <c r="A13" s="1" t="s">
        <v>22</v>
      </c>
      <c r="B13" s="52">
        <f>'UPLC Data (iClass)'!L5</f>
        <v>53.793318763659073</v>
      </c>
      <c r="C13" s="52">
        <f>'UPLC Data (iClass)'!L11</f>
        <v>62.120905782450464</v>
      </c>
      <c r="D13" s="52">
        <f>'UPLC Data (iClass)'!L17</f>
        <v>65.865966895438035</v>
      </c>
      <c r="E13" s="52">
        <f>'UPLC Data (iClass)'!L23</f>
        <v>64.4365841334007</v>
      </c>
      <c r="F13" s="52">
        <f>'UPLC Data (iClass)'!L29</f>
        <v>67.693870640027086</v>
      </c>
      <c r="G13" s="52">
        <f>'UPLC Data (iClass)'!L35</f>
        <v>69.960752742276341</v>
      </c>
      <c r="H13" s="52">
        <f>'UPLC Data (iClass)'!L41</f>
        <v>63.089951461323992</v>
      </c>
      <c r="I13" s="54">
        <f>'UPLC Data (iClass)'!L47</f>
        <v>61.923827122472034</v>
      </c>
      <c r="K13" s="68"/>
    </row>
    <row r="14" spans="1:11" ht="13.2" customHeight="1" x14ac:dyDescent="0.3">
      <c r="B14" s="19" t="s">
        <v>24</v>
      </c>
      <c r="C14" s="19" t="s">
        <v>24</v>
      </c>
      <c r="D14" s="19" t="s">
        <v>25</v>
      </c>
      <c r="E14" s="19" t="s">
        <v>25</v>
      </c>
      <c r="F14" s="19" t="s">
        <v>26</v>
      </c>
      <c r="G14" s="19" t="s">
        <v>26</v>
      </c>
      <c r="H14" s="19" t="s">
        <v>27</v>
      </c>
      <c r="I14" s="19" t="s">
        <v>27</v>
      </c>
      <c r="K14" s="68"/>
    </row>
    <row r="15" spans="1:11" ht="13.2" customHeight="1" x14ac:dyDescent="0.3">
      <c r="A15" s="1" t="s">
        <v>13</v>
      </c>
      <c r="B15" s="24" t="s">
        <v>23</v>
      </c>
      <c r="C15" s="24" t="s">
        <v>11</v>
      </c>
      <c r="D15" s="24" t="s">
        <v>23</v>
      </c>
      <c r="E15" s="24" t="s">
        <v>11</v>
      </c>
      <c r="F15" s="24" t="s">
        <v>23</v>
      </c>
      <c r="G15" s="24" t="s">
        <v>11</v>
      </c>
      <c r="H15" s="24" t="s">
        <v>23</v>
      </c>
      <c r="I15" s="24" t="s">
        <v>11</v>
      </c>
      <c r="K15" s="68"/>
    </row>
    <row r="16" spans="1:11" ht="13.2" customHeight="1" x14ac:dyDescent="0.3">
      <c r="A16" s="1" t="s">
        <v>21</v>
      </c>
      <c r="B16" s="51">
        <f>'UPLC Data (iClass)'!K6</f>
        <v>90.024257125530625</v>
      </c>
      <c r="C16" s="55">
        <f>'UPLC Data (iClass)'!K12</f>
        <v>85.57556139995954</v>
      </c>
      <c r="D16" s="51">
        <f>'UPLC Data (iClass)'!K18</f>
        <v>95.238576627577842</v>
      </c>
      <c r="E16" s="55">
        <f>'UPLC Data (iClass)'!K24</f>
        <v>78.9861658083409</v>
      </c>
      <c r="F16" s="51">
        <f>'UPLC Data (iClass)'!K30</f>
        <v>95.487106017191977</v>
      </c>
      <c r="G16" s="55">
        <f>'UPLC Data (iClass)'!K36</f>
        <v>58.809774348181932</v>
      </c>
      <c r="H16" s="51">
        <f>'UPLC Data (iClass)'!K42</f>
        <v>93.13170139591341</v>
      </c>
      <c r="I16" s="57">
        <f>'UPLC Data (iClass)'!K48</f>
        <v>87.813511326860848</v>
      </c>
      <c r="K16" s="68"/>
    </row>
    <row r="17" spans="1:11" ht="13.2" customHeight="1" thickBot="1" x14ac:dyDescent="0.35">
      <c r="A17" s="1" t="s">
        <v>22</v>
      </c>
      <c r="B17" s="52">
        <f>'UPLC Data (iClass)'!L6</f>
        <v>63.402061855670105</v>
      </c>
      <c r="C17" s="56">
        <f>'UPLC Data (iClass)'!L12</f>
        <v>54.60246813675905</v>
      </c>
      <c r="D17" s="52">
        <f>'UPLC Data (iClass)'!L18</f>
        <v>74.130610594419736</v>
      </c>
      <c r="E17" s="56">
        <f>'UPLC Data (iClass)'!L24</f>
        <v>68.464101787337171</v>
      </c>
      <c r="F17" s="52">
        <f>'UPLC Data (iClass)'!L30</f>
        <v>76.135898485468701</v>
      </c>
      <c r="G17" s="56">
        <f>'UPLC Data (iClass)'!L36</f>
        <v>17.479247047819477</v>
      </c>
      <c r="H17" s="52">
        <f>'UPLC Data (iClass)'!L42</f>
        <v>71.474812866680153</v>
      </c>
      <c r="I17" s="58">
        <f>'UPLC Data (iClass)'!L48</f>
        <v>60.416666666666671</v>
      </c>
    </row>
    <row r="18" spans="1:11" ht="13.2" customHeight="1" x14ac:dyDescent="0.3">
      <c r="B18" s="19" t="s">
        <v>28</v>
      </c>
      <c r="C18" s="19" t="s">
        <v>28</v>
      </c>
      <c r="D18" s="19" t="s">
        <v>29</v>
      </c>
      <c r="E18" s="19" t="s">
        <v>29</v>
      </c>
      <c r="F18" s="19" t="s">
        <v>30</v>
      </c>
      <c r="G18" s="19" t="s">
        <v>30</v>
      </c>
      <c r="H18" s="19" t="s">
        <v>31</v>
      </c>
      <c r="I18" s="19" t="s">
        <v>31</v>
      </c>
      <c r="K18" s="68"/>
    </row>
    <row r="19" spans="1:11" ht="13.2" customHeight="1" x14ac:dyDescent="0.3">
      <c r="A19" s="1" t="s">
        <v>16</v>
      </c>
      <c r="B19" s="24" t="s">
        <v>3</v>
      </c>
      <c r="C19" s="24" t="s">
        <v>4</v>
      </c>
      <c r="D19" s="24" t="s">
        <v>3</v>
      </c>
      <c r="E19" s="24" t="s">
        <v>4</v>
      </c>
      <c r="F19" s="24" t="s">
        <v>3</v>
      </c>
      <c r="G19" s="24" t="s">
        <v>4</v>
      </c>
      <c r="H19" s="24" t="s">
        <v>3</v>
      </c>
      <c r="I19" s="24" t="s">
        <v>4</v>
      </c>
      <c r="K19" s="68"/>
    </row>
    <row r="20" spans="1:11" ht="13.2" customHeight="1" x14ac:dyDescent="0.3">
      <c r="A20" s="1" t="s">
        <v>21</v>
      </c>
      <c r="B20" s="48">
        <f>'UPLC Data (iClass)'!K7</f>
        <v>97.118009910001021</v>
      </c>
      <c r="C20" s="51">
        <f>'UPLC Data (iClass)'!K13</f>
        <v>93.519177942822253</v>
      </c>
      <c r="D20" s="48">
        <f>'UPLC Data (iClass)'!K19</f>
        <v>97.613975287601193</v>
      </c>
      <c r="E20" s="51">
        <f>'UPLC Data (iClass)'!K25</f>
        <v>95.319495319495317</v>
      </c>
      <c r="F20" s="48">
        <f>'UPLC Data (iClass)'!K31</f>
        <v>98.12448716445904</v>
      </c>
      <c r="G20" s="48">
        <f>'UPLC Data (iClass)'!K37</f>
        <v>97.507788161993773</v>
      </c>
      <c r="H20" s="48">
        <f>'UPLC Data (iClass)'!K43</f>
        <v>97.320692497939007</v>
      </c>
      <c r="I20" s="53">
        <f>'UPLC Data (iClass)'!K49</f>
        <v>94.33885142039648</v>
      </c>
      <c r="K20" s="68"/>
    </row>
    <row r="21" spans="1:11" ht="13.2" customHeight="1" thickBot="1" x14ac:dyDescent="0.35">
      <c r="A21" s="1" t="s">
        <v>22</v>
      </c>
      <c r="B21" s="49">
        <f>'UPLC Data (iClass)'!L7</f>
        <v>82.991202346041064</v>
      </c>
      <c r="C21" s="52">
        <f>'UPLC Data (iClass)'!L13</f>
        <v>79.845355580425263</v>
      </c>
      <c r="D21" s="49">
        <f>'UPLC Data (iClass)'!L19</f>
        <v>86.408180656156802</v>
      </c>
      <c r="E21" s="52">
        <f>'UPLC Data (iClass)'!L25</f>
        <v>81.03378103378104</v>
      </c>
      <c r="F21" s="49">
        <f>'UPLC Data (iClass)'!L31</f>
        <v>89.262689016527986</v>
      </c>
      <c r="G21" s="49">
        <f>'UPLC Data (iClass)'!L37</f>
        <v>82.616822429906549</v>
      </c>
      <c r="H21" s="49">
        <f>'UPLC Data (iClass)'!L43</f>
        <v>84.284830997526797</v>
      </c>
      <c r="I21" s="54">
        <f>'UPLC Data (iClass)'!L49</f>
        <v>82.015123646024946</v>
      </c>
      <c r="K21" s="68"/>
    </row>
    <row r="22" spans="1:11" ht="13.2" customHeight="1" x14ac:dyDescent="0.3">
      <c r="B22" s="19" t="s">
        <v>28</v>
      </c>
      <c r="C22" s="19" t="s">
        <v>28</v>
      </c>
      <c r="D22" s="19" t="s">
        <v>29</v>
      </c>
      <c r="E22" s="19" t="s">
        <v>29</v>
      </c>
      <c r="F22" s="19" t="s">
        <v>30</v>
      </c>
      <c r="G22" s="19" t="s">
        <v>30</v>
      </c>
      <c r="H22" s="19" t="s">
        <v>31</v>
      </c>
      <c r="I22" s="19" t="s">
        <v>31</v>
      </c>
      <c r="K22" s="68"/>
    </row>
    <row r="23" spans="1:11" ht="13.2" customHeight="1" x14ac:dyDescent="0.3">
      <c r="A23" s="1" t="s">
        <v>32</v>
      </c>
      <c r="B23" s="24" t="s">
        <v>23</v>
      </c>
      <c r="C23" s="24" t="s">
        <v>11</v>
      </c>
      <c r="D23" s="24" t="s">
        <v>23</v>
      </c>
      <c r="E23" s="24" t="s">
        <v>11</v>
      </c>
      <c r="F23" s="24" t="s">
        <v>23</v>
      </c>
      <c r="G23" s="24" t="s">
        <v>11</v>
      </c>
      <c r="H23" s="24" t="s">
        <v>23</v>
      </c>
      <c r="I23" s="24" t="s">
        <v>11</v>
      </c>
      <c r="K23" s="68"/>
    </row>
    <row r="24" spans="1:11" ht="13.2" customHeight="1" x14ac:dyDescent="0.3">
      <c r="A24" s="1" t="s">
        <v>21</v>
      </c>
      <c r="B24" s="55">
        <f>'UPLC Data (iClass)'!K8</f>
        <v>82.3756345177665</v>
      </c>
      <c r="C24" s="51">
        <f>'UPLC Data (iClass)'!K14</f>
        <v>93.561838893409288</v>
      </c>
      <c r="D24" s="51">
        <f>'UPLC Data (iClass)'!K20</f>
        <v>92.29041151843154</v>
      </c>
      <c r="E24" s="51">
        <f>'UPLC Data (iClass)'!K26</f>
        <v>94.606399187404776</v>
      </c>
      <c r="F24" s="48">
        <f>'UPLC Data (iClass)'!K32</f>
        <v>96.690580884054611</v>
      </c>
      <c r="G24" s="48">
        <f>'UPLC Data (iClass)'!K38</f>
        <v>96.131805157593121</v>
      </c>
      <c r="H24" s="55">
        <f>'UPLC Data (iClass)'!K44</f>
        <v>81.15616382391994</v>
      </c>
      <c r="I24" s="53">
        <f>'UPLC Data (iClass)'!K50</f>
        <v>93.750639255395342</v>
      </c>
    </row>
    <row r="25" spans="1:11" ht="13.2" customHeight="1" thickBot="1" x14ac:dyDescent="0.35">
      <c r="A25" s="1" t="s">
        <v>22</v>
      </c>
      <c r="B25" s="56">
        <f>'UPLC Data (iClass)'!L8</f>
        <v>60.121827411167516</v>
      </c>
      <c r="C25" s="52">
        <f>'UPLC Data (iClass)'!L14</f>
        <v>72.599674532139957</v>
      </c>
      <c r="D25" s="52">
        <f>'UPLC Data (iClass)'!L20</f>
        <v>72.112733585213917</v>
      </c>
      <c r="E25" s="52">
        <f>'UPLC Data (iClass)'!L26</f>
        <v>76.241747079735902</v>
      </c>
      <c r="F25" s="49">
        <f>'UPLC Data (iClass)'!L32</f>
        <v>83.823189076602631</v>
      </c>
      <c r="G25" s="49">
        <f>'UPLC Data (iClass)'!L38</f>
        <v>79.492427343430222</v>
      </c>
      <c r="H25" s="56">
        <f>'UPLC Data (iClass)'!L44</f>
        <v>58.482279644571548</v>
      </c>
      <c r="I25" s="54">
        <f>'UPLC Data (iClass)'!L50</f>
        <v>72.292114145443406</v>
      </c>
    </row>
    <row r="27" spans="1:11" x14ac:dyDescent="0.3">
      <c r="B27" s="88" t="s">
        <v>184</v>
      </c>
      <c r="C27" s="67" t="s">
        <v>185</v>
      </c>
      <c r="D27" s="87" t="s">
        <v>178</v>
      </c>
    </row>
    <row r="28" spans="1:11" x14ac:dyDescent="0.3">
      <c r="B28" s="88"/>
      <c r="C28" s="67"/>
      <c r="D28" s="87"/>
    </row>
  </sheetData>
  <mergeCells count="11">
    <mergeCell ref="B27:B28"/>
    <mergeCell ref="C27:C28"/>
    <mergeCell ref="D27:D28"/>
    <mergeCell ref="K20:K21"/>
    <mergeCell ref="K22:K23"/>
    <mergeCell ref="K2:K3"/>
    <mergeCell ref="K4:K5"/>
    <mergeCell ref="K6:K7"/>
    <mergeCell ref="K8:K9"/>
    <mergeCell ref="K18:K19"/>
    <mergeCell ref="K11:K16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0EFE-2B79-4F4F-8A2C-AE8CB7818FA2}">
  <sheetPr>
    <pageSetUpPr fitToPage="1"/>
  </sheetPr>
  <dimension ref="A1:T57"/>
  <sheetViews>
    <sheetView zoomScale="90" zoomScaleNormal="90" workbookViewId="0">
      <selection activeCell="A12" sqref="A12:XFD12"/>
    </sheetView>
  </sheetViews>
  <sheetFormatPr defaultRowHeight="14.4" x14ac:dyDescent="0.3"/>
  <cols>
    <col min="1" max="1" width="22.33203125" customWidth="1"/>
    <col min="2" max="2" width="13.33203125" customWidth="1"/>
    <col min="3" max="3" width="13" customWidth="1"/>
    <col min="4" max="4" width="9.33203125" customWidth="1"/>
    <col min="5" max="5" width="10.5546875" customWidth="1"/>
    <col min="7" max="7" width="10" customWidth="1"/>
    <col min="8" max="8" width="9.5546875" bestFit="1" customWidth="1"/>
    <col min="9" max="9" width="10.33203125" customWidth="1"/>
    <col min="10" max="10" width="11.44140625" customWidth="1"/>
    <col min="11" max="11" width="3.33203125" customWidth="1"/>
    <col min="12" max="12" width="8.6640625" customWidth="1"/>
    <col min="13" max="13" width="7.88671875" customWidth="1"/>
    <col min="16" max="16" width="7.6640625" customWidth="1"/>
    <col min="18" max="18" width="17.6640625" customWidth="1"/>
  </cols>
  <sheetData>
    <row r="1" spans="1:20" x14ac:dyDescent="0.3">
      <c r="A1" s="3" t="s">
        <v>33</v>
      </c>
      <c r="C1" s="30" t="s">
        <v>34</v>
      </c>
      <c r="L1" s="8"/>
      <c r="M1" s="89" t="s">
        <v>35</v>
      </c>
      <c r="N1" s="89"/>
      <c r="O1" s="89"/>
      <c r="P1" s="89"/>
      <c r="Q1" s="9"/>
      <c r="R1" s="90" t="s">
        <v>36</v>
      </c>
    </row>
    <row r="2" spans="1:20" ht="28.8" x14ac:dyDescent="0.3">
      <c r="A2" s="2" t="s">
        <v>37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6" t="s">
        <v>45</v>
      </c>
      <c r="J2" s="2" t="s">
        <v>46</v>
      </c>
      <c r="L2" s="10"/>
      <c r="M2" s="2" t="s">
        <v>47</v>
      </c>
      <c r="N2" s="2" t="s">
        <v>43</v>
      </c>
      <c r="O2" s="2" t="s">
        <v>48</v>
      </c>
      <c r="P2" s="2" t="s">
        <v>46</v>
      </c>
      <c r="Q2" s="5"/>
      <c r="R2" s="90"/>
    </row>
    <row r="3" spans="1:20" x14ac:dyDescent="0.3">
      <c r="A3" s="11" t="s">
        <v>49</v>
      </c>
      <c r="L3" s="10"/>
      <c r="Q3" s="5"/>
      <c r="S3">
        <f>357.4-130</f>
        <v>227.39999999999998</v>
      </c>
    </row>
    <row r="4" spans="1:20" x14ac:dyDescent="0.3">
      <c r="A4" t="s">
        <v>50</v>
      </c>
      <c r="D4">
        <v>230.06</v>
      </c>
      <c r="F4">
        <v>1</v>
      </c>
      <c r="G4" s="3">
        <v>30</v>
      </c>
      <c r="H4" s="30">
        <f>1000*I4/J4</f>
        <v>357.37921906022501</v>
      </c>
      <c r="I4" s="7">
        <f>G4/D4*1000</f>
        <v>130.40076501782144</v>
      </c>
      <c r="J4">
        <f>P4</f>
        <v>364.88065915171887</v>
      </c>
      <c r="L4" s="10"/>
      <c r="M4">
        <f>N4/G4</f>
        <v>50.366666666666667</v>
      </c>
      <c r="N4" s="3">
        <v>1511</v>
      </c>
      <c r="O4" s="3">
        <v>18</v>
      </c>
      <c r="P4">
        <f t="shared" ref="P4:P19" si="0">1000*(N4/D4)/O4</f>
        <v>364.88065915171887</v>
      </c>
      <c r="Q4" s="5"/>
      <c r="R4">
        <f>G4*50</f>
        <v>1500</v>
      </c>
      <c r="T4">
        <f>N4/48</f>
        <v>31.479166666666668</v>
      </c>
    </row>
    <row r="5" spans="1:20" x14ac:dyDescent="0.3">
      <c r="A5" t="s">
        <v>51</v>
      </c>
      <c r="D5">
        <v>139.91999999999999</v>
      </c>
      <c r="F5" s="3">
        <v>1.5</v>
      </c>
      <c r="G5" s="30">
        <f>I5*D5/1000</f>
        <v>27.368512561940364</v>
      </c>
      <c r="H5" s="31" t="e">
        <f>1000*I5/J5</f>
        <v>#DIV/0!</v>
      </c>
      <c r="I5" s="7">
        <f>$I$4*F5</f>
        <v>195.60114752673218</v>
      </c>
      <c r="J5" t="e">
        <f>P5</f>
        <v>#DIV/0!</v>
      </c>
      <c r="L5" s="10"/>
      <c r="M5">
        <f>N5/G5</f>
        <v>0</v>
      </c>
      <c r="N5" s="3"/>
      <c r="O5" s="3"/>
      <c r="P5" t="e">
        <f>1000*(N5/D5)/O5</f>
        <v>#DIV/0!</v>
      </c>
      <c r="Q5" s="5"/>
      <c r="R5">
        <f>G5*50</f>
        <v>1368.4256280970183</v>
      </c>
      <c r="T5">
        <f>N5/48</f>
        <v>0</v>
      </c>
    </row>
    <row r="6" spans="1:20" x14ac:dyDescent="0.3">
      <c r="A6" t="s">
        <v>52</v>
      </c>
      <c r="D6">
        <v>138.21</v>
      </c>
      <c r="F6" s="3">
        <v>3</v>
      </c>
      <c r="G6" s="30">
        <f>I6*D6/1000</f>
        <v>54.068069199339313</v>
      </c>
      <c r="H6" s="12" t="e">
        <f>1000*I6/J6</f>
        <v>#DIV/0!</v>
      </c>
      <c r="I6" s="7">
        <f>$I$4*F6</f>
        <v>391.20229505346435</v>
      </c>
      <c r="J6" t="e">
        <f>P6</f>
        <v>#DIV/0!</v>
      </c>
      <c r="L6" s="10"/>
      <c r="M6" s="32">
        <f>N6/G6</f>
        <v>0</v>
      </c>
      <c r="N6" s="32"/>
      <c r="O6" s="32"/>
      <c r="P6" s="32" t="e">
        <f t="shared" si="0"/>
        <v>#DIV/0!</v>
      </c>
      <c r="Q6" s="5"/>
      <c r="T6">
        <f>N5/6000*149</f>
        <v>0</v>
      </c>
    </row>
    <row r="7" spans="1:20" x14ac:dyDescent="0.3">
      <c r="A7" s="25" t="s">
        <v>53</v>
      </c>
      <c r="B7" s="25"/>
      <c r="C7" s="25"/>
      <c r="D7" s="25">
        <v>731.7</v>
      </c>
      <c r="E7" s="25"/>
      <c r="F7" s="25">
        <v>0.01</v>
      </c>
      <c r="G7" s="25">
        <f>I7*D7/1000</f>
        <v>0.95414239763539965</v>
      </c>
      <c r="H7" s="26" t="e">
        <f>1000*I7/J7</f>
        <v>#DIV/0!</v>
      </c>
      <c r="I7" s="27">
        <f>$I$4*F7</f>
        <v>1.3040076501782145</v>
      </c>
      <c r="J7" s="25" t="e">
        <f>P7</f>
        <v>#DIV/0!</v>
      </c>
      <c r="K7" s="25"/>
      <c r="L7" s="28"/>
      <c r="M7" s="25"/>
      <c r="N7" s="25"/>
      <c r="O7" s="25"/>
      <c r="P7" s="25" t="e">
        <f t="shared" si="0"/>
        <v>#DIV/0!</v>
      </c>
      <c r="Q7" s="29"/>
      <c r="R7" s="25"/>
    </row>
    <row r="8" spans="1:20" ht="14.4" customHeight="1" x14ac:dyDescent="0.3">
      <c r="L8" s="91" t="s">
        <v>54</v>
      </c>
      <c r="P8" t="e">
        <f t="shared" si="0"/>
        <v>#DIV/0!</v>
      </c>
      <c r="Q8" s="5"/>
    </row>
    <row r="9" spans="1:20" x14ac:dyDescent="0.3">
      <c r="A9" s="11" t="s">
        <v>55</v>
      </c>
      <c r="L9" s="91"/>
      <c r="P9" t="e">
        <f t="shared" si="0"/>
        <v>#DIV/0!</v>
      </c>
      <c r="Q9" s="5"/>
    </row>
    <row r="10" spans="1:20" x14ac:dyDescent="0.3">
      <c r="A10" t="s">
        <v>56</v>
      </c>
      <c r="C10" t="s">
        <v>57</v>
      </c>
      <c r="D10">
        <v>259.41000000000003</v>
      </c>
      <c r="F10" s="3">
        <v>0.01</v>
      </c>
      <c r="G10">
        <f t="shared" ref="G10:G11" si="1">I10*D10/1000</f>
        <v>0.33827262453273066</v>
      </c>
      <c r="H10" s="31">
        <f t="shared" ref="H10:H11" si="2">1000*I10/J10</f>
        <v>31.034185736947769</v>
      </c>
      <c r="I10" s="7">
        <f t="shared" ref="I10:I11" si="3">$I$4*F10</f>
        <v>1.3040076501782145</v>
      </c>
      <c r="J10">
        <f t="shared" ref="J10:J11" si="4">P10</f>
        <v>42.01842642920473</v>
      </c>
      <c r="L10" s="91"/>
      <c r="M10">
        <f>N10/G10</f>
        <v>32.222530614342801</v>
      </c>
      <c r="N10" s="3">
        <v>10.9</v>
      </c>
      <c r="O10" s="3">
        <v>1</v>
      </c>
      <c r="P10">
        <f t="shared" ref="P10" si="5">1000*(N10/D10)/O10</f>
        <v>42.01842642920473</v>
      </c>
      <c r="Q10" s="5"/>
      <c r="R10">
        <f>G10*15</f>
        <v>5.0740893679909602</v>
      </c>
    </row>
    <row r="11" spans="1:20" x14ac:dyDescent="0.3">
      <c r="A11" t="s">
        <v>58</v>
      </c>
      <c r="C11" t="s">
        <v>59</v>
      </c>
      <c r="D11">
        <v>284.29000000000002</v>
      </c>
      <c r="F11" s="32">
        <v>0.01</v>
      </c>
      <c r="G11">
        <f t="shared" si="1"/>
        <v>0.37071633486916467</v>
      </c>
      <c r="H11" s="34">
        <f t="shared" si="2"/>
        <v>21.063428117566172</v>
      </c>
      <c r="I11" s="7">
        <f t="shared" si="3"/>
        <v>1.3040076501782145</v>
      </c>
      <c r="J11">
        <f t="shared" si="4"/>
        <v>61.908614442998349</v>
      </c>
      <c r="L11" s="91"/>
      <c r="M11">
        <f>N11/G11</f>
        <v>47.475652795853989</v>
      </c>
      <c r="N11" s="32">
        <v>17.600000000000001</v>
      </c>
      <c r="O11" s="32">
        <v>1</v>
      </c>
      <c r="P11">
        <f t="shared" ref="P11" si="6">1000*(N11/D11)/O11</f>
        <v>61.908614442998349</v>
      </c>
      <c r="Q11" s="5"/>
      <c r="R11">
        <f>G11*15</f>
        <v>5.5607450230374695</v>
      </c>
    </row>
    <row r="12" spans="1:20" x14ac:dyDescent="0.3">
      <c r="A12" s="4" t="s">
        <v>60</v>
      </c>
      <c r="B12" s="4" t="s">
        <v>61</v>
      </c>
      <c r="C12" t="s">
        <v>62</v>
      </c>
      <c r="D12">
        <v>224.51</v>
      </c>
      <c r="F12" s="3">
        <v>0.01</v>
      </c>
      <c r="G12">
        <f t="shared" ref="G12" si="7">I12*D12/1000</f>
        <v>0.29276275754151093</v>
      </c>
      <c r="H12" s="31">
        <f t="shared" ref="H12:H13" si="8">1000*I12/J12</f>
        <v>30.49612057724072</v>
      </c>
      <c r="I12" s="7">
        <f t="shared" ref="I12:I13" si="9">$I$4*F12</f>
        <v>1.3040076501782145</v>
      </c>
      <c r="J12">
        <f t="shared" ref="J12:J13" si="10">P12</f>
        <v>42.759787982717924</v>
      </c>
      <c r="L12" s="91"/>
      <c r="M12">
        <f>N12/G12</f>
        <v>32.791056077680281</v>
      </c>
      <c r="N12" s="3">
        <v>9.6</v>
      </c>
      <c r="O12" s="3">
        <v>1</v>
      </c>
      <c r="P12">
        <f t="shared" si="0"/>
        <v>42.759787982717924</v>
      </c>
      <c r="Q12" s="5"/>
      <c r="R12">
        <f>G12*15</f>
        <v>4.3914413631226639</v>
      </c>
    </row>
    <row r="13" spans="1:20" x14ac:dyDescent="0.3">
      <c r="A13" s="37" t="s">
        <v>63</v>
      </c>
      <c r="B13" s="37"/>
      <c r="C13" s="38" t="s">
        <v>64</v>
      </c>
      <c r="D13" s="38">
        <v>294.20999999999998</v>
      </c>
      <c r="E13" s="39"/>
      <c r="F13" s="39">
        <v>0.01</v>
      </c>
      <c r="G13" s="39">
        <f>I13*D13/1000</f>
        <v>0.38365209075893242</v>
      </c>
      <c r="H13" s="40" t="e">
        <f t="shared" si="8"/>
        <v>#DIV/0!</v>
      </c>
      <c r="I13" s="41">
        <f t="shared" si="9"/>
        <v>1.3040076501782145</v>
      </c>
      <c r="J13" s="39" t="e">
        <f t="shared" si="10"/>
        <v>#DIV/0!</v>
      </c>
      <c r="K13" s="39"/>
      <c r="L13" s="91"/>
      <c r="M13" s="39">
        <f>N13/G13</f>
        <v>0</v>
      </c>
      <c r="N13" s="39"/>
      <c r="O13" s="39"/>
      <c r="P13" s="39" t="e">
        <f t="shared" si="0"/>
        <v>#DIV/0!</v>
      </c>
      <c r="Q13" s="5"/>
      <c r="R13">
        <f t="shared" ref="R13:R14" si="11">G13*15</f>
        <v>5.7547813613839862</v>
      </c>
    </row>
    <row r="14" spans="1:20" x14ac:dyDescent="0.3">
      <c r="A14" s="4"/>
      <c r="B14" s="4"/>
      <c r="H14" s="12"/>
      <c r="I14" s="7"/>
      <c r="L14" s="91"/>
      <c r="P14" t="e">
        <f t="shared" si="0"/>
        <v>#DIV/0!</v>
      </c>
      <c r="Q14" s="5"/>
      <c r="R14">
        <f t="shared" si="11"/>
        <v>0</v>
      </c>
    </row>
    <row r="15" spans="1:20" x14ac:dyDescent="0.3">
      <c r="A15" s="11" t="s">
        <v>65</v>
      </c>
      <c r="B15" s="4"/>
      <c r="H15" s="12"/>
      <c r="I15" s="7"/>
      <c r="L15" s="91"/>
      <c r="P15" t="e">
        <f t="shared" si="0"/>
        <v>#DIV/0!</v>
      </c>
      <c r="Q15" s="5"/>
    </row>
    <row r="16" spans="1:20" x14ac:dyDescent="0.3">
      <c r="A16" s="14" t="s">
        <v>66</v>
      </c>
      <c r="B16" t="s">
        <v>67</v>
      </c>
      <c r="C16" s="13" t="s">
        <v>68</v>
      </c>
      <c r="D16">
        <v>262.29000000000002</v>
      </c>
      <c r="F16" s="3">
        <v>0.02</v>
      </c>
      <c r="G16">
        <f>I16*D16/1000</f>
        <v>0.68405633313048786</v>
      </c>
      <c r="H16" s="31">
        <f>1000*I16/J16</f>
        <v>38.430131074746512</v>
      </c>
      <c r="I16" s="7">
        <f>$I$4*F16</f>
        <v>2.608015300356429</v>
      </c>
      <c r="J16">
        <f>P16</f>
        <v>67.863814861412934</v>
      </c>
      <c r="L16" s="10"/>
      <c r="M16">
        <f t="shared" ref="M16:M19" si="12">N16/G16</f>
        <v>26.021248745027762</v>
      </c>
      <c r="N16" s="3">
        <v>17.8</v>
      </c>
      <c r="O16" s="3">
        <v>1</v>
      </c>
      <c r="P16">
        <f t="shared" si="0"/>
        <v>67.863814861412934</v>
      </c>
      <c r="Q16" s="5"/>
      <c r="R16">
        <f>G16*15</f>
        <v>10.260844996957317</v>
      </c>
    </row>
    <row r="17" spans="1:18" x14ac:dyDescent="0.3">
      <c r="A17" s="14" t="s">
        <v>69</v>
      </c>
      <c r="B17" t="s">
        <v>70</v>
      </c>
      <c r="C17" s="13" t="s">
        <v>71</v>
      </c>
      <c r="D17">
        <v>304.37</v>
      </c>
      <c r="F17" s="3">
        <v>0.02</v>
      </c>
      <c r="G17">
        <f>I17*D17/1000</f>
        <v>0.79380161696948626</v>
      </c>
      <c r="H17" s="31">
        <f>1000*I17/J17</f>
        <v>40.707775229204437</v>
      </c>
      <c r="I17" s="7">
        <f>$I$4*F17</f>
        <v>2.608015300356429</v>
      </c>
      <c r="J17">
        <f>P17</f>
        <v>64.0667608502809</v>
      </c>
      <c r="L17" s="10"/>
      <c r="M17">
        <f t="shared" si="12"/>
        <v>24.565331668692707</v>
      </c>
      <c r="N17" s="3">
        <v>19.5</v>
      </c>
      <c r="O17" s="3">
        <v>1</v>
      </c>
      <c r="P17">
        <f t="shared" si="0"/>
        <v>64.0667608502809</v>
      </c>
      <c r="Q17" s="5"/>
      <c r="R17">
        <f t="shared" ref="R17:R19" si="13">G17*15</f>
        <v>11.907024254542295</v>
      </c>
    </row>
    <row r="18" spans="1:18" s="32" customFormat="1" x14ac:dyDescent="0.3">
      <c r="A18" s="32" t="s">
        <v>72</v>
      </c>
      <c r="B18" s="32" t="s">
        <v>73</v>
      </c>
      <c r="C18" s="32" t="s">
        <v>74</v>
      </c>
      <c r="D18" s="32">
        <v>298.39999999999998</v>
      </c>
      <c r="F18" s="32">
        <v>0.02</v>
      </c>
      <c r="G18" s="32">
        <f>I18*D18/1000</f>
        <v>0.77823176562635832</v>
      </c>
      <c r="H18" s="34" t="e">
        <f>1000*I18/J18</f>
        <v>#DIV/0!</v>
      </c>
      <c r="I18" s="35">
        <f>$I$4*F18</f>
        <v>2.608015300356429</v>
      </c>
      <c r="J18" s="32" t="e">
        <f>P18</f>
        <v>#DIV/0!</v>
      </c>
      <c r="L18" s="36"/>
      <c r="M18" s="32">
        <f t="shared" si="12"/>
        <v>0</v>
      </c>
      <c r="P18" s="32" t="e">
        <f t="shared" si="0"/>
        <v>#DIV/0!</v>
      </c>
      <c r="Q18" s="33"/>
      <c r="R18">
        <f t="shared" si="13"/>
        <v>11.673476484395374</v>
      </c>
    </row>
    <row r="19" spans="1:18" x14ac:dyDescent="0.3">
      <c r="A19" s="14" t="s">
        <v>75</v>
      </c>
      <c r="B19" s="16" t="s">
        <v>76</v>
      </c>
      <c r="C19" s="13" t="s">
        <v>77</v>
      </c>
      <c r="D19">
        <v>554.38</v>
      </c>
      <c r="F19" s="3">
        <v>0.01</v>
      </c>
      <c r="G19">
        <f>I19*D19/1000</f>
        <v>0.72291576110579858</v>
      </c>
      <c r="H19" s="31">
        <f>1000*I19/J19</f>
        <v>51.270621355021184</v>
      </c>
      <c r="I19" s="7">
        <f>$I$4*F19</f>
        <v>1.3040076501782145</v>
      </c>
      <c r="J19">
        <f>P19</f>
        <v>25.43381795880082</v>
      </c>
      <c r="L19" s="10"/>
      <c r="M19">
        <f t="shared" si="12"/>
        <v>19.504347198672388</v>
      </c>
      <c r="N19" s="3">
        <v>14.1</v>
      </c>
      <c r="O19" s="3">
        <v>1</v>
      </c>
      <c r="P19">
        <f t="shared" si="0"/>
        <v>25.43381795880082</v>
      </c>
      <c r="Q19" s="5"/>
      <c r="R19">
        <f t="shared" si="13"/>
        <v>10.843736416586978</v>
      </c>
    </row>
    <row r="20" spans="1:18" x14ac:dyDescent="0.3">
      <c r="H20" s="12"/>
      <c r="I20" s="7"/>
    </row>
    <row r="21" spans="1:18" x14ac:dyDescent="0.3">
      <c r="A21" s="11" t="s">
        <v>78</v>
      </c>
      <c r="H21" s="12"/>
      <c r="I21" s="7"/>
    </row>
    <row r="22" spans="1:18" x14ac:dyDescent="0.3">
      <c r="A22" s="14" t="s">
        <v>79</v>
      </c>
      <c r="C22" t="s">
        <v>80</v>
      </c>
      <c r="D22">
        <v>731.7</v>
      </c>
      <c r="F22" s="3">
        <v>0.01</v>
      </c>
      <c r="G22">
        <f>I22*D22/1000</f>
        <v>0.95414239763539965</v>
      </c>
      <c r="H22" s="31">
        <f>1000*I22/J22</f>
        <v>38.318971792586332</v>
      </c>
      <c r="I22" s="7">
        <f>$I$4*F22</f>
        <v>1.3040076501782145</v>
      </c>
      <c r="J22">
        <f>P22</f>
        <v>34.03034030340303</v>
      </c>
      <c r="L22" s="10"/>
      <c r="M22">
        <f t="shared" ref="M22:M25" si="14">N22/G22</f>
        <v>26.096733634003002</v>
      </c>
      <c r="N22" s="3">
        <v>24.9</v>
      </c>
      <c r="O22" s="3">
        <v>1</v>
      </c>
      <c r="P22">
        <f t="shared" ref="P22:P25" si="15">1000*(N22/D22)/O22</f>
        <v>34.03034030340303</v>
      </c>
      <c r="Q22" s="5"/>
      <c r="R22">
        <f>G22*6</f>
        <v>5.7248543858123977</v>
      </c>
    </row>
    <row r="23" spans="1:18" x14ac:dyDescent="0.3">
      <c r="A23" s="14" t="s">
        <v>81</v>
      </c>
      <c r="C23" t="s">
        <v>82</v>
      </c>
      <c r="D23">
        <v>701.9</v>
      </c>
      <c r="F23" s="3">
        <v>0.01</v>
      </c>
      <c r="G23">
        <f>I23*D23/1000</f>
        <v>0.91528296966008871</v>
      </c>
      <c r="H23" s="31">
        <f>1000*I23/J23</f>
        <v>56.498948744449933</v>
      </c>
      <c r="I23" s="7">
        <f>$I$4*F23</f>
        <v>1.3040076501782145</v>
      </c>
      <c r="J23">
        <f>P23</f>
        <v>23.080210856247326</v>
      </c>
      <c r="L23" s="10"/>
      <c r="M23">
        <f t="shared" si="14"/>
        <v>17.699444365294202</v>
      </c>
      <c r="N23" s="3">
        <v>16.2</v>
      </c>
      <c r="O23" s="3">
        <v>1</v>
      </c>
      <c r="P23">
        <f t="shared" si="15"/>
        <v>23.080210856247326</v>
      </c>
      <c r="Q23" s="5"/>
      <c r="R23">
        <f>G23*6</f>
        <v>5.4916978179605325</v>
      </c>
    </row>
    <row r="24" spans="1:18" x14ac:dyDescent="0.3">
      <c r="A24" s="14" t="s">
        <v>83</v>
      </c>
      <c r="C24" t="s">
        <v>84</v>
      </c>
      <c r="D24">
        <v>786.06</v>
      </c>
      <c r="F24" s="3">
        <v>0.01</v>
      </c>
      <c r="G24">
        <f>I24*D24/1000</f>
        <v>1.0250282534990871</v>
      </c>
      <c r="H24" s="31">
        <f>1000*I24/J24</f>
        <v>92.344887702620483</v>
      </c>
      <c r="I24" s="7">
        <f>$I$4*F24</f>
        <v>1.3040076501782145</v>
      </c>
      <c r="J24">
        <f>P24</f>
        <v>14.121059461109839</v>
      </c>
      <c r="L24" s="10"/>
      <c r="M24">
        <f t="shared" si="14"/>
        <v>10.828969798743099</v>
      </c>
      <c r="N24" s="3">
        <v>11.1</v>
      </c>
      <c r="O24" s="3">
        <v>1</v>
      </c>
      <c r="P24">
        <f t="shared" si="15"/>
        <v>14.121059461109839</v>
      </c>
      <c r="Q24" s="5"/>
      <c r="R24">
        <f>G24*6</f>
        <v>6.1501695209945222</v>
      </c>
    </row>
    <row r="25" spans="1:18" x14ac:dyDescent="0.3">
      <c r="F25" s="3">
        <v>0.01</v>
      </c>
      <c r="G25">
        <f>I25*D25/1000</f>
        <v>0</v>
      </c>
      <c r="H25" s="31" t="e">
        <f>1000*I25/J25</f>
        <v>#DIV/0!</v>
      </c>
      <c r="I25" s="7">
        <f>$I$4*F25</f>
        <v>1.3040076501782145</v>
      </c>
      <c r="J25" t="e">
        <f>P25</f>
        <v>#DIV/0!</v>
      </c>
      <c r="L25" s="10"/>
      <c r="M25" t="e">
        <f t="shared" si="14"/>
        <v>#DIV/0!</v>
      </c>
      <c r="N25" s="3"/>
      <c r="O25" s="3"/>
      <c r="P25" t="e">
        <f t="shared" si="15"/>
        <v>#DIV/0!</v>
      </c>
      <c r="Q25" s="5"/>
      <c r="R25">
        <f>G25*20</f>
        <v>0</v>
      </c>
    </row>
    <row r="26" spans="1:18" x14ac:dyDescent="0.3">
      <c r="H26" s="12"/>
      <c r="I26" s="7"/>
    </row>
    <row r="27" spans="1:18" x14ac:dyDescent="0.3">
      <c r="A27" s="11" t="s">
        <v>85</v>
      </c>
      <c r="H27" s="12"/>
    </row>
    <row r="28" spans="1:18" x14ac:dyDescent="0.3">
      <c r="A28" t="s">
        <v>86</v>
      </c>
      <c r="D28">
        <v>41.05</v>
      </c>
      <c r="E28">
        <v>0.78600000000000003</v>
      </c>
      <c r="F28" s="3">
        <v>10</v>
      </c>
      <c r="G28">
        <f>H28*E28</f>
        <v>235.8</v>
      </c>
      <c r="H28" s="31">
        <f>G4*F28</f>
        <v>300</v>
      </c>
      <c r="I28" t="s">
        <v>87</v>
      </c>
    </row>
    <row r="29" spans="1:18" x14ac:dyDescent="0.3">
      <c r="A29" t="s">
        <v>88</v>
      </c>
      <c r="D29">
        <v>18.02</v>
      </c>
      <c r="E29">
        <v>1</v>
      </c>
      <c r="F29" s="3">
        <v>2</v>
      </c>
      <c r="G29">
        <f>H29*E29</f>
        <v>60</v>
      </c>
      <c r="H29" s="31">
        <f>G4*F29</f>
        <v>60</v>
      </c>
      <c r="I29" s="7" t="s">
        <v>87</v>
      </c>
    </row>
    <row r="30" spans="1:18" x14ac:dyDescent="0.3">
      <c r="C30" t="s">
        <v>89</v>
      </c>
      <c r="H30" s="12" t="e">
        <f>500-H4-#REF!-H29</f>
        <v>#REF!</v>
      </c>
    </row>
    <row r="32" spans="1:18" x14ac:dyDescent="0.3">
      <c r="A32" s="23" t="s">
        <v>4</v>
      </c>
      <c r="B32" s="18" t="s">
        <v>90</v>
      </c>
    </row>
    <row r="33" spans="1:7" x14ac:dyDescent="0.3">
      <c r="A33" s="23" t="s">
        <v>7</v>
      </c>
      <c r="B33" t="s">
        <v>91</v>
      </c>
    </row>
    <row r="34" spans="1:7" x14ac:dyDescent="0.3">
      <c r="A34" s="23" t="s">
        <v>8</v>
      </c>
      <c r="B34" t="s">
        <v>92</v>
      </c>
    </row>
    <row r="35" spans="1:7" x14ac:dyDescent="0.3">
      <c r="A35" t="s">
        <v>10</v>
      </c>
    </row>
    <row r="36" spans="1:7" x14ac:dyDescent="0.3">
      <c r="A36" s="23" t="s">
        <v>14</v>
      </c>
      <c r="B36" t="s">
        <v>93</v>
      </c>
    </row>
    <row r="37" spans="1:7" x14ac:dyDescent="0.3">
      <c r="A37" s="23" t="s">
        <v>11</v>
      </c>
      <c r="B37" t="s">
        <v>94</v>
      </c>
    </row>
    <row r="38" spans="1:7" x14ac:dyDescent="0.3">
      <c r="A38" t="s">
        <v>15</v>
      </c>
      <c r="B38" t="s">
        <v>95</v>
      </c>
    </row>
    <row r="39" spans="1:7" x14ac:dyDescent="0.3">
      <c r="A39" s="23" t="s">
        <v>3</v>
      </c>
      <c r="B39" t="s">
        <v>96</v>
      </c>
    </row>
    <row r="40" spans="1:7" x14ac:dyDescent="0.3">
      <c r="A40" s="23" t="s">
        <v>17</v>
      </c>
      <c r="B40" t="s">
        <v>97</v>
      </c>
    </row>
    <row r="41" spans="1:7" x14ac:dyDescent="0.3">
      <c r="A41" t="s">
        <v>98</v>
      </c>
    </row>
    <row r="43" spans="1:7" x14ac:dyDescent="0.3">
      <c r="A43" s="92" t="s">
        <v>176</v>
      </c>
      <c r="B43" s="92"/>
      <c r="C43" s="92"/>
      <c r="D43" s="92"/>
      <c r="E43" s="92"/>
      <c r="F43" s="92"/>
      <c r="G43" s="92"/>
    </row>
    <row r="44" spans="1:7" x14ac:dyDescent="0.3">
      <c r="A44" s="11" t="s">
        <v>55</v>
      </c>
      <c r="D44" t="s">
        <v>171</v>
      </c>
      <c r="E44" t="s">
        <v>172</v>
      </c>
      <c r="F44" t="s">
        <v>173</v>
      </c>
      <c r="G44" t="s">
        <v>179</v>
      </c>
    </row>
    <row r="45" spans="1:7" x14ac:dyDescent="0.3">
      <c r="A45" t="s">
        <v>56</v>
      </c>
      <c r="B45" t="s">
        <v>57</v>
      </c>
      <c r="C45">
        <v>259.41000000000003</v>
      </c>
      <c r="D45">
        <v>415</v>
      </c>
      <c r="F45">
        <f>5/C45</f>
        <v>1.9274507536332443E-2</v>
      </c>
      <c r="G45" s="59">
        <f>D45/F45</f>
        <v>21531.030000000002</v>
      </c>
    </row>
    <row r="46" spans="1:7" x14ac:dyDescent="0.3">
      <c r="A46" t="s">
        <v>58</v>
      </c>
      <c r="B46" t="s">
        <v>59</v>
      </c>
      <c r="C46">
        <v>284.29000000000002</v>
      </c>
      <c r="D46">
        <v>288</v>
      </c>
      <c r="F46">
        <f>5/C46</f>
        <v>1.7587674557669984E-2</v>
      </c>
      <c r="G46" s="59">
        <f>D46/F46</f>
        <v>16375.104000000001</v>
      </c>
    </row>
    <row r="47" spans="1:7" x14ac:dyDescent="0.3">
      <c r="A47" s="4" t="s">
        <v>60</v>
      </c>
      <c r="B47" t="s">
        <v>62</v>
      </c>
      <c r="C47">
        <v>224.51</v>
      </c>
      <c r="D47">
        <v>401</v>
      </c>
      <c r="F47">
        <f>5/C47</f>
        <v>2.2270722907665585E-2</v>
      </c>
      <c r="G47" s="59">
        <f>D47/F47</f>
        <v>18005.701999999997</v>
      </c>
    </row>
    <row r="48" spans="1:7" x14ac:dyDescent="0.3">
      <c r="A48" s="4"/>
      <c r="G48" s="59"/>
    </row>
    <row r="49" spans="1:9" x14ac:dyDescent="0.3">
      <c r="A49" s="11" t="s">
        <v>65</v>
      </c>
      <c r="G49" s="59"/>
    </row>
    <row r="50" spans="1:9" x14ac:dyDescent="0.3">
      <c r="A50" s="14" t="s">
        <v>66</v>
      </c>
      <c r="B50" s="13" t="s">
        <v>68</v>
      </c>
      <c r="C50">
        <v>262.29000000000002</v>
      </c>
      <c r="E50">
        <v>26</v>
      </c>
      <c r="F50">
        <f>100/C50</f>
        <v>0.38125738686187044</v>
      </c>
      <c r="G50" s="59">
        <f>E50/F50</f>
        <v>68.195400000000006</v>
      </c>
      <c r="H50" t="s">
        <v>174</v>
      </c>
    </row>
    <row r="51" spans="1:9" x14ac:dyDescent="0.3">
      <c r="A51" s="14" t="s">
        <v>69</v>
      </c>
      <c r="B51" s="13" t="s">
        <v>71</v>
      </c>
      <c r="C51">
        <v>304.37</v>
      </c>
      <c r="D51">
        <v>70</v>
      </c>
      <c r="F51">
        <f>5/C51</f>
        <v>1.6427374576995106E-2</v>
      </c>
      <c r="G51" s="59">
        <f>D51/F51</f>
        <v>4261.1799999999994</v>
      </c>
    </row>
    <row r="52" spans="1:9" x14ac:dyDescent="0.3">
      <c r="A52" s="14" t="s">
        <v>75</v>
      </c>
      <c r="B52" s="13" t="s">
        <v>77</v>
      </c>
      <c r="C52">
        <v>554.38</v>
      </c>
      <c r="D52">
        <v>96</v>
      </c>
      <c r="F52">
        <f>5/C52</f>
        <v>9.0190843825534838E-3</v>
      </c>
      <c r="G52" s="59">
        <f>D52/F52</f>
        <v>10644.096</v>
      </c>
    </row>
    <row r="53" spans="1:9" x14ac:dyDescent="0.3">
      <c r="G53" s="59"/>
    </row>
    <row r="54" spans="1:9" x14ac:dyDescent="0.3">
      <c r="A54" s="11" t="s">
        <v>78</v>
      </c>
      <c r="G54" s="59"/>
    </row>
    <row r="55" spans="1:9" x14ac:dyDescent="0.3">
      <c r="A55" s="14" t="s">
        <v>79</v>
      </c>
      <c r="B55" t="s">
        <v>80</v>
      </c>
      <c r="C55">
        <v>731.7</v>
      </c>
      <c r="D55">
        <v>234</v>
      </c>
      <c r="F55">
        <f>5/C55</f>
        <v>6.8334016673500062E-3</v>
      </c>
      <c r="G55" s="59">
        <v>36182</v>
      </c>
      <c r="H55" t="s">
        <v>175</v>
      </c>
      <c r="I55" t="s">
        <v>180</v>
      </c>
    </row>
    <row r="56" spans="1:9" x14ac:dyDescent="0.3">
      <c r="A56" s="14" t="s">
        <v>81</v>
      </c>
      <c r="B56" t="s">
        <v>82</v>
      </c>
      <c r="C56">
        <v>701.9</v>
      </c>
      <c r="D56">
        <v>218</v>
      </c>
      <c r="F56">
        <f>5/C56</f>
        <v>7.1235218692121387E-3</v>
      </c>
      <c r="G56" s="59">
        <f>D56/F56</f>
        <v>30602.84</v>
      </c>
    </row>
    <row r="57" spans="1:9" x14ac:dyDescent="0.3">
      <c r="A57" s="14" t="s">
        <v>83</v>
      </c>
      <c r="B57" t="s">
        <v>84</v>
      </c>
      <c r="C57">
        <v>786.06</v>
      </c>
      <c r="D57">
        <v>160</v>
      </c>
      <c r="F57">
        <f>5/C57</f>
        <v>6.3608375950945225E-3</v>
      </c>
      <c r="G57" s="59">
        <f>D57/F57</f>
        <v>25153.919999999998</v>
      </c>
    </row>
  </sheetData>
  <mergeCells count="4">
    <mergeCell ref="M1:P1"/>
    <mergeCell ref="R1:R2"/>
    <mergeCell ref="L8:L15"/>
    <mergeCell ref="A43:G43"/>
  </mergeCells>
  <pageMargins left="0.7" right="0.7" top="0.75" bottom="0.7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19D1-860A-435A-81F0-7E059429388D}">
  <dimension ref="A1:V50"/>
  <sheetViews>
    <sheetView topLeftCell="A10" zoomScale="70" zoomScaleNormal="70" workbookViewId="0">
      <selection activeCell="J27" sqref="J27:J38"/>
    </sheetView>
  </sheetViews>
  <sheetFormatPr defaultRowHeight="14.4" x14ac:dyDescent="0.3"/>
  <cols>
    <col min="1" max="1" width="5.33203125" customWidth="1"/>
    <col min="2" max="2" width="9" bestFit="1" customWidth="1"/>
    <col min="3" max="3" width="12" customWidth="1"/>
    <col min="4" max="4" width="12.33203125" customWidth="1"/>
    <col min="5" max="5" width="11.33203125" customWidth="1"/>
    <col min="6" max="6" width="11.5546875" customWidth="1"/>
    <col min="7" max="7" width="11.88671875" customWidth="1"/>
    <col min="8" max="8" width="10.77734375" customWidth="1"/>
    <col min="9" max="9" width="10.88671875" customWidth="1"/>
    <col min="10" max="10" width="13.109375" style="44" customWidth="1"/>
    <col min="11" max="11" width="10.88671875" style="45" customWidth="1"/>
    <col min="12" max="12" width="12.33203125" style="45" customWidth="1"/>
    <col min="13" max="14" width="13.33203125" style="43" customWidth="1"/>
    <col min="15" max="15" width="31.109375" bestFit="1" customWidth="1"/>
  </cols>
  <sheetData>
    <row r="1" spans="1:22" x14ac:dyDescent="0.3">
      <c r="B1" t="s">
        <v>99</v>
      </c>
      <c r="C1" t="s">
        <v>100</v>
      </c>
      <c r="D1" t="s">
        <v>101</v>
      </c>
      <c r="E1" t="s">
        <v>102</v>
      </c>
      <c r="F1" t="s">
        <v>166</v>
      </c>
      <c r="G1" t="s">
        <v>103</v>
      </c>
      <c r="H1" t="s">
        <v>104</v>
      </c>
      <c r="I1" t="s">
        <v>167</v>
      </c>
      <c r="J1" s="44" t="s">
        <v>105</v>
      </c>
      <c r="K1" s="45" t="s">
        <v>106</v>
      </c>
      <c r="L1" s="45" t="s">
        <v>107</v>
      </c>
      <c r="M1" s="43" t="s">
        <v>108</v>
      </c>
      <c r="N1" s="43" t="s">
        <v>109</v>
      </c>
      <c r="O1" s="3" t="s">
        <v>33</v>
      </c>
      <c r="R1" t="s">
        <v>110</v>
      </c>
      <c r="S1" t="s">
        <v>164</v>
      </c>
      <c r="T1" t="s">
        <v>165</v>
      </c>
      <c r="U1" t="s">
        <v>111</v>
      </c>
      <c r="V1" t="s">
        <v>111</v>
      </c>
    </row>
    <row r="2" spans="1:22" x14ac:dyDescent="0.3">
      <c r="B2" t="s">
        <v>112</v>
      </c>
      <c r="C2" t="s">
        <v>168</v>
      </c>
      <c r="D2" t="s">
        <v>169</v>
      </c>
      <c r="E2" t="s">
        <v>113</v>
      </c>
      <c r="F2">
        <v>1.077</v>
      </c>
      <c r="G2" t="s">
        <v>170</v>
      </c>
      <c r="H2" t="s">
        <v>114</v>
      </c>
      <c r="I2">
        <v>1.9550000000000001</v>
      </c>
      <c r="K2" s="45" t="s">
        <v>115</v>
      </c>
      <c r="L2" s="45" t="s">
        <v>115</v>
      </c>
      <c r="M2" s="43" t="s">
        <v>115</v>
      </c>
      <c r="R2">
        <v>1.79</v>
      </c>
      <c r="S2">
        <v>1.6659999999999999</v>
      </c>
      <c r="T2">
        <v>1.877</v>
      </c>
      <c r="U2">
        <v>2.2999999999999998</v>
      </c>
      <c r="V2">
        <v>2.36</v>
      </c>
    </row>
    <row r="3" spans="1:22" x14ac:dyDescent="0.3">
      <c r="A3" t="s">
        <v>116</v>
      </c>
      <c r="B3" s="62">
        <v>2.04</v>
      </c>
      <c r="C3" s="62">
        <v>0</v>
      </c>
      <c r="D3" s="62">
        <v>3.33</v>
      </c>
      <c r="E3" s="62"/>
      <c r="F3" s="62">
        <v>2.35</v>
      </c>
      <c r="G3" s="62">
        <v>67.61</v>
      </c>
      <c r="H3" s="62"/>
      <c r="I3" s="62">
        <v>23.28</v>
      </c>
      <c r="J3" s="44">
        <f>100-SUM(B3:I3)-SUM(R3:V3)</f>
        <v>0.40000000000000058</v>
      </c>
      <c r="K3" s="45">
        <f>100*SUM(E3:J3)/SUM(B3:C3,E3:J3)</f>
        <v>97.867892976588621</v>
      </c>
      <c r="L3" s="45">
        <f t="shared" ref="L3" si="0">100*G3/SUM(B3:C3,E3:J3)</f>
        <v>70.662625418060202</v>
      </c>
      <c r="M3" s="43">
        <f t="shared" ref="M3:M50" si="1">100*E3/SUM(B3:C3,E3:J3)</f>
        <v>0</v>
      </c>
      <c r="N3" s="43">
        <f t="shared" ref="N3:N50" si="2">100*H3/SUM(B3:C3,E3:J3)</f>
        <v>0</v>
      </c>
      <c r="R3" s="3">
        <v>0.99</v>
      </c>
      <c r="S3" s="3"/>
      <c r="T3" s="3"/>
      <c r="U3" s="3"/>
      <c r="V3" s="3"/>
    </row>
    <row r="4" spans="1:22" x14ac:dyDescent="0.3">
      <c r="A4" t="s">
        <v>117</v>
      </c>
      <c r="B4" s="62">
        <v>1.23</v>
      </c>
      <c r="C4" s="62">
        <v>0</v>
      </c>
      <c r="D4" s="62">
        <v>3.71</v>
      </c>
      <c r="E4" s="62"/>
      <c r="F4" s="62">
        <v>3.17</v>
      </c>
      <c r="G4" s="62">
        <v>64.2</v>
      </c>
      <c r="H4" s="62"/>
      <c r="I4" s="62">
        <v>26.31</v>
      </c>
      <c r="J4" s="44">
        <f t="shared" ref="J4:J50" si="3">100-SUM(B4:I4)-SUM(R4:V4)</f>
        <v>0.48999999999999544</v>
      </c>
      <c r="K4" s="45">
        <f t="shared" ref="K4:K50" si="4">100*SUM(E4:J4)/SUM(B4:C4,E4:J4)</f>
        <v>98.710691823899367</v>
      </c>
      <c r="L4" s="45">
        <f t="shared" ref="L4:L50" si="5">100*G4/SUM(B4:C4,E4:J4)</f>
        <v>67.295597484276726</v>
      </c>
      <c r="M4" s="43">
        <f t="shared" si="1"/>
        <v>0</v>
      </c>
      <c r="N4" s="43">
        <f t="shared" si="2"/>
        <v>0</v>
      </c>
      <c r="R4" s="3">
        <v>0.89</v>
      </c>
      <c r="S4" s="3"/>
      <c r="T4" s="3"/>
      <c r="U4" s="3"/>
      <c r="V4" s="3"/>
    </row>
    <row r="5" spans="1:22" x14ac:dyDescent="0.3">
      <c r="A5" t="s">
        <v>118</v>
      </c>
      <c r="B5" s="3">
        <v>5.3</v>
      </c>
      <c r="C5" s="3">
        <v>0</v>
      </c>
      <c r="D5" s="3">
        <v>3.12</v>
      </c>
      <c r="E5" s="3"/>
      <c r="F5" s="3">
        <v>2.38</v>
      </c>
      <c r="G5" s="3">
        <v>51.69</v>
      </c>
      <c r="H5" s="3"/>
      <c r="I5" s="3">
        <v>36.11</v>
      </c>
      <c r="J5" s="44">
        <f t="shared" si="3"/>
        <v>0.61000000000000565</v>
      </c>
      <c r="K5" s="45">
        <f t="shared" si="4"/>
        <v>94.484337600166526</v>
      </c>
      <c r="L5" s="45">
        <f t="shared" si="5"/>
        <v>53.793318763659073</v>
      </c>
      <c r="M5" s="43">
        <f t="shared" si="1"/>
        <v>0</v>
      </c>
      <c r="N5" s="43">
        <f t="shared" si="2"/>
        <v>0</v>
      </c>
      <c r="R5" s="3"/>
      <c r="S5" s="3">
        <v>0.79</v>
      </c>
      <c r="T5" s="3"/>
      <c r="U5" s="3"/>
      <c r="V5" s="3"/>
    </row>
    <row r="6" spans="1:22" x14ac:dyDescent="0.3">
      <c r="A6" t="s">
        <v>119</v>
      </c>
      <c r="B6" s="3">
        <v>6.59</v>
      </c>
      <c r="C6" s="3">
        <v>3.28</v>
      </c>
      <c r="D6" s="3">
        <v>0</v>
      </c>
      <c r="E6" s="3"/>
      <c r="F6" s="3">
        <v>0</v>
      </c>
      <c r="G6" s="3">
        <v>62.73</v>
      </c>
      <c r="H6" s="3"/>
      <c r="I6" s="3">
        <v>25.02</v>
      </c>
      <c r="J6" s="44">
        <f t="shared" si="3"/>
        <v>1.3200000000000096</v>
      </c>
      <c r="K6" s="45">
        <f t="shared" si="4"/>
        <v>90.024257125530625</v>
      </c>
      <c r="L6" s="45">
        <f t="shared" si="5"/>
        <v>63.402061855670105</v>
      </c>
      <c r="M6" s="43">
        <f t="shared" si="1"/>
        <v>0</v>
      </c>
      <c r="N6" s="43">
        <f t="shared" si="2"/>
        <v>0</v>
      </c>
      <c r="R6" s="3"/>
      <c r="S6" s="3">
        <v>1.06</v>
      </c>
      <c r="T6" s="3"/>
      <c r="U6" s="3"/>
      <c r="V6" s="3"/>
    </row>
    <row r="7" spans="1:22" x14ac:dyDescent="0.3">
      <c r="A7" t="s">
        <v>120</v>
      </c>
      <c r="B7" s="3">
        <v>2.85</v>
      </c>
      <c r="C7" s="3">
        <v>0</v>
      </c>
      <c r="D7" s="3">
        <v>0.05</v>
      </c>
      <c r="E7" s="3"/>
      <c r="F7" s="3">
        <v>0</v>
      </c>
      <c r="G7" s="3">
        <v>82.07</v>
      </c>
      <c r="H7" s="3"/>
      <c r="I7" s="3">
        <v>11.08</v>
      </c>
      <c r="J7" s="44">
        <f t="shared" si="3"/>
        <v>2.8900000000000028</v>
      </c>
      <c r="K7" s="45">
        <f t="shared" si="4"/>
        <v>97.118009910001021</v>
      </c>
      <c r="L7" s="45">
        <f t="shared" si="5"/>
        <v>82.991202346041064</v>
      </c>
      <c r="M7" s="43">
        <f t="shared" si="1"/>
        <v>0</v>
      </c>
      <c r="N7" s="43">
        <f t="shared" si="2"/>
        <v>0</v>
      </c>
      <c r="R7" s="3"/>
      <c r="S7" s="3"/>
      <c r="T7" s="3">
        <v>0.28999999999999998</v>
      </c>
      <c r="U7" s="3">
        <v>0.77</v>
      </c>
      <c r="V7" s="3"/>
    </row>
    <row r="8" spans="1:22" x14ac:dyDescent="0.3">
      <c r="A8" t="s">
        <v>121</v>
      </c>
      <c r="B8" s="3">
        <v>5.28</v>
      </c>
      <c r="C8" s="3">
        <v>12.08</v>
      </c>
      <c r="D8" s="3">
        <v>0.05</v>
      </c>
      <c r="E8" s="3"/>
      <c r="F8" s="3">
        <v>0</v>
      </c>
      <c r="G8" s="3">
        <v>59.22</v>
      </c>
      <c r="H8" s="3"/>
      <c r="I8" s="3">
        <v>19.78</v>
      </c>
      <c r="J8" s="44">
        <f t="shared" si="3"/>
        <v>2.1400000000000032</v>
      </c>
      <c r="K8" s="45">
        <f t="shared" si="4"/>
        <v>82.3756345177665</v>
      </c>
      <c r="L8" s="45">
        <f t="shared" si="5"/>
        <v>60.121827411167516</v>
      </c>
      <c r="M8" s="43">
        <f t="shared" si="1"/>
        <v>0</v>
      </c>
      <c r="N8" s="43">
        <f t="shared" si="2"/>
        <v>0</v>
      </c>
      <c r="R8" s="3"/>
      <c r="S8" s="3"/>
      <c r="T8" s="3">
        <v>0.66</v>
      </c>
      <c r="U8" s="3">
        <v>0.53</v>
      </c>
      <c r="V8" s="3">
        <v>0.26</v>
      </c>
    </row>
    <row r="9" spans="1:22" x14ac:dyDescent="0.3">
      <c r="A9" t="s">
        <v>122</v>
      </c>
      <c r="B9" s="62">
        <v>3.58</v>
      </c>
      <c r="C9" s="62">
        <v>0</v>
      </c>
      <c r="D9" s="62">
        <v>0.33</v>
      </c>
      <c r="E9" s="62"/>
      <c r="F9" s="62">
        <v>2.1800000000000002</v>
      </c>
      <c r="G9" s="62">
        <v>62.81</v>
      </c>
      <c r="H9" s="62"/>
      <c r="I9" s="62">
        <v>28.67</v>
      </c>
      <c r="J9" s="44">
        <f t="shared" si="3"/>
        <v>1.3799999999999926</v>
      </c>
      <c r="K9" s="45">
        <f t="shared" si="4"/>
        <v>96.369904684648134</v>
      </c>
      <c r="L9" s="45">
        <f t="shared" si="5"/>
        <v>63.688906915432973</v>
      </c>
      <c r="M9" s="43">
        <f t="shared" si="1"/>
        <v>0</v>
      </c>
      <c r="N9" s="43">
        <f t="shared" si="2"/>
        <v>0</v>
      </c>
      <c r="R9" s="3">
        <v>1.05</v>
      </c>
      <c r="S9" s="3"/>
      <c r="T9" s="3"/>
      <c r="U9" s="3"/>
      <c r="V9" s="3"/>
    </row>
    <row r="10" spans="1:22" x14ac:dyDescent="0.3">
      <c r="A10" t="s">
        <v>123</v>
      </c>
      <c r="B10" s="62">
        <v>6.72</v>
      </c>
      <c r="C10" s="62">
        <v>0.38</v>
      </c>
      <c r="D10" s="62">
        <v>0</v>
      </c>
      <c r="E10" s="62"/>
      <c r="F10" s="62">
        <v>0</v>
      </c>
      <c r="G10" s="62">
        <v>67.36</v>
      </c>
      <c r="H10" s="62"/>
      <c r="I10" s="62">
        <v>24.52</v>
      </c>
      <c r="J10" s="44">
        <f t="shared" si="3"/>
        <v>1.0200000000000102</v>
      </c>
      <c r="K10" s="45">
        <f t="shared" si="4"/>
        <v>92.9</v>
      </c>
      <c r="L10" s="45">
        <f t="shared" si="5"/>
        <v>67.36</v>
      </c>
      <c r="M10" s="43">
        <f t="shared" si="1"/>
        <v>0</v>
      </c>
      <c r="N10" s="43">
        <f t="shared" si="2"/>
        <v>0</v>
      </c>
      <c r="R10" s="3"/>
      <c r="S10" s="3"/>
      <c r="T10" s="3"/>
      <c r="U10" s="3"/>
      <c r="V10" s="3"/>
    </row>
    <row r="11" spans="1:22" x14ac:dyDescent="0.3">
      <c r="A11" t="s">
        <v>124</v>
      </c>
      <c r="B11" s="3">
        <v>6.46</v>
      </c>
      <c r="C11" s="3">
        <v>0</v>
      </c>
      <c r="D11" s="3">
        <v>0</v>
      </c>
      <c r="E11" s="3"/>
      <c r="F11" s="3">
        <v>0.62</v>
      </c>
      <c r="G11" s="3">
        <v>61.45</v>
      </c>
      <c r="H11" s="3"/>
      <c r="I11" s="3">
        <v>29.17</v>
      </c>
      <c r="J11" s="44">
        <f t="shared" si="3"/>
        <v>1.2199999999999971</v>
      </c>
      <c r="K11" s="45">
        <f t="shared" si="4"/>
        <v>93.469470279013336</v>
      </c>
      <c r="L11" s="45">
        <f t="shared" si="5"/>
        <v>62.120905782450464</v>
      </c>
      <c r="M11" s="43">
        <f t="shared" si="1"/>
        <v>0</v>
      </c>
      <c r="N11" s="43">
        <f t="shared" si="2"/>
        <v>0</v>
      </c>
      <c r="R11" s="3"/>
      <c r="S11" s="3">
        <v>1.08</v>
      </c>
      <c r="T11" s="3"/>
      <c r="U11" s="3"/>
      <c r="V11" s="3"/>
    </row>
    <row r="12" spans="1:22" x14ac:dyDescent="0.3">
      <c r="A12" t="s">
        <v>125</v>
      </c>
      <c r="B12" s="3">
        <v>6.94</v>
      </c>
      <c r="C12" s="3">
        <v>7.32</v>
      </c>
      <c r="D12" s="3">
        <v>0</v>
      </c>
      <c r="E12" s="3"/>
      <c r="F12" s="3">
        <v>0</v>
      </c>
      <c r="G12" s="3">
        <v>53.98</v>
      </c>
      <c r="H12" s="3"/>
      <c r="I12" s="3">
        <v>28.78</v>
      </c>
      <c r="J12" s="44">
        <f t="shared" si="3"/>
        <v>1.8400000000000041</v>
      </c>
      <c r="K12" s="45">
        <f t="shared" si="4"/>
        <v>85.57556139995954</v>
      </c>
      <c r="L12" s="45">
        <f t="shared" si="5"/>
        <v>54.60246813675905</v>
      </c>
      <c r="M12" s="43">
        <f t="shared" si="1"/>
        <v>0</v>
      </c>
      <c r="N12" s="43">
        <f t="shared" si="2"/>
        <v>0</v>
      </c>
      <c r="R12" s="3"/>
      <c r="S12" s="3">
        <v>1.1399999999999999</v>
      </c>
      <c r="T12" s="3"/>
      <c r="U12" s="3"/>
      <c r="V12" s="3"/>
    </row>
    <row r="13" spans="1:22" x14ac:dyDescent="0.3">
      <c r="A13" t="s">
        <v>126</v>
      </c>
      <c r="B13" s="3">
        <v>6.37</v>
      </c>
      <c r="C13" s="3">
        <v>0</v>
      </c>
      <c r="D13" s="3">
        <v>0</v>
      </c>
      <c r="E13" s="3"/>
      <c r="F13" s="3">
        <v>0.16</v>
      </c>
      <c r="G13" s="3">
        <v>78.48</v>
      </c>
      <c r="H13" s="3"/>
      <c r="I13" s="3">
        <v>10.86</v>
      </c>
      <c r="J13" s="44">
        <f t="shared" si="3"/>
        <v>2.4199999999999955</v>
      </c>
      <c r="K13" s="45">
        <f t="shared" si="4"/>
        <v>93.519177942822253</v>
      </c>
      <c r="L13" s="45">
        <f t="shared" si="5"/>
        <v>79.845355580425263</v>
      </c>
      <c r="M13" s="43">
        <f t="shared" si="1"/>
        <v>0</v>
      </c>
      <c r="N13" s="43">
        <f t="shared" si="2"/>
        <v>0</v>
      </c>
      <c r="R13" s="3"/>
      <c r="S13" s="3"/>
      <c r="T13" s="3">
        <v>0.41</v>
      </c>
      <c r="U13" s="3">
        <v>1.1200000000000001</v>
      </c>
      <c r="V13" s="3">
        <v>0.18</v>
      </c>
    </row>
    <row r="14" spans="1:22" x14ac:dyDescent="0.3">
      <c r="A14" t="s">
        <v>127</v>
      </c>
      <c r="B14" s="3">
        <v>4.67</v>
      </c>
      <c r="C14" s="3">
        <v>1.66</v>
      </c>
      <c r="D14" s="3">
        <v>0</v>
      </c>
      <c r="E14" s="3"/>
      <c r="F14" s="3">
        <v>0</v>
      </c>
      <c r="G14" s="3">
        <v>71.38</v>
      </c>
      <c r="H14" s="3"/>
      <c r="I14" s="3">
        <v>19.34</v>
      </c>
      <c r="J14" s="44">
        <f t="shared" si="3"/>
        <v>1.2700000000000029</v>
      </c>
      <c r="K14" s="45">
        <f t="shared" si="4"/>
        <v>93.561838893409288</v>
      </c>
      <c r="L14" s="45">
        <f t="shared" si="5"/>
        <v>72.599674532139957</v>
      </c>
      <c r="M14" s="43">
        <f t="shared" si="1"/>
        <v>0</v>
      </c>
      <c r="N14" s="43">
        <f t="shared" si="2"/>
        <v>0</v>
      </c>
      <c r="R14" s="3"/>
      <c r="S14" s="3"/>
      <c r="T14" s="3">
        <v>0.19</v>
      </c>
      <c r="U14" s="3">
        <v>1.31</v>
      </c>
      <c r="V14" s="3">
        <v>0.18</v>
      </c>
    </row>
    <row r="15" spans="1:22" x14ac:dyDescent="0.3">
      <c r="A15" t="s">
        <v>128</v>
      </c>
      <c r="B15" s="62">
        <v>1.34</v>
      </c>
      <c r="C15" s="62">
        <v>0</v>
      </c>
      <c r="D15" s="62">
        <v>10.6</v>
      </c>
      <c r="E15" s="62"/>
      <c r="F15" s="62">
        <v>2.76</v>
      </c>
      <c r="G15" s="62">
        <v>60.79</v>
      </c>
      <c r="H15" s="62"/>
      <c r="I15" s="62">
        <v>23.41</v>
      </c>
      <c r="J15" s="44">
        <f t="shared" si="3"/>
        <v>0.25000000000000855</v>
      </c>
      <c r="K15" s="45">
        <f t="shared" si="4"/>
        <v>98.486730660643687</v>
      </c>
      <c r="L15" s="45">
        <f t="shared" si="5"/>
        <v>68.650479954827773</v>
      </c>
      <c r="M15" s="43">
        <f t="shared" si="1"/>
        <v>0</v>
      </c>
      <c r="N15" s="43">
        <f t="shared" si="2"/>
        <v>0</v>
      </c>
      <c r="R15" s="3">
        <v>0.85</v>
      </c>
      <c r="S15" s="3"/>
      <c r="T15" s="3"/>
      <c r="U15" s="3"/>
      <c r="V15" s="3"/>
    </row>
    <row r="16" spans="1:22" x14ac:dyDescent="0.3">
      <c r="A16" t="s">
        <v>129</v>
      </c>
      <c r="B16" s="62">
        <v>4.79</v>
      </c>
      <c r="C16" s="62">
        <v>0</v>
      </c>
      <c r="D16" s="62">
        <v>0.88100000000000001</v>
      </c>
      <c r="E16" s="62"/>
      <c r="F16" s="62">
        <v>0</v>
      </c>
      <c r="G16" s="62">
        <v>73.010000000000005</v>
      </c>
      <c r="H16" s="62"/>
      <c r="I16" s="62">
        <v>19.23</v>
      </c>
      <c r="J16" s="44">
        <f t="shared" si="3"/>
        <v>0.9189999999999845</v>
      </c>
      <c r="K16" s="45">
        <f t="shared" si="4"/>
        <v>95.109699945890213</v>
      </c>
      <c r="L16" s="45">
        <f t="shared" si="5"/>
        <v>74.538790595105624</v>
      </c>
      <c r="M16" s="43">
        <f t="shared" si="1"/>
        <v>0</v>
      </c>
      <c r="N16" s="43">
        <f t="shared" si="2"/>
        <v>0</v>
      </c>
      <c r="R16" s="3">
        <v>1.17</v>
      </c>
      <c r="S16" s="3"/>
      <c r="T16" s="3"/>
      <c r="U16" s="3"/>
      <c r="V16" s="3"/>
    </row>
    <row r="17" spans="1:22" x14ac:dyDescent="0.3">
      <c r="A17" t="s">
        <v>130</v>
      </c>
      <c r="B17" s="3">
        <v>6.59</v>
      </c>
      <c r="C17" s="3">
        <v>0</v>
      </c>
      <c r="D17" s="3">
        <v>0</v>
      </c>
      <c r="E17" s="3"/>
      <c r="F17" s="3">
        <v>0</v>
      </c>
      <c r="G17" s="3">
        <v>65.260000000000005</v>
      </c>
      <c r="H17" s="3"/>
      <c r="I17" s="3">
        <v>26.18</v>
      </c>
      <c r="J17" s="44">
        <f t="shared" si="3"/>
        <v>1.0499999999999989</v>
      </c>
      <c r="K17" s="45">
        <f t="shared" si="4"/>
        <v>93.34880904319742</v>
      </c>
      <c r="L17" s="45">
        <f t="shared" si="5"/>
        <v>65.865966895438035</v>
      </c>
      <c r="M17" s="43">
        <f t="shared" si="1"/>
        <v>0</v>
      </c>
      <c r="N17" s="43">
        <f t="shared" si="2"/>
        <v>0</v>
      </c>
      <c r="R17" s="3"/>
      <c r="S17" s="3">
        <v>0.92</v>
      </c>
      <c r="T17" s="3"/>
      <c r="U17" s="3"/>
      <c r="V17" s="3"/>
    </row>
    <row r="18" spans="1:22" x14ac:dyDescent="0.3">
      <c r="A18" t="s">
        <v>131</v>
      </c>
      <c r="B18" s="3">
        <v>4.71</v>
      </c>
      <c r="C18" s="3">
        <v>0</v>
      </c>
      <c r="D18" s="3">
        <v>0.15</v>
      </c>
      <c r="E18" s="3"/>
      <c r="F18" s="3">
        <v>0.11</v>
      </c>
      <c r="G18" s="3">
        <v>73.33</v>
      </c>
      <c r="H18" s="3"/>
      <c r="I18" s="3">
        <v>19.61</v>
      </c>
      <c r="J18" s="44">
        <f t="shared" si="3"/>
        <v>1.1600000000000033</v>
      </c>
      <c r="K18" s="45">
        <f t="shared" si="4"/>
        <v>95.238576627577842</v>
      </c>
      <c r="L18" s="45">
        <f t="shared" si="5"/>
        <v>74.130610594419736</v>
      </c>
      <c r="M18" s="43">
        <f t="shared" si="1"/>
        <v>0</v>
      </c>
      <c r="N18" s="43">
        <f t="shared" si="2"/>
        <v>0</v>
      </c>
      <c r="R18" s="3"/>
      <c r="S18" s="3">
        <v>0.93</v>
      </c>
      <c r="T18" s="3"/>
      <c r="U18" s="3"/>
      <c r="V18" s="3"/>
    </row>
    <row r="19" spans="1:22" x14ac:dyDescent="0.3">
      <c r="A19" t="s">
        <v>132</v>
      </c>
      <c r="B19" s="3">
        <v>2.2400000000000002</v>
      </c>
      <c r="C19" s="3">
        <v>0</v>
      </c>
      <c r="D19" s="3">
        <v>4.2699999999999996</v>
      </c>
      <c r="E19" s="3"/>
      <c r="F19" s="3">
        <v>0</v>
      </c>
      <c r="G19" s="3">
        <v>81.12</v>
      </c>
      <c r="H19" s="3"/>
      <c r="I19" s="3">
        <v>9.3800000000000008</v>
      </c>
      <c r="J19" s="44">
        <f t="shared" si="3"/>
        <v>1.1399999999999948</v>
      </c>
      <c r="K19" s="45">
        <f t="shared" si="4"/>
        <v>97.613975287601193</v>
      </c>
      <c r="L19" s="45">
        <f t="shared" si="5"/>
        <v>86.408180656156802</v>
      </c>
      <c r="M19" s="43">
        <f t="shared" si="1"/>
        <v>0</v>
      </c>
      <c r="N19" s="43">
        <f t="shared" si="2"/>
        <v>0</v>
      </c>
      <c r="R19" s="3"/>
      <c r="S19" s="3"/>
      <c r="T19" s="3"/>
      <c r="U19" s="3">
        <v>1.85</v>
      </c>
      <c r="V19" s="3"/>
    </row>
    <row r="20" spans="1:22" x14ac:dyDescent="0.3">
      <c r="A20" t="s">
        <v>133</v>
      </c>
      <c r="B20" s="3">
        <v>4.5599999999999996</v>
      </c>
      <c r="C20" s="3">
        <v>2.99</v>
      </c>
      <c r="D20" s="3">
        <v>0.47</v>
      </c>
      <c r="E20" s="3"/>
      <c r="F20" s="3">
        <v>0</v>
      </c>
      <c r="G20" s="3">
        <v>70.62</v>
      </c>
      <c r="H20" s="3"/>
      <c r="I20" s="3">
        <v>18.23</v>
      </c>
      <c r="J20" s="44">
        <f t="shared" si="3"/>
        <v>1.5299999999999956</v>
      </c>
      <c r="K20" s="45">
        <f t="shared" si="4"/>
        <v>92.29041151843154</v>
      </c>
      <c r="L20" s="45">
        <f t="shared" si="5"/>
        <v>72.112733585213917</v>
      </c>
      <c r="M20" s="43">
        <f t="shared" si="1"/>
        <v>0</v>
      </c>
      <c r="N20" s="43">
        <f t="shared" si="2"/>
        <v>0</v>
      </c>
      <c r="R20" s="3"/>
      <c r="S20" s="3"/>
      <c r="T20" s="3">
        <v>0.15</v>
      </c>
      <c r="U20" s="3">
        <v>1</v>
      </c>
      <c r="V20" s="3">
        <v>0.45</v>
      </c>
    </row>
    <row r="21" spans="1:22" x14ac:dyDescent="0.3">
      <c r="A21" t="s">
        <v>134</v>
      </c>
      <c r="B21" s="62">
        <v>3.64</v>
      </c>
      <c r="C21" s="62">
        <v>0</v>
      </c>
      <c r="D21" s="62">
        <v>0</v>
      </c>
      <c r="E21" s="62"/>
      <c r="F21" s="62">
        <v>0.6</v>
      </c>
      <c r="G21" s="62">
        <v>74.7</v>
      </c>
      <c r="H21" s="62"/>
      <c r="I21" s="62">
        <v>18.510000000000002</v>
      </c>
      <c r="J21" s="44">
        <f t="shared" si="3"/>
        <v>1.4699999999999971</v>
      </c>
      <c r="K21" s="45">
        <f t="shared" si="4"/>
        <v>96.320258794985847</v>
      </c>
      <c r="L21" s="45">
        <f t="shared" si="5"/>
        <v>75.515568135867369</v>
      </c>
      <c r="M21" s="43">
        <f t="shared" si="1"/>
        <v>0</v>
      </c>
      <c r="N21" s="43">
        <f t="shared" si="2"/>
        <v>0</v>
      </c>
      <c r="R21" s="3">
        <v>1.08</v>
      </c>
      <c r="S21" s="3"/>
      <c r="T21" s="3"/>
      <c r="U21" s="3"/>
      <c r="V21" s="3"/>
    </row>
    <row r="22" spans="1:22" x14ac:dyDescent="0.3">
      <c r="A22" t="s">
        <v>135</v>
      </c>
      <c r="B22" s="62">
        <v>7.09</v>
      </c>
      <c r="C22" s="62">
        <v>2.1800000000000002</v>
      </c>
      <c r="D22" s="62">
        <v>1.08</v>
      </c>
      <c r="E22" s="62"/>
      <c r="F22" s="62">
        <v>0.48</v>
      </c>
      <c r="G22" s="62">
        <v>55.77</v>
      </c>
      <c r="H22" s="62"/>
      <c r="I22" s="62">
        <v>31.36</v>
      </c>
      <c r="J22" s="44">
        <f t="shared" si="3"/>
        <v>2.039999999999992</v>
      </c>
      <c r="K22" s="45">
        <f t="shared" si="4"/>
        <v>90.628790942175499</v>
      </c>
      <c r="L22" s="45">
        <f t="shared" si="5"/>
        <v>56.378892033966842</v>
      </c>
      <c r="M22" s="43">
        <f t="shared" si="1"/>
        <v>0</v>
      </c>
      <c r="N22" s="43">
        <f t="shared" si="2"/>
        <v>0</v>
      </c>
      <c r="R22" s="3"/>
      <c r="S22" s="3"/>
      <c r="T22" s="3"/>
      <c r="U22" s="3"/>
      <c r="V22" s="3"/>
    </row>
    <row r="23" spans="1:22" x14ac:dyDescent="0.3">
      <c r="A23" t="s">
        <v>136</v>
      </c>
      <c r="B23" s="3">
        <v>6.65</v>
      </c>
      <c r="C23" s="3">
        <v>0</v>
      </c>
      <c r="D23" s="3">
        <v>0</v>
      </c>
      <c r="E23" s="3"/>
      <c r="F23" s="3">
        <v>0</v>
      </c>
      <c r="G23" s="3">
        <v>63.76</v>
      </c>
      <c r="H23" s="3"/>
      <c r="I23" s="3">
        <v>27.5</v>
      </c>
      <c r="J23" s="44">
        <f t="shared" si="3"/>
        <v>1.0400000000000034</v>
      </c>
      <c r="K23" s="45">
        <f t="shared" si="4"/>
        <v>93.279434057604846</v>
      </c>
      <c r="L23" s="45">
        <f t="shared" si="5"/>
        <v>64.4365841334007</v>
      </c>
      <c r="M23" s="43">
        <f t="shared" si="1"/>
        <v>0</v>
      </c>
      <c r="N23" s="43">
        <f t="shared" si="2"/>
        <v>0</v>
      </c>
      <c r="R23" s="3"/>
      <c r="S23" s="3">
        <v>1.05</v>
      </c>
      <c r="T23" s="3"/>
      <c r="U23" s="3"/>
      <c r="V23" s="3"/>
    </row>
    <row r="24" spans="1:22" x14ac:dyDescent="0.3">
      <c r="A24" t="s">
        <v>137</v>
      </c>
      <c r="B24" s="3">
        <v>10.039999999999999</v>
      </c>
      <c r="C24" s="3">
        <v>10.77</v>
      </c>
      <c r="D24" s="3">
        <v>0</v>
      </c>
      <c r="E24" s="3"/>
      <c r="F24" s="3">
        <v>0.14000000000000001</v>
      </c>
      <c r="G24" s="3">
        <v>67.8</v>
      </c>
      <c r="H24" s="3"/>
      <c r="I24" s="3">
        <v>9.6199999999999992</v>
      </c>
      <c r="J24" s="44">
        <f t="shared" si="3"/>
        <v>0.65999999999999548</v>
      </c>
      <c r="K24" s="45">
        <f t="shared" si="4"/>
        <v>78.9861658083409</v>
      </c>
      <c r="L24" s="45">
        <f t="shared" si="5"/>
        <v>68.464101787337171</v>
      </c>
      <c r="M24" s="43">
        <f t="shared" si="1"/>
        <v>0</v>
      </c>
      <c r="N24" s="43">
        <f t="shared" si="2"/>
        <v>0</v>
      </c>
      <c r="R24" s="3"/>
      <c r="S24" s="3">
        <v>0.97</v>
      </c>
      <c r="T24" s="3"/>
      <c r="U24" s="3"/>
      <c r="V24" s="3"/>
    </row>
    <row r="25" spans="1:22" x14ac:dyDescent="0.3">
      <c r="A25" t="s">
        <v>138</v>
      </c>
      <c r="B25" s="3">
        <v>4.5999999999999996</v>
      </c>
      <c r="C25" s="3">
        <v>0</v>
      </c>
      <c r="D25" s="3">
        <v>0</v>
      </c>
      <c r="E25" s="3"/>
      <c r="F25" s="3">
        <v>0</v>
      </c>
      <c r="G25" s="3">
        <v>79.64</v>
      </c>
      <c r="H25" s="3"/>
      <c r="I25" s="3">
        <v>12.16</v>
      </c>
      <c r="J25" s="44">
        <f t="shared" si="3"/>
        <v>1.8800000000000086</v>
      </c>
      <c r="K25" s="45">
        <f t="shared" si="4"/>
        <v>95.319495319495317</v>
      </c>
      <c r="L25" s="45">
        <f t="shared" si="5"/>
        <v>81.03378103378104</v>
      </c>
      <c r="M25" s="43">
        <f t="shared" si="1"/>
        <v>0</v>
      </c>
      <c r="N25" s="43">
        <f t="shared" si="2"/>
        <v>0</v>
      </c>
      <c r="R25" s="3"/>
      <c r="S25" s="3"/>
      <c r="T25" s="3">
        <v>0.23</v>
      </c>
      <c r="U25" s="3">
        <v>1.49</v>
      </c>
      <c r="V25" s="3"/>
    </row>
    <row r="26" spans="1:22" x14ac:dyDescent="0.3">
      <c r="A26" t="s">
        <v>139</v>
      </c>
      <c r="B26" s="3">
        <v>4</v>
      </c>
      <c r="C26" s="3">
        <v>1.31</v>
      </c>
      <c r="D26" s="3">
        <v>0</v>
      </c>
      <c r="E26" s="3"/>
      <c r="F26" s="3">
        <v>0</v>
      </c>
      <c r="G26" s="3">
        <v>75.06</v>
      </c>
      <c r="H26" s="3"/>
      <c r="I26" s="3">
        <v>17.05</v>
      </c>
      <c r="J26" s="44">
        <f t="shared" si="3"/>
        <v>1.0299999999999985</v>
      </c>
      <c r="K26" s="45">
        <f t="shared" si="4"/>
        <v>94.606399187404776</v>
      </c>
      <c r="L26" s="45">
        <f t="shared" si="5"/>
        <v>76.241747079735902</v>
      </c>
      <c r="M26" s="43">
        <f t="shared" si="1"/>
        <v>0</v>
      </c>
      <c r="N26" s="43">
        <f t="shared" si="2"/>
        <v>0</v>
      </c>
      <c r="R26" s="3"/>
      <c r="S26" s="3"/>
      <c r="T26" s="3">
        <v>0.15</v>
      </c>
      <c r="U26" s="3">
        <v>1.4</v>
      </c>
      <c r="V26" s="3"/>
    </row>
    <row r="27" spans="1:22" x14ac:dyDescent="0.3">
      <c r="A27" t="s">
        <v>140</v>
      </c>
      <c r="B27" s="62">
        <v>2.5</v>
      </c>
      <c r="C27" s="62">
        <v>0</v>
      </c>
      <c r="D27" s="62">
        <v>4.9800000000000004</v>
      </c>
      <c r="E27" s="62"/>
      <c r="F27" s="62">
        <v>0.56000000000000005</v>
      </c>
      <c r="G27" s="62">
        <v>77.31</v>
      </c>
      <c r="H27" s="62"/>
      <c r="I27" s="62">
        <v>13.46</v>
      </c>
      <c r="J27" s="44">
        <f t="shared" si="3"/>
        <v>0.19999999999999774</v>
      </c>
      <c r="K27" s="45">
        <f t="shared" si="4"/>
        <v>97.341274061469747</v>
      </c>
      <c r="L27" s="45">
        <f t="shared" si="5"/>
        <v>82.218440923109625</v>
      </c>
      <c r="M27" s="43">
        <f t="shared" si="1"/>
        <v>0</v>
      </c>
      <c r="N27" s="43">
        <f t="shared" si="2"/>
        <v>0</v>
      </c>
      <c r="R27" s="3">
        <v>0.99</v>
      </c>
      <c r="S27" s="3"/>
      <c r="T27" s="3"/>
      <c r="U27" s="3"/>
      <c r="V27" s="3"/>
    </row>
    <row r="28" spans="1:22" x14ac:dyDescent="0.3">
      <c r="A28" t="s">
        <v>141</v>
      </c>
      <c r="B28" s="62">
        <v>2.31</v>
      </c>
      <c r="C28" s="62">
        <v>0</v>
      </c>
      <c r="D28" s="62">
        <v>7.85</v>
      </c>
      <c r="E28" s="62"/>
      <c r="F28" s="62">
        <v>0.75</v>
      </c>
      <c r="G28" s="62">
        <v>73.63</v>
      </c>
      <c r="H28" s="62"/>
      <c r="I28" s="62">
        <v>14.01</v>
      </c>
      <c r="J28" s="44">
        <f t="shared" si="3"/>
        <v>0.35000000000000275</v>
      </c>
      <c r="K28" s="45">
        <f t="shared" si="4"/>
        <v>97.462932454695206</v>
      </c>
      <c r="L28" s="45">
        <f t="shared" si="5"/>
        <v>80.867655134541451</v>
      </c>
      <c r="M28" s="43">
        <f t="shared" si="1"/>
        <v>0</v>
      </c>
      <c r="N28" s="43">
        <f t="shared" si="2"/>
        <v>0</v>
      </c>
      <c r="R28" s="3">
        <v>1.1000000000000001</v>
      </c>
      <c r="S28" s="3"/>
      <c r="T28" s="3"/>
      <c r="U28" s="3"/>
      <c r="V28" s="3"/>
    </row>
    <row r="29" spans="1:22" x14ac:dyDescent="0.3">
      <c r="A29" t="s">
        <v>142</v>
      </c>
      <c r="B29" s="3">
        <v>5.0199999999999996</v>
      </c>
      <c r="C29" s="3">
        <v>0</v>
      </c>
      <c r="D29" s="3">
        <v>10.57</v>
      </c>
      <c r="E29" s="3"/>
      <c r="F29" s="3">
        <v>0.41</v>
      </c>
      <c r="G29" s="3">
        <v>59.97</v>
      </c>
      <c r="H29" s="3"/>
      <c r="I29" s="3">
        <v>22.87</v>
      </c>
      <c r="J29" s="44">
        <f t="shared" si="3"/>
        <v>0.31999999999999662</v>
      </c>
      <c r="K29" s="45">
        <f t="shared" si="4"/>
        <v>94.333446212890848</v>
      </c>
      <c r="L29" s="45">
        <f t="shared" si="5"/>
        <v>67.693870640027086</v>
      </c>
      <c r="M29" s="43">
        <f t="shared" si="1"/>
        <v>0</v>
      </c>
      <c r="N29" s="43">
        <f t="shared" si="2"/>
        <v>0</v>
      </c>
      <c r="R29" s="3"/>
      <c r="S29" s="3">
        <v>0.84</v>
      </c>
      <c r="T29" s="3"/>
      <c r="U29" s="3"/>
      <c r="V29" s="3"/>
    </row>
    <row r="30" spans="1:22" x14ac:dyDescent="0.3">
      <c r="A30" t="s">
        <v>143</v>
      </c>
      <c r="B30" s="3">
        <v>4.41</v>
      </c>
      <c r="C30" s="3">
        <v>0</v>
      </c>
      <c r="D30" s="3">
        <v>1.0900000000000001</v>
      </c>
      <c r="E30" s="3"/>
      <c r="F30" s="3">
        <v>0</v>
      </c>
      <c r="G30" s="3">
        <v>74.400000000000006</v>
      </c>
      <c r="H30" s="3"/>
      <c r="I30" s="3">
        <v>18.059999999999999</v>
      </c>
      <c r="J30" s="44">
        <f t="shared" si="3"/>
        <v>0.8499999999999921</v>
      </c>
      <c r="K30" s="45">
        <f t="shared" si="4"/>
        <v>95.487106017191977</v>
      </c>
      <c r="L30" s="45">
        <f t="shared" si="5"/>
        <v>76.135898485468701</v>
      </c>
      <c r="M30" s="43">
        <f t="shared" si="1"/>
        <v>0</v>
      </c>
      <c r="N30" s="43">
        <f t="shared" si="2"/>
        <v>0</v>
      </c>
      <c r="R30" s="3"/>
      <c r="S30" s="3">
        <v>1.19</v>
      </c>
      <c r="T30" s="3"/>
      <c r="U30" s="3"/>
      <c r="V30" s="3"/>
    </row>
    <row r="31" spans="1:22" x14ac:dyDescent="0.3">
      <c r="A31" t="s">
        <v>144</v>
      </c>
      <c r="B31" s="3">
        <v>1.6</v>
      </c>
      <c r="C31" s="3">
        <v>0</v>
      </c>
      <c r="D31" s="3">
        <v>13.15</v>
      </c>
      <c r="E31" s="3"/>
      <c r="F31" s="3">
        <v>0</v>
      </c>
      <c r="G31" s="3">
        <v>76.150000000000006</v>
      </c>
      <c r="H31" s="3"/>
      <c r="I31" s="3">
        <v>7.12</v>
      </c>
      <c r="J31" s="44">
        <f t="shared" si="3"/>
        <v>0.43999999999998973</v>
      </c>
      <c r="K31" s="45">
        <f t="shared" si="4"/>
        <v>98.12448716445904</v>
      </c>
      <c r="L31" s="45">
        <f t="shared" si="5"/>
        <v>89.262689016527986</v>
      </c>
      <c r="M31" s="43">
        <f t="shared" si="1"/>
        <v>0</v>
      </c>
      <c r="N31" s="43">
        <f t="shared" si="2"/>
        <v>0</v>
      </c>
      <c r="R31" s="3"/>
      <c r="S31" s="3"/>
      <c r="T31" s="3"/>
      <c r="U31" s="3">
        <v>1.54</v>
      </c>
      <c r="V31" s="3"/>
    </row>
    <row r="32" spans="1:22" x14ac:dyDescent="0.3">
      <c r="A32" t="s">
        <v>145</v>
      </c>
      <c r="B32" s="3">
        <v>2.39</v>
      </c>
      <c r="C32" s="3">
        <v>0.47</v>
      </c>
      <c r="D32" s="3">
        <v>11.89</v>
      </c>
      <c r="E32" s="3"/>
      <c r="F32" s="3">
        <v>0</v>
      </c>
      <c r="G32" s="3">
        <v>72.44</v>
      </c>
      <c r="H32" s="3"/>
      <c r="I32" s="3">
        <v>10.67</v>
      </c>
      <c r="J32" s="44">
        <f t="shared" si="3"/>
        <v>0.45000000000000062</v>
      </c>
      <c r="K32" s="45">
        <f t="shared" si="4"/>
        <v>96.690580884054611</v>
      </c>
      <c r="L32" s="45">
        <f t="shared" si="5"/>
        <v>83.823189076602631</v>
      </c>
      <c r="M32" s="43">
        <f t="shared" si="1"/>
        <v>0</v>
      </c>
      <c r="N32" s="43">
        <f t="shared" si="2"/>
        <v>0</v>
      </c>
      <c r="R32" s="3"/>
      <c r="S32" s="3"/>
      <c r="T32" s="3"/>
      <c r="U32" s="3">
        <v>1.69</v>
      </c>
      <c r="V32" s="3"/>
    </row>
    <row r="33" spans="1:22" x14ac:dyDescent="0.3">
      <c r="A33" t="s">
        <v>146</v>
      </c>
      <c r="B33" s="62">
        <v>4.1500000000000004</v>
      </c>
      <c r="C33" s="62">
        <v>0.5</v>
      </c>
      <c r="D33" s="62">
        <v>1.55</v>
      </c>
      <c r="E33" s="62"/>
      <c r="F33" s="62">
        <v>0</v>
      </c>
      <c r="G33" s="62">
        <v>72.349999999999994</v>
      </c>
      <c r="H33" s="62"/>
      <c r="I33" s="62">
        <v>18.059999999999999</v>
      </c>
      <c r="J33" s="44">
        <f t="shared" si="3"/>
        <v>2.9000000000000004</v>
      </c>
      <c r="K33" s="45">
        <f t="shared" si="4"/>
        <v>95.25316455696202</v>
      </c>
      <c r="L33" s="45">
        <f t="shared" si="5"/>
        <v>73.856676194365036</v>
      </c>
      <c r="M33" s="43">
        <f t="shared" si="1"/>
        <v>0</v>
      </c>
      <c r="N33" s="43">
        <f t="shared" si="2"/>
        <v>0</v>
      </c>
      <c r="R33" s="3">
        <v>0.49</v>
      </c>
      <c r="S33" s="3"/>
      <c r="T33" s="3"/>
      <c r="U33" s="3"/>
      <c r="V33" s="3"/>
    </row>
    <row r="34" spans="1:22" x14ac:dyDescent="0.3">
      <c r="A34" t="s">
        <v>147</v>
      </c>
      <c r="B34" s="62">
        <v>2.19</v>
      </c>
      <c r="C34" s="62">
        <v>32.76</v>
      </c>
      <c r="D34" s="62">
        <v>21.72</v>
      </c>
      <c r="E34" s="62"/>
      <c r="F34" s="62">
        <v>1.89</v>
      </c>
      <c r="G34" s="62">
        <v>18.79</v>
      </c>
      <c r="H34" s="62"/>
      <c r="I34" s="62">
        <v>20.87</v>
      </c>
      <c r="J34" s="44">
        <f t="shared" si="3"/>
        <v>1.7800000000000011</v>
      </c>
      <c r="K34" s="45">
        <f t="shared" si="4"/>
        <v>55.352580480327028</v>
      </c>
      <c r="L34" s="45">
        <f t="shared" si="5"/>
        <v>24.003576903423607</v>
      </c>
      <c r="M34" s="43">
        <f t="shared" si="1"/>
        <v>0</v>
      </c>
      <c r="N34" s="43">
        <f t="shared" si="2"/>
        <v>0</v>
      </c>
      <c r="R34" s="3"/>
      <c r="S34" s="3"/>
      <c r="T34" s="3"/>
      <c r="U34" s="3"/>
      <c r="V34" s="3"/>
    </row>
    <row r="35" spans="1:22" x14ac:dyDescent="0.3">
      <c r="A35" t="s">
        <v>148</v>
      </c>
      <c r="B35" s="3">
        <v>5.54</v>
      </c>
      <c r="C35" s="3">
        <v>0</v>
      </c>
      <c r="D35" s="3">
        <v>0</v>
      </c>
      <c r="E35" s="3"/>
      <c r="F35" s="3">
        <v>0</v>
      </c>
      <c r="G35" s="3">
        <v>69.52</v>
      </c>
      <c r="H35" s="3"/>
      <c r="I35" s="3">
        <v>23.09</v>
      </c>
      <c r="J35" s="44">
        <f t="shared" si="3"/>
        <v>1.2199999999999944</v>
      </c>
      <c r="K35" s="45">
        <f t="shared" si="4"/>
        <v>94.424876723357144</v>
      </c>
      <c r="L35" s="45">
        <f t="shared" si="5"/>
        <v>69.960752742276341</v>
      </c>
      <c r="M35" s="43">
        <f t="shared" si="1"/>
        <v>0</v>
      </c>
      <c r="N35" s="43">
        <f t="shared" si="2"/>
        <v>0</v>
      </c>
      <c r="R35" s="3"/>
      <c r="S35" s="3">
        <v>0.63</v>
      </c>
      <c r="T35" s="3"/>
      <c r="U35" s="3"/>
      <c r="V35" s="3"/>
    </row>
    <row r="36" spans="1:22" x14ac:dyDescent="0.3">
      <c r="A36" t="s">
        <v>149</v>
      </c>
      <c r="B36" s="3">
        <v>1.93</v>
      </c>
      <c r="C36" s="3">
        <v>33.299999999999997</v>
      </c>
      <c r="D36" s="3">
        <v>12.93</v>
      </c>
      <c r="E36" s="3"/>
      <c r="F36" s="3">
        <v>3.71</v>
      </c>
      <c r="G36" s="3">
        <v>14.95</v>
      </c>
      <c r="H36" s="3"/>
      <c r="I36" s="3">
        <v>30.69</v>
      </c>
      <c r="J36" s="44">
        <f t="shared" si="3"/>
        <v>0.95000000000000906</v>
      </c>
      <c r="K36" s="45">
        <f t="shared" si="4"/>
        <v>58.809774348181932</v>
      </c>
      <c r="L36" s="45">
        <f t="shared" si="5"/>
        <v>17.479247047819477</v>
      </c>
      <c r="M36" s="43">
        <f t="shared" si="1"/>
        <v>0</v>
      </c>
      <c r="N36" s="43">
        <f t="shared" si="2"/>
        <v>0</v>
      </c>
      <c r="R36" s="3"/>
      <c r="S36" s="3">
        <v>1.54</v>
      </c>
      <c r="T36" s="3"/>
      <c r="U36" s="3"/>
      <c r="V36" s="3"/>
    </row>
    <row r="37" spans="1:22" x14ac:dyDescent="0.3">
      <c r="A37" t="s">
        <v>150</v>
      </c>
      <c r="B37" s="3">
        <v>2.4</v>
      </c>
      <c r="C37" s="3">
        <v>0</v>
      </c>
      <c r="D37" s="3">
        <v>2.31</v>
      </c>
      <c r="E37" s="3"/>
      <c r="F37" s="3">
        <v>0.38</v>
      </c>
      <c r="G37" s="3">
        <v>79.56</v>
      </c>
      <c r="H37" s="3"/>
      <c r="I37" s="3">
        <v>12.86</v>
      </c>
      <c r="J37" s="44">
        <f t="shared" si="3"/>
        <v>1.099999999999995</v>
      </c>
      <c r="K37" s="45">
        <f t="shared" si="4"/>
        <v>97.507788161993773</v>
      </c>
      <c r="L37" s="45">
        <f t="shared" si="5"/>
        <v>82.616822429906549</v>
      </c>
      <c r="M37" s="43">
        <f t="shared" si="1"/>
        <v>0</v>
      </c>
      <c r="N37" s="43">
        <f t="shared" si="2"/>
        <v>0</v>
      </c>
      <c r="R37" s="3"/>
      <c r="S37" s="3"/>
      <c r="T37" s="3">
        <v>0.15</v>
      </c>
      <c r="U37" s="3">
        <v>1.24</v>
      </c>
      <c r="V37" s="3"/>
    </row>
    <row r="38" spans="1:22" x14ac:dyDescent="0.3">
      <c r="A38" t="s">
        <v>151</v>
      </c>
      <c r="B38" s="3">
        <v>3.6</v>
      </c>
      <c r="C38" s="3">
        <v>0.18</v>
      </c>
      <c r="D38" s="3">
        <v>0.33</v>
      </c>
      <c r="E38" s="3"/>
      <c r="F38" s="3">
        <v>0</v>
      </c>
      <c r="G38" s="3">
        <v>77.680000000000007</v>
      </c>
      <c r="H38" s="3"/>
      <c r="I38" s="3">
        <v>15.41</v>
      </c>
      <c r="J38" s="44">
        <f t="shared" si="3"/>
        <v>0.8499999999999972</v>
      </c>
      <c r="K38" s="45">
        <f t="shared" si="4"/>
        <v>96.131805157593121</v>
      </c>
      <c r="L38" s="45">
        <f t="shared" si="5"/>
        <v>79.492427343430222</v>
      </c>
      <c r="M38" s="43">
        <f t="shared" si="1"/>
        <v>0</v>
      </c>
      <c r="N38" s="43">
        <f t="shared" si="2"/>
        <v>0</v>
      </c>
      <c r="R38" s="3"/>
      <c r="S38" s="3"/>
      <c r="T38" s="3"/>
      <c r="U38" s="3">
        <v>1.95</v>
      </c>
      <c r="V38" s="3"/>
    </row>
    <row r="39" spans="1:22" x14ac:dyDescent="0.3">
      <c r="A39" t="s">
        <v>152</v>
      </c>
      <c r="B39" s="62">
        <v>1.74</v>
      </c>
      <c r="C39" s="62">
        <v>70.319999999999993</v>
      </c>
      <c r="D39" s="62">
        <v>0.27</v>
      </c>
      <c r="E39" s="62"/>
      <c r="F39" s="62">
        <v>0</v>
      </c>
      <c r="G39" s="62">
        <v>9.01</v>
      </c>
      <c r="H39" s="62"/>
      <c r="I39" s="62">
        <v>3.96</v>
      </c>
      <c r="J39" s="44">
        <f>100-SUM(B39:I39)-SUM(R39:V39)</f>
        <v>11.340000000000018</v>
      </c>
      <c r="K39" s="45">
        <f t="shared" si="4"/>
        <v>25.225692642938693</v>
      </c>
      <c r="L39" s="45">
        <f t="shared" si="5"/>
        <v>9.3493825879423049</v>
      </c>
      <c r="M39" s="43">
        <f t="shared" si="1"/>
        <v>0</v>
      </c>
      <c r="N39" s="43">
        <f t="shared" si="2"/>
        <v>0</v>
      </c>
      <c r="R39" s="3">
        <v>3.36</v>
      </c>
      <c r="S39" s="3"/>
      <c r="T39" s="3"/>
      <c r="U39" s="3"/>
      <c r="V39" s="3"/>
    </row>
    <row r="40" spans="1:22" x14ac:dyDescent="0.3">
      <c r="A40" t="s">
        <v>153</v>
      </c>
      <c r="B40" s="62">
        <v>3.25</v>
      </c>
      <c r="C40" s="62">
        <v>0</v>
      </c>
      <c r="D40" s="62">
        <v>3.72</v>
      </c>
      <c r="E40" s="62"/>
      <c r="F40" s="62">
        <v>0.19</v>
      </c>
      <c r="G40" s="62">
        <v>77.2</v>
      </c>
      <c r="H40" s="62"/>
      <c r="I40" s="62">
        <v>14.22</v>
      </c>
      <c r="J40" s="44">
        <f t="shared" si="3"/>
        <v>0.64000000000000168</v>
      </c>
      <c r="K40" s="45">
        <f t="shared" si="4"/>
        <v>96.596858638743456</v>
      </c>
      <c r="L40" s="45">
        <f t="shared" si="5"/>
        <v>80.837696335078533</v>
      </c>
      <c r="M40" s="43">
        <f t="shared" si="1"/>
        <v>0</v>
      </c>
      <c r="N40" s="43">
        <f t="shared" si="2"/>
        <v>0</v>
      </c>
      <c r="R40" s="3">
        <v>0.78</v>
      </c>
      <c r="S40" s="3"/>
      <c r="T40" s="3"/>
      <c r="U40" s="3"/>
      <c r="V40" s="3"/>
    </row>
    <row r="41" spans="1:22" x14ac:dyDescent="0.3">
      <c r="A41" t="s">
        <v>154</v>
      </c>
      <c r="B41" s="3">
        <v>6.82</v>
      </c>
      <c r="C41" s="3">
        <v>0</v>
      </c>
      <c r="D41" s="3">
        <v>2.2200000000000002</v>
      </c>
      <c r="E41" s="3"/>
      <c r="F41" s="3">
        <v>0.14000000000000001</v>
      </c>
      <c r="G41" s="3">
        <v>61.09</v>
      </c>
      <c r="H41" s="3"/>
      <c r="I41" s="3">
        <v>27.9</v>
      </c>
      <c r="J41" s="44">
        <f t="shared" si="3"/>
        <v>0.87999999999998413</v>
      </c>
      <c r="K41" s="45">
        <f t="shared" si="4"/>
        <v>92.956728286688019</v>
      </c>
      <c r="L41" s="45">
        <f t="shared" si="5"/>
        <v>63.089951461323992</v>
      </c>
      <c r="M41" s="43">
        <f t="shared" si="1"/>
        <v>0</v>
      </c>
      <c r="N41" s="43">
        <f t="shared" si="2"/>
        <v>0</v>
      </c>
      <c r="R41" s="3"/>
      <c r="S41" s="3">
        <v>0.95</v>
      </c>
      <c r="T41" s="3"/>
      <c r="U41" s="3"/>
      <c r="V41" s="3"/>
    </row>
    <row r="42" spans="1:22" x14ac:dyDescent="0.3">
      <c r="A42" t="s">
        <v>155</v>
      </c>
      <c r="B42" s="3">
        <v>5.83</v>
      </c>
      <c r="C42" s="3">
        <v>0.96</v>
      </c>
      <c r="D42" s="3">
        <v>0</v>
      </c>
      <c r="E42" s="3"/>
      <c r="F42" s="3">
        <v>0</v>
      </c>
      <c r="G42" s="3">
        <v>70.66</v>
      </c>
      <c r="H42" s="3"/>
      <c r="I42" s="3">
        <v>19.88</v>
      </c>
      <c r="J42" s="44">
        <f t="shared" si="3"/>
        <v>1.5300000000000018</v>
      </c>
      <c r="K42" s="45">
        <f t="shared" si="4"/>
        <v>93.13170139591341</v>
      </c>
      <c r="L42" s="45">
        <f t="shared" si="5"/>
        <v>71.474812866680153</v>
      </c>
      <c r="M42" s="43">
        <f t="shared" si="1"/>
        <v>0</v>
      </c>
      <c r="N42" s="43">
        <f t="shared" si="2"/>
        <v>0</v>
      </c>
      <c r="R42" s="3"/>
      <c r="S42" s="3">
        <v>1.1399999999999999</v>
      </c>
      <c r="T42" s="3"/>
      <c r="U42" s="3"/>
      <c r="V42" s="3"/>
    </row>
    <row r="43" spans="1:22" x14ac:dyDescent="0.3">
      <c r="A43" t="s">
        <v>156</v>
      </c>
      <c r="B43" s="3">
        <v>2.6</v>
      </c>
      <c r="C43" s="3">
        <v>0</v>
      </c>
      <c r="D43" s="3">
        <v>0.75</v>
      </c>
      <c r="E43" s="3"/>
      <c r="F43" s="3">
        <v>0</v>
      </c>
      <c r="G43" s="3">
        <v>81.790000000000006</v>
      </c>
      <c r="H43" s="3"/>
      <c r="I43" s="3">
        <v>10.99</v>
      </c>
      <c r="J43" s="44">
        <f t="shared" si="3"/>
        <v>1.6600000000000046</v>
      </c>
      <c r="K43" s="45">
        <f t="shared" si="4"/>
        <v>97.320692497939007</v>
      </c>
      <c r="L43" s="45">
        <f t="shared" si="5"/>
        <v>84.284830997526797</v>
      </c>
      <c r="M43" s="43">
        <f t="shared" si="1"/>
        <v>0</v>
      </c>
      <c r="N43" s="43">
        <f t="shared" si="2"/>
        <v>0</v>
      </c>
      <c r="R43" s="3"/>
      <c r="S43" s="3"/>
      <c r="T43" s="3"/>
      <c r="U43" s="3">
        <v>2.21</v>
      </c>
      <c r="V43" s="3"/>
    </row>
    <row r="44" spans="1:22" x14ac:dyDescent="0.3">
      <c r="A44" t="s">
        <v>157</v>
      </c>
      <c r="B44" s="3">
        <v>5.34</v>
      </c>
      <c r="C44" s="3">
        <v>13.11</v>
      </c>
      <c r="D44" s="3">
        <v>0</v>
      </c>
      <c r="E44" s="3"/>
      <c r="F44" s="3">
        <v>0</v>
      </c>
      <c r="G44" s="3">
        <v>57.26</v>
      </c>
      <c r="H44" s="3"/>
      <c r="I44" s="3">
        <v>19.989999999999998</v>
      </c>
      <c r="J44" s="44">
        <f t="shared" si="3"/>
        <v>2.2100000000000111</v>
      </c>
      <c r="K44" s="45">
        <f t="shared" si="4"/>
        <v>81.15616382391994</v>
      </c>
      <c r="L44" s="45">
        <f t="shared" si="5"/>
        <v>58.482279644571548</v>
      </c>
      <c r="M44" s="43">
        <f t="shared" si="1"/>
        <v>0</v>
      </c>
      <c r="N44" s="43">
        <f t="shared" si="2"/>
        <v>0</v>
      </c>
      <c r="R44" s="3"/>
      <c r="S44" s="3"/>
      <c r="T44" s="3">
        <v>1.3</v>
      </c>
      <c r="U44" s="3">
        <v>0.56999999999999995</v>
      </c>
      <c r="V44" s="3">
        <v>0.22</v>
      </c>
    </row>
    <row r="45" spans="1:22" x14ac:dyDescent="0.3">
      <c r="A45" t="s">
        <v>158</v>
      </c>
      <c r="B45" s="62">
        <v>3.8</v>
      </c>
      <c r="C45" s="62">
        <v>0</v>
      </c>
      <c r="D45" s="62">
        <v>0</v>
      </c>
      <c r="E45" s="62"/>
      <c r="F45" s="62">
        <v>0.84</v>
      </c>
      <c r="G45" s="62">
        <v>72.459999999999994</v>
      </c>
      <c r="H45" s="62"/>
      <c r="I45" s="62">
        <v>20.62</v>
      </c>
      <c r="J45" s="44">
        <f t="shared" si="3"/>
        <v>1.2800000000000011</v>
      </c>
      <c r="K45" s="45">
        <f t="shared" si="4"/>
        <v>96.161616161616166</v>
      </c>
      <c r="L45" s="45">
        <f t="shared" si="5"/>
        <v>73.191919191919183</v>
      </c>
      <c r="M45" s="43">
        <f t="shared" si="1"/>
        <v>0</v>
      </c>
      <c r="N45" s="43">
        <f t="shared" si="2"/>
        <v>0</v>
      </c>
      <c r="R45" s="3">
        <v>1</v>
      </c>
      <c r="S45" s="3"/>
      <c r="T45" s="3"/>
      <c r="U45" s="3"/>
      <c r="V45" s="3"/>
    </row>
    <row r="46" spans="1:22" x14ac:dyDescent="0.3">
      <c r="A46" t="s">
        <v>159</v>
      </c>
      <c r="B46" s="62">
        <v>5.3</v>
      </c>
      <c r="C46" s="62">
        <v>0</v>
      </c>
      <c r="D46" s="62">
        <v>0</v>
      </c>
      <c r="E46" s="62"/>
      <c r="F46" s="62">
        <v>0</v>
      </c>
      <c r="G46" s="62">
        <v>73.08</v>
      </c>
      <c r="H46" s="62"/>
      <c r="I46" s="62">
        <v>20.420000000000002</v>
      </c>
      <c r="J46" s="44">
        <f t="shared" si="3"/>
        <v>1.2000000000000028</v>
      </c>
      <c r="K46" s="45">
        <f t="shared" si="4"/>
        <v>94.7</v>
      </c>
      <c r="L46" s="45">
        <f t="shared" si="5"/>
        <v>73.08</v>
      </c>
      <c r="M46" s="43">
        <f t="shared" si="1"/>
        <v>0</v>
      </c>
      <c r="N46" s="43">
        <f t="shared" si="2"/>
        <v>0</v>
      </c>
      <c r="R46" s="3"/>
      <c r="S46" s="3"/>
      <c r="T46" s="3"/>
      <c r="U46" s="3"/>
      <c r="V46" s="3"/>
    </row>
    <row r="47" spans="1:22" x14ac:dyDescent="0.3">
      <c r="A47" t="s">
        <v>160</v>
      </c>
      <c r="B47" s="3">
        <v>5.75</v>
      </c>
      <c r="C47" s="3">
        <v>0</v>
      </c>
      <c r="D47" s="3">
        <v>1.55</v>
      </c>
      <c r="E47" s="3"/>
      <c r="F47" s="3">
        <v>1</v>
      </c>
      <c r="G47" s="3">
        <v>60.32</v>
      </c>
      <c r="H47" s="3"/>
      <c r="I47" s="3">
        <v>28.99</v>
      </c>
      <c r="J47" s="44">
        <f t="shared" si="3"/>
        <v>1.3500000000000005</v>
      </c>
      <c r="K47" s="45">
        <f t="shared" si="4"/>
        <v>94.097115285904948</v>
      </c>
      <c r="L47" s="45">
        <f t="shared" si="5"/>
        <v>61.923827122472034</v>
      </c>
      <c r="M47" s="43">
        <f t="shared" si="1"/>
        <v>0</v>
      </c>
      <c r="N47" s="43">
        <f t="shared" si="2"/>
        <v>0</v>
      </c>
      <c r="R47" s="3"/>
      <c r="S47" s="3">
        <v>1.04</v>
      </c>
      <c r="T47" s="3"/>
      <c r="U47" s="3"/>
      <c r="V47" s="3"/>
    </row>
    <row r="48" spans="1:22" x14ac:dyDescent="0.3">
      <c r="A48" t="s">
        <v>161</v>
      </c>
      <c r="B48" s="3">
        <v>7.32</v>
      </c>
      <c r="C48" s="3">
        <v>4.7300000000000004</v>
      </c>
      <c r="D48" s="3">
        <v>0</v>
      </c>
      <c r="E48" s="3"/>
      <c r="F48" s="3">
        <v>0</v>
      </c>
      <c r="G48" s="3">
        <v>59.74</v>
      </c>
      <c r="H48" s="3"/>
      <c r="I48" s="3">
        <v>25.97</v>
      </c>
      <c r="J48" s="44">
        <f t="shared" si="3"/>
        <v>1.1199999999999948</v>
      </c>
      <c r="K48" s="45">
        <f t="shared" si="4"/>
        <v>87.813511326860848</v>
      </c>
      <c r="L48" s="45">
        <f t="shared" si="5"/>
        <v>60.416666666666671</v>
      </c>
      <c r="M48" s="43">
        <f t="shared" si="1"/>
        <v>0</v>
      </c>
      <c r="N48" s="43">
        <f t="shared" si="2"/>
        <v>0</v>
      </c>
      <c r="R48" s="3"/>
      <c r="S48" s="3">
        <v>1.1200000000000001</v>
      </c>
      <c r="T48" s="3"/>
      <c r="U48" s="3"/>
      <c r="V48" s="3"/>
    </row>
    <row r="49" spans="1:22" x14ac:dyDescent="0.3">
      <c r="A49" t="s">
        <v>162</v>
      </c>
      <c r="B49" s="3">
        <v>5.54</v>
      </c>
      <c r="C49" s="3">
        <v>0</v>
      </c>
      <c r="D49" s="3">
        <v>0</v>
      </c>
      <c r="E49" s="3"/>
      <c r="F49" s="3">
        <v>0</v>
      </c>
      <c r="G49" s="3">
        <v>80.260000000000005</v>
      </c>
      <c r="H49" s="3"/>
      <c r="I49" s="3">
        <v>10.130000000000001</v>
      </c>
      <c r="J49" s="44">
        <f t="shared" si="3"/>
        <v>1.9299999999999931</v>
      </c>
      <c r="K49" s="45">
        <f t="shared" si="4"/>
        <v>94.33885142039648</v>
      </c>
      <c r="L49" s="45">
        <f t="shared" si="5"/>
        <v>82.015123646024946</v>
      </c>
      <c r="M49" s="43">
        <f t="shared" si="1"/>
        <v>0</v>
      </c>
      <c r="N49" s="43">
        <f t="shared" si="2"/>
        <v>0</v>
      </c>
      <c r="R49" s="3"/>
      <c r="S49" s="3"/>
      <c r="T49" s="3">
        <v>0.54</v>
      </c>
      <c r="U49" s="3">
        <v>1.6</v>
      </c>
      <c r="V49" s="3"/>
    </row>
    <row r="50" spans="1:22" x14ac:dyDescent="0.3">
      <c r="A50" t="s">
        <v>163</v>
      </c>
      <c r="B50" s="3">
        <v>4.88</v>
      </c>
      <c r="C50" s="3">
        <v>1.23</v>
      </c>
      <c r="D50" s="3">
        <v>0</v>
      </c>
      <c r="E50" s="3"/>
      <c r="F50" s="3">
        <v>0</v>
      </c>
      <c r="G50" s="3">
        <v>70.680000000000007</v>
      </c>
      <c r="H50" s="3"/>
      <c r="I50" s="3">
        <v>19.96</v>
      </c>
      <c r="J50" s="44">
        <f t="shared" si="3"/>
        <v>1.02</v>
      </c>
      <c r="K50" s="45">
        <f t="shared" si="4"/>
        <v>93.750639255395342</v>
      </c>
      <c r="L50" s="45">
        <f t="shared" si="5"/>
        <v>72.292114145443406</v>
      </c>
      <c r="M50" s="43">
        <f t="shared" si="1"/>
        <v>0</v>
      </c>
      <c r="N50" s="43">
        <f t="shared" si="2"/>
        <v>0</v>
      </c>
      <c r="R50" s="3"/>
      <c r="S50" s="3"/>
      <c r="T50" s="3">
        <v>0.33</v>
      </c>
      <c r="U50" s="3">
        <v>1.9</v>
      </c>
      <c r="V50" s="3"/>
    </row>
  </sheetData>
  <conditionalFormatting sqref="K3:K50">
    <cfRule type="iconSet" priority="3">
      <iconSet>
        <cfvo type="percent" val="0"/>
        <cfvo type="percent" val="50"/>
        <cfvo type="percent" val="90"/>
      </iconSet>
    </cfRule>
  </conditionalFormatting>
  <conditionalFormatting sqref="L3:N50">
    <cfRule type="iconSet" priority="2">
      <iconSet>
        <cfvo type="percent" val="0"/>
        <cfvo type="num" val="30"/>
        <cfvo type="num" val="60"/>
      </iconSet>
    </cfRule>
  </conditionalFormatting>
  <conditionalFormatting sqref="J3:J50">
    <cfRule type="iconSet" priority="1">
      <iconSet reverse="1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1614F5E3BD44D88B33D12C6DB3ED3" ma:contentTypeVersion="16" ma:contentTypeDescription="Create a new document." ma:contentTypeScope="" ma:versionID="355c89797a746212168ac3a917337747">
  <xsd:schema xmlns:xsd="http://www.w3.org/2001/XMLSchema" xmlns:xs="http://www.w3.org/2001/XMLSchema" xmlns:p="http://schemas.microsoft.com/office/2006/metadata/properties" xmlns:ns2="cf130514-ff48-46bf-88ff-d692fa5f132a" xmlns:ns3="b2c08957-0585-46c2-8b5f-633d6c5df5e3" targetNamespace="http://schemas.microsoft.com/office/2006/metadata/properties" ma:root="true" ma:fieldsID="db99c725005a5cb19d00c91c740a8c16" ns2:_="" ns3:_="">
    <xsd:import namespace="cf130514-ff48-46bf-88ff-d692fa5f132a"/>
    <xsd:import namespace="b2c08957-0585-46c2-8b5f-633d6c5df5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30514-ff48-46bf-88ff-d692fa5f1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da6bb-520e-42c9-b1d9-a1eda62eff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8957-0585-46c2-8b5f-633d6c5df5e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35d120f-1a58-4c39-8367-2b43b97d71e2}" ma:internalName="TaxCatchAll" ma:showField="CatchAllData" ma:web="b2c08957-0585-46c2-8b5f-633d6c5df5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c08957-0585-46c2-8b5f-633d6c5df5e3" xsi:nil="true"/>
    <lcf76f155ced4ddcb4097134ff3c332f xmlns="cf130514-ff48-46bf-88ff-d692fa5f13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458DF7-EB28-4FED-896E-6D7F2D9BA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602DD1-86F0-4397-AE9D-F59007C0A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30514-ff48-46bf-88ff-d692fa5f132a"/>
    <ds:schemaRef ds:uri="b2c08957-0585-46c2-8b5f-633d6c5df5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82D511-C595-48F6-A1C1-62CDEC51B301}">
  <ds:schemaRefs>
    <ds:schemaRef ds:uri="http://schemas.microsoft.com/office/2006/metadata/properties"/>
    <ds:schemaRef ds:uri="http://schemas.microsoft.com/office/infopath/2007/PartnerControls"/>
    <ds:schemaRef ds:uri="b2c08957-0585-46c2-8b5f-633d6c5df5e3"/>
    <ds:schemaRef ds:uri="cf130514-ff48-46bf-88ff-d692fa5f13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Screen Plate (image only)</vt:lpstr>
      <vt:lpstr>Screen Plate Costs</vt:lpstr>
      <vt:lpstr>Screen Plate</vt:lpstr>
      <vt:lpstr>Calculations</vt:lpstr>
      <vt:lpstr>UPLC Data (iClass)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Kahan</dc:creator>
  <cp:keywords/>
  <dc:description/>
  <cp:lastModifiedBy>Rachel Kahan</cp:lastModifiedBy>
  <cp:revision/>
  <dcterms:created xsi:type="dcterms:W3CDTF">2022-03-02T13:01:03Z</dcterms:created>
  <dcterms:modified xsi:type="dcterms:W3CDTF">2022-10-26T11:10:03Z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0x0101000F01614F5E3BD44D88B33D12C6DB3ED3</vt:lpwstr>
  </property>
  <property fmtid="{D5CDD505-2E9C-101B-9397-08002B2CF9AE}" pid="3" name="MediaServiceImageTags">
    <vt:lpwstr/>
  </property>
</Properties>
</file>