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atsciltd.sharepoint.com/sites/Reata/Shared Documents/RTA 901 Suzuki Screening and Optimization/05 - Experimental/"/>
    </mc:Choice>
  </mc:AlternateContent>
  <xr:revisionPtr revIDLastSave="1667" documentId="8_{1C84A813-E281-4235-9DC9-7DC3F9B6267B}" xr6:coauthVersionLast="47" xr6:coauthVersionMax="47" xr10:uidLastSave="{0FD45E1D-5B23-46CE-A5F8-2487A966F451}"/>
  <bookViews>
    <workbookView xWindow="22932" yWindow="1104" windowWidth="23256" windowHeight="12576" firstSheet="5" activeTab="5" xr2:uid="{CC241E92-57FF-4F39-8FDB-5A2470B8EB1D}"/>
  </bookViews>
  <sheets>
    <sheet name="Screen Plate (image only)" sheetId="9" r:id="rId1"/>
    <sheet name="Screen Plate Costs" sheetId="10" r:id="rId2"/>
    <sheet name="Screen Plate Costing" sheetId="11" r:id="rId3"/>
    <sheet name="Screen Plate" sheetId="1" r:id="rId4"/>
    <sheet name="Calculations" sheetId="2" r:id="rId5"/>
    <sheet name="Calculations (add on exp)" sheetId="12" r:id="rId6"/>
    <sheet name="UPLC Data (iClass)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5" i="1"/>
  <c r="I4" i="1"/>
  <c r="F5" i="1"/>
  <c r="F4" i="1"/>
  <c r="F9" i="1"/>
  <c r="F8" i="1"/>
  <c r="H9" i="1"/>
  <c r="H8" i="1"/>
  <c r="H4" i="1"/>
  <c r="H5" i="1"/>
  <c r="G9" i="1"/>
  <c r="G8" i="1"/>
  <c r="G5" i="1"/>
  <c r="G4" i="1"/>
  <c r="Y25" i="11"/>
  <c r="AA25" i="11" s="1"/>
  <c r="Y24" i="11"/>
  <c r="AA24" i="11" s="1"/>
  <c r="Y23" i="11"/>
  <c r="AA23" i="11" s="1"/>
  <c r="S25" i="11"/>
  <c r="U25" i="11" s="1"/>
  <c r="S24" i="11"/>
  <c r="U24" i="11" s="1"/>
  <c r="S23" i="11"/>
  <c r="U23" i="11" s="1"/>
  <c r="O24" i="11"/>
  <c r="M24" i="11"/>
  <c r="O25" i="11"/>
  <c r="O23" i="11"/>
  <c r="M25" i="11"/>
  <c r="AA19" i="11"/>
  <c r="AA18" i="11"/>
  <c r="AA17" i="11"/>
  <c r="AA14" i="11"/>
  <c r="AA13" i="11"/>
  <c r="AA12" i="11"/>
  <c r="AA9" i="11"/>
  <c r="U9" i="11"/>
  <c r="U19" i="11"/>
  <c r="U18" i="11"/>
  <c r="U17" i="11"/>
  <c r="U14" i="11"/>
  <c r="U13" i="11"/>
  <c r="U12" i="11"/>
  <c r="O19" i="11"/>
  <c r="O18" i="11"/>
  <c r="O17" i="11"/>
  <c r="O14" i="11"/>
  <c r="O13" i="11"/>
  <c r="O12" i="11"/>
  <c r="O9" i="11"/>
  <c r="M23" i="11"/>
  <c r="G25" i="11"/>
  <c r="G24" i="11"/>
  <c r="F24" i="11" s="1"/>
  <c r="G23" i="11"/>
  <c r="F23" i="11" s="1"/>
  <c r="X6" i="11"/>
  <c r="Y6" i="11" s="1"/>
  <c r="AA6" i="11" s="1"/>
  <c r="X5" i="11"/>
  <c r="Y5" i="11" s="1"/>
  <c r="AA5" i="11" s="1"/>
  <c r="R6" i="11"/>
  <c r="S6" i="11" s="1"/>
  <c r="U6" i="11" s="1"/>
  <c r="R5" i="11"/>
  <c r="S5" i="11" s="1"/>
  <c r="U5" i="11" s="1"/>
  <c r="M6" i="11"/>
  <c r="O6" i="11" s="1"/>
  <c r="L6" i="11"/>
  <c r="L5" i="11"/>
  <c r="M5" i="11" s="1"/>
  <c r="O5" i="11" s="1"/>
  <c r="I8" i="12"/>
  <c r="I7" i="12"/>
  <c r="G7" i="12"/>
  <c r="R4" i="12"/>
  <c r="R12" i="12"/>
  <c r="R7" i="12"/>
  <c r="X19" i="11"/>
  <c r="Y19" i="11" s="1"/>
  <c r="X18" i="11"/>
  <c r="Y18" i="11" s="1"/>
  <c r="X17" i="11"/>
  <c r="Y17" i="11" s="1"/>
  <c r="Y14" i="11"/>
  <c r="X14" i="11"/>
  <c r="X13" i="11"/>
  <c r="Y13" i="11" s="1"/>
  <c r="Y12" i="11"/>
  <c r="X12" i="11"/>
  <c r="X9" i="11"/>
  <c r="Y9" i="11" s="1"/>
  <c r="P19" i="12"/>
  <c r="J19" i="12" s="1"/>
  <c r="H19" i="12" s="1"/>
  <c r="P20" i="12"/>
  <c r="J20" i="12" s="1"/>
  <c r="H20" i="12" s="1"/>
  <c r="M19" i="12"/>
  <c r="M20" i="12"/>
  <c r="I19" i="12"/>
  <c r="I20" i="12"/>
  <c r="G20" i="12" s="1"/>
  <c r="G19" i="12"/>
  <c r="S19" i="11"/>
  <c r="R19" i="11"/>
  <c r="R13" i="11"/>
  <c r="S13" i="11" s="1"/>
  <c r="S18" i="11"/>
  <c r="R18" i="11"/>
  <c r="R17" i="11"/>
  <c r="S17" i="11" s="1"/>
  <c r="R14" i="11"/>
  <c r="S14" i="11" s="1"/>
  <c r="R12" i="11"/>
  <c r="S12" i="11" s="1"/>
  <c r="M17" i="11"/>
  <c r="L19" i="11"/>
  <c r="M19" i="11" s="1"/>
  <c r="M18" i="11"/>
  <c r="L18" i="11"/>
  <c r="L17" i="11"/>
  <c r="L13" i="11"/>
  <c r="M13" i="11" s="1"/>
  <c r="L14" i="11"/>
  <c r="M14" i="11" s="1"/>
  <c r="L12" i="11"/>
  <c r="M12" i="11" s="1"/>
  <c r="R9" i="11"/>
  <c r="S9" i="11"/>
  <c r="I12" i="12"/>
  <c r="G12" i="12" s="1"/>
  <c r="I13" i="12"/>
  <c r="G13" i="12" s="1"/>
  <c r="L9" i="11"/>
  <c r="M9" i="11" s="1"/>
  <c r="F66" i="12"/>
  <c r="I66" i="12"/>
  <c r="K66" i="12" s="1"/>
  <c r="F67" i="12"/>
  <c r="G67" i="12" s="1"/>
  <c r="I67" i="12"/>
  <c r="K67" i="12" s="1"/>
  <c r="F68" i="12"/>
  <c r="G68" i="12" s="1"/>
  <c r="F61" i="12"/>
  <c r="G61" i="12" s="1"/>
  <c r="I61" i="12"/>
  <c r="K61" i="12" s="1"/>
  <c r="F62" i="12"/>
  <c r="G62" i="12" s="1"/>
  <c r="I62" i="12"/>
  <c r="K63" i="12" s="1"/>
  <c r="F63" i="12"/>
  <c r="G63" i="12" s="1"/>
  <c r="F56" i="12"/>
  <c r="G56" i="12" s="1"/>
  <c r="F57" i="12"/>
  <c r="G57" i="12" s="1"/>
  <c r="F58" i="12"/>
  <c r="G58" i="12" s="1"/>
  <c r="I58" i="12"/>
  <c r="K58" i="12" s="1"/>
  <c r="H37" i="12"/>
  <c r="G37" i="12" s="1"/>
  <c r="H38" i="12"/>
  <c r="G38" i="12" s="1"/>
  <c r="H39" i="12"/>
  <c r="H40" i="12"/>
  <c r="P31" i="12"/>
  <c r="J31" i="12" s="1"/>
  <c r="P32" i="12"/>
  <c r="J32" i="12" s="1"/>
  <c r="P33" i="12"/>
  <c r="J33" i="12" s="1"/>
  <c r="P34" i="12"/>
  <c r="J34" i="12" s="1"/>
  <c r="S3" i="12"/>
  <c r="I4" i="12"/>
  <c r="I34" i="12" s="1"/>
  <c r="G34" i="12" s="1"/>
  <c r="M4" i="12"/>
  <c r="P4" i="12"/>
  <c r="J4" i="12" s="1"/>
  <c r="T4" i="12"/>
  <c r="P16" i="12"/>
  <c r="P17" i="12"/>
  <c r="J17" i="12" s="1"/>
  <c r="P18" i="12"/>
  <c r="J18" i="12" s="1"/>
  <c r="P21" i="12"/>
  <c r="J21" i="12" s="1"/>
  <c r="P22" i="12"/>
  <c r="J22" i="12" s="1"/>
  <c r="P23" i="12"/>
  <c r="R23" i="12"/>
  <c r="P24" i="12"/>
  <c r="P25" i="12"/>
  <c r="J25" i="12" s="1"/>
  <c r="P26" i="12"/>
  <c r="J26" i="12" s="1"/>
  <c r="P27" i="12"/>
  <c r="J27" i="12" s="1"/>
  <c r="I28" i="12"/>
  <c r="G28" i="12" s="1"/>
  <c r="P28" i="12"/>
  <c r="J28" i="12" s="1"/>
  <c r="G27" i="11"/>
  <c r="G26" i="11"/>
  <c r="F25" i="11"/>
  <c r="H4" i="11"/>
  <c r="I14" i="12" l="1"/>
  <c r="G14" i="12" s="1"/>
  <c r="G8" i="12"/>
  <c r="I25" i="12"/>
  <c r="G25" i="12" s="1"/>
  <c r="M25" i="12" s="1"/>
  <c r="I9" i="12"/>
  <c r="G9" i="12" s="1"/>
  <c r="H28" i="12"/>
  <c r="I22" i="12"/>
  <c r="G22" i="12" s="1"/>
  <c r="M22" i="12" s="1"/>
  <c r="I26" i="12"/>
  <c r="G26" i="12" s="1"/>
  <c r="M26" i="12" s="1"/>
  <c r="H4" i="12"/>
  <c r="H41" i="12" s="1"/>
  <c r="I17" i="12"/>
  <c r="G17" i="12" s="1"/>
  <c r="M17" i="12" s="1"/>
  <c r="I21" i="12"/>
  <c r="I33" i="12"/>
  <c r="G33" i="12" s="1"/>
  <c r="M33" i="12" s="1"/>
  <c r="I27" i="12"/>
  <c r="G27" i="12" s="1"/>
  <c r="M27" i="12" s="1"/>
  <c r="I18" i="12"/>
  <c r="G18" i="12" s="1"/>
  <c r="R18" i="12" s="1"/>
  <c r="I31" i="12"/>
  <c r="G31" i="12" s="1"/>
  <c r="M31" i="12" s="1"/>
  <c r="M28" i="12"/>
  <c r="R28" i="12"/>
  <c r="I32" i="12"/>
  <c r="G32" i="12" s="1"/>
  <c r="R34" i="12"/>
  <c r="M34" i="12"/>
  <c r="H34" i="12"/>
  <c r="H12" i="11"/>
  <c r="H5" i="11"/>
  <c r="H9" i="11"/>
  <c r="H18" i="11"/>
  <c r="H6" i="11"/>
  <c r="G6" i="11" s="1"/>
  <c r="H14" i="11"/>
  <c r="G14" i="11" s="1"/>
  <c r="G4" i="11"/>
  <c r="G28" i="11" s="1"/>
  <c r="H17" i="11"/>
  <c r="H19" i="11"/>
  <c r="H13" i="11"/>
  <c r="H25" i="12" l="1"/>
  <c r="R25" i="12"/>
  <c r="R27" i="12"/>
  <c r="R17" i="12"/>
  <c r="H26" i="12"/>
  <c r="R26" i="12"/>
  <c r="H33" i="12"/>
  <c r="H17" i="12"/>
  <c r="R33" i="12"/>
  <c r="H22" i="12"/>
  <c r="H31" i="12"/>
  <c r="R31" i="12"/>
  <c r="H21" i="12"/>
  <c r="G21" i="12"/>
  <c r="M18" i="12"/>
  <c r="H18" i="12"/>
  <c r="H27" i="12"/>
  <c r="H32" i="12"/>
  <c r="M32" i="12"/>
  <c r="R32" i="12"/>
  <c r="G18" i="11"/>
  <c r="F18" i="11"/>
  <c r="F6" i="11"/>
  <c r="G9" i="11"/>
  <c r="F9" i="11"/>
  <c r="F14" i="11"/>
  <c r="G5" i="11"/>
  <c r="F5" i="11"/>
  <c r="F12" i="11"/>
  <c r="G12" i="11"/>
  <c r="G17" i="11"/>
  <c r="F17" i="11"/>
  <c r="G13" i="11"/>
  <c r="F13" i="11"/>
  <c r="G19" i="11"/>
  <c r="F19" i="11"/>
  <c r="R21" i="12" l="1"/>
  <c r="M21" i="12"/>
  <c r="B24" i="1" l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G12" i="1"/>
  <c r="G13" i="1"/>
  <c r="G16" i="1"/>
  <c r="H16" i="1"/>
  <c r="G17" i="1"/>
  <c r="H17" i="1"/>
  <c r="F20" i="1"/>
  <c r="H20" i="1"/>
  <c r="I20" i="1"/>
  <c r="F21" i="1"/>
  <c r="H21" i="1"/>
  <c r="I21" i="1"/>
  <c r="B4" i="10"/>
  <c r="B2" i="10"/>
  <c r="G50" i="2"/>
  <c r="K50" i="2"/>
  <c r="I50" i="2"/>
  <c r="B16" i="10"/>
  <c r="B14" i="10"/>
  <c r="K59" i="2"/>
  <c r="K58" i="2"/>
  <c r="K55" i="2"/>
  <c r="K53" i="2"/>
  <c r="G53" i="2"/>
  <c r="I54" i="2"/>
  <c r="I59" i="2"/>
  <c r="I58" i="2"/>
  <c r="I53" i="2"/>
  <c r="G48" i="2"/>
  <c r="R4" i="2"/>
  <c r="H32" i="2"/>
  <c r="H31" i="2"/>
  <c r="P13" i="2" l="1"/>
  <c r="J13" i="2" s="1"/>
  <c r="J39" i="7" l="1"/>
  <c r="K39" i="7" s="1"/>
  <c r="F6" i="10"/>
  <c r="D6" i="10"/>
  <c r="B6" i="10"/>
  <c r="F4" i="10"/>
  <c r="D4" i="10"/>
  <c r="F48" i="2"/>
  <c r="F2" i="10"/>
  <c r="D2" i="10"/>
  <c r="F53" i="2"/>
  <c r="F49" i="2"/>
  <c r="G49" i="2" s="1"/>
  <c r="F50" i="2"/>
  <c r="F54" i="2"/>
  <c r="G54" i="2" s="1"/>
  <c r="F55" i="2"/>
  <c r="G55" i="2" s="1"/>
  <c r="F58" i="2"/>
  <c r="F59" i="2"/>
  <c r="G59" i="2" s="1"/>
  <c r="F60" i="2"/>
  <c r="G60" i="2" s="1"/>
  <c r="J4" i="7"/>
  <c r="K4" i="7" s="1"/>
  <c r="J5" i="7"/>
  <c r="L5" i="7" s="1"/>
  <c r="J6" i="7"/>
  <c r="K6" i="7" s="1"/>
  <c r="J7" i="7"/>
  <c r="K7" i="7" s="1"/>
  <c r="J8" i="7"/>
  <c r="L8" i="7" s="1"/>
  <c r="J9" i="7"/>
  <c r="K9" i="7" s="1"/>
  <c r="J10" i="7"/>
  <c r="K10" i="7" s="1"/>
  <c r="J11" i="7"/>
  <c r="L11" i="7" s="1"/>
  <c r="J12" i="7"/>
  <c r="L12" i="7" s="1"/>
  <c r="J13" i="7"/>
  <c r="K13" i="7" s="1"/>
  <c r="J14" i="7"/>
  <c r="K14" i="7" s="1"/>
  <c r="J15" i="7"/>
  <c r="K15" i="7" s="1"/>
  <c r="J16" i="7"/>
  <c r="K16" i="7" s="1"/>
  <c r="J17" i="7"/>
  <c r="K17" i="7" s="1"/>
  <c r="J18" i="7"/>
  <c r="K18" i="7" s="1"/>
  <c r="J19" i="7"/>
  <c r="L19" i="7" s="1"/>
  <c r="J20" i="7"/>
  <c r="K20" i="7" s="1"/>
  <c r="J21" i="7"/>
  <c r="L21" i="7" s="1"/>
  <c r="J22" i="7"/>
  <c r="L22" i="7" s="1"/>
  <c r="J23" i="7"/>
  <c r="K23" i="7" s="1"/>
  <c r="J24" i="7"/>
  <c r="K24" i="7" s="1"/>
  <c r="J25" i="7"/>
  <c r="K25" i="7" s="1"/>
  <c r="J26" i="7"/>
  <c r="K26" i="7" s="1"/>
  <c r="J27" i="7"/>
  <c r="K27" i="7" s="1"/>
  <c r="J28" i="7"/>
  <c r="K28" i="7" s="1"/>
  <c r="J29" i="7"/>
  <c r="K29" i="7" s="1"/>
  <c r="F12" i="1" s="1"/>
  <c r="J30" i="7"/>
  <c r="L30" i="7" s="1"/>
  <c r="F17" i="1" s="1"/>
  <c r="J31" i="7"/>
  <c r="K31" i="7" s="1"/>
  <c r="J32" i="7"/>
  <c r="K32" i="7" s="1"/>
  <c r="J33" i="7"/>
  <c r="K33" i="7" s="1"/>
  <c r="J34" i="7"/>
  <c r="K34" i="7" s="1"/>
  <c r="J35" i="7"/>
  <c r="K35" i="7" s="1"/>
  <c r="J36" i="7"/>
  <c r="K36" i="7" s="1"/>
  <c r="J37" i="7"/>
  <c r="K37" i="7" s="1"/>
  <c r="G20" i="1" s="1"/>
  <c r="J38" i="7"/>
  <c r="K38" i="7" s="1"/>
  <c r="J40" i="7"/>
  <c r="L40" i="7" s="1"/>
  <c r="J41" i="7"/>
  <c r="K41" i="7" s="1"/>
  <c r="H12" i="1" s="1"/>
  <c r="J42" i="7"/>
  <c r="K42" i="7" s="1"/>
  <c r="J43" i="7"/>
  <c r="K43" i="7" s="1"/>
  <c r="J44" i="7"/>
  <c r="K44" i="7" s="1"/>
  <c r="J45" i="7"/>
  <c r="K45" i="7" s="1"/>
  <c r="J46" i="7"/>
  <c r="K46" i="7" s="1"/>
  <c r="J47" i="7"/>
  <c r="K47" i="7" s="1"/>
  <c r="I12" i="1" s="1"/>
  <c r="J48" i="7"/>
  <c r="L48" i="7" s="1"/>
  <c r="I17" i="1" s="1"/>
  <c r="J49" i="7"/>
  <c r="K49" i="7" s="1"/>
  <c r="J50" i="7"/>
  <c r="K50" i="7" s="1"/>
  <c r="J3" i="7"/>
  <c r="K3" i="7" s="1"/>
  <c r="L42" i="7" l="1"/>
  <c r="K11" i="7"/>
  <c r="K40" i="7"/>
  <c r="L16" i="7"/>
  <c r="K21" i="7"/>
  <c r="L39" i="7"/>
  <c r="L18" i="7"/>
  <c r="K5" i="7"/>
  <c r="L10" i="7"/>
  <c r="L4" i="7"/>
  <c r="K30" i="7"/>
  <c r="F16" i="1" s="1"/>
  <c r="L17" i="7"/>
  <c r="L29" i="7"/>
  <c r="F13" i="1" s="1"/>
  <c r="L28" i="7"/>
  <c r="K48" i="7"/>
  <c r="I16" i="1" s="1"/>
  <c r="L15" i="7"/>
  <c r="L47" i="7"/>
  <c r="I13" i="1" s="1"/>
  <c r="L27" i="7"/>
  <c r="K12" i="7"/>
  <c r="L46" i="7"/>
  <c r="K22" i="7"/>
  <c r="L36" i="7"/>
  <c r="L45" i="7"/>
  <c r="L35" i="7"/>
  <c r="L34" i="7"/>
  <c r="L24" i="7"/>
  <c r="L41" i="7"/>
  <c r="H13" i="1" s="1"/>
  <c r="L33" i="7"/>
  <c r="L23" i="7"/>
  <c r="L9" i="7"/>
  <c r="L7" i="7"/>
  <c r="L6" i="7"/>
  <c r="L50" i="7"/>
  <c r="L44" i="7"/>
  <c r="L38" i="7"/>
  <c r="L32" i="7"/>
  <c r="L26" i="7"/>
  <c r="L20" i="7"/>
  <c r="L14" i="7"/>
  <c r="K8" i="7"/>
  <c r="L49" i="7"/>
  <c r="L43" i="7"/>
  <c r="L37" i="7"/>
  <c r="G21" i="1" s="1"/>
  <c r="L31" i="7"/>
  <c r="L25" i="7"/>
  <c r="K19" i="7"/>
  <c r="L13" i="7"/>
  <c r="S3" i="2" l="1"/>
  <c r="R15" i="2"/>
  <c r="P14" i="2"/>
  <c r="J14" i="2" s="1"/>
  <c r="P26" i="2"/>
  <c r="J26" i="2" s="1"/>
  <c r="P25" i="2"/>
  <c r="J25" i="2" s="1"/>
  <c r="P24" i="2"/>
  <c r="J24" i="2" s="1"/>
  <c r="P23" i="2"/>
  <c r="J23" i="2" s="1"/>
  <c r="P10" i="2"/>
  <c r="J10" i="2" s="1"/>
  <c r="P11" i="2"/>
  <c r="J11" i="2" s="1"/>
  <c r="P5" i="2" l="1"/>
  <c r="T6" i="2"/>
  <c r="T5" i="2"/>
  <c r="T4" i="2"/>
  <c r="M4" i="2" l="1"/>
  <c r="B12" i="1"/>
  <c r="P7" i="2" l="1"/>
  <c r="P8" i="2"/>
  <c r="P9" i="2"/>
  <c r="P12" i="2"/>
  <c r="P15" i="2"/>
  <c r="P16" i="2"/>
  <c r="P17" i="2"/>
  <c r="J17" i="2" s="1"/>
  <c r="P18" i="2"/>
  <c r="J18" i="2" s="1"/>
  <c r="P19" i="2"/>
  <c r="J19" i="2" s="1"/>
  <c r="P20" i="2"/>
  <c r="J20" i="2" s="1"/>
  <c r="J7" i="2" l="1"/>
  <c r="J12" i="2" l="1"/>
  <c r="H29" i="2"/>
  <c r="G29" i="2" s="1"/>
  <c r="H30" i="2"/>
  <c r="G30" i="2" s="1"/>
  <c r="M50" i="7" l="1"/>
  <c r="N50" i="7"/>
  <c r="N44" i="7"/>
  <c r="M44" i="7"/>
  <c r="N38" i="7"/>
  <c r="M38" i="7"/>
  <c r="N32" i="7"/>
  <c r="M32" i="7"/>
  <c r="M26" i="7"/>
  <c r="N26" i="7"/>
  <c r="M20" i="7"/>
  <c r="N20" i="7"/>
  <c r="N14" i="7"/>
  <c r="M14" i="7"/>
  <c r="N49" i="7"/>
  <c r="M49" i="7"/>
  <c r="M43" i="7"/>
  <c r="N43" i="7"/>
  <c r="N37" i="7"/>
  <c r="M37" i="7"/>
  <c r="M31" i="7"/>
  <c r="N31" i="7"/>
  <c r="E21" i="1"/>
  <c r="M25" i="7"/>
  <c r="E20" i="1"/>
  <c r="N25" i="7"/>
  <c r="N19" i="7"/>
  <c r="D20" i="1"/>
  <c r="D21" i="1"/>
  <c r="M19" i="7"/>
  <c r="C21" i="1"/>
  <c r="C20" i="1"/>
  <c r="M13" i="7"/>
  <c r="N13" i="7"/>
  <c r="M48" i="7"/>
  <c r="N48" i="7"/>
  <c r="N42" i="7"/>
  <c r="M42" i="7"/>
  <c r="M36" i="7"/>
  <c r="N36" i="7"/>
  <c r="M30" i="7"/>
  <c r="N30" i="7"/>
  <c r="M24" i="7"/>
  <c r="E16" i="1"/>
  <c r="E17" i="1"/>
  <c r="N24" i="7"/>
  <c r="M18" i="7"/>
  <c r="N18" i="7"/>
  <c r="D16" i="1"/>
  <c r="D17" i="1"/>
  <c r="M12" i="7"/>
  <c r="C16" i="1"/>
  <c r="C17" i="1"/>
  <c r="N12" i="7"/>
  <c r="N47" i="7"/>
  <c r="M47" i="7"/>
  <c r="M41" i="7"/>
  <c r="N41" i="7"/>
  <c r="N35" i="7"/>
  <c r="M35" i="7"/>
  <c r="N29" i="7"/>
  <c r="M29" i="7"/>
  <c r="N23" i="7"/>
  <c r="E12" i="1"/>
  <c r="E13" i="1"/>
  <c r="M23" i="7"/>
  <c r="D13" i="1"/>
  <c r="D12" i="1"/>
  <c r="N17" i="7"/>
  <c r="M17" i="7"/>
  <c r="C12" i="1"/>
  <c r="M11" i="7"/>
  <c r="N11" i="7"/>
  <c r="C13" i="1"/>
  <c r="N46" i="7"/>
  <c r="M46" i="7"/>
  <c r="M40" i="7"/>
  <c r="N40" i="7"/>
  <c r="N34" i="7"/>
  <c r="M34" i="7"/>
  <c r="M28" i="7"/>
  <c r="N28" i="7"/>
  <c r="M22" i="7"/>
  <c r="E9" i="1"/>
  <c r="N22" i="7"/>
  <c r="E8" i="1"/>
  <c r="M16" i="7"/>
  <c r="N16" i="7"/>
  <c r="D9" i="1"/>
  <c r="D8" i="1"/>
  <c r="M10" i="7"/>
  <c r="N10" i="7"/>
  <c r="C8" i="1"/>
  <c r="C9" i="1"/>
  <c r="N45" i="7"/>
  <c r="M45" i="7"/>
  <c r="N39" i="7"/>
  <c r="M39" i="7"/>
  <c r="N33" i="7"/>
  <c r="M33" i="7"/>
  <c r="M27" i="7"/>
  <c r="N27" i="7"/>
  <c r="E4" i="1"/>
  <c r="E5" i="1"/>
  <c r="M21" i="7"/>
  <c r="N21" i="7"/>
  <c r="N15" i="7"/>
  <c r="D4" i="1"/>
  <c r="D5" i="1"/>
  <c r="M15" i="7"/>
  <c r="C4" i="1"/>
  <c r="C5" i="1"/>
  <c r="N9" i="7"/>
  <c r="M9" i="7"/>
  <c r="N8" i="7"/>
  <c r="M8" i="7"/>
  <c r="M7" i="7"/>
  <c r="B20" i="1"/>
  <c r="N7" i="7"/>
  <c r="B21" i="1"/>
  <c r="B16" i="1"/>
  <c r="B17" i="1"/>
  <c r="N6" i="7"/>
  <c r="M6" i="7"/>
  <c r="M5" i="7"/>
  <c r="N5" i="7"/>
  <c r="B13" i="1"/>
  <c r="N4" i="7"/>
  <c r="B8" i="1"/>
  <c r="M4" i="7"/>
  <c r="B9" i="1"/>
  <c r="P6" i="2"/>
  <c r="J6" i="2" s="1"/>
  <c r="J5" i="2"/>
  <c r="I4" i="2" l="1"/>
  <c r="P4" i="2"/>
  <c r="J4" i="2" s="1"/>
  <c r="I14" i="2" l="1"/>
  <c r="G14" i="2" s="1"/>
  <c r="I13" i="2"/>
  <c r="I26" i="2"/>
  <c r="I25" i="2"/>
  <c r="I24" i="2"/>
  <c r="I23" i="2"/>
  <c r="I11" i="2"/>
  <c r="I10" i="2"/>
  <c r="I18" i="2"/>
  <c r="I17" i="2"/>
  <c r="I19" i="2"/>
  <c r="I20" i="2"/>
  <c r="I5" i="2"/>
  <c r="I7" i="2"/>
  <c r="I12" i="2"/>
  <c r="H4" i="2"/>
  <c r="I6" i="2"/>
  <c r="H14" i="2" l="1"/>
  <c r="H13" i="2"/>
  <c r="G13" i="2"/>
  <c r="M13" i="2" s="1"/>
  <c r="M14" i="2"/>
  <c r="R14" i="2"/>
  <c r="H23" i="2"/>
  <c r="G23" i="2"/>
  <c r="R23" i="2" s="1"/>
  <c r="G24" i="2"/>
  <c r="R24" i="2" s="1"/>
  <c r="H24" i="2"/>
  <c r="H25" i="2"/>
  <c r="G25" i="2"/>
  <c r="R25" i="2" s="1"/>
  <c r="H26" i="2"/>
  <c r="G26" i="2"/>
  <c r="H10" i="2"/>
  <c r="G10" i="2"/>
  <c r="R10" i="2" s="1"/>
  <c r="G11" i="2"/>
  <c r="R11" i="2" s="1"/>
  <c r="H11" i="2"/>
  <c r="G17" i="2"/>
  <c r="R17" i="2" s="1"/>
  <c r="H17" i="2"/>
  <c r="G18" i="2"/>
  <c r="R18" i="2" s="1"/>
  <c r="H18" i="2"/>
  <c r="G5" i="2"/>
  <c r="R5" i="2" s="1"/>
  <c r="H5" i="2"/>
  <c r="G20" i="2"/>
  <c r="R20" i="2" s="1"/>
  <c r="H20" i="2"/>
  <c r="G19" i="2"/>
  <c r="R19" i="2" s="1"/>
  <c r="H19" i="2"/>
  <c r="G7" i="2"/>
  <c r="H7" i="2"/>
  <c r="G12" i="2"/>
  <c r="R12" i="2" s="1"/>
  <c r="H12" i="2"/>
  <c r="G6" i="2"/>
  <c r="H6" i="2"/>
  <c r="H33" i="2"/>
  <c r="B4" i="1"/>
  <c r="L3" i="7"/>
  <c r="B5" i="1" s="1"/>
  <c r="N3" i="7"/>
  <c r="M3" i="7"/>
  <c r="M26" i="2" l="1"/>
  <c r="R26" i="2"/>
  <c r="M25" i="2"/>
  <c r="M24" i="2"/>
  <c r="M23" i="2"/>
  <c r="M11" i="2"/>
  <c r="M10" i="2"/>
  <c r="M5" i="2"/>
  <c r="M18" i="2"/>
  <c r="M17" i="2"/>
  <c r="M19" i="2"/>
  <c r="M20" i="2"/>
  <c r="M6" i="2"/>
  <c r="M12" i="2"/>
</calcChain>
</file>

<file path=xl/sharedStrings.xml><?xml version="1.0" encoding="utf-8"?>
<sst xmlns="http://schemas.openxmlformats.org/spreadsheetml/2006/main" count="595" uniqueCount="247">
  <si>
    <t>1 mol%</t>
  </si>
  <si>
    <t>0.4 mol%</t>
  </si>
  <si>
    <t>0.1 mol%</t>
  </si>
  <si>
    <t>No product formation</t>
  </si>
  <si>
    <t>A</t>
  </si>
  <si>
    <t>Tween 80:MeCN</t>
  </si>
  <si>
    <t>PEG 600</t>
  </si>
  <si>
    <t>no surf (2.5MeCN:10water)</t>
  </si>
  <si>
    <t>10:2 MeCN:water</t>
  </si>
  <si>
    <r>
      <rPr>
        <sz val="10"/>
        <color rgb="FF000000"/>
        <rFont val="Calibri"/>
      </rPr>
      <t xml:space="preserve">10:2 CN:h20, 1.5 </t>
    </r>
    <r>
      <rPr>
        <b/>
        <sz val="10"/>
        <color rgb="FF000000"/>
        <rFont val="Calibri"/>
      </rPr>
      <t>6</t>
    </r>
    <r>
      <rPr>
        <sz val="10"/>
        <color rgb="FF000000"/>
        <rFont val="Calibri"/>
      </rPr>
      <t>, 3 base</t>
    </r>
  </si>
  <si>
    <r>
      <rPr>
        <sz val="10"/>
        <color rgb="FF000000"/>
        <rFont val="Calibri"/>
      </rPr>
      <t xml:space="preserve">10:2 CN:h20, </t>
    </r>
    <r>
      <rPr>
        <sz val="10"/>
        <color rgb="FFFF0000"/>
        <rFont val="Calibri"/>
      </rPr>
      <t xml:space="preserve">1.2 </t>
    </r>
    <r>
      <rPr>
        <b/>
        <sz val="10"/>
        <color rgb="FFFF0000"/>
        <rFont val="Calibri"/>
      </rPr>
      <t>6</t>
    </r>
    <r>
      <rPr>
        <sz val="10"/>
        <color rgb="FF000000"/>
        <rFont val="Calibri"/>
      </rPr>
      <t>, 3 base</t>
    </r>
  </si>
  <si>
    <r>
      <rPr>
        <sz val="10"/>
        <color rgb="FF000000"/>
        <rFont val="Calibri"/>
      </rPr>
      <t xml:space="preserve">10:2 CN:h20, 1.5 </t>
    </r>
    <r>
      <rPr>
        <b/>
        <sz val="10"/>
        <color rgb="FF000000"/>
        <rFont val="Calibri"/>
      </rPr>
      <t>6</t>
    </r>
    <r>
      <rPr>
        <sz val="10"/>
        <color rgb="FF000000"/>
        <rFont val="Calibri"/>
      </rPr>
      <t xml:space="preserve">, </t>
    </r>
    <r>
      <rPr>
        <sz val="10"/>
        <color rgb="FFFF0000"/>
        <rFont val="Calibri"/>
      </rPr>
      <t>2 base</t>
    </r>
  </si>
  <si>
    <r>
      <rPr>
        <sz val="10"/>
        <color rgb="FF000000"/>
        <rFont val="Calibri"/>
      </rPr>
      <t xml:space="preserve">PEG 600, 1.5 </t>
    </r>
    <r>
      <rPr>
        <b/>
        <sz val="10"/>
        <color rgb="FF000000"/>
        <rFont val="Calibri"/>
      </rPr>
      <t>6</t>
    </r>
    <r>
      <rPr>
        <sz val="10"/>
        <color rgb="FF000000"/>
        <rFont val="Calibri"/>
      </rPr>
      <t>, 3 base</t>
    </r>
  </si>
  <si>
    <t>0.5 mol%</t>
  </si>
  <si>
    <t>0.2 mol%</t>
  </si>
  <si>
    <t>0.05 mol%</t>
  </si>
  <si>
    <r>
      <t xml:space="preserve">60 - 85% yield </t>
    </r>
    <r>
      <rPr>
        <b/>
        <sz val="11"/>
        <color theme="1"/>
        <rFont val="Calibri"/>
        <family val="2"/>
        <scheme val="minor"/>
      </rPr>
      <t>7</t>
    </r>
  </si>
  <si>
    <t>B</t>
  </si>
  <si>
    <t>Tween 80</t>
  </si>
  <si>
    <r>
      <rPr>
        <sz val="10"/>
        <color rgb="FF000000"/>
        <rFont val="Calibri"/>
      </rPr>
      <t xml:space="preserve">10:2 CN:h20, </t>
    </r>
    <r>
      <rPr>
        <sz val="10"/>
        <color rgb="FFFF0000"/>
        <rFont val="Calibri"/>
      </rPr>
      <t xml:space="preserve">1.05 </t>
    </r>
    <r>
      <rPr>
        <b/>
        <sz val="10"/>
        <color rgb="FFFF0000"/>
        <rFont val="Calibri"/>
      </rPr>
      <t>6</t>
    </r>
    <r>
      <rPr>
        <sz val="10"/>
        <color rgb="FF000000"/>
        <rFont val="Calibri"/>
      </rPr>
      <t>, 3 base</t>
    </r>
  </si>
  <si>
    <r>
      <rPr>
        <sz val="10"/>
        <color rgb="FF000000"/>
        <rFont val="Calibri"/>
      </rPr>
      <t xml:space="preserve">10:2 CN:h20, 1.5 </t>
    </r>
    <r>
      <rPr>
        <b/>
        <sz val="10"/>
        <color rgb="FF000000"/>
        <rFont val="Calibri"/>
      </rPr>
      <t>6</t>
    </r>
    <r>
      <rPr>
        <sz val="10"/>
        <color rgb="FF000000"/>
        <rFont val="Calibri"/>
      </rPr>
      <t xml:space="preserve">, </t>
    </r>
    <r>
      <rPr>
        <sz val="10"/>
        <color rgb="FFFF0000"/>
        <rFont val="Calibri"/>
      </rPr>
      <t>1.5 base</t>
    </r>
  </si>
  <si>
    <t>C</t>
  </si>
  <si>
    <r>
      <t xml:space="preserve">Conversions and yields are uncorrected based on relative intensity of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5-desbr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7-desF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5 dimer</t>
    </r>
  </si>
  <si>
    <t>D</t>
  </si>
  <si>
    <t>0.01 mol%/ 100 ppm</t>
  </si>
  <si>
    <t>E</t>
  </si>
  <si>
    <r>
      <t>Pd(OAc)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</si>
  <si>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(MeCN)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PdCl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</si>
  <si>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(NH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PdCl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</si>
  <si>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PdCl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</si>
  <si>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DPPF</t>
  </si>
  <si>
    <t>Based on 5 g from Strem/Merck</t>
  </si>
  <si>
    <t>PPh3</t>
  </si>
  <si>
    <t>P(o-tolyl)3</t>
  </si>
  <si>
    <t>&gt;30k USD/mol</t>
  </si>
  <si>
    <t>20-30k USD/mol</t>
  </si>
  <si>
    <t>&lt;20k USD/mol</t>
  </si>
  <si>
    <t>Based on 250 g from Merck</t>
  </si>
  <si>
    <t>Shading indicates user input required</t>
  </si>
  <si>
    <t>Shading indicated mass/vol added to plate</t>
  </si>
  <si>
    <t>Small Scale (up to 100 g)</t>
  </si>
  <si>
    <t>250 g scale (or nearest equivalent)</t>
  </si>
  <si>
    <t>1 kg scale</t>
  </si>
  <si>
    <t>Description</t>
  </si>
  <si>
    <t>CAS</t>
  </si>
  <si>
    <t>MW (g/mol)</t>
  </si>
  <si>
    <t>Density (g/ml)</t>
  </si>
  <si>
    <t>Equiv.</t>
  </si>
  <si>
    <t>Mass (g)</t>
  </si>
  <si>
    <r>
      <t>Vol (m</t>
    </r>
    <r>
      <rPr>
        <sz val="11"/>
        <color theme="1"/>
        <rFont val="Calibri"/>
        <family val="2"/>
      </rPr>
      <t>L)</t>
    </r>
  </si>
  <si>
    <t>mmol</t>
  </si>
  <si>
    <t>Cost</t>
  </si>
  <si>
    <t>Mol</t>
  </si>
  <si>
    <t>USD/mol</t>
  </si>
  <si>
    <t>Supplier</t>
  </si>
  <si>
    <t>Cost for scale</t>
  </si>
  <si>
    <t>Mass</t>
  </si>
  <si>
    <t>Reagent</t>
  </si>
  <si>
    <t>5 (ArBr)</t>
  </si>
  <si>
    <t>6 (Boronic Acid)</t>
  </si>
  <si>
    <t>Potassium carbonate</t>
  </si>
  <si>
    <t>Pd precursor</t>
  </si>
  <si>
    <t>[Pd(Oac)2]</t>
  </si>
  <si>
    <t>3375-31-3</t>
  </si>
  <si>
    <t>Strem</t>
  </si>
  <si>
    <t>Merck</t>
  </si>
  <si>
    <t>Ligand</t>
  </si>
  <si>
    <t>603-35-0</t>
  </si>
  <si>
    <t>BLDPharm</t>
  </si>
  <si>
    <t>P(otol)3</t>
  </si>
  <si>
    <t>6163-58-2</t>
  </si>
  <si>
    <t>dppf</t>
  </si>
  <si>
    <t>12150-46-8</t>
  </si>
  <si>
    <t>Preformed catalysts</t>
  </si>
  <si>
    <t>Pd(DPPF)Cl2</t>
  </si>
  <si>
    <t>72287-26-4</t>
  </si>
  <si>
    <t>Pd(PPh3)2Cl2</t>
  </si>
  <si>
    <t>13965-03-2</t>
  </si>
  <si>
    <t>Pd(o-tolyl3)2Cl2</t>
  </si>
  <si>
    <t>40691-33-6</t>
  </si>
  <si>
    <t>Volumes</t>
  </si>
  <si>
    <t>Mass (kg)</t>
  </si>
  <si>
    <t>Vol (L)</t>
  </si>
  <si>
    <t>Volume</t>
  </si>
  <si>
    <t>USD/L</t>
  </si>
  <si>
    <t>Solvent</t>
  </si>
  <si>
    <t>MeCN</t>
  </si>
  <si>
    <t>Ethanol</t>
  </si>
  <si>
    <t>Water</t>
  </si>
  <si>
    <t>surfactant</t>
  </si>
  <si>
    <t>MeCN cosolvent</t>
  </si>
  <si>
    <t>Volume additional solvent required?</t>
  </si>
  <si>
    <t>conv. %</t>
  </si>
  <si>
    <t>&lt;90% conversion</t>
  </si>
  <si>
    <t>yield %</t>
  </si>
  <si>
    <t>90 - 96% conversion</t>
  </si>
  <si>
    <t>&gt;96% conversion</t>
  </si>
  <si>
    <t>F</t>
  </si>
  <si>
    <t>No product</t>
  </si>
  <si>
    <t>Stock solutions</t>
  </si>
  <si>
    <t>Minimum mass required for stock solution</t>
  </si>
  <si>
    <t>Location</t>
  </si>
  <si>
    <t>Mass (mg)</t>
  </si>
  <si>
    <r>
      <t>Vol (</t>
    </r>
    <r>
      <rPr>
        <sz val="11"/>
        <color theme="1"/>
        <rFont val="Calibri"/>
        <family val="2"/>
      </rPr>
      <t>μL)</t>
    </r>
  </si>
  <si>
    <t>μmol</t>
  </si>
  <si>
    <t>Conc. mM</t>
  </si>
  <si>
    <t>Scale factor</t>
  </si>
  <si>
    <t>Volume (mL)</t>
  </si>
  <si>
    <t>8:30 start prep stock soln</t>
  </si>
  <si>
    <t>8:45 added stock soln to plate</t>
  </si>
  <si>
    <t>8:52 put on genevac option 2, 35C</t>
  </si>
  <si>
    <t>10:00 - load 6</t>
  </si>
  <si>
    <t>Pd(dppf)Cl2</t>
  </si>
  <si>
    <t>10:13 - load base</t>
  </si>
  <si>
    <t>all stock solutions to be prepared in DCE</t>
  </si>
  <si>
    <t>10:25 MeCN added</t>
  </si>
  <si>
    <t>Pd(dppf)Cl2 loading</t>
  </si>
  <si>
    <t>10:31 water added</t>
  </si>
  <si>
    <t>weigh between 15 and 30 mg</t>
  </si>
  <si>
    <t>10:34 - peg added</t>
  </si>
  <si>
    <t>10:43 tween added</t>
  </si>
  <si>
    <t>box 5, box 7, blue tray 14, others</t>
  </si>
  <si>
    <t>10:48 stirring and heating started on tumble</t>
  </si>
  <si>
    <t>take 100 uL + 900 uL solvent</t>
  </si>
  <si>
    <t>10:54 - solids broken up wth needle. all vials stirring</t>
  </si>
  <si>
    <t>0.01 mol%, 100 ppm</t>
  </si>
  <si>
    <t>7:45 - heating stopped</t>
  </si>
  <si>
    <t>8:15 - block removed from tumble stirrer and glovebox</t>
  </si>
  <si>
    <t>8:17 to 8:30 - 20 uL aliquots were diluted in 980 uL 80% MeCN</t>
  </si>
  <si>
    <t xml:space="preserve">box 10, </t>
  </si>
  <si>
    <t>box 10</t>
  </si>
  <si>
    <t>*JohnPhos</t>
  </si>
  <si>
    <t>box 10, green pl tray 1, orange pl tray 2</t>
  </si>
  <si>
    <t>224311-51-7</t>
  </si>
  <si>
    <t>blue tray 16</t>
  </si>
  <si>
    <t>org solvent</t>
  </si>
  <si>
    <t>uL</t>
  </si>
  <si>
    <t>78.4 C</t>
  </si>
  <si>
    <t>iso-propanol</t>
  </si>
  <si>
    <t>82.5 C</t>
  </si>
  <si>
    <t>iso-amyl alcohol</t>
  </si>
  <si>
    <t>131 C</t>
  </si>
  <si>
    <t>Anisole</t>
  </si>
  <si>
    <t>2-MeTHF</t>
  </si>
  <si>
    <t>80.2 C</t>
  </si>
  <si>
    <t>Toluene</t>
  </si>
  <si>
    <t>110.6 C</t>
  </si>
  <si>
    <t>Dioxane</t>
  </si>
  <si>
    <t>101 C</t>
  </si>
  <si>
    <t>Acetonitrile</t>
  </si>
  <si>
    <t>82 C</t>
  </si>
  <si>
    <t>CPME</t>
  </si>
  <si>
    <t>106 C</t>
  </si>
  <si>
    <t>DMAC</t>
  </si>
  <si>
    <t>price comparison - on 5g strem unless stated otherwise</t>
  </si>
  <si>
    <t>price comparison - 250 g Merck</t>
  </si>
  <si>
    <t>Pd Precursor</t>
  </si>
  <si>
    <t>price 5g</t>
  </si>
  <si>
    <t>price 100g</t>
  </si>
  <si>
    <t xml:space="preserve">mol </t>
  </si>
  <si>
    <t>$/mol</t>
  </si>
  <si>
    <t>mol</t>
  </si>
  <si>
    <t>price 250g</t>
  </si>
  <si>
    <t>(MeCN)2PdCl2</t>
  </si>
  <si>
    <t>14592-56-4</t>
  </si>
  <si>
    <t>(NH4)2PdCl4</t>
  </si>
  <si>
    <t>13820-40-1</t>
  </si>
  <si>
    <t>for 100 g</t>
  </si>
  <si>
    <t>100 g strem</t>
  </si>
  <si>
    <t>for 25 g</t>
  </si>
  <si>
    <t>5 g sigma</t>
  </si>
  <si>
    <t>6 (boronic acid) loading</t>
  </si>
  <si>
    <t>1.5 equiv</t>
  </si>
  <si>
    <t>1.2 equiv</t>
  </si>
  <si>
    <t>1.05 equiv</t>
  </si>
  <si>
    <t>Potassium carbonate loading</t>
  </si>
  <si>
    <t>3 equiv</t>
  </si>
  <si>
    <t>2 equiv</t>
  </si>
  <si>
    <t>5-desBr</t>
  </si>
  <si>
    <t>Compd 5</t>
  </si>
  <si>
    <t>Compd 6</t>
  </si>
  <si>
    <t>7-desBr</t>
  </si>
  <si>
    <t>3-F-PhOH</t>
  </si>
  <si>
    <t>Compd7</t>
  </si>
  <si>
    <t>5 dimer</t>
  </si>
  <si>
    <t>6-dimer</t>
  </si>
  <si>
    <t>Total others</t>
  </si>
  <si>
    <t>Uncorrected conv.</t>
  </si>
  <si>
    <t>Uncorrected yield 7</t>
  </si>
  <si>
    <t>Uncorrected yield 7-desF</t>
  </si>
  <si>
    <t>Yield dimer</t>
  </si>
  <si>
    <t>DPPFO</t>
  </si>
  <si>
    <t>PPh3O</t>
  </si>
  <si>
    <t>P(o-tolyl)3O</t>
  </si>
  <si>
    <t>0.257 min</t>
  </si>
  <si>
    <t>0.516 min</t>
  </si>
  <si>
    <t>0.904 min</t>
  </si>
  <si>
    <t>1.19 min</t>
  </si>
  <si>
    <t>????</t>
  </si>
  <si>
    <t>%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</si>
  <si>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</si>
  <si>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</si>
  <si>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</si>
  <si>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</si>
  <si>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</si>
  <si>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</si>
  <si>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</si>
  <si>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</si>
  <si>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</si>
  <si>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</si>
  <si>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</si>
  <si>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</si>
  <si>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</si>
  <si>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</si>
  <si>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</si>
  <si>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</si>
  <si>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</si>
  <si>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</si>
  <si>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</si>
  <si>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</si>
  <si>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</si>
  <si>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</si>
  <si>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</si>
  <si>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</si>
  <si>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 16</t>
  </si>
  <si>
    <t>5B 16</t>
  </si>
  <si>
    <t>5A 21</t>
  </si>
  <si>
    <t>5B 21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</si>
  <si>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</si>
  <si>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</si>
  <si>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</si>
  <si>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</si>
  <si>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</si>
  <si>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</si>
  <si>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</si>
  <si>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</si>
  <si>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</si>
  <si>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</si>
  <si>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</si>
  <si>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</si>
  <si>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</si>
  <si>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</si>
  <si>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 16</t>
  </si>
  <si>
    <t>8B 16</t>
  </si>
  <si>
    <t>8A 21</t>
  </si>
  <si>
    <t>8B 21</t>
  </si>
  <si>
    <t>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</si>
</sst>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0.000"/>
    <numFmt numFmtId="165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FF0000"/>
      <name val="Calibri"/>
      <family val="2"/>
      <scheme val="minor"/>
    </font>
    <font>
      <sz val="10"/>
      <color rgb="FFFF0000"/>
      <name val="Calibri"/>
    </font>
    <font>
      <b/>
      <sz val="10"/>
      <color rgb="FFFF0000"/>
      <name val="Calibri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6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4" xfId="0" applyBorder="1"/>
    <xf numFmtId="0" fontId="2" fillId="0" borderId="0" xfId="0" applyFont="1" applyAlignment="1">
      <alignment horizontal="center" wrapText="1"/>
    </xf>
    <xf numFmtId="164" fontId="0" fillId="0" borderId="0" xfId="0" applyNumberFormat="1"/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1" fillId="0" borderId="0" xfId="0" applyFont="1"/>
    <xf numFmtId="1" fontId="0" fillId="0" borderId="0" xfId="0" applyNumberFormat="1"/>
    <xf numFmtId="0" fontId="4" fillId="0" borderId="0" xfId="0" applyFont="1" applyAlignment="1">
      <alignment horizontal="left"/>
    </xf>
    <xf numFmtId="0" fontId="0" fillId="6" borderId="0" xfId="0" applyFill="1"/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/>
    <xf numFmtId="0" fontId="5" fillId="3" borderId="9" xfId="0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12" borderId="1" xfId="0" applyFont="1" applyFill="1" applyBorder="1" applyAlignment="1">
      <alignment horizontal="center" vertical="center"/>
    </xf>
    <xf numFmtId="0" fontId="0" fillId="11" borderId="0" xfId="0" applyFill="1"/>
    <xf numFmtId="1" fontId="0" fillId="11" borderId="0" xfId="0" applyNumberFormat="1" applyFill="1"/>
    <xf numFmtId="164" fontId="0" fillId="11" borderId="0" xfId="0" applyNumberFormat="1" applyFill="1"/>
    <xf numFmtId="0" fontId="0" fillId="11" borderId="8" xfId="0" applyFill="1" applyBorder="1"/>
    <xf numFmtId="0" fontId="0" fillId="11" borderId="4" xfId="0" applyFill="1" applyBorder="1"/>
    <xf numFmtId="0" fontId="0" fillId="13" borderId="0" xfId="0" applyFill="1"/>
    <xf numFmtId="1" fontId="0" fillId="13" borderId="0" xfId="0" applyNumberFormat="1" applyFill="1"/>
    <xf numFmtId="0" fontId="0" fillId="14" borderId="0" xfId="0" applyFill="1"/>
    <xf numFmtId="0" fontId="0" fillId="0" borderId="0" xfId="0" applyAlignment="1">
      <alignment horizontal="center" vertical="center" wrapText="1"/>
    </xf>
    <xf numFmtId="0" fontId="0" fillId="15" borderId="0" xfId="0" applyFill="1"/>
    <xf numFmtId="0" fontId="0" fillId="16" borderId="0" xfId="0" applyFill="1"/>
    <xf numFmtId="42" fontId="0" fillId="0" borderId="0" xfId="0" applyNumberFormat="1"/>
    <xf numFmtId="0" fontId="0" fillId="9" borderId="0" xfId="0" applyFill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5" fillId="11" borderId="1" xfId="0" applyNumberFormat="1" applyFont="1" applyFill="1" applyBorder="1" applyAlignment="1">
      <alignment horizontal="center" vertical="center"/>
    </xf>
    <xf numFmtId="165" fontId="5" fillId="11" borderId="4" xfId="0" applyNumberFormat="1" applyFont="1" applyFill="1" applyBorder="1" applyAlignment="1">
      <alignment horizontal="center" vertical="center"/>
    </xf>
    <xf numFmtId="165" fontId="5" fillId="11" borderId="2" xfId="0" applyNumberFormat="1" applyFont="1" applyFill="1" applyBorder="1" applyAlignment="1">
      <alignment horizontal="center" vertical="center"/>
    </xf>
    <xf numFmtId="165" fontId="5" fillId="11" borderId="5" xfId="0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1" fillId="15" borderId="0" xfId="0" applyFont="1" applyFill="1"/>
    <xf numFmtId="0" fontId="0" fillId="15" borderId="0" xfId="0" applyFill="1" applyAlignment="1">
      <alignment horizontal="left" vertical="center"/>
    </xf>
    <xf numFmtId="1" fontId="0" fillId="15" borderId="0" xfId="0" applyNumberFormat="1" applyFill="1"/>
    <xf numFmtId="164" fontId="0" fillId="15" borderId="0" xfId="0" applyNumberFormat="1" applyFill="1"/>
    <xf numFmtId="0" fontId="0" fillId="15" borderId="4" xfId="0" applyFill="1" applyBorder="1"/>
    <xf numFmtId="0" fontId="4" fillId="15" borderId="0" xfId="0" applyFont="1" applyFill="1" applyAlignment="1">
      <alignment horizontal="left"/>
    </xf>
    <xf numFmtId="0" fontId="0" fillId="15" borderId="8" xfId="0" applyFill="1" applyBorder="1"/>
    <xf numFmtId="0" fontId="1" fillId="17" borderId="0" xfId="0" applyFont="1" applyFill="1"/>
    <xf numFmtId="165" fontId="5" fillId="17" borderId="1" xfId="0" applyNumberFormat="1" applyFont="1" applyFill="1" applyBorder="1" applyAlignment="1">
      <alignment horizontal="center" vertical="center"/>
    </xf>
    <xf numFmtId="165" fontId="5" fillId="17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2" borderId="13" xfId="0" applyFill="1" applyBorder="1"/>
    <xf numFmtId="1" fontId="0" fillId="13" borderId="13" xfId="0" applyNumberFormat="1" applyFill="1" applyBorder="1"/>
    <xf numFmtId="164" fontId="0" fillId="0" borderId="13" xfId="0" applyNumberFormat="1" applyBorder="1"/>
    <xf numFmtId="0" fontId="7" fillId="0" borderId="0" xfId="0" applyFont="1"/>
    <xf numFmtId="165" fontId="5" fillId="9" borderId="1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165" fontId="5" fillId="8" borderId="1" xfId="0" applyNumberFormat="1" applyFont="1" applyFill="1" applyBorder="1" applyAlignment="1">
      <alignment horizontal="center" vertical="center"/>
    </xf>
    <xf numFmtId="165" fontId="5" fillId="8" borderId="2" xfId="0" applyNumberFormat="1" applyFont="1" applyFill="1" applyBorder="1" applyAlignment="1">
      <alignment horizontal="center" vertical="center"/>
    </xf>
    <xf numFmtId="165" fontId="5" fillId="15" borderId="1" xfId="0" applyNumberFormat="1" applyFont="1" applyFill="1" applyBorder="1" applyAlignment="1">
      <alignment horizontal="center" vertical="center"/>
    </xf>
    <xf numFmtId="165" fontId="5" fillId="15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0" fillId="18" borderId="0" xfId="0" applyFill="1"/>
    <xf numFmtId="0" fontId="0" fillId="0" borderId="8" xfId="0" applyBorder="1" applyAlignment="1">
      <alignment wrapText="1"/>
    </xf>
    <xf numFmtId="0" fontId="0" fillId="19" borderId="8" xfId="0" applyFill="1" applyBorder="1" applyAlignment="1">
      <alignment wrapText="1"/>
    </xf>
    <xf numFmtId="0" fontId="9" fillId="12" borderId="1" xfId="0" applyFont="1" applyFill="1" applyBorder="1" applyAlignment="1">
      <alignment horizontal="center" vertical="center"/>
    </xf>
    <xf numFmtId="0" fontId="0" fillId="0" borderId="7" xfId="0" applyBorder="1"/>
    <xf numFmtId="0" fontId="8" fillId="0" borderId="8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0" fillId="0" borderId="10" xfId="0" applyBorder="1"/>
    <xf numFmtId="0" fontId="0" fillId="0" borderId="14" xfId="0" applyBorder="1"/>
    <xf numFmtId="0" fontId="0" fillId="0" borderId="5" xfId="0" applyBorder="1"/>
    <xf numFmtId="0" fontId="11" fillId="3" borderId="9" xfId="0" applyFont="1" applyFill="1" applyBorder="1" applyAlignment="1">
      <alignment horizontal="center" vertical="center"/>
    </xf>
    <xf numFmtId="0" fontId="0" fillId="20" borderId="0" xfId="0" applyFill="1"/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5" fillId="9" borderId="11" xfId="0" applyNumberFormat="1" applyFont="1" applyFill="1" applyBorder="1" applyAlignment="1">
      <alignment horizontal="center" vertical="center"/>
    </xf>
    <xf numFmtId="1" fontId="5" fillId="9" borderId="12" xfId="0" applyNumberFormat="1" applyFont="1" applyFill="1" applyBorder="1" applyAlignment="1">
      <alignment horizontal="center" vertical="center"/>
    </xf>
    <xf numFmtId="1" fontId="5" fillId="8" borderId="6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>
      <alignment horizontal="center" vertical="center"/>
    </xf>
    <xf numFmtId="1" fontId="5" fillId="8" borderId="5" xfId="0" applyNumberFormat="1" applyFont="1" applyFill="1" applyBorder="1" applyAlignment="1">
      <alignment horizontal="center" vertical="center"/>
    </xf>
    <xf numFmtId="1" fontId="5" fillId="5" borderId="6" xfId="0" applyNumberFormat="1" applyFont="1" applyFill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/>
    </xf>
    <xf numFmtId="1" fontId="5" fillId="5" borderId="10" xfId="0" applyNumberFormat="1" applyFont="1" applyFill="1" applyBorder="1" applyAlignment="1">
      <alignment horizontal="center" vertical="center"/>
    </xf>
    <xf numFmtId="1" fontId="5" fillId="5" borderId="5" xfId="0" applyNumberFormat="1" applyFont="1" applyFill="1" applyBorder="1" applyAlignment="1">
      <alignment horizontal="center" vertical="center"/>
    </xf>
    <xf numFmtId="1" fontId="5" fillId="9" borderId="6" xfId="0" applyNumberFormat="1" applyFont="1" applyFill="1" applyBorder="1" applyAlignment="1">
      <alignment horizontal="center" vertical="center"/>
    </xf>
    <xf numFmtId="1" fontId="5" fillId="9" borderId="3" xfId="0" applyNumberFormat="1" applyFont="1" applyFill="1" applyBorder="1" applyAlignment="1">
      <alignment horizontal="center" vertical="center"/>
    </xf>
    <xf numFmtId="1" fontId="5" fillId="9" borderId="10" xfId="0" applyNumberFormat="1" applyFont="1" applyFill="1" applyBorder="1" applyAlignment="1">
      <alignment horizontal="center" vertical="center"/>
    </xf>
    <xf numFmtId="1" fontId="5" fillId="9" borderId="5" xfId="0" applyNumberFormat="1" applyFont="1" applyFill="1" applyBorder="1" applyAlignment="1">
      <alignment horizontal="center" vertical="center"/>
    </xf>
    <xf numFmtId="1" fontId="5" fillId="5" borderId="11" xfId="0" applyNumberFormat="1" applyFont="1" applyFill="1" applyBorder="1" applyAlignment="1">
      <alignment horizontal="center" vertical="center"/>
    </xf>
    <xf numFmtId="1" fontId="5" fillId="5" borderId="12" xfId="0" applyNumberFormat="1" applyFont="1" applyFill="1" applyBorder="1" applyAlignment="1">
      <alignment horizontal="center" vertical="center"/>
    </xf>
    <xf numFmtId="1" fontId="5" fillId="8" borderId="11" xfId="0" applyNumberFormat="1" applyFont="1" applyFill="1" applyBorder="1" applyAlignment="1">
      <alignment horizontal="center" vertical="center"/>
    </xf>
    <xf numFmtId="1" fontId="5" fillId="8" borderId="12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4" borderId="8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6D6"/>
      <color rgb="FFD69B96"/>
      <color rgb="FFED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1409700</xdr:colOff>
      <xdr:row>9</xdr:row>
      <xdr:rowOff>0</xdr:rowOff>
    </xdr:from>
    <xdr:to>
      <xdr:col>5</xdr:col>
      <xdr:colOff>0</xdr:colOff>
      <xdr:row>16</xdr:row>
      <xdr:rowOff>160020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7DC3D0-BDC8-0CCE-2319-F36BE9B5876D}"/>
            </a:ext>
          </a:extLst>
        </xdr:cNvPr>
        <xdr:cNvSpPr/>
      </xdr:nvSpPr>
      <xdr:spPr>
        <a:xfrm>
          <a:off x="4838700" y="1508760"/>
          <a:ext cx="1424940" cy="1333500"/>
        </a:xfrm>
        <a:prstGeom prst="rect">
          <a:avLst/>
        </a:prstGeom>
        <a:noFill/>
        <a:ln w="3810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8174-4BF7-41F2-810A-21849335AA05}">
  <sheetPr>
    <pageSetUpPr fitToPage="1"/>
  </sheetPr>
  <dimension ref="A1:K16"/>
  <sheetViews>
    <sheetView zoomScaleNormal="100" workbookViewId="0">
      <selection activeCell="C22" sqref="C22"/>
    </sheetView>
  </sheetViews>
  <sheetFormatPr defaultColWidth="20.7109375" defaultRowHeight="15"/>
  <cols>
    <col min="1" max="1" width="4" style="1" customWidth="1"/>
    <col min="2" max="9" width="20.7109375" style="21" customWidth="1"/>
    <col min="10" max="10" width="3.7109375" style="1" customWidth="1"/>
    <col min="11" max="16384" width="20.7109375" style="1"/>
  </cols>
  <sheetData>
    <row r="1" spans="1:11" ht="13.15" customHeight="1" thickBot="1"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</row>
    <row r="2" spans="1:11" ht="13.15" customHeight="1">
      <c r="B2" s="18" t="s">
        <v>0</v>
      </c>
      <c r="C2" s="18" t="s">
        <v>0</v>
      </c>
      <c r="D2" s="18" t="s">
        <v>0</v>
      </c>
      <c r="E2" s="18" t="s">
        <v>0</v>
      </c>
      <c r="F2" s="79" t="s">
        <v>1</v>
      </c>
      <c r="G2" s="18" t="s">
        <v>0</v>
      </c>
      <c r="H2" s="18" t="s">
        <v>0</v>
      </c>
      <c r="I2" s="18" t="s">
        <v>2</v>
      </c>
      <c r="K2" s="81" t="s">
        <v>3</v>
      </c>
    </row>
    <row r="3" spans="1:11" ht="13.15" customHeight="1">
      <c r="A3" s="1" t="s">
        <v>4</v>
      </c>
      <c r="B3" s="23" t="s">
        <v>5</v>
      </c>
      <c r="C3" s="23" t="s">
        <v>6</v>
      </c>
      <c r="D3" s="23" t="s">
        <v>7</v>
      </c>
      <c r="E3" s="23" t="s">
        <v>8</v>
      </c>
      <c r="F3" s="72" t="s">
        <v>9</v>
      </c>
      <c r="G3" s="72" t="s">
        <v>10</v>
      </c>
      <c r="H3" s="72" t="s">
        <v>11</v>
      </c>
      <c r="I3" s="72" t="s">
        <v>12</v>
      </c>
      <c r="K3" s="81"/>
    </row>
    <row r="4" spans="1:11" ht="13.15" customHeight="1" thickBot="1">
      <c r="B4" s="19"/>
      <c r="C4" s="19"/>
      <c r="D4" s="19"/>
      <c r="E4" s="19"/>
      <c r="F4" s="19"/>
      <c r="G4" s="19"/>
      <c r="H4" s="19"/>
      <c r="I4" s="20"/>
      <c r="K4" s="15"/>
    </row>
    <row r="5" spans="1:11" ht="13.15" customHeight="1">
      <c r="B5" s="18" t="s">
        <v>13</v>
      </c>
      <c r="C5" s="18" t="s">
        <v>13</v>
      </c>
      <c r="D5" s="18" t="s">
        <v>13</v>
      </c>
      <c r="E5" s="18" t="s">
        <v>13</v>
      </c>
      <c r="F5" s="79" t="s">
        <v>14</v>
      </c>
      <c r="G5" s="18" t="s">
        <v>0</v>
      </c>
      <c r="H5" s="18" t="s">
        <v>0</v>
      </c>
      <c r="I5" s="18" t="s">
        <v>15</v>
      </c>
      <c r="K5" s="82" t="s">
        <v>16</v>
      </c>
    </row>
    <row r="6" spans="1:11" ht="13.15" customHeight="1">
      <c r="A6" s="1" t="s">
        <v>17</v>
      </c>
      <c r="B6" s="23" t="s">
        <v>18</v>
      </c>
      <c r="C6" s="23" t="s">
        <v>6</v>
      </c>
      <c r="D6" s="23" t="s">
        <v>7</v>
      </c>
      <c r="E6" s="23" t="s">
        <v>8</v>
      </c>
      <c r="F6" s="72" t="s">
        <v>9</v>
      </c>
      <c r="G6" s="72" t="s">
        <v>19</v>
      </c>
      <c r="H6" s="72" t="s">
        <v>20</v>
      </c>
      <c r="I6" s="72" t="s">
        <v>12</v>
      </c>
      <c r="K6" s="82"/>
    </row>
    <row r="7" spans="1:11" ht="13.15" customHeight="1" thickBot="1">
      <c r="B7" s="19"/>
      <c r="C7" s="19"/>
      <c r="D7" s="19"/>
      <c r="E7" s="19"/>
      <c r="F7" s="19"/>
      <c r="G7" s="19"/>
      <c r="H7" s="19"/>
      <c r="I7" s="20"/>
      <c r="K7" s="16"/>
    </row>
    <row r="8" spans="1:11" ht="13.15" customHeight="1">
      <c r="B8" s="18" t="s">
        <v>2</v>
      </c>
      <c r="C8" s="18" t="s">
        <v>2</v>
      </c>
      <c r="D8" s="18" t="s">
        <v>2</v>
      </c>
      <c r="E8" s="18" t="s">
        <v>2</v>
      </c>
      <c r="F8" s="18"/>
      <c r="G8" s="18"/>
      <c r="H8" s="18"/>
      <c r="I8" s="18"/>
    </row>
    <row r="9" spans="1:11" ht="13.15" customHeight="1">
      <c r="A9" s="1" t="s">
        <v>21</v>
      </c>
      <c r="B9" s="23" t="s">
        <v>18</v>
      </c>
      <c r="C9" s="23" t="s">
        <v>6</v>
      </c>
      <c r="D9" s="23" t="s">
        <v>7</v>
      </c>
      <c r="E9" s="23" t="s">
        <v>8</v>
      </c>
      <c r="F9" s="23"/>
      <c r="G9" s="23"/>
      <c r="H9" s="23"/>
      <c r="I9" s="23"/>
      <c r="K9" s="83" t="s">
        <v>22</v>
      </c>
    </row>
    <row r="10" spans="1:11" ht="13.15" customHeight="1" thickBot="1">
      <c r="B10" s="19"/>
      <c r="C10" s="19"/>
      <c r="D10" s="19"/>
      <c r="E10" s="19"/>
      <c r="F10" s="19"/>
      <c r="G10" s="19"/>
      <c r="H10" s="19"/>
      <c r="I10" s="20"/>
      <c r="K10" s="83"/>
    </row>
    <row r="11" spans="1:11" ht="13.15" customHeight="1">
      <c r="B11" s="18" t="s">
        <v>15</v>
      </c>
      <c r="C11" s="18" t="s">
        <v>15</v>
      </c>
      <c r="D11" s="18" t="s">
        <v>15</v>
      </c>
      <c r="E11" s="18" t="s">
        <v>15</v>
      </c>
      <c r="F11" s="18"/>
      <c r="G11" s="18"/>
      <c r="H11" s="18"/>
      <c r="I11" s="18"/>
      <c r="K11" s="83"/>
    </row>
    <row r="12" spans="1:11" ht="13.15" customHeight="1">
      <c r="A12" s="1" t="s">
        <v>23</v>
      </c>
      <c r="B12" s="23" t="s">
        <v>18</v>
      </c>
      <c r="C12" s="23" t="s">
        <v>6</v>
      </c>
      <c r="D12" s="23" t="s">
        <v>7</v>
      </c>
      <c r="E12" s="23" t="s">
        <v>8</v>
      </c>
      <c r="F12" s="23"/>
      <c r="G12" s="23"/>
      <c r="H12" s="23"/>
      <c r="I12" s="23"/>
      <c r="K12" s="83"/>
    </row>
    <row r="13" spans="1:11" ht="13.15" customHeight="1" thickBot="1">
      <c r="B13" s="19"/>
      <c r="C13" s="19"/>
      <c r="D13" s="19"/>
      <c r="E13" s="19"/>
      <c r="F13" s="19"/>
      <c r="G13" s="19"/>
      <c r="H13" s="19"/>
      <c r="I13" s="20"/>
    </row>
    <row r="14" spans="1:11" ht="13.15" customHeight="1">
      <c r="B14" s="18" t="s">
        <v>24</v>
      </c>
      <c r="C14" s="18" t="s">
        <v>24</v>
      </c>
      <c r="D14" s="18" t="s">
        <v>24</v>
      </c>
      <c r="E14" s="18" t="s">
        <v>24</v>
      </c>
      <c r="F14" s="18"/>
      <c r="G14" s="18"/>
      <c r="H14" s="18"/>
      <c r="I14" s="18"/>
    </row>
    <row r="15" spans="1:11" ht="13.15" customHeight="1">
      <c r="A15" s="1" t="s">
        <v>25</v>
      </c>
      <c r="B15" s="23" t="s">
        <v>18</v>
      </c>
      <c r="C15" s="23" t="s">
        <v>6</v>
      </c>
      <c r="D15" s="23" t="s">
        <v>7</v>
      </c>
      <c r="E15" s="23" t="s">
        <v>8</v>
      </c>
      <c r="F15" s="23"/>
      <c r="G15" s="23"/>
      <c r="H15" s="23"/>
      <c r="I15" s="23"/>
    </row>
    <row r="16" spans="1:11" ht="13.15" customHeight="1" thickBot="1">
      <c r="B16" s="19"/>
      <c r="C16" s="19"/>
      <c r="D16" s="19"/>
      <c r="E16" s="19"/>
      <c r="F16" s="19"/>
      <c r="G16" s="19"/>
      <c r="H16" s="19"/>
      <c r="I16" s="20"/>
    </row>
  </sheetData>
  <mergeCells count="3">
    <mergeCell ref="K2:K3"/>
    <mergeCell ref="K5:K6"/>
    <mergeCell ref="K9:K1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6F80-E4B8-4236-A347-7DDF9F197976}">
  <dimension ref="A1:K19"/>
  <sheetViews>
    <sheetView zoomScaleNormal="100" workbookViewId="0">
      <selection activeCell="E23" sqref="E23"/>
    </sheetView>
  </sheetViews>
  <sheetFormatPr defaultColWidth="20.7109375" defaultRowHeight="15"/>
  <cols>
    <col min="1" max="1" width="11.28515625" style="1" customWidth="1"/>
    <col min="2" max="9" width="15.7109375" style="1" customWidth="1"/>
    <col min="10" max="10" width="3.7109375" style="1" customWidth="1"/>
    <col min="11" max="16384" width="20.7109375" style="1"/>
  </cols>
  <sheetData>
    <row r="1" spans="1:11" ht="17.45" customHeight="1" thickBot="1">
      <c r="B1" s="37" t="s">
        <v>26</v>
      </c>
      <c r="C1" s="39">
        <v>18005.701999999997</v>
      </c>
      <c r="D1" s="37" t="s">
        <v>27</v>
      </c>
      <c r="E1" s="39">
        <v>21531.030000000002</v>
      </c>
      <c r="F1" s="37" t="s">
        <v>28</v>
      </c>
      <c r="G1" s="39">
        <v>16375.104000000001</v>
      </c>
      <c r="H1" s="38" t="s">
        <v>29</v>
      </c>
    </row>
    <row r="2" spans="1:11" ht="13.15" customHeight="1">
      <c r="A2" s="37" t="s">
        <v>30</v>
      </c>
      <c r="B2" s="86">
        <f>$A$3+C1</f>
        <v>28649.797999999995</v>
      </c>
      <c r="C2" s="87"/>
      <c r="D2" s="90">
        <f>$A$3+E1</f>
        <v>32175.126000000004</v>
      </c>
      <c r="E2" s="91"/>
      <c r="F2" s="86">
        <f>$A$3+G1</f>
        <v>27019.200000000001</v>
      </c>
      <c r="G2" s="87"/>
      <c r="H2" s="90">
        <v>36182</v>
      </c>
      <c r="I2" s="91"/>
      <c r="K2" s="102" t="s">
        <v>31</v>
      </c>
    </row>
    <row r="3" spans="1:11" ht="13.15" customHeight="1" thickBot="1">
      <c r="A3" s="39">
        <v>10644.096</v>
      </c>
      <c r="B3" s="88"/>
      <c r="C3" s="89"/>
      <c r="D3" s="92"/>
      <c r="E3" s="93"/>
      <c r="F3" s="88"/>
      <c r="G3" s="89"/>
      <c r="H3" s="92"/>
      <c r="I3" s="93"/>
      <c r="K3" s="102"/>
    </row>
    <row r="4" spans="1:11" ht="13.15" customHeight="1">
      <c r="A4" s="37" t="s">
        <v>32</v>
      </c>
      <c r="B4" s="94">
        <f>(2*$A$5)+C1</f>
        <v>18142.092799999999</v>
      </c>
      <c r="C4" s="95"/>
      <c r="D4" s="86">
        <f>(2*$A$5)+E1</f>
        <v>21667.420800000004</v>
      </c>
      <c r="E4" s="87"/>
      <c r="F4" s="94">
        <f>(2*$A$5)+G1</f>
        <v>16511.4948</v>
      </c>
      <c r="G4" s="95"/>
      <c r="H4" s="90">
        <v>30602.84</v>
      </c>
      <c r="I4" s="91"/>
    </row>
    <row r="5" spans="1:11" ht="13.15" customHeight="1" thickBot="1">
      <c r="A5" s="39">
        <v>68.195400000000006</v>
      </c>
      <c r="B5" s="96"/>
      <c r="C5" s="97"/>
      <c r="D5" s="88"/>
      <c r="E5" s="89"/>
      <c r="F5" s="96"/>
      <c r="G5" s="97"/>
      <c r="H5" s="92"/>
      <c r="I5" s="93"/>
      <c r="K5" s="32"/>
    </row>
    <row r="6" spans="1:11" ht="13.15" customHeight="1">
      <c r="A6" s="37" t="s">
        <v>33</v>
      </c>
      <c r="B6" s="86">
        <f>(2*$A$7)+C1</f>
        <v>26528.061999999998</v>
      </c>
      <c r="C6" s="87"/>
      <c r="D6" s="90">
        <f>(2*$A$7)+E1</f>
        <v>30053.39</v>
      </c>
      <c r="E6" s="91"/>
      <c r="F6" s="86">
        <f>(2*$A$7)+G1</f>
        <v>24897.464</v>
      </c>
      <c r="G6" s="87"/>
      <c r="H6" s="86">
        <v>25153.919999999998</v>
      </c>
      <c r="I6" s="87"/>
      <c r="K6" s="83"/>
    </row>
    <row r="7" spans="1:11" ht="13.15" customHeight="1" thickBot="1">
      <c r="A7" s="39">
        <v>4261.1799999999994</v>
      </c>
      <c r="B7" s="88"/>
      <c r="C7" s="89"/>
      <c r="D7" s="92"/>
      <c r="E7" s="93"/>
      <c r="F7" s="88"/>
      <c r="G7" s="89"/>
      <c r="H7" s="88"/>
      <c r="I7" s="89"/>
      <c r="K7" s="83"/>
    </row>
    <row r="9" spans="1:11">
      <c r="B9" s="98" t="s">
        <v>34</v>
      </c>
      <c r="D9" s="100" t="s">
        <v>35</v>
      </c>
      <c r="F9" s="84" t="s">
        <v>36</v>
      </c>
    </row>
    <row r="10" spans="1:11">
      <c r="B10" s="99"/>
      <c r="D10" s="101"/>
      <c r="F10" s="85"/>
    </row>
    <row r="13" spans="1:11" ht="18.75" thickBot="1">
      <c r="B13" s="37" t="s">
        <v>26</v>
      </c>
      <c r="C13" s="39">
        <v>16367</v>
      </c>
      <c r="D13" s="37" t="s">
        <v>27</v>
      </c>
      <c r="E13" s="39">
        <v>21531.030000000002</v>
      </c>
      <c r="F13" s="37" t="s">
        <v>28</v>
      </c>
      <c r="G13" s="39">
        <v>16375.104000000001</v>
      </c>
      <c r="H13" s="38" t="s">
        <v>29</v>
      </c>
    </row>
    <row r="14" spans="1:11">
      <c r="A14" s="37" t="s">
        <v>30</v>
      </c>
      <c r="B14" s="86">
        <f>$A$15+C13</f>
        <v>20640.354800000001</v>
      </c>
      <c r="C14" s="87"/>
      <c r="D14" s="103"/>
      <c r="E14" s="104"/>
      <c r="F14" s="103"/>
      <c r="G14" s="104"/>
      <c r="H14" s="86">
        <v>26956</v>
      </c>
      <c r="I14" s="87"/>
    </row>
    <row r="15" spans="1:11" ht="15.75" thickBot="1">
      <c r="A15" s="39">
        <v>4273.3548000000001</v>
      </c>
      <c r="B15" s="88"/>
      <c r="C15" s="89"/>
      <c r="D15" s="105"/>
      <c r="E15" s="106"/>
      <c r="F15" s="105"/>
      <c r="G15" s="106"/>
      <c r="H15" s="88"/>
      <c r="I15" s="89"/>
    </row>
    <row r="16" spans="1:11">
      <c r="A16" s="37" t="s">
        <v>32</v>
      </c>
      <c r="B16" s="94">
        <f>(2*$A$17)+C13</f>
        <v>16583.126960000001</v>
      </c>
      <c r="C16" s="95"/>
      <c r="D16" s="103"/>
      <c r="E16" s="104"/>
      <c r="F16" s="103"/>
      <c r="G16" s="104"/>
      <c r="H16" s="94">
        <v>11539</v>
      </c>
      <c r="I16" s="95"/>
      <c r="K16" s="102" t="s">
        <v>37</v>
      </c>
    </row>
    <row r="17" spans="1:11" ht="15.75" thickBot="1">
      <c r="A17" s="39">
        <v>108.06348000000001</v>
      </c>
      <c r="B17" s="96"/>
      <c r="C17" s="97"/>
      <c r="D17" s="105"/>
      <c r="E17" s="106"/>
      <c r="F17" s="105"/>
      <c r="G17" s="106"/>
      <c r="H17" s="96"/>
      <c r="I17" s="97"/>
      <c r="K17" s="102"/>
    </row>
    <row r="18" spans="1:11">
      <c r="A18" s="37" t="s">
        <v>33</v>
      </c>
      <c r="B18" s="103"/>
      <c r="C18" s="104"/>
      <c r="D18" s="103"/>
      <c r="E18" s="104"/>
      <c r="F18" s="103"/>
      <c r="G18" s="104"/>
      <c r="H18" s="103"/>
      <c r="I18" s="104"/>
    </row>
    <row r="19" spans="1:11" ht="15.75" thickBot="1">
      <c r="A19" s="39">
        <v>4261.1799999999994</v>
      </c>
      <c r="B19" s="105"/>
      <c r="C19" s="106"/>
      <c r="D19" s="105"/>
      <c r="E19" s="106"/>
      <c r="F19" s="105"/>
      <c r="G19" s="106"/>
      <c r="H19" s="105"/>
      <c r="I19" s="106"/>
    </row>
  </sheetData>
  <mergeCells count="30">
    <mergeCell ref="K16:K17"/>
    <mergeCell ref="B16:C17"/>
    <mergeCell ref="D16:E17"/>
    <mergeCell ref="F16:G17"/>
    <mergeCell ref="H16:I17"/>
    <mergeCell ref="B18:C19"/>
    <mergeCell ref="D18:E19"/>
    <mergeCell ref="F18:G19"/>
    <mergeCell ref="H18:I19"/>
    <mergeCell ref="B14:C15"/>
    <mergeCell ref="D14:E15"/>
    <mergeCell ref="F14:G15"/>
    <mergeCell ref="H14:I15"/>
    <mergeCell ref="H6:I7"/>
    <mergeCell ref="F6:G7"/>
    <mergeCell ref="F4:G5"/>
    <mergeCell ref="K2:K3"/>
    <mergeCell ref="K6:K7"/>
    <mergeCell ref="B2:C3"/>
    <mergeCell ref="D2:E3"/>
    <mergeCell ref="F2:G3"/>
    <mergeCell ref="H2:I3"/>
    <mergeCell ref="H4:I5"/>
    <mergeCell ref="F9:F10"/>
    <mergeCell ref="D4:E5"/>
    <mergeCell ref="D6:E7"/>
    <mergeCell ref="B6:C7"/>
    <mergeCell ref="B4:C5"/>
    <mergeCell ref="B9:B10"/>
    <mergeCell ref="D9:D10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1066-29B4-47F1-BF9A-36DF2BB79798}">
  <sheetPr>
    <pageSetUpPr fitToPage="1"/>
  </sheetPr>
  <dimension ref="A1:AA45"/>
  <sheetViews>
    <sheetView topLeftCell="C1" zoomScale="90" zoomScaleNormal="90" workbookViewId="0">
      <selection activeCell="V20" sqref="V20"/>
    </sheetView>
  </sheetViews>
  <sheetFormatPr defaultRowHeight="15"/>
  <cols>
    <col min="1" max="1" width="22.28515625" customWidth="1"/>
    <col min="2" max="2" width="13" customWidth="1"/>
    <col min="3" max="3" width="9.28515625" customWidth="1"/>
    <col min="4" max="4" width="10.5703125" customWidth="1"/>
    <col min="6" max="6" width="10" customWidth="1"/>
    <col min="7" max="7" width="9.5703125" bestFit="1" customWidth="1"/>
    <col min="8" max="8" width="10.28515625" customWidth="1"/>
  </cols>
  <sheetData>
    <row r="1" spans="1:27">
      <c r="A1" s="3" t="s">
        <v>38</v>
      </c>
      <c r="B1" s="29" t="s">
        <v>39</v>
      </c>
      <c r="J1" s="8"/>
      <c r="K1" s="73" t="s">
        <v>40</v>
      </c>
      <c r="L1" s="73"/>
      <c r="M1" s="73"/>
      <c r="N1" s="73"/>
      <c r="O1" s="9"/>
      <c r="P1" s="73" t="s">
        <v>41</v>
      </c>
      <c r="Q1" s="73"/>
      <c r="R1" s="73"/>
      <c r="S1" s="73"/>
      <c r="T1" s="73"/>
      <c r="U1" s="9"/>
      <c r="V1" s="8" t="s">
        <v>42</v>
      </c>
      <c r="W1" s="73"/>
      <c r="X1" s="73"/>
      <c r="Y1" s="73"/>
      <c r="Z1" s="73"/>
      <c r="AA1" s="9"/>
    </row>
    <row r="2" spans="1:27" ht="30">
      <c r="A2" s="2" t="s">
        <v>43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48</v>
      </c>
      <c r="G2" s="2" t="s">
        <v>49</v>
      </c>
      <c r="H2" s="6" t="s">
        <v>50</v>
      </c>
      <c r="J2" s="74" t="s">
        <v>51</v>
      </c>
      <c r="K2" s="68" t="s">
        <v>48</v>
      </c>
      <c r="L2" s="68" t="s">
        <v>52</v>
      </c>
      <c r="M2" s="68" t="s">
        <v>53</v>
      </c>
      <c r="N2" s="68" t="s">
        <v>54</v>
      </c>
      <c r="O2" s="75" t="s">
        <v>55</v>
      </c>
      <c r="P2" s="68" t="s">
        <v>51</v>
      </c>
      <c r="Q2" s="68" t="s">
        <v>56</v>
      </c>
      <c r="R2" s="68" t="s">
        <v>52</v>
      </c>
      <c r="S2" s="68" t="s">
        <v>53</v>
      </c>
      <c r="T2" s="68" t="s">
        <v>54</v>
      </c>
      <c r="U2" s="75" t="s">
        <v>55</v>
      </c>
      <c r="V2" s="74" t="s">
        <v>51</v>
      </c>
      <c r="W2" s="68" t="s">
        <v>56</v>
      </c>
      <c r="X2" s="68" t="s">
        <v>52</v>
      </c>
      <c r="Y2" s="68" t="s">
        <v>53</v>
      </c>
      <c r="Z2" s="68" t="s">
        <v>54</v>
      </c>
      <c r="AA2" s="5"/>
    </row>
    <row r="3" spans="1:27">
      <c r="A3" s="11" t="s">
        <v>57</v>
      </c>
      <c r="J3" s="10"/>
      <c r="O3" s="5"/>
      <c r="U3" s="5"/>
      <c r="V3" s="10"/>
      <c r="AA3" s="5"/>
    </row>
    <row r="4" spans="1:27">
      <c r="A4" t="s">
        <v>58</v>
      </c>
      <c r="C4">
        <v>230.06</v>
      </c>
      <c r="E4">
        <v>1</v>
      </c>
      <c r="F4" s="80">
        <v>1000</v>
      </c>
      <c r="G4" s="29" t="e">
        <f>1000*H4/#REF!</f>
        <v>#REF!</v>
      </c>
      <c r="H4" s="7">
        <f>F4/C4*1000</f>
        <v>4346.692167260715</v>
      </c>
      <c r="J4" s="10"/>
      <c r="O4" s="5"/>
      <c r="U4" s="5"/>
      <c r="V4" s="10"/>
      <c r="AA4" s="5"/>
    </row>
    <row r="5" spans="1:27">
      <c r="A5" t="s">
        <v>59</v>
      </c>
      <c r="C5">
        <v>139.91999999999999</v>
      </c>
      <c r="E5" s="3">
        <v>1.5</v>
      </c>
      <c r="F5" s="29">
        <f>H5*C5/1000</f>
        <v>912.28375206467877</v>
      </c>
      <c r="G5" s="30" t="e">
        <f>1000*H5/#REF!</f>
        <v>#REF!</v>
      </c>
      <c r="H5" s="7">
        <f>$H$4*E5</f>
        <v>6520.0382508910725</v>
      </c>
      <c r="J5" s="10"/>
      <c r="L5">
        <f>K5/$C5</f>
        <v>0</v>
      </c>
      <c r="M5" t="e">
        <f>J5/L5</f>
        <v>#DIV/0!</v>
      </c>
      <c r="O5" s="5" t="e">
        <f>M5*$E5</f>
        <v>#DIV/0!</v>
      </c>
      <c r="R5">
        <f>Q5/$C5</f>
        <v>0</v>
      </c>
      <c r="S5" t="e">
        <f>P5/R5</f>
        <v>#DIV/0!</v>
      </c>
      <c r="U5" s="5" t="e">
        <f>S5*$E5</f>
        <v>#DIV/0!</v>
      </c>
      <c r="V5" s="10"/>
      <c r="X5">
        <f>W5/$C5</f>
        <v>0</v>
      </c>
      <c r="Y5" t="e">
        <f>V5/X5</f>
        <v>#DIV/0!</v>
      </c>
      <c r="AA5" s="5" t="e">
        <f>Y5*$E5</f>
        <v>#DIV/0!</v>
      </c>
    </row>
    <row r="6" spans="1:27">
      <c r="A6" t="s">
        <v>60</v>
      </c>
      <c r="C6">
        <v>138.21</v>
      </c>
      <c r="E6" s="3">
        <v>3</v>
      </c>
      <c r="F6" s="29">
        <f>H6*C6/1000</f>
        <v>1802.2689733113104</v>
      </c>
      <c r="G6" s="12" t="e">
        <f>1000*H6/#REF!</f>
        <v>#REF!</v>
      </c>
      <c r="H6" s="7">
        <f>$H$4*E6</f>
        <v>13040.076501782145</v>
      </c>
      <c r="J6" s="10"/>
      <c r="L6">
        <f>K6/$C6</f>
        <v>0</v>
      </c>
      <c r="M6" t="e">
        <f>J6/L6</f>
        <v>#DIV/0!</v>
      </c>
      <c r="O6" s="5" t="e">
        <f>M6*$E6</f>
        <v>#DIV/0!</v>
      </c>
      <c r="R6">
        <f>Q6/$C6</f>
        <v>0</v>
      </c>
      <c r="S6" t="e">
        <f>P6/R6</f>
        <v>#DIV/0!</v>
      </c>
      <c r="U6" s="5" t="e">
        <f>S6*$E6</f>
        <v>#DIV/0!</v>
      </c>
      <c r="V6" s="10"/>
      <c r="X6">
        <f>W6/$C6</f>
        <v>0</v>
      </c>
      <c r="Y6" t="e">
        <f>V6/X6</f>
        <v>#DIV/0!</v>
      </c>
      <c r="AA6" s="5" t="e">
        <f>Y6*$E6</f>
        <v>#DIV/0!</v>
      </c>
    </row>
    <row r="7" spans="1:27" ht="14.45" customHeight="1">
      <c r="J7" s="10"/>
      <c r="O7" s="5"/>
      <c r="U7" s="5"/>
      <c r="V7" s="10"/>
      <c r="AA7" s="5"/>
    </row>
    <row r="8" spans="1:27">
      <c r="A8" s="52" t="s">
        <v>61</v>
      </c>
      <c r="J8" s="10"/>
      <c r="O8" s="5"/>
      <c r="U8" s="5"/>
      <c r="V8" s="10"/>
      <c r="AA8" s="5"/>
    </row>
    <row r="9" spans="1:27">
      <c r="A9" s="4" t="s">
        <v>62</v>
      </c>
      <c r="B9" t="s">
        <v>63</v>
      </c>
      <c r="C9">
        <v>224.51</v>
      </c>
      <c r="E9" s="3">
        <v>0.01</v>
      </c>
      <c r="F9">
        <f t="shared" ref="F9" si="0">H9*C9/1000</f>
        <v>9.7587585847170306</v>
      </c>
      <c r="G9" s="30" t="e">
        <f>1000*H9/#REF!</f>
        <v>#REF!</v>
      </c>
      <c r="H9" s="7">
        <f t="shared" ref="H9" si="1">$H$4*E9</f>
        <v>43.46692167260715</v>
      </c>
      <c r="J9" s="10">
        <v>401</v>
      </c>
      <c r="K9">
        <v>5</v>
      </c>
      <c r="L9">
        <f>K9/$C9</f>
        <v>2.2270722907665585E-2</v>
      </c>
      <c r="M9">
        <f>J9/L9</f>
        <v>18005.701999999997</v>
      </c>
      <c r="N9" t="s">
        <v>64</v>
      </c>
      <c r="O9" s="5">
        <f>M9*$H9/1000</f>
        <v>782.65243849430578</v>
      </c>
      <c r="P9">
        <v>7290</v>
      </c>
      <c r="Q9">
        <v>100</v>
      </c>
      <c r="R9">
        <f>Q9/$C9</f>
        <v>0.44541445815331165</v>
      </c>
      <c r="S9">
        <f>P9/R9</f>
        <v>16366.779</v>
      </c>
      <c r="T9" t="s">
        <v>65</v>
      </c>
      <c r="U9" s="5">
        <f>S9*$H9/1000</f>
        <v>711.41350082587155</v>
      </c>
      <c r="V9" s="10"/>
      <c r="X9">
        <f>W9/$C9</f>
        <v>0</v>
      </c>
      <c r="Y9" t="e">
        <f>V9/X9</f>
        <v>#DIV/0!</v>
      </c>
      <c r="AA9" s="5" t="e">
        <f>Y9*$H9/1000</f>
        <v>#DIV/0!</v>
      </c>
    </row>
    <row r="10" spans="1:27">
      <c r="A10" s="4"/>
      <c r="G10" s="12"/>
      <c r="H10" s="7"/>
      <c r="J10" s="10"/>
      <c r="O10" s="5"/>
      <c r="U10" s="5"/>
      <c r="V10" s="10"/>
      <c r="AA10" s="5"/>
    </row>
    <row r="11" spans="1:27">
      <c r="A11" s="11" t="s">
        <v>66</v>
      </c>
      <c r="G11" s="12"/>
      <c r="H11" s="7"/>
      <c r="J11" s="10"/>
      <c r="O11" s="5"/>
      <c r="U11" s="5"/>
      <c r="V11" s="10"/>
      <c r="AA11" s="5"/>
    </row>
    <row r="12" spans="1:27">
      <c r="A12" t="s">
        <v>32</v>
      </c>
      <c r="B12" s="13" t="s">
        <v>67</v>
      </c>
      <c r="C12">
        <v>262.29000000000002</v>
      </c>
      <c r="E12">
        <v>0.02</v>
      </c>
      <c r="F12">
        <f>H12*C12/1000</f>
        <v>22.801877771016262</v>
      </c>
      <c r="G12" s="12" t="e">
        <f>1000*H12/#REF!</f>
        <v>#REF!</v>
      </c>
      <c r="H12" s="7">
        <f>$H$4*E12</f>
        <v>86.933843345214299</v>
      </c>
      <c r="J12" s="10">
        <v>26</v>
      </c>
      <c r="K12">
        <v>100</v>
      </c>
      <c r="L12">
        <f>K12/$C12</f>
        <v>0.38125738686187044</v>
      </c>
      <c r="M12">
        <f>J12/L12</f>
        <v>68.195400000000006</v>
      </c>
      <c r="N12" t="s">
        <v>64</v>
      </c>
      <c r="O12" s="5">
        <f>M12*$H12/1000</f>
        <v>5.928488220464228</v>
      </c>
      <c r="P12">
        <v>103</v>
      </c>
      <c r="Q12">
        <v>250</v>
      </c>
      <c r="R12">
        <f>Q12/$C12</f>
        <v>0.95314346715467602</v>
      </c>
      <c r="S12">
        <f>P12/R12</f>
        <v>108.06348000000001</v>
      </c>
      <c r="T12" t="s">
        <v>65</v>
      </c>
      <c r="U12" s="5">
        <f>S12*$H12/1000</f>
        <v>9.3943736416586994</v>
      </c>
      <c r="V12" s="10">
        <v>199</v>
      </c>
      <c r="W12">
        <v>1000</v>
      </c>
      <c r="X12">
        <f>W12/$C12</f>
        <v>3.8125738686187041</v>
      </c>
      <c r="Y12">
        <f>V12/X12</f>
        <v>52.195710000000005</v>
      </c>
      <c r="Z12" t="s">
        <v>68</v>
      </c>
      <c r="AA12" s="5">
        <f>Y12*$H12/1000</f>
        <v>4.5375736764322356</v>
      </c>
    </row>
    <row r="13" spans="1:27">
      <c r="A13" t="s">
        <v>69</v>
      </c>
      <c r="B13" s="13" t="s">
        <v>70</v>
      </c>
      <c r="C13">
        <v>304.37</v>
      </c>
      <c r="E13">
        <v>0.02</v>
      </c>
      <c r="F13">
        <f>H13*C13/1000</f>
        <v>26.460053898982878</v>
      </c>
      <c r="G13" s="12" t="e">
        <f>1000*H13/#REF!</f>
        <v>#REF!</v>
      </c>
      <c r="H13" s="7">
        <f>$H$4*E13</f>
        <v>86.933843345214299</v>
      </c>
      <c r="J13" s="10">
        <v>70</v>
      </c>
      <c r="K13">
        <v>5</v>
      </c>
      <c r="L13">
        <f t="shared" ref="L13:L14" si="2">K13/$C13</f>
        <v>1.6427374576995106E-2</v>
      </c>
      <c r="M13">
        <f t="shared" ref="M13:M14" si="3">J13/L13</f>
        <v>4261.1799999999994</v>
      </c>
      <c r="N13" t="s">
        <v>64</v>
      </c>
      <c r="O13" s="5">
        <f>M13*$H13/1000</f>
        <v>370.44075458576026</v>
      </c>
      <c r="P13">
        <v>45</v>
      </c>
      <c r="Q13">
        <v>100</v>
      </c>
      <c r="R13">
        <f>Q13/$C13</f>
        <v>0.32854749153990209</v>
      </c>
      <c r="S13">
        <f>P13/R13</f>
        <v>136.9665</v>
      </c>
      <c r="T13" t="s">
        <v>68</v>
      </c>
      <c r="U13" s="5">
        <f>S13*$H13/1000</f>
        <v>11.907024254542293</v>
      </c>
      <c r="V13" s="10">
        <v>376</v>
      </c>
      <c r="W13">
        <v>1000</v>
      </c>
      <c r="X13">
        <f>W13/$C13</f>
        <v>3.2854749153990208</v>
      </c>
      <c r="Y13">
        <f>V13/X13</f>
        <v>114.44312000000001</v>
      </c>
      <c r="Z13" t="s">
        <v>68</v>
      </c>
      <c r="AA13" s="5">
        <f>Y13*$H13/1000</f>
        <v>9.9489802660175624</v>
      </c>
    </row>
    <row r="14" spans="1:27">
      <c r="A14" t="s">
        <v>71</v>
      </c>
      <c r="B14" s="13" t="s">
        <v>72</v>
      </c>
      <c r="C14">
        <v>554.38</v>
      </c>
      <c r="E14">
        <v>0.01</v>
      </c>
      <c r="F14">
        <f>H14*C14/1000</f>
        <v>24.097192036859955</v>
      </c>
      <c r="G14" s="12" t="e">
        <f>1000*H14/#REF!</f>
        <v>#REF!</v>
      </c>
      <c r="H14" s="7">
        <f>$H$4*E14</f>
        <v>43.46692167260715</v>
      </c>
      <c r="J14" s="10">
        <v>96</v>
      </c>
      <c r="K14">
        <v>5</v>
      </c>
      <c r="L14">
        <f t="shared" si="2"/>
        <v>9.0190843825534838E-3</v>
      </c>
      <c r="M14">
        <f t="shared" si="3"/>
        <v>10644.096</v>
      </c>
      <c r="N14" t="s">
        <v>64</v>
      </c>
      <c r="O14" s="5">
        <f>M14*$H14/1000</f>
        <v>462.66608710771106</v>
      </c>
      <c r="P14">
        <v>351</v>
      </c>
      <c r="Q14">
        <v>25</v>
      </c>
      <c r="R14">
        <f>Q14/$C14</f>
        <v>4.5095421912767414E-2</v>
      </c>
      <c r="S14">
        <f>P14/R14</f>
        <v>7783.4952000000003</v>
      </c>
      <c r="T14" t="s">
        <v>65</v>
      </c>
      <c r="U14" s="5">
        <f>S14*$H14/1000</f>
        <v>338.32457619751375</v>
      </c>
      <c r="V14" s="10">
        <v>454</v>
      </c>
      <c r="W14">
        <v>1000</v>
      </c>
      <c r="X14">
        <f>W14/$C14</f>
        <v>1.8038168765106966</v>
      </c>
      <c r="Y14">
        <f>V14/X14</f>
        <v>251.68852000000001</v>
      </c>
      <c r="Z14" t="s">
        <v>68</v>
      </c>
      <c r="AA14" s="5">
        <f>Y14*$H14/1000</f>
        <v>10.94012518473442</v>
      </c>
    </row>
    <row r="15" spans="1:27">
      <c r="G15" s="12"/>
      <c r="H15" s="7"/>
      <c r="J15" s="10"/>
      <c r="O15" s="5"/>
      <c r="U15" s="5"/>
      <c r="V15" s="10"/>
      <c r="AA15" s="5"/>
    </row>
    <row r="16" spans="1:27">
      <c r="A16" s="11" t="s">
        <v>73</v>
      </c>
      <c r="G16" s="12"/>
      <c r="H16" s="7"/>
      <c r="J16" s="10"/>
      <c r="O16" s="5"/>
      <c r="U16" s="5"/>
      <c r="V16" s="10"/>
      <c r="AA16" s="5"/>
    </row>
    <row r="17" spans="1:27">
      <c r="A17" t="s">
        <v>74</v>
      </c>
      <c r="B17" t="s">
        <v>75</v>
      </c>
      <c r="C17">
        <v>731.7</v>
      </c>
      <c r="E17">
        <v>0.01</v>
      </c>
      <c r="F17">
        <f>H17*C17/1000</f>
        <v>31.804746587846655</v>
      </c>
      <c r="G17" s="12" t="e">
        <f>1000*H17/#REF!</f>
        <v>#REF!</v>
      </c>
      <c r="H17" s="7">
        <f>$H$4*E17</f>
        <v>43.46692167260715</v>
      </c>
      <c r="J17" s="10">
        <v>234</v>
      </c>
      <c r="K17">
        <v>5</v>
      </c>
      <c r="L17">
        <f t="shared" ref="L17:L19" si="4">K17/$C17</f>
        <v>6.8334016673500062E-3</v>
      </c>
      <c r="M17">
        <f>J17/L17</f>
        <v>34243.560000000005</v>
      </c>
      <c r="N17" t="s">
        <v>64</v>
      </c>
      <c r="O17" s="5">
        <f>M17*$H17/1000</f>
        <v>1488.4621403112235</v>
      </c>
      <c r="P17">
        <v>9210</v>
      </c>
      <c r="Q17">
        <v>250</v>
      </c>
      <c r="R17">
        <f>Q17/$C17</f>
        <v>0.34167008336750032</v>
      </c>
      <c r="S17">
        <f>P17/R17</f>
        <v>26955.828000000001</v>
      </c>
      <c r="T17" t="s">
        <v>65</v>
      </c>
      <c r="U17" s="5">
        <f>S17*$H17/1000</f>
        <v>1171.6868642962709</v>
      </c>
      <c r="V17" s="10"/>
      <c r="X17">
        <f>W17/$C17</f>
        <v>0</v>
      </c>
      <c r="Y17" t="e">
        <f>V17/X17</f>
        <v>#DIV/0!</v>
      </c>
      <c r="AA17" s="5" t="e">
        <f>Y17*$H17/1000</f>
        <v>#DIV/0!</v>
      </c>
    </row>
    <row r="18" spans="1:27">
      <c r="A18" t="s">
        <v>76</v>
      </c>
      <c r="B18" t="s">
        <v>77</v>
      </c>
      <c r="C18">
        <v>701.9</v>
      </c>
      <c r="E18">
        <v>0.01</v>
      </c>
      <c r="F18">
        <f>H18*C18/1000</f>
        <v>30.509432322002958</v>
      </c>
      <c r="G18" s="12" t="e">
        <f>1000*H18/#REF!</f>
        <v>#REF!</v>
      </c>
      <c r="H18" s="7">
        <f>$H$4*E18</f>
        <v>43.46692167260715</v>
      </c>
      <c r="J18" s="10">
        <v>218</v>
      </c>
      <c r="K18">
        <v>5</v>
      </c>
      <c r="L18">
        <f t="shared" si="4"/>
        <v>7.1235218692121387E-3</v>
      </c>
      <c r="M18">
        <f t="shared" ref="M18:M19" si="5">J18/L18</f>
        <v>30602.84</v>
      </c>
      <c r="N18" t="s">
        <v>64</v>
      </c>
      <c r="O18" s="5">
        <f>M18*$H18/1000</f>
        <v>1330.2112492393289</v>
      </c>
      <c r="P18">
        <v>4110</v>
      </c>
      <c r="Q18">
        <v>250</v>
      </c>
      <c r="R18">
        <f>Q18/$C18</f>
        <v>0.35617609346060691</v>
      </c>
      <c r="S18">
        <f>P18/R18</f>
        <v>11539.236000000001</v>
      </c>
      <c r="T18" t="s">
        <v>65</v>
      </c>
      <c r="U18" s="5">
        <f>S18*$H18/1000</f>
        <v>501.57506737372864</v>
      </c>
      <c r="V18" s="10"/>
      <c r="X18">
        <f>W18/$C18</f>
        <v>0</v>
      </c>
      <c r="Y18" t="e">
        <f>V18/X18</f>
        <v>#DIV/0!</v>
      </c>
      <c r="AA18" s="5" t="e">
        <f>Y18*$H18/1000</f>
        <v>#DIV/0!</v>
      </c>
    </row>
    <row r="19" spans="1:27" ht="15.75" thickBot="1">
      <c r="A19" t="s">
        <v>78</v>
      </c>
      <c r="B19" t="s">
        <v>79</v>
      </c>
      <c r="C19">
        <v>786.06</v>
      </c>
      <c r="E19">
        <v>0.01</v>
      </c>
      <c r="F19">
        <f>H19*C19/1000</f>
        <v>34.16760844996957</v>
      </c>
      <c r="G19" s="12" t="e">
        <f>1000*H19/#REF!</f>
        <v>#REF!</v>
      </c>
      <c r="H19" s="7">
        <f>$H$4*E19</f>
        <v>43.46692167260715</v>
      </c>
      <c r="J19" s="10">
        <v>160</v>
      </c>
      <c r="K19">
        <v>5</v>
      </c>
      <c r="L19">
        <f t="shared" si="4"/>
        <v>6.3608375950945225E-3</v>
      </c>
      <c r="M19">
        <f t="shared" si="5"/>
        <v>25153.919999999998</v>
      </c>
      <c r="N19" t="s">
        <v>64</v>
      </c>
      <c r="O19" s="5">
        <f>M19*$H19/1000</f>
        <v>1093.3634703990263</v>
      </c>
      <c r="P19">
        <v>811</v>
      </c>
      <c r="Q19">
        <v>25</v>
      </c>
      <c r="R19">
        <f>Q19/$C19</f>
        <v>3.180418797547261E-2</v>
      </c>
      <c r="S19">
        <f>P19/R19</f>
        <v>25499.786400000001</v>
      </c>
      <c r="T19" t="s">
        <v>68</v>
      </c>
      <c r="U19" s="5">
        <f>S19*$H19/1000</f>
        <v>1108.3972181170132</v>
      </c>
      <c r="V19" s="10"/>
      <c r="X19">
        <f>W19/$C19</f>
        <v>0</v>
      </c>
      <c r="Y19" t="e">
        <f>V19/X19</f>
        <v>#DIV/0!</v>
      </c>
      <c r="AA19" s="5" t="e">
        <f>Y19*$H19/1000</f>
        <v>#DIV/0!</v>
      </c>
    </row>
    <row r="20" spans="1:27">
      <c r="G20" s="12"/>
      <c r="H20" s="7"/>
      <c r="J20" s="8"/>
      <c r="K20" s="73"/>
      <c r="L20" s="73"/>
      <c r="M20" s="73"/>
      <c r="N20" s="73"/>
      <c r="O20" s="9"/>
      <c r="P20" s="8"/>
      <c r="Q20" s="73"/>
      <c r="R20" s="73"/>
      <c r="S20" s="73"/>
      <c r="T20" s="73"/>
      <c r="U20" s="9"/>
      <c r="V20" s="8"/>
      <c r="W20" s="73"/>
      <c r="X20" s="73"/>
      <c r="Y20" s="73"/>
      <c r="Z20" s="73"/>
      <c r="AA20" s="9"/>
    </row>
    <row r="21" spans="1:27" ht="30">
      <c r="C21" s="2" t="s">
        <v>45</v>
      </c>
      <c r="D21" s="2" t="s">
        <v>46</v>
      </c>
      <c r="E21" t="s">
        <v>80</v>
      </c>
      <c r="F21" t="s">
        <v>81</v>
      </c>
      <c r="G21" s="12" t="s">
        <v>82</v>
      </c>
      <c r="H21" s="7"/>
      <c r="J21" s="74" t="s">
        <v>51</v>
      </c>
      <c r="K21" s="68" t="s">
        <v>83</v>
      </c>
      <c r="L21" s="68"/>
      <c r="M21" s="68" t="s">
        <v>84</v>
      </c>
      <c r="N21" s="68" t="s">
        <v>54</v>
      </c>
      <c r="O21" s="75" t="s">
        <v>55</v>
      </c>
      <c r="P21" s="74" t="s">
        <v>51</v>
      </c>
      <c r="Q21" s="68" t="s">
        <v>83</v>
      </c>
      <c r="R21" s="68"/>
      <c r="S21" s="68" t="s">
        <v>84</v>
      </c>
      <c r="T21" s="68" t="s">
        <v>54</v>
      </c>
      <c r="U21" s="75" t="s">
        <v>55</v>
      </c>
      <c r="V21" s="74" t="s">
        <v>51</v>
      </c>
      <c r="W21" s="68" t="s">
        <v>83</v>
      </c>
      <c r="X21" s="68"/>
      <c r="Y21" s="68" t="s">
        <v>84</v>
      </c>
      <c r="Z21" s="68" t="s">
        <v>54</v>
      </c>
      <c r="AA21" s="75" t="s">
        <v>55</v>
      </c>
    </row>
    <row r="22" spans="1:27">
      <c r="A22" s="11" t="s">
        <v>85</v>
      </c>
      <c r="G22" s="12"/>
      <c r="J22" s="10"/>
      <c r="O22" s="5"/>
      <c r="P22" s="10"/>
      <c r="U22" s="5"/>
      <c r="V22" s="10"/>
      <c r="AA22" s="5"/>
    </row>
    <row r="23" spans="1:27">
      <c r="A23" t="s">
        <v>86</v>
      </c>
      <c r="C23">
        <v>41.05</v>
      </c>
      <c r="D23">
        <v>0.78600000000000003</v>
      </c>
      <c r="E23" s="3">
        <v>10</v>
      </c>
      <c r="F23">
        <f>G23*D23</f>
        <v>7.86</v>
      </c>
      <c r="G23" s="30">
        <f>F4*E23/1000</f>
        <v>10</v>
      </c>
      <c r="J23" s="10"/>
      <c r="M23" t="e">
        <f>J23/K23</f>
        <v>#DIV/0!</v>
      </c>
      <c r="O23" s="5" t="e">
        <f>M23*$G23</f>
        <v>#DIV/0!</v>
      </c>
      <c r="P23" s="10"/>
      <c r="S23" t="e">
        <f>P23/Q23</f>
        <v>#DIV/0!</v>
      </c>
      <c r="U23" s="5" t="e">
        <f>S23*$G23</f>
        <v>#DIV/0!</v>
      </c>
      <c r="V23" s="10"/>
      <c r="Y23" t="e">
        <f>V23/W23</f>
        <v>#DIV/0!</v>
      </c>
      <c r="AA23" s="5" t="e">
        <f>Y23*$G23</f>
        <v>#DIV/0!</v>
      </c>
    </row>
    <row r="24" spans="1:27">
      <c r="A24" t="s">
        <v>87</v>
      </c>
      <c r="C24">
        <v>46.07</v>
      </c>
      <c r="D24">
        <v>0.78900000000000003</v>
      </c>
      <c r="E24" s="3">
        <v>10</v>
      </c>
      <c r="F24">
        <f>G24*D24</f>
        <v>7.8900000000000006</v>
      </c>
      <c r="G24" s="30">
        <f>F4*E24/1000</f>
        <v>10</v>
      </c>
      <c r="J24" s="10"/>
      <c r="M24" t="e">
        <f>J24/K24</f>
        <v>#DIV/0!</v>
      </c>
      <c r="O24" s="5" t="e">
        <f>M24*$G24</f>
        <v>#DIV/0!</v>
      </c>
      <c r="P24" s="10"/>
      <c r="S24" t="e">
        <f>P24/Q24</f>
        <v>#DIV/0!</v>
      </c>
      <c r="U24" s="5" t="e">
        <f>S24*$G24</f>
        <v>#DIV/0!</v>
      </c>
      <c r="V24" s="10"/>
      <c r="Y24" t="e">
        <f>V24/W24</f>
        <v>#DIV/0!</v>
      </c>
      <c r="AA24" s="5" t="e">
        <f>Y24*$G24</f>
        <v>#DIV/0!</v>
      </c>
    </row>
    <row r="25" spans="1:27">
      <c r="A25" s="55" t="s">
        <v>88</v>
      </c>
      <c r="B25" s="55"/>
      <c r="C25" s="55">
        <v>18.02</v>
      </c>
      <c r="D25" s="55">
        <v>1</v>
      </c>
      <c r="E25" s="56">
        <v>2</v>
      </c>
      <c r="F25" s="55">
        <f>G25*D25</f>
        <v>2</v>
      </c>
      <c r="G25" s="57">
        <f>F4*E25/1000</f>
        <v>2</v>
      </c>
      <c r="H25" s="58"/>
      <c r="J25" s="10"/>
      <c r="M25" t="e">
        <f>J25/K25</f>
        <v>#DIV/0!</v>
      </c>
      <c r="O25" s="5" t="e">
        <f>M25*$G25</f>
        <v>#DIV/0!</v>
      </c>
      <c r="P25" s="10"/>
      <c r="S25" t="e">
        <f>P25/Q25</f>
        <v>#DIV/0!</v>
      </c>
      <c r="U25" s="5" t="e">
        <f>S25*$G25</f>
        <v>#DIV/0!</v>
      </c>
      <c r="V25" s="10"/>
      <c r="Y25" t="e">
        <f>V25/W25</f>
        <v>#DIV/0!</v>
      </c>
      <c r="AA25" s="5" t="e">
        <f>Y25*$G25</f>
        <v>#DIV/0!</v>
      </c>
    </row>
    <row r="26" spans="1:27">
      <c r="A26" t="s">
        <v>89</v>
      </c>
      <c r="E26" s="3">
        <v>10</v>
      </c>
      <c r="G26" s="30">
        <f>F4*E26</f>
        <v>10000</v>
      </c>
      <c r="H26" s="7"/>
      <c r="J26" s="10"/>
      <c r="O26" s="5"/>
      <c r="P26" s="10"/>
      <c r="U26" s="5"/>
      <c r="V26" s="10"/>
      <c r="AA26" s="5"/>
    </row>
    <row r="27" spans="1:27">
      <c r="A27" t="s">
        <v>90</v>
      </c>
      <c r="E27" s="3">
        <v>2.5</v>
      </c>
      <c r="G27" s="57">
        <f>F4*E27</f>
        <v>2500</v>
      </c>
      <c r="H27" s="7"/>
      <c r="J27" s="10"/>
      <c r="O27" s="5"/>
      <c r="P27" s="10"/>
      <c r="U27" s="5"/>
      <c r="V27" s="10"/>
      <c r="AA27" s="5"/>
    </row>
    <row r="28" spans="1:27" ht="15.75" thickBot="1">
      <c r="B28" t="s">
        <v>91</v>
      </c>
      <c r="G28" s="12" t="e">
        <f>500-G4-#REF!-G25</f>
        <v>#REF!</v>
      </c>
      <c r="J28" s="76"/>
      <c r="K28" s="77"/>
      <c r="L28" s="77"/>
      <c r="M28" s="77"/>
      <c r="N28" s="77"/>
      <c r="O28" s="78"/>
      <c r="P28" s="76"/>
      <c r="Q28" s="77"/>
      <c r="R28" s="77"/>
      <c r="S28" s="77"/>
      <c r="T28" s="77"/>
      <c r="U28" s="78"/>
      <c r="V28" s="76"/>
      <c r="W28" s="77"/>
      <c r="X28" s="77"/>
      <c r="Y28" s="77"/>
      <c r="Z28" s="77"/>
      <c r="AA28" s="78"/>
    </row>
    <row r="29" spans="1:27">
      <c r="O29" s="11"/>
      <c r="U29" s="35"/>
    </row>
    <row r="30" spans="1:27">
      <c r="U30" s="35"/>
    </row>
    <row r="31" spans="1:27">
      <c r="A31" s="107"/>
      <c r="B31" s="107"/>
      <c r="C31" s="107"/>
      <c r="D31" s="107"/>
      <c r="E31" s="107"/>
      <c r="F31" s="107"/>
      <c r="U31" s="35"/>
    </row>
    <row r="32" spans="1:27">
      <c r="A32" s="11"/>
      <c r="U32" s="35"/>
    </row>
    <row r="33" spans="1:6">
      <c r="F33" s="35"/>
    </row>
    <row r="34" spans="1:6">
      <c r="F34" s="35"/>
    </row>
    <row r="35" spans="1:6">
      <c r="A35" s="4"/>
      <c r="F35" s="35"/>
    </row>
    <row r="36" spans="1:6">
      <c r="A36" s="4"/>
      <c r="F36" s="35"/>
    </row>
    <row r="37" spans="1:6">
      <c r="A37" s="11"/>
      <c r="F37" s="35"/>
    </row>
    <row r="38" spans="1:6">
      <c r="F38" s="35"/>
    </row>
    <row r="39" spans="1:6">
      <c r="F39" s="35"/>
    </row>
    <row r="40" spans="1:6">
      <c r="F40" s="35"/>
    </row>
    <row r="41" spans="1:6">
      <c r="F41" s="35"/>
    </row>
    <row r="42" spans="1:6">
      <c r="A42" s="11"/>
      <c r="F42" s="35"/>
    </row>
    <row r="43" spans="1:6">
      <c r="F43" s="35"/>
    </row>
    <row r="44" spans="1:6">
      <c r="F44" s="35"/>
    </row>
    <row r="45" spans="1:6">
      <c r="F45" s="35"/>
    </row>
  </sheetData>
  <mergeCells count="1">
    <mergeCell ref="A31:F31"/>
  </mergeCells>
  <pageMargins left="0.7" right="0.7" top="0.75" bottom="0.7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190E-5EF1-4502-9AEB-23DD5662E534}">
  <sheetPr codeName="Sheet1">
    <pageSetUpPr fitToPage="1"/>
  </sheetPr>
  <dimension ref="A1:K32"/>
  <sheetViews>
    <sheetView zoomScaleNormal="100" workbookViewId="0">
      <selection activeCell="I10" sqref="I10"/>
    </sheetView>
  </sheetViews>
  <sheetFormatPr defaultColWidth="20.7109375" defaultRowHeight="15"/>
  <cols>
    <col min="1" max="1" width="8.7109375" style="1" customWidth="1"/>
    <col min="2" max="9" width="20.7109375" style="1" customWidth="1"/>
    <col min="10" max="10" width="3.7109375" style="1" customWidth="1"/>
    <col min="11" max="16384" width="20.7109375" style="1"/>
  </cols>
  <sheetData>
    <row r="1" spans="1:11" ht="13.15" customHeight="1" thickBot="1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11" ht="13.15" customHeight="1">
      <c r="B2" s="18" t="s">
        <v>0</v>
      </c>
      <c r="C2" s="18" t="s">
        <v>0</v>
      </c>
      <c r="D2" s="18" t="s">
        <v>0</v>
      </c>
      <c r="E2" s="18" t="s">
        <v>0</v>
      </c>
      <c r="F2" s="79" t="s">
        <v>1</v>
      </c>
      <c r="G2" s="18" t="s">
        <v>0</v>
      </c>
      <c r="H2" s="18" t="s">
        <v>0</v>
      </c>
      <c r="I2" s="18" t="s">
        <v>2</v>
      </c>
      <c r="K2" s="81" t="s">
        <v>3</v>
      </c>
    </row>
    <row r="3" spans="1:11" ht="13.15" customHeight="1">
      <c r="A3" s="1" t="s">
        <v>4</v>
      </c>
      <c r="B3" s="23" t="s">
        <v>5</v>
      </c>
      <c r="C3" s="23" t="s">
        <v>6</v>
      </c>
      <c r="D3" s="23" t="s">
        <v>7</v>
      </c>
      <c r="E3" s="23" t="s">
        <v>8</v>
      </c>
      <c r="F3" s="72" t="s">
        <v>9</v>
      </c>
      <c r="G3" s="72" t="s">
        <v>10</v>
      </c>
      <c r="H3" s="72" t="s">
        <v>11</v>
      </c>
      <c r="I3" s="72" t="s">
        <v>12</v>
      </c>
      <c r="K3" s="81"/>
    </row>
    <row r="4" spans="1:11" ht="13.15" customHeight="1">
      <c r="A4" s="1" t="s">
        <v>92</v>
      </c>
      <c r="B4" s="60">
        <f>'UPLC Data (iClass)'!K3</f>
        <v>98.35404403749726</v>
      </c>
      <c r="C4" s="60">
        <f>'UPLC Data (iClass)'!K9</f>
        <v>98.114020907425356</v>
      </c>
      <c r="D4" s="60">
        <f>'UPLC Data (iClass)'!K15</f>
        <v>98.54456602570913</v>
      </c>
      <c r="E4" s="60">
        <f>'UPLC Data (iClass)'!K21</f>
        <v>97.727030199551805</v>
      </c>
      <c r="F4" s="60">
        <f>'UPLC Data (iClass)'!K29</f>
        <v>97.875482844808005</v>
      </c>
      <c r="G4" s="60">
        <f>'UPLC Data (iClass)'!K33</f>
        <v>97.88099315068493</v>
      </c>
      <c r="H4" s="60">
        <f>'UPLC Data (iClass)'!K39</f>
        <v>98.409676335535877</v>
      </c>
      <c r="I4" s="62">
        <f>'UPLC Data (iClass)'!K47</f>
        <v>6.210392902408115</v>
      </c>
      <c r="J4" s="1" t="s">
        <v>4</v>
      </c>
      <c r="K4" s="108" t="s">
        <v>93</v>
      </c>
    </row>
    <row r="5" spans="1:11" ht="13.15" customHeight="1" thickBot="1">
      <c r="A5" s="1" t="s">
        <v>94</v>
      </c>
      <c r="B5" s="61">
        <f>'UPLC Data (iClass)'!L3</f>
        <v>85.894920427294537</v>
      </c>
      <c r="C5" s="61">
        <f>'UPLC Data (iClass)'!L9</f>
        <v>81.937708804828105</v>
      </c>
      <c r="D5" s="61">
        <f>'UPLC Data (iClass)'!L15</f>
        <v>77.711675342611301</v>
      </c>
      <c r="E5" s="61">
        <f>'UPLC Data (iClass)'!L21</f>
        <v>80.29025717639523</v>
      </c>
      <c r="F5" s="61">
        <f>'UPLC Data (iClass)'!L29</f>
        <v>88.309475119291079</v>
      </c>
      <c r="G5" s="61">
        <f>'UPLC Data (iClass)'!L33</f>
        <v>88.249143835616437</v>
      </c>
      <c r="H5" s="61">
        <f>'UPLC Data (iClass)'!L39</f>
        <v>87.120618210325901</v>
      </c>
      <c r="I5" s="62">
        <f>'UPLC Data (iClass)'!L47</f>
        <v>4.8524352706862217</v>
      </c>
      <c r="K5" s="108"/>
    </row>
    <row r="6" spans="1:11" ht="13.15" customHeight="1">
      <c r="B6" s="18" t="s">
        <v>13</v>
      </c>
      <c r="C6" s="18" t="s">
        <v>13</v>
      </c>
      <c r="D6" s="18" t="s">
        <v>13</v>
      </c>
      <c r="E6" s="18" t="s">
        <v>13</v>
      </c>
      <c r="F6" s="79" t="s">
        <v>14</v>
      </c>
      <c r="G6" s="18" t="s">
        <v>0</v>
      </c>
      <c r="H6" s="18" t="s">
        <v>0</v>
      </c>
      <c r="I6" s="18" t="s">
        <v>15</v>
      </c>
      <c r="K6" s="82" t="s">
        <v>95</v>
      </c>
    </row>
    <row r="7" spans="1:11" ht="13.15" customHeight="1">
      <c r="A7" s="1" t="s">
        <v>17</v>
      </c>
      <c r="B7" s="23" t="s">
        <v>18</v>
      </c>
      <c r="C7" s="23" t="s">
        <v>6</v>
      </c>
      <c r="D7" s="23" t="s">
        <v>7</v>
      </c>
      <c r="E7" s="23" t="s">
        <v>8</v>
      </c>
      <c r="F7" s="72" t="s">
        <v>9</v>
      </c>
      <c r="G7" s="72" t="s">
        <v>19</v>
      </c>
      <c r="H7" s="72" t="s">
        <v>20</v>
      </c>
      <c r="I7" s="72" t="s">
        <v>12</v>
      </c>
      <c r="K7" s="82"/>
    </row>
    <row r="8" spans="1:11" ht="13.15" customHeight="1">
      <c r="A8" s="1" t="s">
        <v>92</v>
      </c>
      <c r="B8" s="64">
        <f>'UPLC Data (iClass)'!K4</f>
        <v>91.350427350427367</v>
      </c>
      <c r="C8" s="60">
        <f>'UPLC Data (iClass)'!K10</f>
        <v>98.48011210520643</v>
      </c>
      <c r="D8" s="60">
        <f>'UPLC Data (iClass)'!K16</f>
        <v>98.37119588512644</v>
      </c>
      <c r="E8" s="60">
        <f>'UPLC Data (iClass)'!K22</f>
        <v>97.638773819386913</v>
      </c>
      <c r="F8" s="64">
        <f>'UPLC Data (iClass)'!K30</f>
        <v>89.993026499302658</v>
      </c>
      <c r="G8" s="60">
        <f>'UPLC Data (iClass)'!K34</f>
        <v>97.833523375142533</v>
      </c>
      <c r="H8" s="60">
        <f>'UPLC Data (iClass)'!K40</f>
        <v>99.073968217674633</v>
      </c>
      <c r="I8" s="62">
        <f>'UPLC Data (iClass)'!K48</f>
        <v>2.5013693627898657</v>
      </c>
      <c r="J8" s="1" t="s">
        <v>17</v>
      </c>
      <c r="K8" s="109" t="s">
        <v>96</v>
      </c>
    </row>
    <row r="9" spans="1:11" ht="13.15" customHeight="1" thickBot="1">
      <c r="A9" s="1" t="s">
        <v>94</v>
      </c>
      <c r="B9" s="65">
        <f>'UPLC Data (iClass)'!L4</f>
        <v>78.586894586894573</v>
      </c>
      <c r="C9" s="61">
        <f>'UPLC Data (iClass)'!L10</f>
        <v>81.481082246415866</v>
      </c>
      <c r="D9" s="61">
        <f>'UPLC Data (iClass)'!L16</f>
        <v>81.375910844406334</v>
      </c>
      <c r="E9" s="61">
        <f>'UPLC Data (iClass)'!L22</f>
        <v>85.376967688483845</v>
      </c>
      <c r="F9" s="64">
        <f>'UPLC Data (iClass)'!L30</f>
        <v>82.031613203161314</v>
      </c>
      <c r="G9" s="61">
        <f>'UPLC Data (iClass)'!L34</f>
        <v>88.638955115579975</v>
      </c>
      <c r="H9" s="61">
        <f>'UPLC Data (iClass)'!L40</f>
        <v>93.094775351549117</v>
      </c>
      <c r="I9" s="62">
        <f>'UPLC Data (iClass)'!L48</f>
        <v>1.9536242468504652</v>
      </c>
      <c r="K9" s="109"/>
    </row>
    <row r="10" spans="1:11" ht="13.15" customHeight="1">
      <c r="B10" s="18" t="s">
        <v>2</v>
      </c>
      <c r="C10" s="18" t="s">
        <v>2</v>
      </c>
      <c r="D10" s="18" t="s">
        <v>2</v>
      </c>
      <c r="E10" s="18" t="s">
        <v>2</v>
      </c>
      <c r="F10" s="18"/>
      <c r="G10" s="18"/>
      <c r="H10" s="18"/>
      <c r="I10" s="18"/>
    </row>
    <row r="11" spans="1:11" ht="13.15" customHeight="1">
      <c r="A11" s="1" t="s">
        <v>21</v>
      </c>
      <c r="B11" s="23" t="s">
        <v>18</v>
      </c>
      <c r="C11" s="23" t="s">
        <v>6</v>
      </c>
      <c r="D11" s="23" t="s">
        <v>7</v>
      </c>
      <c r="E11" s="23" t="s">
        <v>8</v>
      </c>
      <c r="F11" s="23"/>
      <c r="G11" s="23"/>
      <c r="H11" s="23"/>
      <c r="I11" s="23"/>
    </row>
    <row r="12" spans="1:11" ht="13.15" customHeight="1">
      <c r="A12" s="1" t="s">
        <v>92</v>
      </c>
      <c r="B12" s="62">
        <f>'UPLC Data (iClass)'!K5</f>
        <v>12.242017992591306</v>
      </c>
      <c r="C12" s="53">
        <f>'UPLC Data (iClass)'!K11</f>
        <v>17.28783902012248</v>
      </c>
      <c r="D12" s="62">
        <f>'UPLC Data (iClass)'!K17</f>
        <v>22.946544980443282</v>
      </c>
      <c r="E12" s="62">
        <f>'UPLC Data (iClass)'!K23</f>
        <v>66.657663740715719</v>
      </c>
      <c r="F12" s="40">
        <f>'UPLC Data (iClass)'!K29</f>
        <v>97.875482844808005</v>
      </c>
      <c r="G12" s="40">
        <f>'UPLC Data (iClass)'!K35</f>
        <v>100</v>
      </c>
      <c r="H12" s="40">
        <f>'UPLC Data (iClass)'!K41</f>
        <v>100</v>
      </c>
      <c r="I12" s="41">
        <f>'UPLC Data (iClass)'!K47</f>
        <v>6.210392902408115</v>
      </c>
    </row>
    <row r="13" spans="1:11" ht="13.15" customHeight="1" thickBot="1">
      <c r="A13" s="1" t="s">
        <v>94</v>
      </c>
      <c r="B13" s="63">
        <f>'UPLC Data (iClass)'!L5</f>
        <v>10.284000705591813</v>
      </c>
      <c r="C13" s="54">
        <f>'UPLC Data (iClass)'!L11</f>
        <v>15.030621172353456</v>
      </c>
      <c r="D13" s="63">
        <f>'UPLC Data (iClass)'!L17</f>
        <v>19.996740547588008</v>
      </c>
      <c r="E13" s="63">
        <f>'UPLC Data (iClass)'!L23</f>
        <v>59.932478055367994</v>
      </c>
      <c r="F13" s="42">
        <f>'UPLC Data (iClass)'!L29</f>
        <v>88.309475119291079</v>
      </c>
      <c r="G13" s="42">
        <f>'UPLC Data (iClass)'!L35</f>
        <v>0</v>
      </c>
      <c r="H13" s="42">
        <f>'UPLC Data (iClass)'!L41</f>
        <v>0</v>
      </c>
      <c r="I13" s="43">
        <f>'UPLC Data (iClass)'!L47</f>
        <v>4.8524352706862217</v>
      </c>
    </row>
    <row r="14" spans="1:11" ht="13.15" customHeight="1">
      <c r="B14" s="18" t="s">
        <v>15</v>
      </c>
      <c r="C14" s="18" t="s">
        <v>15</v>
      </c>
      <c r="D14" s="18" t="s">
        <v>15</v>
      </c>
      <c r="E14" s="18" t="s">
        <v>15</v>
      </c>
      <c r="F14" s="18"/>
      <c r="G14" s="18"/>
      <c r="H14" s="18"/>
      <c r="I14" s="18"/>
    </row>
    <row r="15" spans="1:11" ht="13.15" customHeight="1">
      <c r="A15" s="1" t="s">
        <v>23</v>
      </c>
      <c r="B15" s="23" t="s">
        <v>18</v>
      </c>
      <c r="C15" s="23" t="s">
        <v>6</v>
      </c>
      <c r="D15" s="23" t="s">
        <v>7</v>
      </c>
      <c r="E15" s="23" t="s">
        <v>8</v>
      </c>
      <c r="F15" s="23"/>
      <c r="G15" s="23"/>
      <c r="H15" s="23"/>
      <c r="I15" s="23"/>
    </row>
    <row r="16" spans="1:11" ht="13.15" customHeight="1">
      <c r="A16" s="1" t="s">
        <v>92</v>
      </c>
      <c r="B16" s="62">
        <f>'UPLC Data (iClass)'!K6</f>
        <v>4.607861576076739</v>
      </c>
      <c r="C16" s="44">
        <f>'UPLC Data (iClass)'!K12</f>
        <v>40.015232292460027</v>
      </c>
      <c r="D16" s="62">
        <f>'UPLC Data (iClass)'!K18</f>
        <v>2.8269195695786937</v>
      </c>
      <c r="E16" s="62">
        <f>'UPLC Data (iClass)'!K24</f>
        <v>25.283522348232157</v>
      </c>
      <c r="F16" s="40">
        <f>'UPLC Data (iClass)'!K30</f>
        <v>89.993026499302658</v>
      </c>
      <c r="G16" s="40">
        <f>'UPLC Data (iClass)'!K36</f>
        <v>100</v>
      </c>
      <c r="H16" s="40">
        <f>'UPLC Data (iClass)'!K42</f>
        <v>100</v>
      </c>
      <c r="I16" s="41">
        <f>'UPLC Data (iClass)'!K48</f>
        <v>2.5013693627898657</v>
      </c>
    </row>
    <row r="17" spans="1:9" ht="13.15" customHeight="1" thickBot="1">
      <c r="A17" s="1" t="s">
        <v>94</v>
      </c>
      <c r="B17" s="63">
        <f>'UPLC Data (iClass)'!L6</f>
        <v>3.3289448937370696</v>
      </c>
      <c r="C17" s="19">
        <f>'UPLC Data (iClass)'!L12</f>
        <v>36.070068545316076</v>
      </c>
      <c r="D17" s="63">
        <f>'UPLC Data (iClass)'!L18</f>
        <v>1.9697246033193507</v>
      </c>
      <c r="E17" s="63">
        <f>'UPLC Data (iClass)'!L24</f>
        <v>21.581054036024014</v>
      </c>
      <c r="F17" s="42">
        <f>'UPLC Data (iClass)'!L30</f>
        <v>82.031613203161314</v>
      </c>
      <c r="G17" s="42">
        <f>'UPLC Data (iClass)'!L36</f>
        <v>0</v>
      </c>
      <c r="H17" s="42">
        <f>'UPLC Data (iClass)'!L42</f>
        <v>0</v>
      </c>
      <c r="I17" s="43">
        <f>'UPLC Data (iClass)'!L48</f>
        <v>1.9536242468504652</v>
      </c>
    </row>
    <row r="18" spans="1:9" ht="13.15" customHeight="1">
      <c r="B18" s="18" t="s">
        <v>24</v>
      </c>
      <c r="C18" s="18" t="s">
        <v>24</v>
      </c>
      <c r="D18" s="18" t="s">
        <v>24</v>
      </c>
      <c r="E18" s="18" t="s">
        <v>24</v>
      </c>
      <c r="F18" s="18"/>
      <c r="G18" s="18"/>
      <c r="H18" s="18"/>
      <c r="I18" s="18"/>
    </row>
    <row r="19" spans="1:9" ht="13.15" customHeight="1">
      <c r="A19" s="1" t="s">
        <v>25</v>
      </c>
      <c r="B19" s="23" t="s">
        <v>18</v>
      </c>
      <c r="C19" s="23" t="s">
        <v>6</v>
      </c>
      <c r="D19" s="23" t="s">
        <v>7</v>
      </c>
      <c r="E19" s="23" t="s">
        <v>8</v>
      </c>
      <c r="F19" s="23"/>
      <c r="G19" s="23"/>
      <c r="H19" s="23"/>
      <c r="I19" s="23"/>
    </row>
    <row r="20" spans="1:9" ht="13.15" customHeight="1">
      <c r="A20" s="1" t="s">
        <v>92</v>
      </c>
      <c r="B20" s="66">
        <f>'UPLC Data (iClass)'!K7</f>
        <v>0.62275901113420085</v>
      </c>
      <c r="C20" s="66">
        <f>'UPLC Data (iClass)'!K13</f>
        <v>0.73444143795901717</v>
      </c>
      <c r="D20" s="66">
        <f>'UPLC Data (iClass)'!K19</f>
        <v>0.41441441441439603</v>
      </c>
      <c r="E20" s="66">
        <f>'UPLC Data (iClass)'!K25</f>
        <v>0.34258925351604352</v>
      </c>
      <c r="F20" s="40">
        <f>'UPLC Data (iClass)'!K31</f>
        <v>100</v>
      </c>
      <c r="G20" s="40">
        <f>'UPLC Data (iClass)'!K37</f>
        <v>100</v>
      </c>
      <c r="H20" s="40">
        <f>'UPLC Data (iClass)'!K43</f>
        <v>100</v>
      </c>
      <c r="I20" s="41">
        <f>'UPLC Data (iClass)'!K49</f>
        <v>100</v>
      </c>
    </row>
    <row r="21" spans="1:9" ht="13.15" customHeight="1" thickBot="1">
      <c r="A21" s="1" t="s">
        <v>94</v>
      </c>
      <c r="B21" s="67">
        <f>'UPLC Data (iClass)'!L7</f>
        <v>0</v>
      </c>
      <c r="C21" s="67">
        <f>'UPLC Data (iClass)'!L13</f>
        <v>0</v>
      </c>
      <c r="D21" s="67">
        <f>'UPLC Data (iClass)'!L19</f>
        <v>0</v>
      </c>
      <c r="E21" s="67">
        <f>'UPLC Data (iClass)'!L25</f>
        <v>0</v>
      </c>
      <c r="F21" s="42">
        <f>'UPLC Data (iClass)'!L31</f>
        <v>0</v>
      </c>
      <c r="G21" s="42">
        <f>'UPLC Data (iClass)'!L37</f>
        <v>0</v>
      </c>
      <c r="H21" s="42">
        <f>'UPLC Data (iClass)'!L43</f>
        <v>0</v>
      </c>
      <c r="I21" s="43">
        <f>'UPLC Data (iClass)'!L49</f>
        <v>0</v>
      </c>
    </row>
    <row r="22" spans="1:9" ht="13.15" customHeight="1">
      <c r="B22" s="18"/>
      <c r="C22" s="18"/>
      <c r="D22" s="18"/>
      <c r="E22" s="18"/>
      <c r="F22" s="18"/>
      <c r="G22" s="18"/>
      <c r="H22" s="18"/>
      <c r="I22" s="18"/>
    </row>
    <row r="23" spans="1:9" ht="13.15" customHeight="1">
      <c r="A23" s="1" t="s">
        <v>97</v>
      </c>
      <c r="B23" s="23"/>
      <c r="C23" s="23"/>
      <c r="D23" s="23"/>
      <c r="E23" s="23"/>
      <c r="F23" s="23"/>
      <c r="G23" s="23"/>
      <c r="H23" s="23"/>
      <c r="I23" s="23"/>
    </row>
    <row r="24" spans="1:9" ht="13.15" customHeight="1">
      <c r="A24" s="1" t="s">
        <v>92</v>
      </c>
      <c r="B24" s="40">
        <f>'UPLC Data (iClass)'!K8</f>
        <v>100</v>
      </c>
      <c r="C24" s="40">
        <f>'UPLC Data (iClass)'!K14</f>
        <v>100</v>
      </c>
      <c r="D24" s="40">
        <f>'UPLC Data (iClass)'!K20</f>
        <v>100</v>
      </c>
      <c r="E24" s="53">
        <f>'UPLC Data (iClass)'!K26</f>
        <v>100</v>
      </c>
      <c r="F24" s="40">
        <f>'UPLC Data (iClass)'!K32</f>
        <v>100</v>
      </c>
      <c r="G24" s="40">
        <f>'UPLC Data (iClass)'!K38</f>
        <v>100</v>
      </c>
      <c r="H24" s="40">
        <f>'UPLC Data (iClass)'!K44</f>
        <v>100</v>
      </c>
      <c r="I24" s="41">
        <f>'UPLC Data (iClass)'!K50</f>
        <v>100</v>
      </c>
    </row>
    <row r="25" spans="1:9" ht="13.15" customHeight="1" thickBot="1">
      <c r="A25" s="1" t="s">
        <v>94</v>
      </c>
      <c r="B25" s="42">
        <f>'UPLC Data (iClass)'!L8</f>
        <v>0</v>
      </c>
      <c r="C25" s="42">
        <f>'UPLC Data (iClass)'!L14</f>
        <v>0</v>
      </c>
      <c r="D25" s="42">
        <f>'UPLC Data (iClass)'!L20</f>
        <v>0</v>
      </c>
      <c r="E25" s="54">
        <f>'UPLC Data (iClass)'!L26</f>
        <v>0</v>
      </c>
      <c r="F25" s="42">
        <f>'UPLC Data (iClass)'!L32</f>
        <v>0</v>
      </c>
      <c r="G25" s="42">
        <f>'UPLC Data (iClass)'!L38</f>
        <v>0</v>
      </c>
      <c r="H25" s="42">
        <f>'UPLC Data (iClass)'!L44</f>
        <v>0</v>
      </c>
      <c r="I25" s="43">
        <f>'UPLC Data (iClass)'!L50</f>
        <v>0</v>
      </c>
    </row>
    <row r="27" spans="1:9">
      <c r="B27" s="109" t="s">
        <v>96</v>
      </c>
      <c r="C27" s="82" t="s">
        <v>95</v>
      </c>
      <c r="D27" s="108" t="s">
        <v>93</v>
      </c>
      <c r="E27" s="110" t="s">
        <v>98</v>
      </c>
      <c r="G27" s="83" t="s">
        <v>22</v>
      </c>
    </row>
    <row r="28" spans="1:9">
      <c r="B28" s="109"/>
      <c r="C28" s="82"/>
      <c r="D28" s="108"/>
      <c r="E28" s="110"/>
      <c r="G28" s="83"/>
    </row>
    <row r="29" spans="1:9">
      <c r="G29" s="83"/>
    </row>
    <row r="30" spans="1:9">
      <c r="G30" s="83"/>
    </row>
    <row r="31" spans="1:9">
      <c r="G31" s="83"/>
    </row>
    <row r="32" spans="1:9">
      <c r="G32" s="83"/>
    </row>
  </sheetData>
  <mergeCells count="9">
    <mergeCell ref="K2:K3"/>
    <mergeCell ref="K4:K5"/>
    <mergeCell ref="K6:K7"/>
    <mergeCell ref="K8:K9"/>
    <mergeCell ref="B27:B28"/>
    <mergeCell ref="C27:C28"/>
    <mergeCell ref="D27:D28"/>
    <mergeCell ref="E27:E28"/>
    <mergeCell ref="G27:G32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0EFE-2B79-4F4F-8A2C-AE8CB7818FA2}">
  <sheetPr>
    <pageSetUpPr fitToPage="1"/>
  </sheetPr>
  <dimension ref="A1:W60"/>
  <sheetViews>
    <sheetView zoomScale="90" zoomScaleNormal="90" workbookViewId="0">
      <selection activeCell="I50" sqref="I50"/>
    </sheetView>
  </sheetViews>
  <sheetFormatPr defaultRowHeight="15"/>
  <cols>
    <col min="1" max="1" width="22.28515625" customWidth="1"/>
    <col min="2" max="2" width="13.28515625" customWidth="1"/>
    <col min="3" max="3" width="13" customWidth="1"/>
    <col min="4" max="4" width="9.28515625" customWidth="1"/>
    <col min="5" max="5" width="10.5703125" customWidth="1"/>
    <col min="7" max="7" width="10" customWidth="1"/>
    <col min="8" max="8" width="9.5703125" bestFit="1" customWidth="1"/>
    <col min="9" max="9" width="10.28515625" customWidth="1"/>
    <col min="10" max="10" width="11.42578125" customWidth="1"/>
    <col min="11" max="11" width="6.42578125" bestFit="1" customWidth="1"/>
    <col min="12" max="12" width="8.7109375" customWidth="1"/>
    <col min="13" max="13" width="7.85546875" customWidth="1"/>
    <col min="16" max="16" width="7.7109375" customWidth="1"/>
    <col min="18" max="18" width="17.7109375" customWidth="1"/>
  </cols>
  <sheetData>
    <row r="1" spans="1:23">
      <c r="A1" s="3" t="s">
        <v>38</v>
      </c>
      <c r="C1" s="29" t="s">
        <v>39</v>
      </c>
      <c r="L1" s="8"/>
      <c r="M1" s="111" t="s">
        <v>99</v>
      </c>
      <c r="N1" s="111"/>
      <c r="O1" s="111"/>
      <c r="P1" s="111"/>
      <c r="Q1" s="9"/>
      <c r="R1" s="112" t="s">
        <v>100</v>
      </c>
    </row>
    <row r="2" spans="1:23" ht="30">
      <c r="A2" s="2" t="s">
        <v>43</v>
      </c>
      <c r="B2" s="2" t="s">
        <v>101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102</v>
      </c>
      <c r="H2" s="2" t="s">
        <v>103</v>
      </c>
      <c r="I2" s="6" t="s">
        <v>104</v>
      </c>
      <c r="J2" s="2" t="s">
        <v>105</v>
      </c>
      <c r="L2" s="10"/>
      <c r="M2" s="2" t="s">
        <v>106</v>
      </c>
      <c r="N2" s="2" t="s">
        <v>102</v>
      </c>
      <c r="O2" s="2" t="s">
        <v>107</v>
      </c>
      <c r="P2" s="2" t="s">
        <v>105</v>
      </c>
      <c r="Q2" s="5"/>
      <c r="R2" s="112"/>
    </row>
    <row r="3" spans="1:23">
      <c r="A3" s="11" t="s">
        <v>57</v>
      </c>
      <c r="L3" s="10"/>
      <c r="Q3" s="5"/>
      <c r="S3">
        <f>357.4-130</f>
        <v>227.39999999999998</v>
      </c>
      <c r="W3" t="s">
        <v>108</v>
      </c>
    </row>
    <row r="4" spans="1:23">
      <c r="A4" t="s">
        <v>58</v>
      </c>
      <c r="D4">
        <v>230.06</v>
      </c>
      <c r="F4">
        <v>1</v>
      </c>
      <c r="G4" s="3">
        <v>60</v>
      </c>
      <c r="H4" s="29">
        <f>1000*I4/J4</f>
        <v>820.37996545768578</v>
      </c>
      <c r="I4" s="7">
        <f>G4/D4*1000</f>
        <v>260.80153003564288</v>
      </c>
      <c r="J4">
        <f>P4</f>
        <v>317.90333871713096</v>
      </c>
      <c r="L4" s="10"/>
      <c r="M4">
        <f>N4/G4</f>
        <v>23.16</v>
      </c>
      <c r="N4" s="3">
        <v>1389.6</v>
      </c>
      <c r="O4" s="3">
        <v>19</v>
      </c>
      <c r="P4">
        <f t="shared" ref="P4:P20" si="0">1000*(N4/D4)/O4</f>
        <v>317.90333871713096</v>
      </c>
      <c r="Q4" s="5"/>
      <c r="R4">
        <f>G4*23</f>
        <v>1380</v>
      </c>
      <c r="T4">
        <f>N4/48</f>
        <v>28.95</v>
      </c>
      <c r="W4" t="s">
        <v>109</v>
      </c>
    </row>
    <row r="5" spans="1:23">
      <c r="A5" t="s">
        <v>59</v>
      </c>
      <c r="D5">
        <v>139.91999999999999</v>
      </c>
      <c r="F5" s="3">
        <v>1.5</v>
      </c>
      <c r="G5" s="29">
        <f>I5*D5/1000</f>
        <v>54.737025123880727</v>
      </c>
      <c r="H5" s="30" t="e">
        <f>1000*I5/J5</f>
        <v>#DIV/0!</v>
      </c>
      <c r="I5" s="7">
        <f>$I$4*F5</f>
        <v>391.20229505346435</v>
      </c>
      <c r="J5" t="e">
        <f>P5</f>
        <v>#DIV/0!</v>
      </c>
      <c r="L5" s="10"/>
      <c r="M5">
        <f>N5/G5</f>
        <v>0</v>
      </c>
      <c r="N5" s="3"/>
      <c r="O5" s="3"/>
      <c r="P5" t="e">
        <f>1000*(N5/D5)/O5</f>
        <v>#DIV/0!</v>
      </c>
      <c r="Q5" s="5"/>
      <c r="R5">
        <f>G5*23</f>
        <v>1258.9515778492566</v>
      </c>
      <c r="T5">
        <f>N5/48</f>
        <v>0</v>
      </c>
      <c r="W5" t="s">
        <v>110</v>
      </c>
    </row>
    <row r="6" spans="1:23">
      <c r="A6" t="s">
        <v>60</v>
      </c>
      <c r="D6">
        <v>138.21</v>
      </c>
      <c r="F6" s="3">
        <v>3</v>
      </c>
      <c r="G6" s="29">
        <f>I6*D6/1000</f>
        <v>108.13613839867863</v>
      </c>
      <c r="H6" s="12" t="e">
        <f>1000*I6/J6</f>
        <v>#DIV/0!</v>
      </c>
      <c r="I6" s="7">
        <f>$I$4*F6</f>
        <v>782.40459010692871</v>
      </c>
      <c r="J6" t="e">
        <f>P6</f>
        <v>#DIV/0!</v>
      </c>
      <c r="L6" s="10"/>
      <c r="M6" s="31">
        <f>N6/G6</f>
        <v>0</v>
      </c>
      <c r="N6" s="31"/>
      <c r="O6" s="31"/>
      <c r="P6" s="31" t="e">
        <f t="shared" si="0"/>
        <v>#DIV/0!</v>
      </c>
      <c r="Q6" s="5"/>
      <c r="T6">
        <f>N5/6000*149</f>
        <v>0</v>
      </c>
      <c r="W6" t="s">
        <v>111</v>
      </c>
    </row>
    <row r="7" spans="1:23">
      <c r="A7" s="24" t="s">
        <v>112</v>
      </c>
      <c r="B7" s="24"/>
      <c r="C7" t="s">
        <v>75</v>
      </c>
      <c r="D7">
        <v>731.7</v>
      </c>
      <c r="E7" s="24"/>
      <c r="F7" s="24">
        <v>0.01</v>
      </c>
      <c r="G7" s="24">
        <f>I7*D7/1000</f>
        <v>1.9082847952707993</v>
      </c>
      <c r="H7" s="25" t="e">
        <f>1000*I7/J7</f>
        <v>#DIV/0!</v>
      </c>
      <c r="I7" s="26">
        <f>$I$4*F7</f>
        <v>2.608015300356429</v>
      </c>
      <c r="J7" s="24" t="e">
        <f>P7</f>
        <v>#DIV/0!</v>
      </c>
      <c r="K7" s="24"/>
      <c r="L7" s="27"/>
      <c r="M7" s="24"/>
      <c r="N7" s="24"/>
      <c r="O7" s="24"/>
      <c r="P7" s="24" t="e">
        <f t="shared" si="0"/>
        <v>#DIV/0!</v>
      </c>
      <c r="Q7" s="28"/>
      <c r="R7" s="24"/>
      <c r="W7" t="s">
        <v>113</v>
      </c>
    </row>
    <row r="8" spans="1:23" ht="14.45" customHeight="1">
      <c r="L8" s="113" t="s">
        <v>114</v>
      </c>
      <c r="P8" t="e">
        <f t="shared" si="0"/>
        <v>#DIV/0!</v>
      </c>
      <c r="Q8" s="5"/>
      <c r="W8" t="s">
        <v>115</v>
      </c>
    </row>
    <row r="9" spans="1:23">
      <c r="A9" s="52" t="s">
        <v>116</v>
      </c>
      <c r="L9" s="113"/>
      <c r="P9" t="e">
        <f t="shared" si="0"/>
        <v>#DIV/0!</v>
      </c>
      <c r="Q9" s="5"/>
      <c r="W9" t="s">
        <v>117</v>
      </c>
    </row>
    <row r="10" spans="1:23">
      <c r="A10" t="s">
        <v>0</v>
      </c>
      <c r="C10" t="s">
        <v>75</v>
      </c>
      <c r="D10">
        <v>731.7</v>
      </c>
      <c r="F10" s="3">
        <v>0.01</v>
      </c>
      <c r="G10">
        <f t="shared" ref="G10:G11" si="1">I10*D10/1000</f>
        <v>1.9082847952707993</v>
      </c>
      <c r="H10" s="30">
        <f t="shared" ref="H10:H11" si="2">1000*I10/J10</f>
        <v>299.87332497112556</v>
      </c>
      <c r="I10" s="7">
        <f t="shared" ref="I10:I11" si="3">$I$4*F10</f>
        <v>2.608015300356429</v>
      </c>
      <c r="J10">
        <f t="shared" ref="J10:J11" si="4">P10</f>
        <v>8.6970566675363727</v>
      </c>
      <c r="L10" s="113"/>
      <c r="M10">
        <f>N10/G10</f>
        <v>8.4368958134025771</v>
      </c>
      <c r="N10" s="3">
        <v>16.100000000000001</v>
      </c>
      <c r="O10" s="3">
        <v>2.5299999999999998</v>
      </c>
      <c r="P10">
        <f t="shared" ref="P10" si="5">1000*(N10/D10)/O10</f>
        <v>8.6970566675363727</v>
      </c>
      <c r="Q10" s="5"/>
      <c r="R10">
        <f>G10*15</f>
        <v>28.62427192906199</v>
      </c>
      <c r="T10" s="59" t="s">
        <v>118</v>
      </c>
      <c r="W10" t="s">
        <v>119</v>
      </c>
    </row>
    <row r="11" spans="1:23">
      <c r="A11" t="s">
        <v>13</v>
      </c>
      <c r="C11" t="s">
        <v>75</v>
      </c>
      <c r="D11">
        <v>731.7</v>
      </c>
      <c r="F11" s="3">
        <v>5.0000000000000001E-3</v>
      </c>
      <c r="G11">
        <f t="shared" si="1"/>
        <v>0.95414239763539965</v>
      </c>
      <c r="H11" s="30">
        <f t="shared" si="2"/>
        <v>149.93666248556278</v>
      </c>
      <c r="I11" s="7">
        <f t="shared" si="3"/>
        <v>1.3040076501782145</v>
      </c>
      <c r="J11">
        <f t="shared" si="4"/>
        <v>8.6970566675363727</v>
      </c>
      <c r="L11" s="113"/>
      <c r="M11">
        <f>N11/G11</f>
        <v>16.873791626805154</v>
      </c>
      <c r="N11" s="3">
        <v>16.100000000000001</v>
      </c>
      <c r="O11" s="3">
        <v>2.5299999999999998</v>
      </c>
      <c r="P11">
        <f t="shared" ref="P11" si="6">1000*(N11/D11)/O11</f>
        <v>8.6970566675363727</v>
      </c>
      <c r="Q11" s="5"/>
      <c r="R11">
        <f>G11*15</f>
        <v>14.312135964530995</v>
      </c>
      <c r="W11" t="s">
        <v>120</v>
      </c>
    </row>
    <row r="12" spans="1:23">
      <c r="A12" s="4" t="s">
        <v>2</v>
      </c>
      <c r="B12" s="4" t="s">
        <v>121</v>
      </c>
      <c r="C12" t="s">
        <v>75</v>
      </c>
      <c r="D12">
        <v>731.7</v>
      </c>
      <c r="F12" s="3">
        <v>1E-3</v>
      </c>
      <c r="G12">
        <f t="shared" ref="G12" si="7">I12*D12/1000</f>
        <v>0.1908284795270799</v>
      </c>
      <c r="H12" s="30">
        <f t="shared" ref="H12:H14" si="8">1000*I12/J12</f>
        <v>29.987332497112554</v>
      </c>
      <c r="I12" s="7">
        <f t="shared" ref="I12:I14" si="9">$I$4*F12</f>
        <v>0.26080153003564288</v>
      </c>
      <c r="J12">
        <f t="shared" ref="J12:J14" si="10">P12</f>
        <v>8.6970566675363727</v>
      </c>
      <c r="L12" s="113"/>
      <c r="M12">
        <f>N12/G12</f>
        <v>84.368958134025789</v>
      </c>
      <c r="N12" s="3">
        <v>16.100000000000001</v>
      </c>
      <c r="O12" s="3">
        <v>2.5299999999999998</v>
      </c>
      <c r="P12">
        <f t="shared" si="0"/>
        <v>8.6970566675363727</v>
      </c>
      <c r="Q12" s="5"/>
      <c r="R12">
        <f>G12*15</f>
        <v>2.8624271929061984</v>
      </c>
      <c r="W12" t="s">
        <v>122</v>
      </c>
    </row>
    <row r="13" spans="1:23">
      <c r="A13" s="4" t="s">
        <v>15</v>
      </c>
      <c r="B13" s="4"/>
      <c r="C13" t="s">
        <v>75</v>
      </c>
      <c r="D13">
        <v>731.7</v>
      </c>
      <c r="F13" s="3">
        <v>5.0000000000000001E-4</v>
      </c>
      <c r="G13">
        <f t="shared" ref="G13" si="11">I13*D13/1000</f>
        <v>9.5414239763539951E-2</v>
      </c>
      <c r="H13" s="30">
        <f t="shared" ref="H13" si="12">1000*I13/J13</f>
        <v>149.93666248556278</v>
      </c>
      <c r="I13" s="7">
        <f t="shared" ref="I13" si="13">$I$4*F13</f>
        <v>0.13040076501782144</v>
      </c>
      <c r="J13">
        <f>P13</f>
        <v>0.86970566675363725</v>
      </c>
      <c r="L13" s="113"/>
      <c r="M13">
        <f>N13/G13</f>
        <v>16.873791626805158</v>
      </c>
      <c r="N13" s="3">
        <v>1.61</v>
      </c>
      <c r="O13" s="3">
        <v>2.5299999999999998</v>
      </c>
      <c r="P13">
        <f t="shared" si="0"/>
        <v>0.86970566675363725</v>
      </c>
      <c r="Q13" s="5"/>
      <c r="T13" s="59" t="s">
        <v>123</v>
      </c>
      <c r="W13" t="s">
        <v>124</v>
      </c>
    </row>
    <row r="14" spans="1:23">
      <c r="A14" s="4" t="s">
        <v>125</v>
      </c>
      <c r="B14" s="4"/>
      <c r="C14" t="s">
        <v>75</v>
      </c>
      <c r="D14">
        <v>731.7</v>
      </c>
      <c r="F14" s="3">
        <v>1E-4</v>
      </c>
      <c r="G14">
        <f>I14*D14/1000</f>
        <v>1.9082847952707992E-2</v>
      </c>
      <c r="H14" s="30">
        <f t="shared" si="8"/>
        <v>29.987332497112558</v>
      </c>
      <c r="I14" s="7">
        <f t="shared" si="9"/>
        <v>2.608015300356429E-2</v>
      </c>
      <c r="J14">
        <f t="shared" si="10"/>
        <v>0.86970566675363725</v>
      </c>
      <c r="L14" s="113"/>
      <c r="M14">
        <f>N14/G14</f>
        <v>84.368958134025775</v>
      </c>
      <c r="N14" s="3">
        <v>1.61</v>
      </c>
      <c r="O14" s="3">
        <v>2.5299999999999998</v>
      </c>
      <c r="P14">
        <f t="shared" si="0"/>
        <v>0.86970566675363725</v>
      </c>
      <c r="Q14" s="5"/>
      <c r="R14">
        <f t="shared" ref="R14:R15" si="14">G14*15</f>
        <v>0.2862427192906199</v>
      </c>
      <c r="W14" t="s">
        <v>126</v>
      </c>
    </row>
    <row r="15" spans="1:23">
      <c r="A15" s="4"/>
      <c r="B15" s="4"/>
      <c r="H15" s="12"/>
      <c r="I15" s="7"/>
      <c r="L15" s="113"/>
      <c r="P15" t="e">
        <f t="shared" si="0"/>
        <v>#DIV/0!</v>
      </c>
      <c r="Q15" s="5"/>
      <c r="R15">
        <f t="shared" si="14"/>
        <v>0</v>
      </c>
      <c r="W15" t="s">
        <v>127</v>
      </c>
    </row>
    <row r="16" spans="1:23" s="33" customFormat="1">
      <c r="A16" s="45" t="s">
        <v>66</v>
      </c>
      <c r="B16" s="46"/>
      <c r="H16" s="47"/>
      <c r="I16" s="48"/>
      <c r="L16" s="113"/>
      <c r="P16" s="33" t="e">
        <f t="shared" si="0"/>
        <v>#DIV/0!</v>
      </c>
      <c r="Q16" s="49"/>
      <c r="W16" s="33" t="s">
        <v>128</v>
      </c>
    </row>
    <row r="17" spans="1:18" s="33" customFormat="1">
      <c r="A17" s="33" t="s">
        <v>32</v>
      </c>
      <c r="B17" s="33" t="s">
        <v>129</v>
      </c>
      <c r="C17" s="50" t="s">
        <v>67</v>
      </c>
      <c r="D17" s="33">
        <v>262.29000000000002</v>
      </c>
      <c r="F17" s="33">
        <v>0.02</v>
      </c>
      <c r="G17" s="33">
        <f>I17*D17/1000</f>
        <v>1.3681126662609757</v>
      </c>
      <c r="H17" s="47">
        <f>1000*I17/J17</f>
        <v>76.860262149493025</v>
      </c>
      <c r="I17" s="48">
        <f>$I$4*F17</f>
        <v>5.2160306007128581</v>
      </c>
      <c r="J17" s="33">
        <f>P17</f>
        <v>67.863814861412934</v>
      </c>
      <c r="L17" s="51"/>
      <c r="M17" s="33">
        <f t="shared" ref="M17:M20" si="15">N17/G17</f>
        <v>13.010624372513881</v>
      </c>
      <c r="N17" s="33">
        <v>17.8</v>
      </c>
      <c r="O17" s="33">
        <v>1</v>
      </c>
      <c r="P17" s="33">
        <f t="shared" si="0"/>
        <v>67.863814861412934</v>
      </c>
      <c r="Q17" s="49"/>
      <c r="R17" s="33">
        <f>G17*15</f>
        <v>20.521689993914634</v>
      </c>
    </row>
    <row r="18" spans="1:18" s="33" customFormat="1">
      <c r="A18" s="33" t="s">
        <v>69</v>
      </c>
      <c r="B18" s="33" t="s">
        <v>130</v>
      </c>
      <c r="C18" s="50" t="s">
        <v>70</v>
      </c>
      <c r="D18" s="33">
        <v>304.37</v>
      </c>
      <c r="F18" s="33">
        <v>0.02</v>
      </c>
      <c r="G18" s="33">
        <f>I18*D18/1000</f>
        <v>1.5876032339389725</v>
      </c>
      <c r="H18" s="47">
        <f>1000*I18/J18</f>
        <v>81.415550458408873</v>
      </c>
      <c r="I18" s="48">
        <f>$I$4*F18</f>
        <v>5.2160306007128581</v>
      </c>
      <c r="J18" s="33">
        <f>P18</f>
        <v>64.0667608502809</v>
      </c>
      <c r="L18" s="51"/>
      <c r="M18" s="33">
        <f t="shared" si="15"/>
        <v>12.282665834346354</v>
      </c>
      <c r="N18" s="33">
        <v>19.5</v>
      </c>
      <c r="O18" s="33">
        <v>1</v>
      </c>
      <c r="P18" s="33">
        <f t="shared" si="0"/>
        <v>64.0667608502809</v>
      </c>
      <c r="Q18" s="49"/>
      <c r="R18" s="33">
        <f t="shared" ref="R18:R20" si="16">G18*15</f>
        <v>23.814048509084589</v>
      </c>
    </row>
    <row r="19" spans="1:18" s="33" customFormat="1">
      <c r="A19" s="33" t="s">
        <v>131</v>
      </c>
      <c r="B19" s="33" t="s">
        <v>132</v>
      </c>
      <c r="C19" s="33" t="s">
        <v>133</v>
      </c>
      <c r="D19" s="33">
        <v>298.39999999999998</v>
      </c>
      <c r="F19" s="33">
        <v>0.02</v>
      </c>
      <c r="G19" s="33">
        <f>I19*D19/1000</f>
        <v>1.5564635312527166</v>
      </c>
      <c r="H19" s="47" t="e">
        <f>1000*I19/J19</f>
        <v>#DIV/0!</v>
      </c>
      <c r="I19" s="48">
        <f>$I$4*F19</f>
        <v>5.2160306007128581</v>
      </c>
      <c r="J19" s="33" t="e">
        <f>P19</f>
        <v>#DIV/0!</v>
      </c>
      <c r="L19" s="51"/>
      <c r="M19" s="33">
        <f t="shared" si="15"/>
        <v>0</v>
      </c>
      <c r="P19" s="33" t="e">
        <f t="shared" si="0"/>
        <v>#DIV/0!</v>
      </c>
      <c r="Q19" s="49"/>
      <c r="R19" s="33">
        <f t="shared" si="16"/>
        <v>23.346952968790749</v>
      </c>
    </row>
    <row r="20" spans="1:18" s="33" customFormat="1">
      <c r="A20" s="33" t="s">
        <v>71</v>
      </c>
      <c r="B20" s="33" t="s">
        <v>134</v>
      </c>
      <c r="C20" s="50" t="s">
        <v>72</v>
      </c>
      <c r="D20" s="33">
        <v>554.38</v>
      </c>
      <c r="F20" s="33">
        <v>0.01</v>
      </c>
      <c r="G20" s="33">
        <f>I20*D20/1000</f>
        <v>1.4458315222115972</v>
      </c>
      <c r="H20" s="47">
        <f>1000*I20/J20</f>
        <v>102.54124271004237</v>
      </c>
      <c r="I20" s="48">
        <f>$I$4*F20</f>
        <v>2.608015300356429</v>
      </c>
      <c r="J20" s="33">
        <f>P20</f>
        <v>25.43381795880082</v>
      </c>
      <c r="L20" s="51"/>
      <c r="M20" s="33">
        <f t="shared" si="15"/>
        <v>9.752173599336194</v>
      </c>
      <c r="N20" s="33">
        <v>14.1</v>
      </c>
      <c r="O20" s="33">
        <v>1</v>
      </c>
      <c r="P20" s="33">
        <f t="shared" si="0"/>
        <v>25.43381795880082</v>
      </c>
      <c r="Q20" s="49"/>
      <c r="R20" s="33">
        <f t="shared" si="16"/>
        <v>21.687472833173956</v>
      </c>
    </row>
    <row r="21" spans="1:18" s="33" customFormat="1">
      <c r="H21" s="47"/>
      <c r="I21" s="48"/>
    </row>
    <row r="22" spans="1:18" s="33" customFormat="1">
      <c r="A22" s="45" t="s">
        <v>73</v>
      </c>
      <c r="H22" s="47"/>
      <c r="I22" s="48"/>
    </row>
    <row r="23" spans="1:18" s="33" customFormat="1">
      <c r="A23" s="33" t="s">
        <v>74</v>
      </c>
      <c r="C23" s="33" t="s">
        <v>75</v>
      </c>
      <c r="D23" s="33">
        <v>731.7</v>
      </c>
      <c r="F23" s="33">
        <v>0.01</v>
      </c>
      <c r="G23" s="33">
        <f>I23*D23/1000</f>
        <v>1.9082847952707993</v>
      </c>
      <c r="H23" s="47">
        <f>1000*I23/J23</f>
        <v>76.637943585172664</v>
      </c>
      <c r="I23" s="48">
        <f>$I$4*F23</f>
        <v>2.608015300356429</v>
      </c>
      <c r="J23" s="33">
        <f>P23</f>
        <v>34.03034030340303</v>
      </c>
      <c r="L23" s="51"/>
      <c r="M23" s="33">
        <f t="shared" ref="M23:M26" si="17">N23/G23</f>
        <v>13.048366817001501</v>
      </c>
      <c r="N23" s="33">
        <v>24.9</v>
      </c>
      <c r="O23" s="33">
        <v>1</v>
      </c>
      <c r="P23" s="33">
        <f t="shared" ref="P23:P26" si="18">1000*(N23/D23)/O23</f>
        <v>34.03034030340303</v>
      </c>
      <c r="Q23" s="49"/>
      <c r="R23" s="33">
        <f>G23*6</f>
        <v>11.449708771624795</v>
      </c>
    </row>
    <row r="24" spans="1:18" s="33" customFormat="1">
      <c r="A24" s="33" t="s">
        <v>76</v>
      </c>
      <c r="C24" s="33" t="s">
        <v>77</v>
      </c>
      <c r="D24" s="33">
        <v>701.9</v>
      </c>
      <c r="F24" s="33">
        <v>0.01</v>
      </c>
      <c r="G24" s="33">
        <f>I24*D24/1000</f>
        <v>1.8305659393201774</v>
      </c>
      <c r="H24" s="47">
        <f>1000*I24/J24</f>
        <v>112.99789748889987</v>
      </c>
      <c r="I24" s="48">
        <f>$I$4*F24</f>
        <v>2.608015300356429</v>
      </c>
      <c r="J24" s="33">
        <f>P24</f>
        <v>23.080210856247326</v>
      </c>
      <c r="L24" s="51"/>
      <c r="M24" s="33">
        <f t="shared" si="17"/>
        <v>8.8497221826471009</v>
      </c>
      <c r="N24" s="33">
        <v>16.2</v>
      </c>
      <c r="O24" s="33">
        <v>1</v>
      </c>
      <c r="P24" s="33">
        <f t="shared" si="18"/>
        <v>23.080210856247326</v>
      </c>
      <c r="Q24" s="49"/>
      <c r="R24" s="33">
        <f>G24*6</f>
        <v>10.983395635921065</v>
      </c>
    </row>
    <row r="25" spans="1:18" s="33" customFormat="1">
      <c r="A25" s="33" t="s">
        <v>78</v>
      </c>
      <c r="C25" s="33" t="s">
        <v>79</v>
      </c>
      <c r="D25" s="33">
        <v>786.06</v>
      </c>
      <c r="F25" s="33">
        <v>0.01</v>
      </c>
      <c r="G25" s="33">
        <f>I25*D25/1000</f>
        <v>2.0500565069981742</v>
      </c>
      <c r="H25" s="47">
        <f>1000*I25/J25</f>
        <v>184.68977540524097</v>
      </c>
      <c r="I25" s="48">
        <f>$I$4*F25</f>
        <v>2.608015300356429</v>
      </c>
      <c r="J25" s="33">
        <f>P25</f>
        <v>14.121059461109839</v>
      </c>
      <c r="L25" s="51"/>
      <c r="M25" s="33">
        <f t="shared" si="17"/>
        <v>5.4144848993715495</v>
      </c>
      <c r="N25" s="33">
        <v>11.1</v>
      </c>
      <c r="O25" s="33">
        <v>1</v>
      </c>
      <c r="P25" s="33">
        <f t="shared" si="18"/>
        <v>14.121059461109839</v>
      </c>
      <c r="Q25" s="49"/>
      <c r="R25" s="33">
        <f>G25*6</f>
        <v>12.300339041989044</v>
      </c>
    </row>
    <row r="26" spans="1:18">
      <c r="F26" s="3">
        <v>0.01</v>
      </c>
      <c r="G26">
        <f>I26*D26/1000</f>
        <v>0</v>
      </c>
      <c r="H26" s="30" t="e">
        <f>1000*I26/J26</f>
        <v>#DIV/0!</v>
      </c>
      <c r="I26" s="7">
        <f>$I$4*F26</f>
        <v>2.608015300356429</v>
      </c>
      <c r="J26" t="e">
        <f>P26</f>
        <v>#DIV/0!</v>
      </c>
      <c r="L26" s="10"/>
      <c r="M26" t="e">
        <f t="shared" si="17"/>
        <v>#DIV/0!</v>
      </c>
      <c r="N26" s="3"/>
      <c r="O26" s="3"/>
      <c r="P26" t="e">
        <f t="shared" si="18"/>
        <v>#DIV/0!</v>
      </c>
      <c r="Q26" s="5"/>
      <c r="R26">
        <f>G26*20</f>
        <v>0</v>
      </c>
    </row>
    <row r="27" spans="1:18">
      <c r="H27" s="12"/>
      <c r="I27" s="7"/>
    </row>
    <row r="28" spans="1:18">
      <c r="A28" s="11" t="s">
        <v>85</v>
      </c>
      <c r="H28" s="12"/>
    </row>
    <row r="29" spans="1:18">
      <c r="A29" t="s">
        <v>135</v>
      </c>
      <c r="D29">
        <v>41.05</v>
      </c>
      <c r="E29">
        <v>0.78600000000000003</v>
      </c>
      <c r="F29" s="3">
        <v>10</v>
      </c>
      <c r="G29">
        <f>H29*E29</f>
        <v>471.6</v>
      </c>
      <c r="H29" s="30">
        <f>G4*F29</f>
        <v>600</v>
      </c>
      <c r="I29" t="s">
        <v>136</v>
      </c>
    </row>
    <row r="30" spans="1:18">
      <c r="A30" s="55" t="s">
        <v>88</v>
      </c>
      <c r="B30" s="55"/>
      <c r="C30" s="55"/>
      <c r="D30" s="55">
        <v>18.02</v>
      </c>
      <c r="E30" s="55">
        <v>1</v>
      </c>
      <c r="F30" s="56">
        <v>2</v>
      </c>
      <c r="G30" s="55">
        <f>H30*E30</f>
        <v>120</v>
      </c>
      <c r="H30" s="57">
        <f>G4*F30</f>
        <v>120</v>
      </c>
      <c r="I30" s="58" t="s">
        <v>136</v>
      </c>
    </row>
    <row r="31" spans="1:18">
      <c r="A31" t="s">
        <v>89</v>
      </c>
      <c r="F31" s="3">
        <v>10</v>
      </c>
      <c r="H31" s="30">
        <f>G4*F31</f>
        <v>600</v>
      </c>
      <c r="I31" s="7"/>
    </row>
    <row r="32" spans="1:18">
      <c r="A32" t="s">
        <v>90</v>
      </c>
      <c r="F32" s="3">
        <v>2.5</v>
      </c>
      <c r="H32" s="57">
        <f>G4*F32</f>
        <v>150</v>
      </c>
      <c r="I32" s="7"/>
    </row>
    <row r="33" spans="1:11">
      <c r="C33" t="s">
        <v>91</v>
      </c>
      <c r="H33" s="12" t="e">
        <f>500-H4-#REF!-H30</f>
        <v>#REF!</v>
      </c>
    </row>
    <row r="35" spans="1:11">
      <c r="A35" s="22" t="s">
        <v>87</v>
      </c>
      <c r="B35" s="17" t="s">
        <v>137</v>
      </c>
    </row>
    <row r="36" spans="1:11">
      <c r="A36" s="22" t="s">
        <v>138</v>
      </c>
      <c r="B36" t="s">
        <v>139</v>
      </c>
    </row>
    <row r="37" spans="1:11">
      <c r="A37" s="22" t="s">
        <v>140</v>
      </c>
      <c r="B37" t="s">
        <v>141</v>
      </c>
    </row>
    <row r="38" spans="1:11">
      <c r="A38" t="s">
        <v>142</v>
      </c>
    </row>
    <row r="39" spans="1:11">
      <c r="A39" s="22" t="s">
        <v>143</v>
      </c>
      <c r="B39" t="s">
        <v>144</v>
      </c>
    </row>
    <row r="40" spans="1:11">
      <c r="A40" s="22" t="s">
        <v>145</v>
      </c>
      <c r="B40" t="s">
        <v>146</v>
      </c>
    </row>
    <row r="41" spans="1:11">
      <c r="A41" t="s">
        <v>147</v>
      </c>
      <c r="B41" t="s">
        <v>148</v>
      </c>
    </row>
    <row r="42" spans="1:11">
      <c r="A42" s="22" t="s">
        <v>149</v>
      </c>
      <c r="B42" t="s">
        <v>150</v>
      </c>
    </row>
    <row r="43" spans="1:11">
      <c r="A43" s="22" t="s">
        <v>151</v>
      </c>
      <c r="B43" t="s">
        <v>152</v>
      </c>
    </row>
    <row r="44" spans="1:11">
      <c r="A44" t="s">
        <v>153</v>
      </c>
    </row>
    <row r="46" spans="1:11">
      <c r="A46" s="107" t="s">
        <v>154</v>
      </c>
      <c r="B46" s="107"/>
      <c r="C46" s="107"/>
      <c r="D46" s="107"/>
      <c r="E46" s="107"/>
      <c r="F46" s="107"/>
      <c r="G46" s="107"/>
      <c r="J46" t="s">
        <v>155</v>
      </c>
    </row>
    <row r="47" spans="1:11">
      <c r="A47" s="11" t="s">
        <v>156</v>
      </c>
      <c r="D47" t="s">
        <v>157</v>
      </c>
      <c r="E47" t="s">
        <v>158</v>
      </c>
      <c r="F47" t="s">
        <v>159</v>
      </c>
      <c r="G47" t="s">
        <v>160</v>
      </c>
      <c r="I47" t="s">
        <v>161</v>
      </c>
      <c r="J47" t="s">
        <v>162</v>
      </c>
      <c r="K47" t="s">
        <v>160</v>
      </c>
    </row>
    <row r="48" spans="1:11">
      <c r="A48" t="s">
        <v>163</v>
      </c>
      <c r="B48" t="s">
        <v>164</v>
      </c>
      <c r="C48">
        <v>259.41000000000003</v>
      </c>
      <c r="D48">
        <v>415</v>
      </c>
      <c r="F48">
        <f>5/C48</f>
        <v>1.9274507536332443E-2</v>
      </c>
      <c r="G48" s="35">
        <f>D48/F48</f>
        <v>21531.030000000002</v>
      </c>
    </row>
    <row r="49" spans="1:12">
      <c r="A49" t="s">
        <v>165</v>
      </c>
      <c r="B49" t="s">
        <v>166</v>
      </c>
      <c r="C49">
        <v>284.29000000000002</v>
      </c>
      <c r="D49">
        <v>288</v>
      </c>
      <c r="F49">
        <f>5/C49</f>
        <v>1.7587674557669984E-2</v>
      </c>
      <c r="G49" s="35">
        <f>D49/F49</f>
        <v>16375.104000000001</v>
      </c>
    </row>
    <row r="50" spans="1:12">
      <c r="A50" s="4" t="s">
        <v>62</v>
      </c>
      <c r="B50" t="s">
        <v>63</v>
      </c>
      <c r="C50">
        <v>224.51</v>
      </c>
      <c r="D50">
        <v>401</v>
      </c>
      <c r="F50">
        <f>5/C50</f>
        <v>2.2270722907665585E-2</v>
      </c>
      <c r="G50" s="35">
        <f>D50/F50</f>
        <v>18005.701999999997</v>
      </c>
      <c r="I50">
        <f>100/C50</f>
        <v>0.44541445815331165</v>
      </c>
      <c r="J50">
        <v>7290</v>
      </c>
      <c r="K50">
        <f>J50/I50</f>
        <v>16366.779</v>
      </c>
      <c r="L50" t="s">
        <v>167</v>
      </c>
    </row>
    <row r="51" spans="1:12">
      <c r="A51" s="4"/>
      <c r="G51" s="35"/>
    </row>
    <row r="52" spans="1:12">
      <c r="A52" s="11" t="s">
        <v>66</v>
      </c>
      <c r="G52" s="35"/>
    </row>
    <row r="53" spans="1:12">
      <c r="A53" s="14" t="s">
        <v>32</v>
      </c>
      <c r="B53" s="13" t="s">
        <v>67</v>
      </c>
      <c r="C53">
        <v>262.29000000000002</v>
      </c>
      <c r="E53">
        <v>26</v>
      </c>
      <c r="F53">
        <f>100/C53</f>
        <v>0.38125738686187044</v>
      </c>
      <c r="G53" s="35">
        <f>E53/F53</f>
        <v>68.195400000000006</v>
      </c>
      <c r="H53" t="s">
        <v>168</v>
      </c>
      <c r="I53">
        <f>250/C53</f>
        <v>0.95314346715467602</v>
      </c>
      <c r="J53">
        <v>103</v>
      </c>
      <c r="K53">
        <f>J53/I53</f>
        <v>108.06348000000001</v>
      </c>
    </row>
    <row r="54" spans="1:12">
      <c r="A54" s="14" t="s">
        <v>69</v>
      </c>
      <c r="B54" s="13" t="s">
        <v>70</v>
      </c>
      <c r="C54">
        <v>304.37</v>
      </c>
      <c r="D54">
        <v>70</v>
      </c>
      <c r="F54">
        <f>5/C54</f>
        <v>1.6427374576995106E-2</v>
      </c>
      <c r="G54" s="35">
        <f>D54/F54</f>
        <v>4261.1799999999994</v>
      </c>
      <c r="I54">
        <f>25/C54</f>
        <v>8.2136872884975523E-2</v>
      </c>
    </row>
    <row r="55" spans="1:12">
      <c r="A55" s="14" t="s">
        <v>71</v>
      </c>
      <c r="B55" s="13" t="s">
        <v>72</v>
      </c>
      <c r="C55">
        <v>554.38</v>
      </c>
      <c r="D55">
        <v>96</v>
      </c>
      <c r="F55">
        <f>5/C55</f>
        <v>9.0190843825534838E-3</v>
      </c>
      <c r="G55" s="35">
        <f>D55/F55</f>
        <v>10644.096</v>
      </c>
      <c r="J55">
        <v>351</v>
      </c>
      <c r="K55">
        <f>J55/I54</f>
        <v>4273.3548000000001</v>
      </c>
      <c r="L55" t="s">
        <v>169</v>
      </c>
    </row>
    <row r="56" spans="1:12">
      <c r="G56" s="35"/>
    </row>
    <row r="57" spans="1:12">
      <c r="A57" s="11" t="s">
        <v>73</v>
      </c>
      <c r="G57" s="35"/>
    </row>
    <row r="58" spans="1:12">
      <c r="A58" s="14" t="s">
        <v>74</v>
      </c>
      <c r="B58" t="s">
        <v>75</v>
      </c>
      <c r="C58">
        <v>731.7</v>
      </c>
      <c r="D58">
        <v>234</v>
      </c>
      <c r="F58">
        <f>5/C58</f>
        <v>6.8334016673500062E-3</v>
      </c>
      <c r="G58" s="35">
        <v>36182</v>
      </c>
      <c r="H58" t="s">
        <v>170</v>
      </c>
      <c r="I58">
        <f>250/C58</f>
        <v>0.34167008336750032</v>
      </c>
      <c r="J58">
        <v>9210</v>
      </c>
      <c r="K58">
        <f>J58/I58</f>
        <v>26955.828000000001</v>
      </c>
    </row>
    <row r="59" spans="1:12">
      <c r="A59" s="14" t="s">
        <v>76</v>
      </c>
      <c r="B59" t="s">
        <v>77</v>
      </c>
      <c r="C59">
        <v>701.9</v>
      </c>
      <c r="D59">
        <v>218</v>
      </c>
      <c r="F59">
        <f>5/C59</f>
        <v>7.1235218692121387E-3</v>
      </c>
      <c r="G59" s="35">
        <f>D59/F59</f>
        <v>30602.84</v>
      </c>
      <c r="I59">
        <f>250/C59</f>
        <v>0.35617609346060691</v>
      </c>
      <c r="J59">
        <v>4110</v>
      </c>
      <c r="K59">
        <f>J59/I59</f>
        <v>11539.236000000001</v>
      </c>
    </row>
    <row r="60" spans="1:12">
      <c r="A60" s="14" t="s">
        <v>78</v>
      </c>
      <c r="B60" t="s">
        <v>79</v>
      </c>
      <c r="C60">
        <v>786.06</v>
      </c>
      <c r="D60">
        <v>160</v>
      </c>
      <c r="F60">
        <f>5/C60</f>
        <v>6.3608375950945225E-3</v>
      </c>
      <c r="G60" s="35">
        <f>D60/F60</f>
        <v>25153.919999999998</v>
      </c>
    </row>
  </sheetData>
  <mergeCells count="4">
    <mergeCell ref="M1:P1"/>
    <mergeCell ref="R1:R2"/>
    <mergeCell ref="L8:L16"/>
    <mergeCell ref="A46:G46"/>
  </mergeCells>
  <pageMargins left="0.7" right="0.7" top="0.75" bottom="0.7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FD49-5DB7-4650-AB99-D7980EF3EA83}">
  <sheetPr>
    <pageSetUpPr fitToPage="1"/>
  </sheetPr>
  <dimension ref="A1:T68"/>
  <sheetViews>
    <sheetView tabSelected="1" topLeftCell="A13" zoomScale="90" zoomScaleNormal="90" workbookViewId="0">
      <selection activeCell="N18" sqref="N18"/>
    </sheetView>
  </sheetViews>
  <sheetFormatPr defaultRowHeight="15"/>
  <cols>
    <col min="1" max="1" width="22.28515625" customWidth="1"/>
    <col min="2" max="2" width="13.28515625" customWidth="1"/>
    <col min="3" max="3" width="13" customWidth="1"/>
    <col min="4" max="4" width="9.28515625" customWidth="1"/>
    <col min="5" max="5" width="10.5703125" customWidth="1"/>
    <col min="6" max="6" width="9.140625" bestFit="1" customWidth="1"/>
    <col min="7" max="7" width="10" customWidth="1"/>
    <col min="8" max="8" width="9.5703125" bestFit="1" customWidth="1"/>
    <col min="9" max="9" width="10.28515625" customWidth="1"/>
    <col min="10" max="10" width="11.42578125" customWidth="1"/>
    <col min="11" max="11" width="6.42578125" bestFit="1" customWidth="1"/>
    <col min="12" max="12" width="8.7109375" customWidth="1"/>
    <col min="13" max="13" width="7.85546875" customWidth="1"/>
    <col min="14" max="15" width="9.140625" bestFit="1" customWidth="1"/>
    <col min="16" max="16" width="7.7109375" customWidth="1"/>
    <col min="17" max="17" width="9.140625" bestFit="1" customWidth="1"/>
    <col min="18" max="18" width="17.7109375" customWidth="1"/>
  </cols>
  <sheetData>
    <row r="1" spans="1:20">
      <c r="A1" s="3" t="s">
        <v>38</v>
      </c>
      <c r="C1" s="29" t="s">
        <v>39</v>
      </c>
      <c r="L1" s="8"/>
      <c r="M1" s="111" t="s">
        <v>99</v>
      </c>
      <c r="N1" s="111"/>
      <c r="O1" s="111"/>
      <c r="P1" s="111"/>
      <c r="Q1" s="9"/>
      <c r="R1" s="112" t="s">
        <v>100</v>
      </c>
    </row>
    <row r="2" spans="1:20" ht="28.9" customHeight="1">
      <c r="A2" s="2" t="s">
        <v>43</v>
      </c>
      <c r="B2" s="2" t="s">
        <v>101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102</v>
      </c>
      <c r="H2" s="2" t="s">
        <v>103</v>
      </c>
      <c r="I2" s="68" t="s">
        <v>104</v>
      </c>
      <c r="J2" s="2" t="s">
        <v>105</v>
      </c>
      <c r="L2" s="10"/>
      <c r="M2" s="2" t="s">
        <v>106</v>
      </c>
      <c r="N2" s="2" t="s">
        <v>102</v>
      </c>
      <c r="O2" s="2" t="s">
        <v>107</v>
      </c>
      <c r="P2" s="2" t="s">
        <v>105</v>
      </c>
      <c r="Q2" s="5"/>
      <c r="R2" s="112"/>
    </row>
    <row r="3" spans="1:20">
      <c r="A3" s="11" t="s">
        <v>57</v>
      </c>
      <c r="L3" s="10"/>
      <c r="Q3" s="5"/>
      <c r="S3">
        <f>357.4-130</f>
        <v>227.39999999999998</v>
      </c>
    </row>
    <row r="4" spans="1:20">
      <c r="A4" t="s">
        <v>58</v>
      </c>
      <c r="D4">
        <v>230.06</v>
      </c>
      <c r="F4">
        <v>1</v>
      </c>
      <c r="G4" s="3">
        <v>60</v>
      </c>
      <c r="H4" s="29">
        <f>1000*I4/J4</f>
        <v>648.64864864864876</v>
      </c>
      <c r="I4" s="7">
        <f>G4/D4*1000</f>
        <v>260.80153003564288</v>
      </c>
      <c r="J4">
        <f>P4</f>
        <v>402.06902547161604</v>
      </c>
      <c r="L4" s="10"/>
      <c r="M4">
        <f>N4/G4</f>
        <v>9.25</v>
      </c>
      <c r="N4" s="3">
        <v>555</v>
      </c>
      <c r="O4" s="3">
        <v>6</v>
      </c>
      <c r="P4">
        <f>1000*(N4/D4)/O4</f>
        <v>402.06902547161604</v>
      </c>
      <c r="Q4" s="5"/>
      <c r="R4">
        <f>G4*10</f>
        <v>600</v>
      </c>
      <c r="T4">
        <f>N4/48</f>
        <v>11.5625</v>
      </c>
    </row>
    <row r="5" spans="1:20" ht="14.45" customHeight="1">
      <c r="I5" s="7"/>
      <c r="Q5" s="5"/>
    </row>
    <row r="6" spans="1:20" ht="14.45" customHeight="1">
      <c r="A6" s="11" t="s">
        <v>171</v>
      </c>
      <c r="I6" s="7"/>
      <c r="L6" s="70"/>
      <c r="Q6" s="5"/>
    </row>
    <row r="7" spans="1:20" ht="14.45" customHeight="1">
      <c r="A7" t="s">
        <v>172</v>
      </c>
      <c r="D7">
        <v>139.91999999999999</v>
      </c>
      <c r="F7">
        <v>1.5</v>
      </c>
      <c r="G7" s="29">
        <f>I7*D7/1000</f>
        <v>54.737025123880727</v>
      </c>
      <c r="I7" s="7">
        <f>$I$4*F7</f>
        <v>391.20229505346435</v>
      </c>
      <c r="L7" s="70"/>
      <c r="Q7" s="5"/>
      <c r="R7">
        <f>G7*8</f>
        <v>437.89620099104582</v>
      </c>
    </row>
    <row r="8" spans="1:20" ht="14.45" customHeight="1">
      <c r="A8" t="s">
        <v>173</v>
      </c>
      <c r="D8">
        <v>139.91999999999999</v>
      </c>
      <c r="F8">
        <v>1.2</v>
      </c>
      <c r="G8" s="69">
        <f>I8*D8/1000</f>
        <v>43.789620099104575</v>
      </c>
      <c r="I8" s="7">
        <f>$I$4*F8</f>
        <v>312.96183604277144</v>
      </c>
      <c r="L8" s="70"/>
      <c r="Q8" s="5"/>
    </row>
    <row r="9" spans="1:20" ht="14.45" customHeight="1">
      <c r="A9" t="s">
        <v>174</v>
      </c>
      <c r="D9">
        <v>139.91999999999999</v>
      </c>
      <c r="F9">
        <v>1.05</v>
      </c>
      <c r="G9" s="69">
        <f>I9*D9/1000</f>
        <v>38.315917586716509</v>
      </c>
      <c r="I9" s="7">
        <f>$I$4*F9</f>
        <v>273.84160653742504</v>
      </c>
      <c r="L9" s="70"/>
      <c r="Q9" s="5"/>
    </row>
    <row r="10" spans="1:20" ht="14.45" customHeight="1">
      <c r="I10" s="7"/>
      <c r="L10" s="70"/>
      <c r="Q10" s="5"/>
    </row>
    <row r="11" spans="1:20" ht="14.45" customHeight="1">
      <c r="A11" s="11" t="s">
        <v>175</v>
      </c>
      <c r="I11" s="7"/>
      <c r="L11" s="70"/>
      <c r="Q11" s="5"/>
    </row>
    <row r="12" spans="1:20" ht="14.45" customHeight="1">
      <c r="A12" t="s">
        <v>176</v>
      </c>
      <c r="D12">
        <v>138.21</v>
      </c>
      <c r="F12">
        <v>3</v>
      </c>
      <c r="G12" s="69">
        <f>I12*D12/1000</f>
        <v>108.13613839867863</v>
      </c>
      <c r="I12" s="7">
        <f>$I$4*F12</f>
        <v>782.40459010692871</v>
      </c>
      <c r="L12" s="70"/>
      <c r="Q12" s="5"/>
      <c r="R12">
        <f>G12*8</f>
        <v>865.089107189429</v>
      </c>
    </row>
    <row r="13" spans="1:20" ht="14.45" customHeight="1">
      <c r="A13" t="s">
        <v>177</v>
      </c>
      <c r="D13">
        <v>138.21</v>
      </c>
      <c r="F13">
        <v>2</v>
      </c>
      <c r="G13" s="29">
        <f>I13*D13/1000</f>
        <v>72.090758932452417</v>
      </c>
      <c r="I13" s="7">
        <f>$I$4*F13</f>
        <v>521.60306007128577</v>
      </c>
      <c r="L13" s="70"/>
      <c r="Q13" s="5"/>
    </row>
    <row r="14" spans="1:20" ht="14.45" customHeight="1">
      <c r="A14" t="s">
        <v>172</v>
      </c>
      <c r="D14">
        <v>138.21</v>
      </c>
      <c r="F14">
        <v>1.5</v>
      </c>
      <c r="G14" s="69">
        <f>I14*D14/1000</f>
        <v>54.068069199339313</v>
      </c>
      <c r="I14" s="7">
        <f>$I$4*F14</f>
        <v>391.20229505346435</v>
      </c>
      <c r="L14" s="70"/>
      <c r="Q14" s="5"/>
    </row>
    <row r="15" spans="1:20" ht="14.45" customHeight="1">
      <c r="L15" s="70"/>
      <c r="Q15" s="5"/>
    </row>
    <row r="16" spans="1:20">
      <c r="A16" s="52" t="s">
        <v>116</v>
      </c>
      <c r="L16" s="70"/>
      <c r="P16" t="e">
        <f t="shared" ref="P16:P28" si="0">1000*(N16/D16)/O16</f>
        <v>#DIV/0!</v>
      </c>
      <c r="Q16" s="5"/>
    </row>
    <row r="17" spans="1:20" ht="72" customHeight="1">
      <c r="A17" t="s">
        <v>0</v>
      </c>
      <c r="C17" t="s">
        <v>75</v>
      </c>
      <c r="D17">
        <v>731.7</v>
      </c>
      <c r="F17" s="3">
        <v>0.01</v>
      </c>
      <c r="G17">
        <f t="shared" ref="G17:G22" si="1">I17*D17/1000</f>
        <v>1.9082847952707993</v>
      </c>
      <c r="H17" s="30">
        <f t="shared" ref="H17:H22" si="2">1000*I17/J17</f>
        <v>299.87332497112561</v>
      </c>
      <c r="I17" s="7">
        <f t="shared" ref="I17:I22" si="3">$I$4*F17</f>
        <v>2.608015300356429</v>
      </c>
      <c r="J17">
        <f t="shared" ref="J17:J22" si="4">P17</f>
        <v>8.697056667536371</v>
      </c>
      <c r="L17" s="113" t="s">
        <v>114</v>
      </c>
      <c r="M17">
        <f t="shared" ref="M17:M22" si="5">N17/G17</f>
        <v>9.5373604847159559</v>
      </c>
      <c r="N17" s="3">
        <v>18.2</v>
      </c>
      <c r="O17" s="3">
        <v>2.86</v>
      </c>
      <c r="P17">
        <f t="shared" si="0"/>
        <v>8.697056667536371</v>
      </c>
      <c r="Q17" s="5"/>
      <c r="R17">
        <f>G17*15</f>
        <v>28.62427192906199</v>
      </c>
      <c r="T17" s="59" t="s">
        <v>118</v>
      </c>
    </row>
    <row r="18" spans="1:20">
      <c r="A18" t="s">
        <v>13</v>
      </c>
      <c r="C18" t="s">
        <v>75</v>
      </c>
      <c r="D18">
        <v>731.7</v>
      </c>
      <c r="F18" s="3">
        <v>5.0000000000000001E-3</v>
      </c>
      <c r="G18">
        <f t="shared" si="1"/>
        <v>0.95414239763539965</v>
      </c>
      <c r="H18" s="30">
        <f t="shared" si="2"/>
        <v>149.93666248556281</v>
      </c>
      <c r="I18" s="7">
        <f t="shared" si="3"/>
        <v>1.3040076501782145</v>
      </c>
      <c r="J18">
        <f t="shared" si="4"/>
        <v>8.697056667536371</v>
      </c>
      <c r="L18" s="113"/>
      <c r="M18">
        <f t="shared" si="5"/>
        <v>19.074720969431912</v>
      </c>
      <c r="N18" s="3">
        <v>18.2</v>
      </c>
      <c r="O18" s="3">
        <v>2.86</v>
      </c>
      <c r="P18">
        <f t="shared" si="0"/>
        <v>8.697056667536371</v>
      </c>
      <c r="Q18" s="5"/>
      <c r="R18">
        <f>G18*15</f>
        <v>14.312135964530995</v>
      </c>
    </row>
    <row r="19" spans="1:20">
      <c r="A19" t="s">
        <v>1</v>
      </c>
      <c r="C19" t="s">
        <v>75</v>
      </c>
      <c r="D19">
        <v>731.7</v>
      </c>
      <c r="F19" s="3">
        <v>4.0000000000000001E-3</v>
      </c>
      <c r="G19">
        <f t="shared" si="1"/>
        <v>0.76331391810831961</v>
      </c>
      <c r="H19" s="30">
        <f t="shared" si="2"/>
        <v>119.94932998845024</v>
      </c>
      <c r="I19" s="7">
        <f t="shared" si="3"/>
        <v>1.0432061201425715</v>
      </c>
      <c r="J19">
        <f t="shared" si="4"/>
        <v>8.697056667536371</v>
      </c>
      <c r="L19" s="113"/>
      <c r="M19">
        <f t="shared" si="5"/>
        <v>23.843401211789892</v>
      </c>
      <c r="N19" s="3">
        <v>18.2</v>
      </c>
      <c r="O19" s="3">
        <v>2.86</v>
      </c>
      <c r="P19">
        <f t="shared" si="0"/>
        <v>8.697056667536371</v>
      </c>
      <c r="Q19" s="5"/>
    </row>
    <row r="20" spans="1:20">
      <c r="A20" t="s">
        <v>14</v>
      </c>
      <c r="C20" t="s">
        <v>75</v>
      </c>
      <c r="D20">
        <v>731.7</v>
      </c>
      <c r="F20" s="3">
        <v>2E-3</v>
      </c>
      <c r="G20">
        <f t="shared" si="1"/>
        <v>0.38165695905415981</v>
      </c>
      <c r="H20" s="30">
        <f t="shared" si="2"/>
        <v>59.974664994225122</v>
      </c>
      <c r="I20" s="7">
        <f t="shared" si="3"/>
        <v>0.52160306007128576</v>
      </c>
      <c r="J20">
        <f t="shared" si="4"/>
        <v>8.697056667536371</v>
      </c>
      <c r="L20" s="113"/>
      <c r="M20">
        <f t="shared" si="5"/>
        <v>47.686802423579785</v>
      </c>
      <c r="N20" s="3">
        <v>18.2</v>
      </c>
      <c r="O20" s="3">
        <v>2.86</v>
      </c>
      <c r="P20">
        <f t="shared" si="0"/>
        <v>8.697056667536371</v>
      </c>
      <c r="Q20" s="5"/>
    </row>
    <row r="21" spans="1:20">
      <c r="A21" s="4" t="s">
        <v>2</v>
      </c>
      <c r="B21" s="4" t="s">
        <v>121</v>
      </c>
      <c r="C21" t="s">
        <v>75</v>
      </c>
      <c r="D21">
        <v>731.7</v>
      </c>
      <c r="F21" s="3">
        <v>1E-3</v>
      </c>
      <c r="G21">
        <f t="shared" si="1"/>
        <v>0.1908284795270799</v>
      </c>
      <c r="H21" s="30">
        <f t="shared" si="2"/>
        <v>29.987332497112561</v>
      </c>
      <c r="I21" s="7">
        <f t="shared" si="3"/>
        <v>0.26080153003564288</v>
      </c>
      <c r="J21">
        <f t="shared" si="4"/>
        <v>8.697056667536371</v>
      </c>
      <c r="L21" s="113"/>
      <c r="M21">
        <f t="shared" si="5"/>
        <v>95.373604847159569</v>
      </c>
      <c r="N21" s="3">
        <v>18.2</v>
      </c>
      <c r="O21" s="3">
        <v>2.86</v>
      </c>
      <c r="P21">
        <f t="shared" si="0"/>
        <v>8.697056667536371</v>
      </c>
      <c r="Q21" s="5"/>
      <c r="R21">
        <f>G21*15</f>
        <v>2.8624271929061984</v>
      </c>
    </row>
    <row r="22" spans="1:20">
      <c r="A22" s="4" t="s">
        <v>15</v>
      </c>
      <c r="B22" s="4"/>
      <c r="C22" t="s">
        <v>75</v>
      </c>
      <c r="D22">
        <v>731.7</v>
      </c>
      <c r="F22" s="3">
        <v>5.0000000000000001E-4</v>
      </c>
      <c r="G22">
        <f t="shared" si="1"/>
        <v>9.5414239763539951E-2</v>
      </c>
      <c r="H22" s="30">
        <f t="shared" si="2"/>
        <v>149.93666248556278</v>
      </c>
      <c r="I22" s="7">
        <f t="shared" si="3"/>
        <v>0.13040076501782144</v>
      </c>
      <c r="J22">
        <f t="shared" si="4"/>
        <v>0.86970566675363725</v>
      </c>
      <c r="L22" s="113"/>
      <c r="M22">
        <f t="shared" si="5"/>
        <v>19.074720969431915</v>
      </c>
      <c r="N22" s="3">
        <v>1.82</v>
      </c>
      <c r="O22" s="3">
        <v>2.86</v>
      </c>
      <c r="P22">
        <f t="shared" si="0"/>
        <v>0.86970566675363725</v>
      </c>
      <c r="Q22" s="5"/>
      <c r="T22" s="59" t="s">
        <v>123</v>
      </c>
    </row>
    <row r="23" spans="1:20">
      <c r="A23" s="4"/>
      <c r="B23" s="4"/>
      <c r="H23" s="12"/>
      <c r="I23" s="7"/>
      <c r="L23" s="70"/>
      <c r="P23" t="e">
        <f t="shared" si="0"/>
        <v>#DIV/0!</v>
      </c>
      <c r="Q23" s="5"/>
      <c r="R23">
        <f>G23*15</f>
        <v>0</v>
      </c>
    </row>
    <row r="24" spans="1:20" s="33" customFormat="1">
      <c r="A24" s="45" t="s">
        <v>66</v>
      </c>
      <c r="B24" s="46"/>
      <c r="H24" s="47"/>
      <c r="I24" s="48"/>
      <c r="L24" s="71"/>
      <c r="P24" s="33" t="e">
        <f t="shared" si="0"/>
        <v>#DIV/0!</v>
      </c>
      <c r="Q24" s="49"/>
    </row>
    <row r="25" spans="1:20" s="33" customFormat="1">
      <c r="A25" s="33" t="s">
        <v>32</v>
      </c>
      <c r="B25" s="33" t="s">
        <v>129</v>
      </c>
      <c r="C25" s="50" t="s">
        <v>67</v>
      </c>
      <c r="D25" s="33">
        <v>262.29000000000002</v>
      </c>
      <c r="F25" s="33">
        <v>0.02</v>
      </c>
      <c r="G25" s="33">
        <f>I25*D25/1000</f>
        <v>1.3681126662609757</v>
      </c>
      <c r="H25" s="47">
        <f>1000*I25/J25</f>
        <v>76.860262149493025</v>
      </c>
      <c r="I25" s="48">
        <f>$I$4*F25</f>
        <v>5.2160306007128581</v>
      </c>
      <c r="J25" s="33">
        <f>P25</f>
        <v>67.863814861412934</v>
      </c>
      <c r="L25" s="51"/>
      <c r="M25" s="33">
        <f>N25/G25</f>
        <v>13.010624372513881</v>
      </c>
      <c r="N25" s="33">
        <v>17.8</v>
      </c>
      <c r="O25" s="33">
        <v>1</v>
      </c>
      <c r="P25" s="33">
        <f t="shared" si="0"/>
        <v>67.863814861412934</v>
      </c>
      <c r="Q25" s="49"/>
      <c r="R25" s="33">
        <f>G25*15</f>
        <v>20.521689993914634</v>
      </c>
    </row>
    <row r="26" spans="1:20" s="33" customFormat="1">
      <c r="A26" s="33" t="s">
        <v>69</v>
      </c>
      <c r="B26" s="33" t="s">
        <v>130</v>
      </c>
      <c r="C26" s="50" t="s">
        <v>70</v>
      </c>
      <c r="D26" s="33">
        <v>304.37</v>
      </c>
      <c r="F26" s="33">
        <v>0.02</v>
      </c>
      <c r="G26" s="33">
        <f>I26*D26/1000</f>
        <v>1.5876032339389725</v>
      </c>
      <c r="H26" s="47">
        <f>1000*I26/J26</f>
        <v>81.415550458408873</v>
      </c>
      <c r="I26" s="48">
        <f>$I$4*F26</f>
        <v>5.2160306007128581</v>
      </c>
      <c r="J26" s="33">
        <f>P26</f>
        <v>64.0667608502809</v>
      </c>
      <c r="L26" s="51"/>
      <c r="M26" s="33">
        <f>N26/G26</f>
        <v>12.282665834346354</v>
      </c>
      <c r="N26" s="33">
        <v>19.5</v>
      </c>
      <c r="O26" s="33">
        <v>1</v>
      </c>
      <c r="P26" s="33">
        <f t="shared" si="0"/>
        <v>64.0667608502809</v>
      </c>
      <c r="Q26" s="49"/>
      <c r="R26" s="33">
        <f>G26*15</f>
        <v>23.814048509084589</v>
      </c>
    </row>
    <row r="27" spans="1:20" s="33" customFormat="1">
      <c r="A27" s="33" t="s">
        <v>131</v>
      </c>
      <c r="B27" s="33" t="s">
        <v>132</v>
      </c>
      <c r="C27" s="33" t="s">
        <v>133</v>
      </c>
      <c r="D27" s="33">
        <v>298.39999999999998</v>
      </c>
      <c r="F27" s="33">
        <v>0.02</v>
      </c>
      <c r="G27" s="33">
        <f>I27*D27/1000</f>
        <v>1.5564635312527166</v>
      </c>
      <c r="H27" s="47" t="e">
        <f>1000*I27/J27</f>
        <v>#DIV/0!</v>
      </c>
      <c r="I27" s="48">
        <f>$I$4*F27</f>
        <v>5.2160306007128581</v>
      </c>
      <c r="J27" s="33" t="e">
        <f>P27</f>
        <v>#DIV/0!</v>
      </c>
      <c r="L27" s="51"/>
      <c r="M27" s="33">
        <f>N27/G27</f>
        <v>0</v>
      </c>
      <c r="P27" s="33" t="e">
        <f t="shared" si="0"/>
        <v>#DIV/0!</v>
      </c>
      <c r="Q27" s="49"/>
      <c r="R27" s="33">
        <f>G27*15</f>
        <v>23.346952968790749</v>
      </c>
    </row>
    <row r="28" spans="1:20" s="33" customFormat="1">
      <c r="A28" s="33" t="s">
        <v>71</v>
      </c>
      <c r="B28" s="33" t="s">
        <v>134</v>
      </c>
      <c r="C28" s="50" t="s">
        <v>72</v>
      </c>
      <c r="D28" s="33">
        <v>554.38</v>
      </c>
      <c r="F28" s="33">
        <v>0.01</v>
      </c>
      <c r="G28" s="33">
        <f>I28*D28/1000</f>
        <v>1.4458315222115972</v>
      </c>
      <c r="H28" s="47">
        <f>1000*I28/J28</f>
        <v>102.54124271004237</v>
      </c>
      <c r="I28" s="48">
        <f>$I$4*F28</f>
        <v>2.608015300356429</v>
      </c>
      <c r="J28" s="33">
        <f>P28</f>
        <v>25.43381795880082</v>
      </c>
      <c r="L28" s="51"/>
      <c r="M28" s="33">
        <f>N28/G28</f>
        <v>9.752173599336194</v>
      </c>
      <c r="N28" s="33">
        <v>14.1</v>
      </c>
      <c r="O28" s="33">
        <v>1</v>
      </c>
      <c r="P28" s="33">
        <f t="shared" si="0"/>
        <v>25.43381795880082</v>
      </c>
      <c r="Q28" s="49"/>
      <c r="R28" s="33">
        <f>G28*15</f>
        <v>21.687472833173956</v>
      </c>
    </row>
    <row r="29" spans="1:20" s="33" customFormat="1">
      <c r="H29" s="47"/>
      <c r="I29" s="48"/>
    </row>
    <row r="30" spans="1:20" s="33" customFormat="1">
      <c r="A30" s="45" t="s">
        <v>73</v>
      </c>
      <c r="H30" s="47"/>
      <c r="I30" s="48"/>
    </row>
    <row r="31" spans="1:20" s="33" customFormat="1">
      <c r="A31" s="33" t="s">
        <v>74</v>
      </c>
      <c r="C31" s="33" t="s">
        <v>75</v>
      </c>
      <c r="D31" s="33">
        <v>731.7</v>
      </c>
      <c r="F31" s="33">
        <v>0.01</v>
      </c>
      <c r="G31" s="33">
        <f>I31*D31/1000</f>
        <v>1.9082847952707993</v>
      </c>
      <c r="H31" s="47">
        <f>1000*I31/J31</f>
        <v>76.637943585172664</v>
      </c>
      <c r="I31" s="48">
        <f>$I$4*F31</f>
        <v>2.608015300356429</v>
      </c>
      <c r="J31" s="33">
        <f>P31</f>
        <v>34.03034030340303</v>
      </c>
      <c r="L31" s="51"/>
      <c r="M31" s="33">
        <f>N31/G31</f>
        <v>13.048366817001501</v>
      </c>
      <c r="N31" s="33">
        <v>24.9</v>
      </c>
      <c r="O31" s="33">
        <v>1</v>
      </c>
      <c r="P31" s="33">
        <f>1000*(N31/D31)/O31</f>
        <v>34.03034030340303</v>
      </c>
      <c r="Q31" s="49"/>
      <c r="R31" s="33">
        <f>G31*6</f>
        <v>11.449708771624795</v>
      </c>
    </row>
    <row r="32" spans="1:20" s="33" customFormat="1">
      <c r="A32" s="33" t="s">
        <v>76</v>
      </c>
      <c r="C32" s="33" t="s">
        <v>77</v>
      </c>
      <c r="D32" s="33">
        <v>701.9</v>
      </c>
      <c r="F32" s="33">
        <v>0.01</v>
      </c>
      <c r="G32" s="33">
        <f>I32*D32/1000</f>
        <v>1.8305659393201774</v>
      </c>
      <c r="H32" s="47">
        <f>1000*I32/J32</f>
        <v>112.99789748889987</v>
      </c>
      <c r="I32" s="48">
        <f>$I$4*F32</f>
        <v>2.608015300356429</v>
      </c>
      <c r="J32" s="33">
        <f>P32</f>
        <v>23.080210856247326</v>
      </c>
      <c r="L32" s="51"/>
      <c r="M32" s="33">
        <f>N32/G32</f>
        <v>8.8497221826471009</v>
      </c>
      <c r="N32" s="33">
        <v>16.2</v>
      </c>
      <c r="O32" s="33">
        <v>1</v>
      </c>
      <c r="P32" s="33">
        <f>1000*(N32/D32)/O32</f>
        <v>23.080210856247326</v>
      </c>
      <c r="Q32" s="49"/>
      <c r="R32" s="33">
        <f>G32*6</f>
        <v>10.983395635921065</v>
      </c>
    </row>
    <row r="33" spans="1:18" s="33" customFormat="1">
      <c r="A33" s="33" t="s">
        <v>78</v>
      </c>
      <c r="C33" s="33" t="s">
        <v>79</v>
      </c>
      <c r="D33" s="33">
        <v>786.06</v>
      </c>
      <c r="F33" s="33">
        <v>0.01</v>
      </c>
      <c r="G33" s="33">
        <f>I33*D33/1000</f>
        <v>2.0500565069981742</v>
      </c>
      <c r="H33" s="47">
        <f>1000*I33/J33</f>
        <v>184.68977540524097</v>
      </c>
      <c r="I33" s="48">
        <f>$I$4*F33</f>
        <v>2.608015300356429</v>
      </c>
      <c r="J33" s="33">
        <f>P33</f>
        <v>14.121059461109839</v>
      </c>
      <c r="L33" s="51"/>
      <c r="M33" s="33">
        <f>N33/G33</f>
        <v>5.4144848993715495</v>
      </c>
      <c r="N33" s="33">
        <v>11.1</v>
      </c>
      <c r="O33" s="33">
        <v>1</v>
      </c>
      <c r="P33" s="33">
        <f>1000*(N33/D33)/O33</f>
        <v>14.121059461109839</v>
      </c>
      <c r="Q33" s="49"/>
      <c r="R33" s="33">
        <f>G33*6</f>
        <v>12.300339041989044</v>
      </c>
    </row>
    <row r="34" spans="1:18">
      <c r="F34" s="3">
        <v>0.01</v>
      </c>
      <c r="G34">
        <f>I34*D34/1000</f>
        <v>0</v>
      </c>
      <c r="H34" s="30" t="e">
        <f>1000*I34/J34</f>
        <v>#DIV/0!</v>
      </c>
      <c r="I34" s="7">
        <f>$I$4*F34</f>
        <v>2.608015300356429</v>
      </c>
      <c r="J34" t="e">
        <f>P34</f>
        <v>#DIV/0!</v>
      </c>
      <c r="L34" s="10"/>
      <c r="M34" t="e">
        <f>N34/G34</f>
        <v>#DIV/0!</v>
      </c>
      <c r="N34" s="3"/>
      <c r="O34" s="3"/>
      <c r="P34" t="e">
        <f>1000*(N34/D34)/O34</f>
        <v>#DIV/0!</v>
      </c>
      <c r="Q34" s="5"/>
      <c r="R34">
        <f>G34*20</f>
        <v>0</v>
      </c>
    </row>
    <row r="35" spans="1:18">
      <c r="H35" s="12"/>
      <c r="I35" s="7"/>
    </row>
    <row r="36" spans="1:18">
      <c r="A36" s="11" t="s">
        <v>85</v>
      </c>
      <c r="H36" s="12"/>
    </row>
    <row r="37" spans="1:18">
      <c r="A37" t="s">
        <v>135</v>
      </c>
      <c r="D37">
        <v>41.05</v>
      </c>
      <c r="E37">
        <v>0.78600000000000003</v>
      </c>
      <c r="F37" s="3">
        <v>10</v>
      </c>
      <c r="G37">
        <f>H37*E37</f>
        <v>471.6</v>
      </c>
      <c r="H37" s="30">
        <f>G4*F37</f>
        <v>600</v>
      </c>
      <c r="I37" t="s">
        <v>136</v>
      </c>
    </row>
    <row r="38" spans="1:18">
      <c r="A38" s="55" t="s">
        <v>88</v>
      </c>
      <c r="B38" s="55"/>
      <c r="C38" s="55"/>
      <c r="D38" s="55">
        <v>18.02</v>
      </c>
      <c r="E38" s="55">
        <v>1</v>
      </c>
      <c r="F38" s="56">
        <v>2</v>
      </c>
      <c r="G38" s="55">
        <f>H38*E38</f>
        <v>120</v>
      </c>
      <c r="H38" s="57">
        <f>G4*F38</f>
        <v>120</v>
      </c>
      <c r="I38" s="58" t="s">
        <v>136</v>
      </c>
    </row>
    <row r="39" spans="1:18">
      <c r="A39" t="s">
        <v>89</v>
      </c>
      <c r="F39" s="3">
        <v>10</v>
      </c>
      <c r="H39" s="30">
        <f>G4*F39</f>
        <v>600</v>
      </c>
      <c r="I39" s="7"/>
    </row>
    <row r="40" spans="1:18">
      <c r="A40" t="s">
        <v>90</v>
      </c>
      <c r="F40" s="3">
        <v>2.5</v>
      </c>
      <c r="H40" s="57">
        <f>G4*F40</f>
        <v>150</v>
      </c>
      <c r="I40" s="7"/>
    </row>
    <row r="41" spans="1:18">
      <c r="C41" t="s">
        <v>91</v>
      </c>
      <c r="H41" s="12" t="e">
        <f>500-H4-#REF!-H38</f>
        <v>#REF!</v>
      </c>
    </row>
    <row r="43" spans="1:18">
      <c r="A43" s="22" t="s">
        <v>87</v>
      </c>
      <c r="B43" s="17" t="s">
        <v>137</v>
      </c>
    </row>
    <row r="44" spans="1:18">
      <c r="A44" s="22" t="s">
        <v>138</v>
      </c>
      <c r="B44" t="s">
        <v>139</v>
      </c>
    </row>
    <row r="45" spans="1:18">
      <c r="A45" s="22" t="s">
        <v>140</v>
      </c>
      <c r="B45" t="s">
        <v>141</v>
      </c>
    </row>
    <row r="46" spans="1:18">
      <c r="A46" t="s">
        <v>142</v>
      </c>
    </row>
    <row r="47" spans="1:18">
      <c r="A47" s="22" t="s">
        <v>143</v>
      </c>
      <c r="B47" t="s">
        <v>144</v>
      </c>
    </row>
    <row r="48" spans="1:18">
      <c r="A48" s="22" t="s">
        <v>145</v>
      </c>
      <c r="B48" t="s">
        <v>146</v>
      </c>
    </row>
    <row r="49" spans="1:12">
      <c r="A49" t="s">
        <v>147</v>
      </c>
      <c r="B49" t="s">
        <v>148</v>
      </c>
    </row>
    <row r="50" spans="1:12">
      <c r="A50" s="22" t="s">
        <v>149</v>
      </c>
      <c r="B50" t="s">
        <v>150</v>
      </c>
    </row>
    <row r="51" spans="1:12">
      <c r="A51" s="22" t="s">
        <v>151</v>
      </c>
      <c r="B51" t="s">
        <v>152</v>
      </c>
    </row>
    <row r="52" spans="1:12">
      <c r="A52" t="s">
        <v>153</v>
      </c>
    </row>
    <row r="54" spans="1:12">
      <c r="A54" s="107" t="s">
        <v>154</v>
      </c>
      <c r="B54" s="107"/>
      <c r="C54" s="107"/>
      <c r="D54" s="107"/>
      <c r="E54" s="107"/>
      <c r="F54" s="107"/>
      <c r="G54" s="107"/>
      <c r="J54" t="s">
        <v>155</v>
      </c>
    </row>
    <row r="55" spans="1:12">
      <c r="A55" s="11" t="s">
        <v>156</v>
      </c>
      <c r="D55" t="s">
        <v>157</v>
      </c>
      <c r="E55" t="s">
        <v>158</v>
      </c>
      <c r="F55" t="s">
        <v>159</v>
      </c>
      <c r="G55" t="s">
        <v>160</v>
      </c>
      <c r="I55" t="s">
        <v>161</v>
      </c>
      <c r="J55" t="s">
        <v>162</v>
      </c>
      <c r="K55" t="s">
        <v>160</v>
      </c>
    </row>
    <row r="56" spans="1:12">
      <c r="A56" t="s">
        <v>163</v>
      </c>
      <c r="B56" t="s">
        <v>164</v>
      </c>
      <c r="C56">
        <v>259.41000000000003</v>
      </c>
      <c r="D56">
        <v>415</v>
      </c>
      <c r="F56">
        <f>5/C56</f>
        <v>1.9274507536332443E-2</v>
      </c>
      <c r="G56" s="35">
        <f>D56/F56</f>
        <v>21531.030000000002</v>
      </c>
    </row>
    <row r="57" spans="1:12">
      <c r="A57" t="s">
        <v>165</v>
      </c>
      <c r="B57" t="s">
        <v>166</v>
      </c>
      <c r="C57">
        <v>284.29000000000002</v>
      </c>
      <c r="D57">
        <v>288</v>
      </c>
      <c r="F57">
        <f>5/C57</f>
        <v>1.7587674557669984E-2</v>
      </c>
      <c r="G57" s="35">
        <f>D57/F57</f>
        <v>16375.104000000001</v>
      </c>
    </row>
    <row r="58" spans="1:12">
      <c r="A58" s="4" t="s">
        <v>62</v>
      </c>
      <c r="B58" t="s">
        <v>63</v>
      </c>
      <c r="C58">
        <v>224.51</v>
      </c>
      <c r="D58">
        <v>401</v>
      </c>
      <c r="F58">
        <f>5/C58</f>
        <v>2.2270722907665585E-2</v>
      </c>
      <c r="G58" s="35">
        <f>D58/F58</f>
        <v>18005.701999999997</v>
      </c>
      <c r="I58">
        <f>100/C58</f>
        <v>0.44541445815331165</v>
      </c>
      <c r="J58">
        <v>7290</v>
      </c>
      <c r="K58">
        <f>J58/I58</f>
        <v>16366.779</v>
      </c>
      <c r="L58" t="s">
        <v>167</v>
      </c>
    </row>
    <row r="59" spans="1:12">
      <c r="A59" s="4"/>
      <c r="G59" s="35"/>
    </row>
    <row r="60" spans="1:12">
      <c r="A60" s="11" t="s">
        <v>66</v>
      </c>
      <c r="G60" s="35"/>
    </row>
    <row r="61" spans="1:12">
      <c r="A61" s="14" t="s">
        <v>32</v>
      </c>
      <c r="B61" s="13" t="s">
        <v>67</v>
      </c>
      <c r="C61">
        <v>262.29000000000002</v>
      </c>
      <c r="E61">
        <v>26</v>
      </c>
      <c r="F61">
        <f>100/C61</f>
        <v>0.38125738686187044</v>
      </c>
      <c r="G61" s="35">
        <f>E61/F61</f>
        <v>68.195400000000006</v>
      </c>
      <c r="H61" t="s">
        <v>168</v>
      </c>
      <c r="I61">
        <f>250/C61</f>
        <v>0.95314346715467602</v>
      </c>
      <c r="J61">
        <v>103</v>
      </c>
      <c r="K61">
        <f>J61/I61</f>
        <v>108.06348000000001</v>
      </c>
    </row>
    <row r="62" spans="1:12">
      <c r="A62" s="14" t="s">
        <v>69</v>
      </c>
      <c r="B62" s="13" t="s">
        <v>70</v>
      </c>
      <c r="C62">
        <v>304.37</v>
      </c>
      <c r="D62">
        <v>70</v>
      </c>
      <c r="F62">
        <f>5/C62</f>
        <v>1.6427374576995106E-2</v>
      </c>
      <c r="G62" s="35">
        <f>D62/F62</f>
        <v>4261.1799999999994</v>
      </c>
      <c r="I62">
        <f>25/C62</f>
        <v>8.2136872884975523E-2</v>
      </c>
    </row>
    <row r="63" spans="1:12">
      <c r="A63" s="14" t="s">
        <v>71</v>
      </c>
      <c r="B63" s="13" t="s">
        <v>72</v>
      </c>
      <c r="C63">
        <v>554.38</v>
      </c>
      <c r="D63">
        <v>96</v>
      </c>
      <c r="F63">
        <f>5/C63</f>
        <v>9.0190843825534838E-3</v>
      </c>
      <c r="G63" s="35">
        <f>D63/F63</f>
        <v>10644.096</v>
      </c>
      <c r="J63">
        <v>351</v>
      </c>
      <c r="K63">
        <f>J63/I62</f>
        <v>4273.3548000000001</v>
      </c>
      <c r="L63" t="s">
        <v>169</v>
      </c>
    </row>
    <row r="64" spans="1:12">
      <c r="G64" s="35"/>
    </row>
    <row r="65" spans="1:11">
      <c r="A65" s="11" t="s">
        <v>73</v>
      </c>
      <c r="G65" s="35"/>
    </row>
    <row r="66" spans="1:11">
      <c r="A66" s="14" t="s">
        <v>74</v>
      </c>
      <c r="B66" t="s">
        <v>75</v>
      </c>
      <c r="C66">
        <v>731.7</v>
      </c>
      <c r="D66">
        <v>234</v>
      </c>
      <c r="F66">
        <f>5/C66</f>
        <v>6.8334016673500062E-3</v>
      </c>
      <c r="G66" s="35">
        <v>36182</v>
      </c>
      <c r="H66" t="s">
        <v>170</v>
      </c>
      <c r="I66">
        <f>250/C66</f>
        <v>0.34167008336750032</v>
      </c>
      <c r="J66">
        <v>9210</v>
      </c>
      <c r="K66">
        <f>J66/I66</f>
        <v>26955.828000000001</v>
      </c>
    </row>
    <row r="67" spans="1:11">
      <c r="A67" s="14" t="s">
        <v>76</v>
      </c>
      <c r="B67" t="s">
        <v>77</v>
      </c>
      <c r="C67">
        <v>701.9</v>
      </c>
      <c r="D67">
        <v>218</v>
      </c>
      <c r="F67">
        <f>5/C67</f>
        <v>7.1235218692121387E-3</v>
      </c>
      <c r="G67" s="35">
        <f>D67/F67</f>
        <v>30602.84</v>
      </c>
      <c r="I67">
        <f>250/C67</f>
        <v>0.35617609346060691</v>
      </c>
      <c r="J67">
        <v>4110</v>
      </c>
      <c r="K67">
        <f>J67/I67</f>
        <v>11539.236000000001</v>
      </c>
    </row>
    <row r="68" spans="1:11">
      <c r="A68" s="14" t="s">
        <v>78</v>
      </c>
      <c r="B68" t="s">
        <v>79</v>
      </c>
      <c r="C68">
        <v>786.06</v>
      </c>
      <c r="D68">
        <v>160</v>
      </c>
      <c r="F68">
        <f>5/C68</f>
        <v>6.3608375950945225E-3</v>
      </c>
      <c r="G68" s="35">
        <f>D68/F68</f>
        <v>25153.919999999998</v>
      </c>
    </row>
  </sheetData>
  <mergeCells count="4">
    <mergeCell ref="M1:P1"/>
    <mergeCell ref="R1:R2"/>
    <mergeCell ref="A54:G54"/>
    <mergeCell ref="L17:L22"/>
  </mergeCells>
  <pageMargins left="0.7" right="0.7" top="0.75" bottom="0.75" header="0.3" footer="0.3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19D1-860A-435A-81F0-7E059429388D}">
  <dimension ref="A1:V50"/>
  <sheetViews>
    <sheetView zoomScale="80" zoomScaleNormal="80" workbookViewId="0">
      <pane ySplit="2" topLeftCell="A21" activePane="bottomLeft" state="frozen"/>
      <selection pane="bottomLeft" activeCell="K48" sqref="K48"/>
    </sheetView>
  </sheetViews>
  <sheetFormatPr defaultRowHeight="15"/>
  <cols>
    <col min="1" max="1" width="5.28515625" customWidth="1"/>
    <col min="2" max="2" width="9" bestFit="1" customWidth="1"/>
    <col min="3" max="3" width="12" customWidth="1"/>
    <col min="4" max="4" width="12.28515625" customWidth="1"/>
    <col min="5" max="5" width="11.28515625" customWidth="1"/>
    <col min="6" max="6" width="11.5703125" customWidth="1"/>
    <col min="7" max="7" width="11.85546875" customWidth="1"/>
    <col min="8" max="8" width="10.7109375" customWidth="1"/>
    <col min="9" max="9" width="10.85546875" customWidth="1"/>
    <col min="10" max="10" width="11.28515625" customWidth="1"/>
    <col min="11" max="11" width="10.85546875" style="34" customWidth="1"/>
    <col min="12" max="12" width="12.28515625" style="34" customWidth="1"/>
    <col min="13" max="14" width="13.28515625" style="33" customWidth="1"/>
    <col min="15" max="15" width="2.28515625" customWidth="1"/>
    <col min="17" max="17" width="3.42578125" customWidth="1"/>
  </cols>
  <sheetData>
    <row r="1" spans="1:22"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s="34" t="s">
        <v>187</v>
      </c>
      <c r="L1" s="34" t="s">
        <v>188</v>
      </c>
      <c r="M1" s="33" t="s">
        <v>189</v>
      </c>
      <c r="N1" s="33" t="s">
        <v>190</v>
      </c>
      <c r="O1" s="3" t="s">
        <v>38</v>
      </c>
      <c r="R1" t="s">
        <v>191</v>
      </c>
      <c r="S1" t="s">
        <v>192</v>
      </c>
      <c r="T1" t="s">
        <v>193</v>
      </c>
      <c r="U1" t="s">
        <v>33</v>
      </c>
      <c r="V1" t="s">
        <v>33</v>
      </c>
    </row>
    <row r="2" spans="1:22">
      <c r="B2" t="s">
        <v>194</v>
      </c>
      <c r="C2" t="s">
        <v>195</v>
      </c>
      <c r="D2" t="s">
        <v>196</v>
      </c>
      <c r="E2">
        <v>1.04</v>
      </c>
      <c r="F2">
        <v>1.077</v>
      </c>
      <c r="G2" t="s">
        <v>197</v>
      </c>
      <c r="H2" t="s">
        <v>198</v>
      </c>
      <c r="I2">
        <v>1.9550000000000001</v>
      </c>
      <c r="K2" s="34" t="s">
        <v>199</v>
      </c>
      <c r="L2" s="34" t="s">
        <v>199</v>
      </c>
      <c r="M2" s="33" t="s">
        <v>199</v>
      </c>
      <c r="R2">
        <v>1.79</v>
      </c>
      <c r="S2">
        <v>1.6659999999999999</v>
      </c>
      <c r="T2">
        <v>1.877</v>
      </c>
      <c r="U2">
        <v>2.2999999999999998</v>
      </c>
      <c r="V2">
        <v>2.36</v>
      </c>
    </row>
    <row r="3" spans="1:22">
      <c r="A3" t="s">
        <v>200</v>
      </c>
      <c r="B3" s="36">
        <v>1.51</v>
      </c>
      <c r="C3" s="36">
        <v>0</v>
      </c>
      <c r="D3" s="36">
        <v>7.58</v>
      </c>
      <c r="E3" s="36">
        <v>0.01</v>
      </c>
      <c r="F3" s="36">
        <v>0.73</v>
      </c>
      <c r="G3" s="36">
        <v>78.8</v>
      </c>
      <c r="H3" s="36"/>
      <c r="I3" s="36">
        <v>10.38</v>
      </c>
      <c r="J3">
        <f>100-SUM(B3:I3)-SUM(R3:V3)</f>
        <v>0.31000000000000905</v>
      </c>
      <c r="K3" s="34">
        <f>100*SUM(E3:J3)/SUM(B3:C3,E3:J3)</f>
        <v>98.35404403749726</v>
      </c>
      <c r="L3" s="34">
        <f t="shared" ref="L3" si="0">100*G3/SUM(B3:C3,E3:J3)</f>
        <v>85.894920427294537</v>
      </c>
      <c r="M3" s="33">
        <f t="shared" ref="M3:M50" si="1">100*E3/SUM(B3:C3,E3:J3)</f>
        <v>1.0900370612600829E-2</v>
      </c>
      <c r="N3" s="33">
        <f t="shared" ref="N3:N50" si="2">100*H3/SUM(B3:C3,E3:J3)</f>
        <v>0</v>
      </c>
      <c r="R3" s="3">
        <v>0.68</v>
      </c>
      <c r="S3" s="3"/>
      <c r="T3" s="3"/>
      <c r="U3" s="3"/>
      <c r="V3" s="3"/>
    </row>
    <row r="4" spans="1:22">
      <c r="A4" t="s">
        <v>201</v>
      </c>
      <c r="B4" s="36">
        <v>1.1200000000000001</v>
      </c>
      <c r="C4" s="36">
        <v>6.47</v>
      </c>
      <c r="D4" s="36">
        <v>11.86</v>
      </c>
      <c r="E4" s="36">
        <v>0</v>
      </c>
      <c r="F4" s="36">
        <v>0.93</v>
      </c>
      <c r="G4" s="36">
        <v>68.959999999999994</v>
      </c>
      <c r="H4" s="36"/>
      <c r="I4" s="36">
        <v>9.81</v>
      </c>
      <c r="J4">
        <f t="shared" ref="J4:J50" si="3">100-SUM(B4:I4)-SUM(R4:V4)</f>
        <v>0.46000000000000851</v>
      </c>
      <c r="K4" s="34">
        <f t="shared" ref="K4:K50" si="4">100*SUM(E4:J4)/SUM(B4:C4,E4:J4)</f>
        <v>91.350427350427367</v>
      </c>
      <c r="L4" s="34">
        <f t="shared" ref="L4:L50" si="5">100*G4/SUM(B4:C4,E4:J4)</f>
        <v>78.586894586894573</v>
      </c>
      <c r="M4" s="33">
        <f t="shared" si="1"/>
        <v>0</v>
      </c>
      <c r="N4" s="33">
        <f t="shared" si="2"/>
        <v>0</v>
      </c>
      <c r="R4" s="3">
        <v>0.39</v>
      </c>
      <c r="S4" s="3"/>
      <c r="T4" s="3"/>
      <c r="U4" s="3"/>
      <c r="V4" s="3"/>
    </row>
    <row r="5" spans="1:22">
      <c r="A5" t="s">
        <v>202</v>
      </c>
      <c r="B5" s="3">
        <v>0</v>
      </c>
      <c r="C5" s="3">
        <v>49.75</v>
      </c>
      <c r="D5" s="3">
        <v>43.26</v>
      </c>
      <c r="E5" s="3">
        <v>0</v>
      </c>
      <c r="F5" s="3">
        <v>7.0000000000000007E-2</v>
      </c>
      <c r="G5" s="3">
        <v>5.83</v>
      </c>
      <c r="H5" s="3"/>
      <c r="I5" s="3">
        <v>0.9</v>
      </c>
      <c r="J5">
        <f t="shared" si="3"/>
        <v>0.14000000000001195</v>
      </c>
      <c r="K5" s="34">
        <f t="shared" si="4"/>
        <v>12.242017992591306</v>
      </c>
      <c r="L5" s="34">
        <f t="shared" si="5"/>
        <v>10.284000705591813</v>
      </c>
      <c r="M5" s="33">
        <f t="shared" si="1"/>
        <v>0</v>
      </c>
      <c r="N5" s="33">
        <f t="shared" si="2"/>
        <v>0</v>
      </c>
      <c r="R5" s="3">
        <v>0.05</v>
      </c>
      <c r="S5" s="3"/>
      <c r="T5" s="3"/>
      <c r="U5" s="3"/>
      <c r="V5" s="3"/>
    </row>
    <row r="6" spans="1:22">
      <c r="A6" t="s">
        <v>203</v>
      </c>
      <c r="B6" s="3">
        <v>0</v>
      </c>
      <c r="C6" s="3">
        <v>50.72</v>
      </c>
      <c r="D6" s="3">
        <v>46.83</v>
      </c>
      <c r="E6" s="3">
        <v>0</v>
      </c>
      <c r="F6" s="3">
        <v>0</v>
      </c>
      <c r="G6" s="3">
        <v>1.77</v>
      </c>
      <c r="H6" s="3"/>
      <c r="I6" s="3">
        <v>0.37</v>
      </c>
      <c r="J6">
        <f t="shared" si="3"/>
        <v>0.31000000000000227</v>
      </c>
      <c r="K6" s="34">
        <f t="shared" si="4"/>
        <v>4.607861576076739</v>
      </c>
      <c r="L6" s="34">
        <f t="shared" si="5"/>
        <v>3.3289448937370696</v>
      </c>
      <c r="M6" s="33">
        <f t="shared" si="1"/>
        <v>0</v>
      </c>
      <c r="N6" s="33">
        <f t="shared" si="2"/>
        <v>0</v>
      </c>
      <c r="R6" s="3"/>
      <c r="S6" s="3"/>
      <c r="T6" s="3"/>
      <c r="U6" s="3"/>
      <c r="V6" s="3"/>
    </row>
    <row r="7" spans="1:22">
      <c r="A7" t="s">
        <v>204</v>
      </c>
      <c r="B7" s="3">
        <v>0</v>
      </c>
      <c r="C7" s="3">
        <v>52.66</v>
      </c>
      <c r="D7" s="3">
        <v>47.01</v>
      </c>
      <c r="E7" s="3"/>
      <c r="F7" s="3"/>
      <c r="G7" s="3"/>
      <c r="H7" s="3"/>
      <c r="I7" s="3">
        <v>0.11</v>
      </c>
      <c r="J7">
        <f t="shared" si="3"/>
        <v>0.22000000000001307</v>
      </c>
      <c r="K7" s="34">
        <f t="shared" si="4"/>
        <v>0.62275901113420085</v>
      </c>
      <c r="L7" s="34">
        <f t="shared" si="5"/>
        <v>0</v>
      </c>
      <c r="M7" s="33">
        <f t="shared" si="1"/>
        <v>0</v>
      </c>
      <c r="N7" s="33">
        <f t="shared" si="2"/>
        <v>0</v>
      </c>
      <c r="R7" s="3"/>
      <c r="S7" s="3"/>
      <c r="T7" s="3"/>
      <c r="U7" s="3"/>
      <c r="V7" s="3"/>
    </row>
    <row r="8" spans="1:22">
      <c r="A8" t="s">
        <v>205</v>
      </c>
      <c r="B8" s="3"/>
      <c r="C8" s="3"/>
      <c r="D8" s="3"/>
      <c r="E8" s="3"/>
      <c r="F8" s="3"/>
      <c r="G8" s="3"/>
      <c r="H8" s="3"/>
      <c r="I8" s="3"/>
      <c r="J8">
        <f t="shared" si="3"/>
        <v>100</v>
      </c>
      <c r="K8" s="34">
        <f t="shared" si="4"/>
        <v>100</v>
      </c>
      <c r="L8" s="34">
        <f t="shared" si="5"/>
        <v>0</v>
      </c>
      <c r="M8" s="33">
        <f t="shared" si="1"/>
        <v>0</v>
      </c>
      <c r="N8" s="33">
        <f t="shared" si="2"/>
        <v>0</v>
      </c>
      <c r="R8" s="3"/>
      <c r="S8" s="3"/>
      <c r="T8" s="3"/>
      <c r="U8" s="3"/>
      <c r="V8" s="3"/>
    </row>
    <row r="9" spans="1:22">
      <c r="A9" t="s">
        <v>206</v>
      </c>
      <c r="B9" s="36">
        <v>1.75</v>
      </c>
      <c r="C9" s="36">
        <v>0</v>
      </c>
      <c r="D9" s="36">
        <v>6.23</v>
      </c>
      <c r="E9" s="36">
        <v>0</v>
      </c>
      <c r="F9" s="36">
        <v>1.07</v>
      </c>
      <c r="G9" s="36">
        <v>76.03</v>
      </c>
      <c r="H9" s="36"/>
      <c r="I9" s="36">
        <v>13.71</v>
      </c>
      <c r="J9">
        <f t="shared" si="3"/>
        <v>0.23000000000000798</v>
      </c>
      <c r="K9" s="34">
        <f t="shared" si="4"/>
        <v>98.114020907425356</v>
      </c>
      <c r="L9" s="34">
        <f t="shared" si="5"/>
        <v>81.937708804828105</v>
      </c>
      <c r="M9" s="33">
        <f t="shared" si="1"/>
        <v>0</v>
      </c>
      <c r="N9" s="33">
        <f t="shared" si="2"/>
        <v>0</v>
      </c>
      <c r="R9" s="3">
        <v>0.98</v>
      </c>
      <c r="S9" s="3"/>
      <c r="T9" s="3"/>
      <c r="U9" s="3"/>
      <c r="V9" s="3"/>
    </row>
    <row r="10" spans="1:22">
      <c r="A10" t="s">
        <v>207</v>
      </c>
      <c r="B10" s="36">
        <v>1.41</v>
      </c>
      <c r="C10" s="36">
        <v>0</v>
      </c>
      <c r="D10" s="36">
        <v>6.71</v>
      </c>
      <c r="E10" s="36">
        <v>0.01</v>
      </c>
      <c r="F10" s="36">
        <v>1.4</v>
      </c>
      <c r="G10" s="36">
        <v>75.59</v>
      </c>
      <c r="H10" s="36"/>
      <c r="I10" s="36">
        <v>14.23</v>
      </c>
      <c r="J10">
        <f t="shared" si="3"/>
        <v>0.12999999999999146</v>
      </c>
      <c r="K10" s="34">
        <f t="shared" si="4"/>
        <v>98.48011210520643</v>
      </c>
      <c r="L10" s="34">
        <f t="shared" si="5"/>
        <v>81.481082246415866</v>
      </c>
      <c r="M10" s="33">
        <f t="shared" si="1"/>
        <v>1.0779346771585643E-2</v>
      </c>
      <c r="N10" s="33">
        <f t="shared" si="2"/>
        <v>0</v>
      </c>
      <c r="R10" s="3">
        <v>0.52</v>
      </c>
      <c r="S10" s="3"/>
      <c r="T10" s="3"/>
      <c r="U10" s="3"/>
      <c r="V10" s="3"/>
    </row>
    <row r="11" spans="1:22">
      <c r="A11" t="s">
        <v>208</v>
      </c>
      <c r="B11" s="3">
        <v>0.1</v>
      </c>
      <c r="C11" s="3">
        <v>47.17</v>
      </c>
      <c r="D11" s="3">
        <v>42.82</v>
      </c>
      <c r="E11" s="3">
        <v>0</v>
      </c>
      <c r="F11" s="3">
        <v>0.03</v>
      </c>
      <c r="G11" s="3">
        <v>8.59</v>
      </c>
      <c r="H11" s="3"/>
      <c r="I11" s="3">
        <v>0.85</v>
      </c>
      <c r="J11">
        <f t="shared" si="3"/>
        <v>0.4099999999999977</v>
      </c>
      <c r="K11" s="34">
        <f t="shared" si="4"/>
        <v>17.28783902012248</v>
      </c>
      <c r="L11" s="34">
        <f t="shared" si="5"/>
        <v>15.030621172353456</v>
      </c>
      <c r="M11" s="33">
        <f t="shared" si="1"/>
        <v>0</v>
      </c>
      <c r="N11" s="33">
        <f t="shared" si="2"/>
        <v>0</v>
      </c>
      <c r="R11" s="3">
        <v>0.03</v>
      </c>
      <c r="S11" s="3"/>
      <c r="T11" s="3"/>
      <c r="U11" s="3"/>
      <c r="V11" s="3"/>
    </row>
    <row r="12" spans="1:22">
      <c r="A12" t="s">
        <v>209</v>
      </c>
      <c r="B12" s="3">
        <v>0.51</v>
      </c>
      <c r="C12" s="3">
        <v>38.869999999999997</v>
      </c>
      <c r="D12" s="3">
        <v>34.35</v>
      </c>
      <c r="E12" s="3">
        <v>0</v>
      </c>
      <c r="F12" s="3">
        <v>0</v>
      </c>
      <c r="G12" s="3">
        <v>23.68</v>
      </c>
      <c r="H12" s="3"/>
      <c r="I12" s="3">
        <v>2.42</v>
      </c>
      <c r="J12">
        <f t="shared" si="3"/>
        <v>0.17000000000000171</v>
      </c>
      <c r="K12" s="34">
        <f t="shared" si="4"/>
        <v>40.015232292460027</v>
      </c>
      <c r="L12" s="34">
        <f t="shared" si="5"/>
        <v>36.070068545316076</v>
      </c>
      <c r="M12" s="33">
        <f t="shared" si="1"/>
        <v>0</v>
      </c>
      <c r="N12" s="33">
        <f t="shared" si="2"/>
        <v>0</v>
      </c>
      <c r="R12" s="3"/>
      <c r="S12" s="3"/>
      <c r="T12" s="3"/>
      <c r="U12" s="3"/>
      <c r="V12" s="3"/>
    </row>
    <row r="13" spans="1:22">
      <c r="A13" t="s">
        <v>210</v>
      </c>
      <c r="B13" s="3">
        <v>0</v>
      </c>
      <c r="C13" s="3">
        <v>51.36</v>
      </c>
      <c r="D13" s="3">
        <v>48.26</v>
      </c>
      <c r="E13" s="3"/>
      <c r="F13" s="3"/>
      <c r="G13" s="3"/>
      <c r="H13" s="3"/>
      <c r="I13" s="3"/>
      <c r="J13">
        <f t="shared" si="3"/>
        <v>0.37999999999999545</v>
      </c>
      <c r="K13" s="34">
        <f t="shared" si="4"/>
        <v>0.73444143795901717</v>
      </c>
      <c r="L13" s="34">
        <f t="shared" si="5"/>
        <v>0</v>
      </c>
      <c r="M13" s="33">
        <f t="shared" si="1"/>
        <v>0</v>
      </c>
      <c r="N13" s="33">
        <f t="shared" si="2"/>
        <v>0</v>
      </c>
      <c r="R13" s="3"/>
      <c r="S13" s="3"/>
      <c r="T13" s="3"/>
      <c r="U13" s="3"/>
      <c r="V13" s="3"/>
    </row>
    <row r="14" spans="1:22">
      <c r="A14" t="s">
        <v>211</v>
      </c>
      <c r="B14" s="3"/>
      <c r="C14" s="3"/>
      <c r="D14" s="3"/>
      <c r="E14" s="3"/>
      <c r="F14" s="3"/>
      <c r="G14" s="3"/>
      <c r="H14" s="3"/>
      <c r="I14" s="3"/>
      <c r="J14">
        <f t="shared" si="3"/>
        <v>100</v>
      </c>
      <c r="K14" s="34">
        <f t="shared" si="4"/>
        <v>100</v>
      </c>
      <c r="L14" s="34">
        <f t="shared" si="5"/>
        <v>0</v>
      </c>
      <c r="M14" s="33">
        <f t="shared" si="1"/>
        <v>0</v>
      </c>
      <c r="N14" s="33">
        <f t="shared" si="2"/>
        <v>0</v>
      </c>
      <c r="R14" s="3"/>
      <c r="S14" s="3"/>
      <c r="T14" s="3"/>
      <c r="U14" s="3"/>
      <c r="V14" s="3"/>
    </row>
    <row r="15" spans="1:22">
      <c r="A15" t="s">
        <v>212</v>
      </c>
      <c r="B15" s="36">
        <v>1.37</v>
      </c>
      <c r="C15" s="36">
        <v>0</v>
      </c>
      <c r="D15" s="36">
        <v>4.93</v>
      </c>
      <c r="E15" s="36">
        <v>0.01</v>
      </c>
      <c r="F15" s="36">
        <v>1.81</v>
      </c>
      <c r="G15" s="36">
        <v>73.150000000000006</v>
      </c>
      <c r="H15" s="36"/>
      <c r="I15" s="36">
        <v>17.489999999999998</v>
      </c>
      <c r="J15">
        <f t="shared" si="3"/>
        <v>0.29999999999999494</v>
      </c>
      <c r="K15" s="34">
        <f t="shared" si="4"/>
        <v>98.54456602570913</v>
      </c>
      <c r="L15" s="34">
        <f t="shared" si="5"/>
        <v>77.711675342611301</v>
      </c>
      <c r="M15" s="33">
        <f t="shared" si="1"/>
        <v>1.0623605651758208E-2</v>
      </c>
      <c r="N15" s="33">
        <f t="shared" si="2"/>
        <v>0</v>
      </c>
      <c r="R15" s="3">
        <v>0.94</v>
      </c>
      <c r="S15" s="3"/>
      <c r="T15" s="3"/>
      <c r="U15" s="3"/>
      <c r="V15" s="3"/>
    </row>
    <row r="16" spans="1:22">
      <c r="A16" t="s">
        <v>213</v>
      </c>
      <c r="B16" s="36">
        <v>1.52</v>
      </c>
      <c r="C16" s="36">
        <v>0</v>
      </c>
      <c r="D16" s="36">
        <v>6.27</v>
      </c>
      <c r="E16" s="36">
        <v>0</v>
      </c>
      <c r="F16" s="36">
        <v>1.35</v>
      </c>
      <c r="G16" s="36">
        <v>75.94</v>
      </c>
      <c r="H16" s="36"/>
      <c r="I16" s="36">
        <v>14.09</v>
      </c>
      <c r="J16">
        <f t="shared" si="3"/>
        <v>0.41999999999999832</v>
      </c>
      <c r="K16" s="34">
        <f t="shared" si="4"/>
        <v>98.37119588512644</v>
      </c>
      <c r="L16" s="34">
        <f t="shared" si="5"/>
        <v>81.375910844406334</v>
      </c>
      <c r="M16" s="33">
        <f t="shared" si="1"/>
        <v>0</v>
      </c>
      <c r="N16" s="33">
        <f t="shared" si="2"/>
        <v>0</v>
      </c>
      <c r="R16" s="3">
        <v>0.41</v>
      </c>
      <c r="S16" s="3"/>
      <c r="T16" s="3"/>
      <c r="U16" s="3"/>
      <c r="V16" s="3"/>
    </row>
    <row r="17" spans="1:22">
      <c r="A17" t="s">
        <v>214</v>
      </c>
      <c r="B17" s="3">
        <v>0.22</v>
      </c>
      <c r="C17" s="3">
        <v>47.06</v>
      </c>
      <c r="D17" s="3">
        <v>38.590000000000003</v>
      </c>
      <c r="E17" s="3">
        <v>0</v>
      </c>
      <c r="F17" s="3">
        <v>0.05</v>
      </c>
      <c r="G17" s="3">
        <v>12.27</v>
      </c>
      <c r="H17" s="3"/>
      <c r="I17" s="3">
        <v>1.43</v>
      </c>
      <c r="J17">
        <f t="shared" si="3"/>
        <v>0.32999999999999546</v>
      </c>
      <c r="K17" s="34">
        <f t="shared" si="4"/>
        <v>22.946544980443282</v>
      </c>
      <c r="L17" s="34">
        <f t="shared" si="5"/>
        <v>19.996740547588008</v>
      </c>
      <c r="M17" s="33">
        <f t="shared" si="1"/>
        <v>0</v>
      </c>
      <c r="N17" s="33">
        <f t="shared" si="2"/>
        <v>0</v>
      </c>
      <c r="R17" s="3">
        <v>0.05</v>
      </c>
      <c r="S17" s="3"/>
      <c r="T17" s="3"/>
      <c r="U17" s="3"/>
      <c r="V17" s="3"/>
    </row>
    <row r="18" spans="1:22">
      <c r="A18" t="s">
        <v>215</v>
      </c>
      <c r="B18" s="3">
        <v>0</v>
      </c>
      <c r="C18" s="3">
        <v>53.28</v>
      </c>
      <c r="D18" s="3">
        <v>45.17</v>
      </c>
      <c r="E18" s="3">
        <v>0</v>
      </c>
      <c r="F18" s="3">
        <v>0</v>
      </c>
      <c r="G18" s="3">
        <v>1.08</v>
      </c>
      <c r="H18" s="3"/>
      <c r="I18" s="3">
        <v>0.28000000000000003</v>
      </c>
      <c r="J18">
        <f t="shared" si="3"/>
        <v>0.18999999999999773</v>
      </c>
      <c r="K18" s="34">
        <f t="shared" si="4"/>
        <v>2.8269195695786937</v>
      </c>
      <c r="L18" s="34">
        <f t="shared" si="5"/>
        <v>1.9697246033193507</v>
      </c>
      <c r="M18" s="33">
        <f t="shared" si="1"/>
        <v>0</v>
      </c>
      <c r="N18" s="33">
        <f t="shared" si="2"/>
        <v>0</v>
      </c>
      <c r="R18" s="3"/>
      <c r="S18" s="3"/>
      <c r="T18" s="3"/>
      <c r="U18" s="3"/>
      <c r="V18" s="3"/>
    </row>
    <row r="19" spans="1:22">
      <c r="A19" t="s">
        <v>216</v>
      </c>
      <c r="B19" s="3">
        <v>0</v>
      </c>
      <c r="C19" s="3">
        <v>55.27</v>
      </c>
      <c r="D19" s="3">
        <v>44.5</v>
      </c>
      <c r="E19" s="3"/>
      <c r="F19" s="3"/>
      <c r="G19" s="3"/>
      <c r="H19" s="3"/>
      <c r="I19" s="3"/>
      <c r="J19">
        <f t="shared" si="3"/>
        <v>0.22999999999998977</v>
      </c>
      <c r="K19" s="34">
        <f t="shared" si="4"/>
        <v>0.41441441441439603</v>
      </c>
      <c r="L19" s="34">
        <f t="shared" si="5"/>
        <v>0</v>
      </c>
      <c r="M19" s="33">
        <f t="shared" si="1"/>
        <v>0</v>
      </c>
      <c r="N19" s="33">
        <f t="shared" si="2"/>
        <v>0</v>
      </c>
      <c r="R19" s="3"/>
      <c r="S19" s="3"/>
      <c r="T19" s="3"/>
      <c r="U19" s="3"/>
      <c r="V19" s="3"/>
    </row>
    <row r="20" spans="1:22">
      <c r="A20" t="s">
        <v>217</v>
      </c>
      <c r="B20" s="3"/>
      <c r="C20" s="3"/>
      <c r="D20" s="3"/>
      <c r="E20" s="3"/>
      <c r="F20" s="3"/>
      <c r="G20" s="3"/>
      <c r="H20" s="3"/>
      <c r="I20" s="3"/>
      <c r="J20">
        <f t="shared" si="3"/>
        <v>100</v>
      </c>
      <c r="K20" s="34">
        <f t="shared" si="4"/>
        <v>100</v>
      </c>
      <c r="L20" s="34">
        <f t="shared" si="5"/>
        <v>0</v>
      </c>
      <c r="M20" s="33">
        <f t="shared" si="1"/>
        <v>0</v>
      </c>
      <c r="N20" s="33">
        <f t="shared" si="2"/>
        <v>0</v>
      </c>
      <c r="R20" s="3"/>
      <c r="S20" s="3"/>
      <c r="T20" s="3"/>
      <c r="U20" s="3"/>
      <c r="V20" s="3"/>
    </row>
    <row r="21" spans="1:22">
      <c r="A21" t="s">
        <v>218</v>
      </c>
      <c r="B21" s="36">
        <v>2.13</v>
      </c>
      <c r="C21" s="36">
        <v>0</v>
      </c>
      <c r="D21" s="36">
        <v>5.15</v>
      </c>
      <c r="E21" s="36">
        <v>0</v>
      </c>
      <c r="F21" s="36">
        <v>1.18</v>
      </c>
      <c r="G21" s="36">
        <v>75.239999999999995</v>
      </c>
      <c r="H21" s="36"/>
      <c r="I21" s="36">
        <v>15.04</v>
      </c>
      <c r="J21">
        <f t="shared" si="3"/>
        <v>0.12000000000001942</v>
      </c>
      <c r="K21" s="34">
        <f t="shared" si="4"/>
        <v>97.727030199551805</v>
      </c>
      <c r="L21" s="34">
        <f t="shared" si="5"/>
        <v>80.29025717639523</v>
      </c>
      <c r="M21" s="33">
        <f t="shared" si="1"/>
        <v>0</v>
      </c>
      <c r="N21" s="33">
        <f t="shared" si="2"/>
        <v>0</v>
      </c>
      <c r="R21" s="3">
        <v>1.1399999999999999</v>
      </c>
      <c r="S21" s="3"/>
      <c r="T21" s="3"/>
      <c r="U21" s="3"/>
      <c r="V21" s="3"/>
    </row>
    <row r="22" spans="1:22">
      <c r="A22" t="s">
        <v>219</v>
      </c>
      <c r="B22" s="36">
        <v>2.2799999999999998</v>
      </c>
      <c r="C22" s="36">
        <v>0</v>
      </c>
      <c r="D22" s="36">
        <v>2.78</v>
      </c>
      <c r="E22" s="36">
        <v>0</v>
      </c>
      <c r="F22" s="36">
        <v>0.5</v>
      </c>
      <c r="G22" s="36">
        <v>82.44</v>
      </c>
      <c r="H22" s="36"/>
      <c r="I22" s="36">
        <v>11.08</v>
      </c>
      <c r="J22">
        <f t="shared" si="3"/>
        <v>0.26000000000000167</v>
      </c>
      <c r="K22" s="34">
        <f t="shared" si="4"/>
        <v>97.638773819386913</v>
      </c>
      <c r="L22" s="34">
        <f t="shared" si="5"/>
        <v>85.376967688483845</v>
      </c>
      <c r="M22" s="33">
        <f t="shared" si="1"/>
        <v>0</v>
      </c>
      <c r="N22" s="33">
        <f t="shared" si="2"/>
        <v>0</v>
      </c>
      <c r="R22" s="3">
        <v>0.66</v>
      </c>
      <c r="S22" s="3"/>
      <c r="T22" s="3"/>
      <c r="U22" s="3"/>
      <c r="V22" s="3"/>
    </row>
    <row r="23" spans="1:22">
      <c r="A23" t="s">
        <v>220</v>
      </c>
      <c r="B23" s="36">
        <v>0.93</v>
      </c>
      <c r="C23" s="36">
        <v>23.76</v>
      </c>
      <c r="D23" s="36">
        <v>25.82</v>
      </c>
      <c r="E23" s="36">
        <v>0</v>
      </c>
      <c r="F23" s="36">
        <v>0.18</v>
      </c>
      <c r="G23" s="36">
        <v>44.38</v>
      </c>
      <c r="H23" s="36"/>
      <c r="I23" s="36">
        <v>4.6399999999999997</v>
      </c>
      <c r="J23">
        <f t="shared" si="3"/>
        <v>0.15999999999999204</v>
      </c>
      <c r="K23" s="34">
        <f t="shared" si="4"/>
        <v>66.657663740715719</v>
      </c>
      <c r="L23" s="34">
        <f t="shared" si="5"/>
        <v>59.932478055367994</v>
      </c>
      <c r="M23" s="33">
        <f t="shared" si="1"/>
        <v>0</v>
      </c>
      <c r="N23" s="33">
        <f t="shared" si="2"/>
        <v>0</v>
      </c>
      <c r="R23" s="3">
        <v>0.13</v>
      </c>
      <c r="S23" s="3"/>
      <c r="T23" s="3"/>
      <c r="U23" s="3"/>
      <c r="V23" s="3"/>
    </row>
    <row r="24" spans="1:22">
      <c r="A24" t="s">
        <v>221</v>
      </c>
      <c r="B24" s="3">
        <v>0.26</v>
      </c>
      <c r="C24" s="3">
        <v>44.54</v>
      </c>
      <c r="D24" s="3">
        <v>40.04</v>
      </c>
      <c r="E24" s="3">
        <v>0</v>
      </c>
      <c r="F24" s="3">
        <v>0</v>
      </c>
      <c r="G24" s="3">
        <v>12.94</v>
      </c>
      <c r="H24" s="3"/>
      <c r="I24" s="3">
        <v>1.77</v>
      </c>
      <c r="J24">
        <f t="shared" si="3"/>
        <v>0.45000000000000284</v>
      </c>
      <c r="K24" s="34">
        <f t="shared" si="4"/>
        <v>25.283522348232157</v>
      </c>
      <c r="L24" s="34">
        <f t="shared" si="5"/>
        <v>21.581054036024014</v>
      </c>
      <c r="M24" s="33">
        <f t="shared" si="1"/>
        <v>0</v>
      </c>
      <c r="N24" s="33">
        <f t="shared" si="2"/>
        <v>0</v>
      </c>
      <c r="R24" s="3"/>
      <c r="S24" s="3"/>
      <c r="T24" s="3"/>
      <c r="U24" s="3"/>
      <c r="V24" s="3"/>
    </row>
    <row r="25" spans="1:22">
      <c r="A25" t="s">
        <v>222</v>
      </c>
      <c r="B25" s="3">
        <v>0</v>
      </c>
      <c r="C25" s="3">
        <v>55.27</v>
      </c>
      <c r="D25" s="3">
        <v>44.54</v>
      </c>
      <c r="E25" s="3"/>
      <c r="F25" s="3"/>
      <c r="G25" s="3"/>
      <c r="H25" s="3"/>
      <c r="I25" s="3"/>
      <c r="J25">
        <f t="shared" si="3"/>
        <v>0.18999999999999773</v>
      </c>
      <c r="K25" s="34">
        <f t="shared" si="4"/>
        <v>0.34258925351604352</v>
      </c>
      <c r="L25" s="34">
        <f t="shared" si="5"/>
        <v>0</v>
      </c>
      <c r="M25" s="33">
        <f t="shared" si="1"/>
        <v>0</v>
      </c>
      <c r="N25" s="33">
        <f t="shared" si="2"/>
        <v>0</v>
      </c>
      <c r="R25" s="3"/>
      <c r="S25" s="3"/>
      <c r="T25" s="3"/>
      <c r="U25" s="3"/>
      <c r="V25" s="3"/>
    </row>
    <row r="26" spans="1:22">
      <c r="A26" t="s">
        <v>223</v>
      </c>
      <c r="B26" s="3"/>
      <c r="C26" s="3"/>
      <c r="D26" s="3"/>
      <c r="E26" s="3"/>
      <c r="F26" s="3"/>
      <c r="G26" s="3"/>
      <c r="H26" s="3"/>
      <c r="I26" s="3"/>
      <c r="J26">
        <f t="shared" si="3"/>
        <v>100</v>
      </c>
      <c r="K26" s="34">
        <f t="shared" si="4"/>
        <v>100</v>
      </c>
      <c r="L26" s="34">
        <f t="shared" si="5"/>
        <v>0</v>
      </c>
      <c r="M26" s="33">
        <f t="shared" si="1"/>
        <v>0</v>
      </c>
      <c r="N26" s="33">
        <f t="shared" si="2"/>
        <v>0</v>
      </c>
      <c r="R26" s="3"/>
      <c r="S26" s="3"/>
      <c r="T26" s="3"/>
      <c r="U26" s="3"/>
      <c r="V26" s="3"/>
    </row>
    <row r="27" spans="1:22">
      <c r="A27" t="s">
        <v>224</v>
      </c>
      <c r="B27" s="36">
        <v>1.87</v>
      </c>
      <c r="C27" s="36">
        <v>0</v>
      </c>
      <c r="D27" s="36">
        <v>11.61</v>
      </c>
      <c r="E27" s="36">
        <v>0</v>
      </c>
      <c r="F27" s="36">
        <v>0</v>
      </c>
      <c r="G27" s="36">
        <v>78.040000000000006</v>
      </c>
      <c r="H27" s="36"/>
      <c r="I27" s="36">
        <v>7.62</v>
      </c>
      <c r="J27">
        <f t="shared" si="3"/>
        <v>0.38999999999998525</v>
      </c>
      <c r="K27" s="34">
        <f t="shared" si="4"/>
        <v>97.873066424021843</v>
      </c>
      <c r="L27" s="34">
        <f t="shared" si="5"/>
        <v>88.762511373976352</v>
      </c>
      <c r="M27" s="33">
        <f t="shared" si="1"/>
        <v>0</v>
      </c>
      <c r="N27" s="33">
        <f t="shared" si="2"/>
        <v>0</v>
      </c>
      <c r="R27" s="3">
        <v>0.47</v>
      </c>
      <c r="S27" s="3"/>
      <c r="T27" s="3"/>
      <c r="U27" s="3"/>
      <c r="V27" s="3"/>
    </row>
    <row r="28" spans="1:22">
      <c r="A28" t="s">
        <v>225</v>
      </c>
      <c r="B28" s="36">
        <v>1.62</v>
      </c>
      <c r="C28" s="36">
        <v>9.2899999999999991</v>
      </c>
      <c r="D28" s="36">
        <v>15.23</v>
      </c>
      <c r="E28" s="36"/>
      <c r="F28" s="36"/>
      <c r="G28" s="36">
        <v>66.989999999999995</v>
      </c>
      <c r="H28" s="36"/>
      <c r="I28" s="36">
        <v>6.26</v>
      </c>
      <c r="J28">
        <f t="shared" si="3"/>
        <v>0.37999999999999945</v>
      </c>
      <c r="K28" s="34">
        <f t="shared" si="4"/>
        <v>87.094866335462513</v>
      </c>
      <c r="L28" s="34">
        <f t="shared" si="5"/>
        <v>79.240596167494672</v>
      </c>
      <c r="M28" s="33">
        <f t="shared" si="1"/>
        <v>0</v>
      </c>
      <c r="N28" s="33">
        <f t="shared" si="2"/>
        <v>0</v>
      </c>
      <c r="R28" s="3">
        <v>0.23</v>
      </c>
      <c r="S28" s="3"/>
      <c r="T28" s="3"/>
      <c r="U28" s="3"/>
      <c r="V28" s="3"/>
    </row>
    <row r="29" spans="1:22">
      <c r="A29" t="s">
        <v>226</v>
      </c>
      <c r="B29" s="3">
        <v>1.87</v>
      </c>
      <c r="C29" s="3">
        <v>0</v>
      </c>
      <c r="D29" s="3">
        <v>11.48</v>
      </c>
      <c r="E29" s="3">
        <v>0</v>
      </c>
      <c r="F29" s="3">
        <v>0</v>
      </c>
      <c r="G29" s="3">
        <v>77.73</v>
      </c>
      <c r="H29" s="3"/>
      <c r="I29" s="3">
        <v>7.98</v>
      </c>
      <c r="J29">
        <f t="shared" si="3"/>
        <v>0.43999999999998352</v>
      </c>
      <c r="K29" s="34">
        <f t="shared" si="4"/>
        <v>97.875482844808005</v>
      </c>
      <c r="L29" s="34">
        <f t="shared" si="5"/>
        <v>88.309475119291079</v>
      </c>
      <c r="M29" s="33">
        <f t="shared" si="1"/>
        <v>0</v>
      </c>
      <c r="N29" s="33">
        <f t="shared" si="2"/>
        <v>0</v>
      </c>
      <c r="R29" s="3">
        <v>0.5</v>
      </c>
      <c r="S29" s="3"/>
      <c r="T29" s="3"/>
      <c r="U29" s="3"/>
      <c r="V29" s="3"/>
    </row>
    <row r="30" spans="1:22">
      <c r="A30" t="s">
        <v>227</v>
      </c>
      <c r="B30" s="3">
        <v>1.7</v>
      </c>
      <c r="C30" s="3">
        <v>6.91</v>
      </c>
      <c r="D30" s="3">
        <v>13.76</v>
      </c>
      <c r="E30" s="3">
        <v>0</v>
      </c>
      <c r="F30" s="3">
        <v>0</v>
      </c>
      <c r="G30" s="3">
        <v>70.58</v>
      </c>
      <c r="H30" s="3"/>
      <c r="I30" s="3">
        <v>6.51</v>
      </c>
      <c r="J30">
        <f t="shared" si="3"/>
        <v>0.34000000000000624</v>
      </c>
      <c r="K30" s="34">
        <f t="shared" si="4"/>
        <v>89.993026499302658</v>
      </c>
      <c r="L30" s="34">
        <f t="shared" si="5"/>
        <v>82.031613203161314</v>
      </c>
      <c r="M30" s="33">
        <f t="shared" si="1"/>
        <v>0</v>
      </c>
      <c r="N30" s="33">
        <f t="shared" si="2"/>
        <v>0</v>
      </c>
      <c r="R30" s="3">
        <v>0.2</v>
      </c>
      <c r="S30" s="3"/>
      <c r="T30" s="3"/>
      <c r="U30" s="3"/>
      <c r="V30" s="3"/>
    </row>
    <row r="31" spans="1:22">
      <c r="A31" t="s">
        <v>228</v>
      </c>
      <c r="B31" s="3"/>
      <c r="C31" s="3"/>
      <c r="D31" s="3"/>
      <c r="E31" s="3"/>
      <c r="F31" s="3"/>
      <c r="G31" s="3"/>
      <c r="H31" s="3"/>
      <c r="I31" s="3"/>
      <c r="J31">
        <f t="shared" si="3"/>
        <v>100</v>
      </c>
      <c r="K31" s="34">
        <f t="shared" si="4"/>
        <v>100</v>
      </c>
      <c r="L31" s="34">
        <f t="shared" si="5"/>
        <v>0</v>
      </c>
      <c r="M31" s="33">
        <f t="shared" si="1"/>
        <v>0</v>
      </c>
      <c r="N31" s="33">
        <f t="shared" si="2"/>
        <v>0</v>
      </c>
      <c r="R31" s="3"/>
      <c r="S31" s="3"/>
      <c r="T31" s="3"/>
      <c r="U31" s="3"/>
      <c r="V31" s="3"/>
    </row>
    <row r="32" spans="1:22">
      <c r="A32" t="s">
        <v>229</v>
      </c>
      <c r="B32" s="3"/>
      <c r="C32" s="3"/>
      <c r="D32" s="3"/>
      <c r="E32" s="3"/>
      <c r="F32" s="3"/>
      <c r="G32" s="3"/>
      <c r="H32" s="3"/>
      <c r="I32" s="3"/>
      <c r="J32">
        <f t="shared" si="3"/>
        <v>100</v>
      </c>
      <c r="K32" s="34">
        <f t="shared" si="4"/>
        <v>100</v>
      </c>
      <c r="L32" s="34">
        <f t="shared" si="5"/>
        <v>0</v>
      </c>
      <c r="M32" s="33">
        <f t="shared" si="1"/>
        <v>0</v>
      </c>
      <c r="N32" s="33">
        <f t="shared" si="2"/>
        <v>0</v>
      </c>
      <c r="R32" s="3"/>
      <c r="S32" s="3"/>
      <c r="T32" s="3"/>
      <c r="U32" s="3"/>
      <c r="V32" s="3"/>
    </row>
    <row r="33" spans="1:22">
      <c r="A33" t="s">
        <v>230</v>
      </c>
      <c r="B33" s="36">
        <v>1.98</v>
      </c>
      <c r="C33" s="36">
        <v>0</v>
      </c>
      <c r="D33" s="36">
        <v>5.47</v>
      </c>
      <c r="E33" s="36">
        <v>0</v>
      </c>
      <c r="F33" s="36"/>
      <c r="G33" s="36">
        <v>82.46</v>
      </c>
      <c r="H33" s="36"/>
      <c r="I33" s="36">
        <v>8.35</v>
      </c>
      <c r="J33">
        <f t="shared" si="3"/>
        <v>0.65000000000000902</v>
      </c>
      <c r="K33" s="34">
        <f t="shared" si="4"/>
        <v>97.88099315068493</v>
      </c>
      <c r="L33" s="34">
        <f t="shared" si="5"/>
        <v>88.249143835616437</v>
      </c>
      <c r="M33" s="33">
        <f t="shared" si="1"/>
        <v>0</v>
      </c>
      <c r="N33" s="33">
        <f t="shared" si="2"/>
        <v>0</v>
      </c>
      <c r="R33" s="3">
        <v>1.0900000000000001</v>
      </c>
      <c r="S33" s="3"/>
      <c r="T33" s="3"/>
      <c r="U33" s="3"/>
      <c r="V33" s="3"/>
    </row>
    <row r="34" spans="1:22">
      <c r="A34" t="s">
        <v>231</v>
      </c>
      <c r="B34" s="36">
        <v>2.09</v>
      </c>
      <c r="C34" s="36">
        <v>0</v>
      </c>
      <c r="D34" s="36">
        <v>2.42</v>
      </c>
      <c r="E34" s="36">
        <v>0</v>
      </c>
      <c r="F34" s="36">
        <v>0</v>
      </c>
      <c r="G34" s="36">
        <v>85.51</v>
      </c>
      <c r="H34" s="36"/>
      <c r="I34" s="36">
        <v>8.3000000000000007</v>
      </c>
      <c r="J34">
        <f t="shared" si="3"/>
        <v>0.56999999999999251</v>
      </c>
      <c r="K34" s="34">
        <f t="shared" si="4"/>
        <v>97.833523375142533</v>
      </c>
      <c r="L34" s="34">
        <f t="shared" si="5"/>
        <v>88.638955115579975</v>
      </c>
      <c r="M34" s="33">
        <f t="shared" si="1"/>
        <v>0</v>
      </c>
      <c r="N34" s="33">
        <f t="shared" si="2"/>
        <v>0</v>
      </c>
      <c r="R34" s="3">
        <v>1.1100000000000001</v>
      </c>
      <c r="S34" s="3"/>
      <c r="T34" s="3"/>
      <c r="U34" s="3"/>
      <c r="V34" s="3"/>
    </row>
    <row r="35" spans="1:22">
      <c r="A35" t="s">
        <v>232</v>
      </c>
      <c r="B35" s="3"/>
      <c r="C35" s="3"/>
      <c r="D35" s="3"/>
      <c r="E35" s="3"/>
      <c r="F35" s="3"/>
      <c r="G35" s="3"/>
      <c r="H35" s="3"/>
      <c r="I35" s="3"/>
      <c r="J35">
        <f t="shared" si="3"/>
        <v>100</v>
      </c>
      <c r="K35" s="34">
        <f t="shared" si="4"/>
        <v>100</v>
      </c>
      <c r="L35" s="34">
        <f t="shared" si="5"/>
        <v>0</v>
      </c>
      <c r="M35" s="33">
        <f t="shared" si="1"/>
        <v>0</v>
      </c>
      <c r="N35" s="33">
        <f t="shared" si="2"/>
        <v>0</v>
      </c>
      <c r="R35" s="3"/>
      <c r="S35" s="3"/>
      <c r="T35" s="3"/>
      <c r="U35" s="3"/>
      <c r="V35" s="3"/>
    </row>
    <row r="36" spans="1:22">
      <c r="A36" t="s">
        <v>233</v>
      </c>
      <c r="B36" s="3"/>
      <c r="C36" s="3"/>
      <c r="D36" s="3"/>
      <c r="E36" s="3"/>
      <c r="F36" s="3"/>
      <c r="G36" s="3"/>
      <c r="H36" s="3"/>
      <c r="I36" s="3"/>
      <c r="J36">
        <f t="shared" si="3"/>
        <v>100</v>
      </c>
      <c r="K36" s="34">
        <f t="shared" si="4"/>
        <v>100</v>
      </c>
      <c r="L36" s="34">
        <f t="shared" si="5"/>
        <v>0</v>
      </c>
      <c r="M36" s="33">
        <f t="shared" si="1"/>
        <v>0</v>
      </c>
      <c r="N36" s="33">
        <f t="shared" si="2"/>
        <v>0</v>
      </c>
      <c r="R36" s="3"/>
      <c r="S36" s="3"/>
      <c r="T36" s="3"/>
      <c r="U36" s="3"/>
      <c r="V36" s="3"/>
    </row>
    <row r="37" spans="1:22">
      <c r="A37" t="s">
        <v>234</v>
      </c>
      <c r="B37" s="3"/>
      <c r="C37" s="3"/>
      <c r="D37" s="3"/>
      <c r="E37" s="3"/>
      <c r="F37" s="3"/>
      <c r="G37" s="3"/>
      <c r="H37" s="3"/>
      <c r="I37" s="3"/>
      <c r="J37">
        <f t="shared" si="3"/>
        <v>100</v>
      </c>
      <c r="K37" s="34">
        <f t="shared" si="4"/>
        <v>100</v>
      </c>
      <c r="L37" s="34">
        <f t="shared" si="5"/>
        <v>0</v>
      </c>
      <c r="M37" s="33">
        <f t="shared" si="1"/>
        <v>0</v>
      </c>
      <c r="N37" s="33">
        <f t="shared" si="2"/>
        <v>0</v>
      </c>
      <c r="R37" s="3"/>
      <c r="S37" s="3"/>
      <c r="T37" s="3"/>
      <c r="U37" s="3"/>
      <c r="V37" s="3"/>
    </row>
    <row r="38" spans="1:22">
      <c r="A38" t="s">
        <v>235</v>
      </c>
      <c r="B38" s="3"/>
      <c r="C38" s="3"/>
      <c r="D38" s="3"/>
      <c r="E38" s="3"/>
      <c r="F38" s="3"/>
      <c r="G38" s="3"/>
      <c r="H38" s="3"/>
      <c r="I38" s="3"/>
      <c r="J38">
        <f t="shared" si="3"/>
        <v>100</v>
      </c>
      <c r="K38" s="34">
        <f t="shared" si="4"/>
        <v>100</v>
      </c>
      <c r="L38" s="34">
        <f t="shared" si="5"/>
        <v>0</v>
      </c>
      <c r="M38" s="33">
        <f t="shared" si="1"/>
        <v>0</v>
      </c>
      <c r="N38" s="33">
        <f t="shared" si="2"/>
        <v>0</v>
      </c>
      <c r="R38" s="3"/>
      <c r="S38" s="3"/>
      <c r="T38" s="3"/>
      <c r="U38" s="3"/>
      <c r="V38" s="3"/>
    </row>
    <row r="39" spans="1:22">
      <c r="A39" t="s">
        <v>236</v>
      </c>
      <c r="B39" s="36">
        <v>1.42</v>
      </c>
      <c r="C39" s="36">
        <v>0</v>
      </c>
      <c r="D39" s="36">
        <v>9.68</v>
      </c>
      <c r="E39" s="36">
        <v>0</v>
      </c>
      <c r="F39" s="36">
        <v>0</v>
      </c>
      <c r="G39" s="36">
        <v>77.790000000000006</v>
      </c>
      <c r="H39" s="36"/>
      <c r="I39" s="36">
        <v>9.18</v>
      </c>
      <c r="J39">
        <f>100-SUM(B39:I39)-SUM(R39:V39)</f>
        <v>0.90000000000000679</v>
      </c>
      <c r="K39" s="34">
        <f t="shared" si="4"/>
        <v>98.409676335535877</v>
      </c>
      <c r="L39" s="34">
        <f t="shared" si="5"/>
        <v>87.120618210325901</v>
      </c>
      <c r="M39" s="33">
        <f t="shared" si="1"/>
        <v>0</v>
      </c>
      <c r="N39" s="33">
        <f t="shared" si="2"/>
        <v>0</v>
      </c>
      <c r="R39" s="3">
        <v>1.03</v>
      </c>
      <c r="S39" s="3"/>
      <c r="T39" s="3"/>
      <c r="U39" s="3"/>
      <c r="V39" s="3"/>
    </row>
    <row r="40" spans="1:22">
      <c r="A40" t="s">
        <v>237</v>
      </c>
      <c r="B40" s="36">
        <v>0.81</v>
      </c>
      <c r="C40" s="36">
        <v>0</v>
      </c>
      <c r="D40" s="36">
        <v>12.09</v>
      </c>
      <c r="E40" s="36">
        <v>0</v>
      </c>
      <c r="F40" s="36">
        <v>0</v>
      </c>
      <c r="G40" s="36">
        <v>81.430000000000007</v>
      </c>
      <c r="H40" s="36"/>
      <c r="I40" s="36">
        <v>4.54</v>
      </c>
      <c r="J40">
        <f t="shared" si="3"/>
        <v>0.68999999999998129</v>
      </c>
      <c r="K40" s="34">
        <f t="shared" si="4"/>
        <v>99.073968217674633</v>
      </c>
      <c r="L40" s="34">
        <f t="shared" si="5"/>
        <v>93.094775351549117</v>
      </c>
      <c r="M40" s="33">
        <f t="shared" si="1"/>
        <v>0</v>
      </c>
      <c r="N40" s="33">
        <f t="shared" si="2"/>
        <v>0</v>
      </c>
      <c r="R40" s="3">
        <v>0.44</v>
      </c>
      <c r="S40" s="3"/>
      <c r="T40" s="3"/>
      <c r="U40" s="3"/>
      <c r="V40" s="3"/>
    </row>
    <row r="41" spans="1:22">
      <c r="A41" t="s">
        <v>238</v>
      </c>
      <c r="B41" s="3"/>
      <c r="C41" s="3"/>
      <c r="D41" s="3"/>
      <c r="E41" s="3"/>
      <c r="F41" s="3"/>
      <c r="G41" s="3"/>
      <c r="H41" s="3"/>
      <c r="I41" s="3"/>
      <c r="J41">
        <f t="shared" si="3"/>
        <v>100</v>
      </c>
      <c r="K41" s="34">
        <f t="shared" si="4"/>
        <v>100</v>
      </c>
      <c r="L41" s="34">
        <f t="shared" si="5"/>
        <v>0</v>
      </c>
      <c r="M41" s="33">
        <f t="shared" si="1"/>
        <v>0</v>
      </c>
      <c r="N41" s="33">
        <f t="shared" si="2"/>
        <v>0</v>
      </c>
      <c r="R41" s="3"/>
      <c r="S41" s="3"/>
      <c r="T41" s="3"/>
      <c r="U41" s="3"/>
      <c r="V41" s="3"/>
    </row>
    <row r="42" spans="1:22">
      <c r="A42" t="s">
        <v>239</v>
      </c>
      <c r="B42" s="3"/>
      <c r="C42" s="3"/>
      <c r="D42" s="3"/>
      <c r="E42" s="3"/>
      <c r="F42" s="3"/>
      <c r="G42" s="3"/>
      <c r="H42" s="3"/>
      <c r="I42" s="3"/>
      <c r="J42">
        <f t="shared" si="3"/>
        <v>100</v>
      </c>
      <c r="K42" s="34">
        <f t="shared" si="4"/>
        <v>100</v>
      </c>
      <c r="L42" s="34">
        <f t="shared" si="5"/>
        <v>0</v>
      </c>
      <c r="M42" s="33">
        <f t="shared" si="1"/>
        <v>0</v>
      </c>
      <c r="N42" s="33">
        <f t="shared" si="2"/>
        <v>0</v>
      </c>
      <c r="R42" s="3"/>
      <c r="S42" s="3"/>
      <c r="T42" s="3"/>
      <c r="U42" s="3"/>
      <c r="V42" s="3"/>
    </row>
    <row r="43" spans="1:22">
      <c r="A43" t="s">
        <v>240</v>
      </c>
      <c r="B43" s="3"/>
      <c r="C43" s="3"/>
      <c r="D43" s="3"/>
      <c r="E43" s="3"/>
      <c r="F43" s="3"/>
      <c r="G43" s="3"/>
      <c r="H43" s="3"/>
      <c r="I43" s="3"/>
      <c r="J43">
        <f t="shared" si="3"/>
        <v>100</v>
      </c>
      <c r="K43" s="34">
        <f t="shared" si="4"/>
        <v>100</v>
      </c>
      <c r="L43" s="34">
        <f t="shared" si="5"/>
        <v>0</v>
      </c>
      <c r="M43" s="33">
        <f t="shared" si="1"/>
        <v>0</v>
      </c>
      <c r="N43" s="33">
        <f t="shared" si="2"/>
        <v>0</v>
      </c>
      <c r="R43" s="3"/>
      <c r="S43" s="3"/>
      <c r="T43" s="3"/>
      <c r="U43" s="3"/>
      <c r="V43" s="3"/>
    </row>
    <row r="44" spans="1:22">
      <c r="A44" t="s">
        <v>241</v>
      </c>
      <c r="B44" s="3"/>
      <c r="C44" s="3"/>
      <c r="D44" s="3"/>
      <c r="E44" s="3"/>
      <c r="F44" s="3"/>
      <c r="G44" s="3"/>
      <c r="H44" s="3"/>
      <c r="I44" s="3"/>
      <c r="J44">
        <f t="shared" si="3"/>
        <v>100</v>
      </c>
      <c r="K44" s="34">
        <f t="shared" si="4"/>
        <v>100</v>
      </c>
      <c r="L44" s="34">
        <f t="shared" si="5"/>
        <v>0</v>
      </c>
      <c r="M44" s="33">
        <f t="shared" si="1"/>
        <v>0</v>
      </c>
      <c r="N44" s="33">
        <f t="shared" si="2"/>
        <v>0</v>
      </c>
      <c r="R44" s="3"/>
      <c r="S44" s="3"/>
      <c r="T44" s="3"/>
      <c r="U44" s="3"/>
      <c r="V44" s="3"/>
    </row>
    <row r="45" spans="1:22">
      <c r="A45" t="s">
        <v>242</v>
      </c>
      <c r="B45" s="36">
        <v>0</v>
      </c>
      <c r="C45" s="36">
        <v>52.82</v>
      </c>
      <c r="D45" s="36">
        <v>44.31</v>
      </c>
      <c r="E45" s="36">
        <v>0</v>
      </c>
      <c r="F45" s="36">
        <v>0</v>
      </c>
      <c r="G45" s="36">
        <v>2.14</v>
      </c>
      <c r="H45" s="36">
        <v>0</v>
      </c>
      <c r="I45" s="36">
        <v>0.31</v>
      </c>
      <c r="J45">
        <f t="shared" si="3"/>
        <v>0.40000000000000169</v>
      </c>
      <c r="K45" s="34">
        <f t="shared" si="4"/>
        <v>5.1194539249146791</v>
      </c>
      <c r="L45" s="34">
        <f t="shared" si="5"/>
        <v>3.8440811927429492</v>
      </c>
      <c r="M45" s="33">
        <f t="shared" si="1"/>
        <v>0</v>
      </c>
      <c r="N45" s="33">
        <f t="shared" si="2"/>
        <v>0</v>
      </c>
      <c r="R45" s="3">
        <v>0.02</v>
      </c>
      <c r="S45" s="3"/>
      <c r="T45" s="3"/>
      <c r="U45" s="3"/>
      <c r="V45" s="3"/>
    </row>
    <row r="46" spans="1:22">
      <c r="A46" t="s">
        <v>243</v>
      </c>
      <c r="B46" s="36">
        <v>0</v>
      </c>
      <c r="C46" s="36">
        <v>53.92</v>
      </c>
      <c r="D46" s="36">
        <v>44.92</v>
      </c>
      <c r="E46" s="36">
        <v>0</v>
      </c>
      <c r="F46" s="36">
        <v>0</v>
      </c>
      <c r="G46" s="36">
        <v>0.89</v>
      </c>
      <c r="H46" s="36">
        <v>0</v>
      </c>
      <c r="I46" s="36">
        <v>0.14000000000000001</v>
      </c>
      <c r="J46">
        <f t="shared" si="3"/>
        <v>0.12999999999999545</v>
      </c>
      <c r="K46" s="34">
        <f t="shared" si="4"/>
        <v>2.1060275962236665</v>
      </c>
      <c r="L46" s="34">
        <f t="shared" si="5"/>
        <v>1.6158315177923022</v>
      </c>
      <c r="M46" s="33">
        <f t="shared" si="1"/>
        <v>0</v>
      </c>
      <c r="N46" s="33">
        <f t="shared" si="2"/>
        <v>0</v>
      </c>
      <c r="R46" s="3"/>
      <c r="S46" s="3"/>
      <c r="T46" s="3"/>
      <c r="U46" s="3"/>
      <c r="V46" s="3"/>
    </row>
    <row r="47" spans="1:22">
      <c r="A47" t="s">
        <v>244</v>
      </c>
      <c r="B47" s="3">
        <v>0</v>
      </c>
      <c r="C47" s="3">
        <v>51.8</v>
      </c>
      <c r="D47" s="3">
        <v>44.74</v>
      </c>
      <c r="E47" s="3">
        <v>0</v>
      </c>
      <c r="F47" s="3">
        <v>0</v>
      </c>
      <c r="G47" s="3">
        <v>2.68</v>
      </c>
      <c r="H47" s="3">
        <v>0</v>
      </c>
      <c r="I47" s="3">
        <v>0.36</v>
      </c>
      <c r="J47">
        <f t="shared" si="3"/>
        <v>0.39000000000000168</v>
      </c>
      <c r="K47" s="34">
        <f t="shared" si="4"/>
        <v>6.210392902408115</v>
      </c>
      <c r="L47" s="34">
        <f t="shared" si="5"/>
        <v>4.8524352706862217</v>
      </c>
      <c r="M47" s="33">
        <f t="shared" si="1"/>
        <v>0</v>
      </c>
      <c r="N47" s="33">
        <f t="shared" si="2"/>
        <v>0</v>
      </c>
      <c r="R47" s="3">
        <v>0.03</v>
      </c>
      <c r="S47" s="3"/>
      <c r="T47" s="3"/>
      <c r="U47" s="3"/>
      <c r="V47" s="3"/>
    </row>
    <row r="48" spans="1:22">
      <c r="A48" t="s">
        <v>245</v>
      </c>
      <c r="B48" s="3">
        <v>0</v>
      </c>
      <c r="C48" s="3">
        <v>53.4</v>
      </c>
      <c r="D48" s="3">
        <v>45.23</v>
      </c>
      <c r="E48" s="3">
        <v>0</v>
      </c>
      <c r="F48" s="3">
        <v>0</v>
      </c>
      <c r="G48" s="3">
        <v>1.07</v>
      </c>
      <c r="H48" s="3">
        <v>0</v>
      </c>
      <c r="I48" s="3">
        <v>0.17</v>
      </c>
      <c r="J48">
        <f t="shared" si="3"/>
        <v>0.13000000000000966</v>
      </c>
      <c r="K48" s="34">
        <f t="shared" si="4"/>
        <v>2.5013693627898657</v>
      </c>
      <c r="L48" s="34">
        <f t="shared" si="5"/>
        <v>1.9536242468504652</v>
      </c>
      <c r="M48" s="33">
        <f t="shared" si="1"/>
        <v>0</v>
      </c>
      <c r="N48" s="33">
        <f t="shared" si="2"/>
        <v>0</v>
      </c>
      <c r="R48" s="3">
        <v>0</v>
      </c>
      <c r="S48" s="3"/>
      <c r="T48" s="3"/>
      <c r="U48" s="3"/>
      <c r="V48" s="3"/>
    </row>
    <row r="49" spans="1:22">
      <c r="B49" s="3"/>
      <c r="C49" s="3"/>
      <c r="D49" s="3"/>
      <c r="E49" s="3"/>
      <c r="F49" s="3"/>
      <c r="G49" s="3"/>
      <c r="H49" s="3"/>
      <c r="I49" s="3"/>
      <c r="J49">
        <f t="shared" si="3"/>
        <v>100</v>
      </c>
      <c r="K49" s="34">
        <f t="shared" si="4"/>
        <v>100</v>
      </c>
      <c r="L49" s="34">
        <f t="shared" si="5"/>
        <v>0</v>
      </c>
      <c r="M49" s="33">
        <f t="shared" si="1"/>
        <v>0</v>
      </c>
      <c r="N49" s="33">
        <f t="shared" si="2"/>
        <v>0</v>
      </c>
      <c r="R49" s="3"/>
      <c r="S49" s="3"/>
      <c r="T49" s="3"/>
      <c r="U49" s="3"/>
      <c r="V49" s="3"/>
    </row>
    <row r="50" spans="1:22">
      <c r="A50" t="s">
        <v>246</v>
      </c>
      <c r="B50" s="3"/>
      <c r="C50" s="3"/>
      <c r="D50" s="3"/>
      <c r="E50" s="3"/>
      <c r="F50" s="3"/>
      <c r="G50" s="3"/>
      <c r="H50" s="3"/>
      <c r="I50" s="3"/>
      <c r="J50">
        <f t="shared" si="3"/>
        <v>100</v>
      </c>
      <c r="K50" s="34">
        <f t="shared" si="4"/>
        <v>100</v>
      </c>
      <c r="L50" s="34">
        <f t="shared" si="5"/>
        <v>0</v>
      </c>
      <c r="M50" s="33">
        <f t="shared" si="1"/>
        <v>0</v>
      </c>
      <c r="N50" s="33">
        <f t="shared" si="2"/>
        <v>0</v>
      </c>
      <c r="R50" s="3"/>
      <c r="S50" s="3"/>
      <c r="T50" s="3"/>
      <c r="U50" s="3"/>
      <c r="V50" s="3"/>
    </row>
  </sheetData>
  <conditionalFormatting sqref="K3:K50">
    <cfRule type="iconSet" priority="3">
      <iconSet>
        <cfvo type="percent" val="0"/>
        <cfvo type="percent" val="50"/>
        <cfvo type="percent" val="90"/>
      </iconSet>
    </cfRule>
  </conditionalFormatting>
  <conditionalFormatting sqref="L3:N50">
    <cfRule type="iconSet" priority="2">
      <iconSet>
        <cfvo type="percent" val="0"/>
        <cfvo type="num" val="30"/>
        <cfvo type="num" val="60"/>
      </iconSet>
    </cfRule>
  </conditionalFormatting>
  <conditionalFormatting sqref="J3:J50">
    <cfRule type="iconSet" priority="1">
      <iconSet reverse="1">
        <cfvo type="percent" val="0"/>
        <cfvo type="num" val="1"/>
        <cfvo type="num" val="2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01614F5E3BD44D88B33D12C6DB3ED3" ma:contentTypeVersion="16" ma:contentTypeDescription="Create a new document." ma:contentTypeScope="" ma:versionID="355c89797a746212168ac3a917337747">
  <xsd:schema xmlns:xsd="http://www.w3.org/2001/XMLSchema" xmlns:xs="http://www.w3.org/2001/XMLSchema" xmlns:p="http://schemas.microsoft.com/office/2006/metadata/properties" xmlns:ns2="cf130514-ff48-46bf-88ff-d692fa5f132a" xmlns:ns3="b2c08957-0585-46c2-8b5f-633d6c5df5e3" targetNamespace="http://schemas.microsoft.com/office/2006/metadata/properties" ma:root="true" ma:fieldsID="db99c725005a5cb19d00c91c740a8c16" ns2:_="" ns3:_="">
    <xsd:import namespace="cf130514-ff48-46bf-88ff-d692fa5f132a"/>
    <xsd:import namespace="b2c08957-0585-46c2-8b5f-633d6c5df5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30514-ff48-46bf-88ff-d692fa5f13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8dda6bb-520e-42c9-b1d9-a1eda62eff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08957-0585-46c2-8b5f-633d6c5df5e3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35d120f-1a58-4c39-8367-2b43b97d71e2}" ma:internalName="TaxCatchAll" ma:showField="CatchAllData" ma:web="b2c08957-0585-46c2-8b5f-633d6c5df5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c08957-0585-46c2-8b5f-633d6c5df5e3" xsi:nil="true"/>
    <lcf76f155ced4ddcb4097134ff3c332f xmlns="cf130514-ff48-46bf-88ff-d692fa5f132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D602DD1-86F0-4397-AE9D-F59007C0A5EA}"/>
</file>

<file path=customXml/itemProps2.xml><?xml version="1.0" encoding="utf-8"?>
<ds:datastoreItem xmlns:ds="http://schemas.openxmlformats.org/officeDocument/2006/customXml" ds:itemID="{F7458DF7-EB28-4FED-896E-6D7F2D9BA172}"/>
</file>

<file path=customXml/itemProps3.xml><?xml version="1.0" encoding="utf-8"?>
<ds:datastoreItem xmlns:ds="http://schemas.openxmlformats.org/officeDocument/2006/customXml" ds:itemID="{9182D511-C595-48F6-A1C1-62CDEC51B3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Kahan</dc:creator>
  <cp:keywords/>
  <dc:description/>
  <cp:lastModifiedBy>Emily Callard-Langdon</cp:lastModifiedBy>
  <cp:revision/>
  <dcterms:created xsi:type="dcterms:W3CDTF">2022-03-02T13:01:03Z</dcterms:created>
  <dcterms:modified xsi:type="dcterms:W3CDTF">2022-10-14T10:44:20Z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0x0101000F01614F5E3BD44D88B33D12C6DB3ED3</vt:lpwstr>
  </property>
  <property fmtid="{D5CDD505-2E9C-101B-9397-08002B2CF9AE}" pid="3" name="MediaServiceImageTags">
    <vt:lpwstr/>
  </property>
</Properties>
</file>