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atsciltd.sharepoint.com/sites/Reata/Shared Documents/RTA 901 Suzuki Screening and Optimization/05 - Experimental/"/>
    </mc:Choice>
  </mc:AlternateContent>
  <xr:revisionPtr revIDLastSave="397" documentId="8_{2B4FCCD8-35E5-4B19-9149-4916D871F068}" xr6:coauthVersionLast="47" xr6:coauthVersionMax="47" xr10:uidLastSave="{BBF2491C-34FE-4BD4-8CDA-A1C9E08F4101}"/>
  <bookViews>
    <workbookView xWindow="-108" yWindow="-108" windowWidth="23256" windowHeight="12576" activeTab="2" xr2:uid="{CC241E92-57FF-4F39-8FDB-5A2470B8EB1D}"/>
  </bookViews>
  <sheets>
    <sheet name="Screen Plate (image only)" sheetId="9" r:id="rId1"/>
    <sheet name="Screen Plate Costs" sheetId="10" r:id="rId2"/>
    <sheet name="Screen Plate Costing" sheetId="11" r:id="rId3"/>
    <sheet name="Screen Plate" sheetId="1" r:id="rId4"/>
    <sheet name="Calculations" sheetId="2" r:id="rId5"/>
    <sheet name="UPLC Data (iClass)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I20" i="1"/>
  <c r="R5" i="2"/>
  <c r="R4" i="2"/>
  <c r="X39" i="2"/>
  <c r="V36" i="2"/>
  <c r="Y39" i="2"/>
  <c r="W39" i="2"/>
  <c r="V39" i="2"/>
  <c r="Y38" i="2"/>
  <c r="W38" i="2"/>
  <c r="V38" i="2"/>
  <c r="Y37" i="2"/>
  <c r="W37" i="2"/>
  <c r="V37" i="2"/>
  <c r="Y36" i="2"/>
  <c r="W36" i="2"/>
  <c r="U22" i="2"/>
  <c r="U21" i="2"/>
  <c r="U18" i="2"/>
  <c r="U17" i="2"/>
  <c r="U14" i="2"/>
  <c r="U13" i="2"/>
  <c r="U10" i="2"/>
  <c r="U9" i="2"/>
  <c r="U6" i="2"/>
  <c r="U5" i="2"/>
  <c r="O29" i="2"/>
  <c r="N28" i="2"/>
  <c r="P25" i="2"/>
  <c r="Y25" i="11"/>
  <c r="Y24" i="11"/>
  <c r="Y23" i="11"/>
  <c r="S25" i="11"/>
  <c r="S24" i="11"/>
  <c r="S23" i="11"/>
  <c r="M24" i="11"/>
  <c r="M25" i="11"/>
  <c r="M23" i="11"/>
  <c r="G25" i="11"/>
  <c r="F25" i="11" s="1"/>
  <c r="G24" i="11"/>
  <c r="F24" i="11" s="1"/>
  <c r="G23" i="11"/>
  <c r="F23" i="11" s="1"/>
  <c r="X6" i="11"/>
  <c r="Y6" i="11" s="1"/>
  <c r="AA6" i="11" s="1"/>
  <c r="X5" i="11"/>
  <c r="Y5" i="11" s="1"/>
  <c r="AA5" i="11" s="1"/>
  <c r="R6" i="11"/>
  <c r="S6" i="11" s="1"/>
  <c r="U6" i="11" s="1"/>
  <c r="R5" i="11"/>
  <c r="S5" i="11" s="1"/>
  <c r="U5" i="11" s="1"/>
  <c r="M6" i="11"/>
  <c r="O6" i="11" s="1"/>
  <c r="L6" i="11"/>
  <c r="L5" i="11"/>
  <c r="M5" i="11" s="1"/>
  <c r="O5" i="11" s="1"/>
  <c r="X19" i="11"/>
  <c r="Y19" i="11" s="1"/>
  <c r="X18" i="11"/>
  <c r="Y18" i="11" s="1"/>
  <c r="X17" i="11"/>
  <c r="Y17" i="11" s="1"/>
  <c r="Y14" i="11"/>
  <c r="X14" i="11"/>
  <c r="X13" i="11"/>
  <c r="Y13" i="11" s="1"/>
  <c r="Y12" i="11"/>
  <c r="X12" i="11"/>
  <c r="X9" i="11"/>
  <c r="Y9" i="11" s="1"/>
  <c r="S19" i="11"/>
  <c r="R19" i="11"/>
  <c r="R13" i="11"/>
  <c r="S13" i="11" s="1"/>
  <c r="S18" i="11"/>
  <c r="R18" i="11"/>
  <c r="R17" i="11"/>
  <c r="S17" i="11" s="1"/>
  <c r="R14" i="11"/>
  <c r="S14" i="11" s="1"/>
  <c r="R12" i="11"/>
  <c r="S12" i="11" s="1"/>
  <c r="M17" i="11"/>
  <c r="L19" i="11"/>
  <c r="M19" i="11" s="1"/>
  <c r="M18" i="11"/>
  <c r="L18" i="11"/>
  <c r="L17" i="11"/>
  <c r="L13" i="11"/>
  <c r="M13" i="11" s="1"/>
  <c r="L14" i="11"/>
  <c r="M14" i="11" s="1"/>
  <c r="L12" i="11"/>
  <c r="M12" i="11" s="1"/>
  <c r="R9" i="11"/>
  <c r="S9" i="11"/>
  <c r="L9" i="11"/>
  <c r="M9" i="11" s="1"/>
  <c r="G27" i="11"/>
  <c r="G26" i="11"/>
  <c r="H4" i="11"/>
  <c r="AA25" i="11" l="1"/>
  <c r="AA24" i="11"/>
  <c r="O23" i="11"/>
  <c r="O25" i="11"/>
  <c r="O24" i="11"/>
  <c r="U23" i="11"/>
  <c r="U24" i="11"/>
  <c r="U25" i="11"/>
  <c r="AA23" i="11"/>
  <c r="M29" i="2"/>
  <c r="M28" i="2"/>
  <c r="Q29" i="2"/>
  <c r="Q28" i="2"/>
  <c r="P29" i="2"/>
  <c r="P28" i="2"/>
  <c r="W43" i="2"/>
  <c r="V43" i="2" s="1"/>
  <c r="W42" i="2"/>
  <c r="V42" i="2" s="1"/>
  <c r="H12" i="11"/>
  <c r="H5" i="11"/>
  <c r="H9" i="11"/>
  <c r="AA9" i="11" s="1"/>
  <c r="H18" i="11"/>
  <c r="H6" i="11"/>
  <c r="G6" i="11" s="1"/>
  <c r="H14" i="11"/>
  <c r="G4" i="11"/>
  <c r="G28" i="11" s="1"/>
  <c r="H17" i="11"/>
  <c r="AA17" i="11" s="1"/>
  <c r="H19" i="11"/>
  <c r="H13" i="11"/>
  <c r="U19" i="11" l="1"/>
  <c r="O19" i="11"/>
  <c r="AA19" i="11"/>
  <c r="G14" i="11"/>
  <c r="AA14" i="11"/>
  <c r="O14" i="11"/>
  <c r="U14" i="11"/>
  <c r="O13" i="11"/>
  <c r="U13" i="11"/>
  <c r="AA13" i="11"/>
  <c r="U17" i="11"/>
  <c r="O17" i="11"/>
  <c r="AA18" i="11"/>
  <c r="U18" i="11"/>
  <c r="O18" i="11"/>
  <c r="U9" i="11"/>
  <c r="O9" i="11"/>
  <c r="AA12" i="11"/>
  <c r="O12" i="11"/>
  <c r="U12" i="11"/>
  <c r="G18" i="11"/>
  <c r="F18" i="11"/>
  <c r="F6" i="11"/>
  <c r="G9" i="11"/>
  <c r="F9" i="11"/>
  <c r="F14" i="11"/>
  <c r="G5" i="11"/>
  <c r="F5" i="11"/>
  <c r="F12" i="11"/>
  <c r="G12" i="11"/>
  <c r="G17" i="11"/>
  <c r="F17" i="11"/>
  <c r="G13" i="11"/>
  <c r="F13" i="11"/>
  <c r="G19" i="11"/>
  <c r="F19" i="11"/>
  <c r="B4" i="10" l="1"/>
  <c r="B2" i="10"/>
  <c r="I46" i="2"/>
  <c r="K46" i="2" s="1"/>
  <c r="B16" i="10"/>
  <c r="B14" i="10"/>
  <c r="I50" i="2"/>
  <c r="K51" i="2" s="1"/>
  <c r="I55" i="2"/>
  <c r="K55" i="2" s="1"/>
  <c r="I54" i="2"/>
  <c r="K54" i="2" s="1"/>
  <c r="I49" i="2"/>
  <c r="K49" i="2" s="1"/>
  <c r="H28" i="2"/>
  <c r="H27" i="2"/>
  <c r="J39" i="7" l="1"/>
  <c r="K39" i="7" s="1"/>
  <c r="H4" i="1" s="1"/>
  <c r="F6" i="10"/>
  <c r="D6" i="10"/>
  <c r="B6" i="10"/>
  <c r="F4" i="10"/>
  <c r="D4" i="10"/>
  <c r="F44" i="2"/>
  <c r="G44" i="2" s="1"/>
  <c r="F2" i="10"/>
  <c r="D2" i="10"/>
  <c r="F49" i="2"/>
  <c r="G49" i="2" s="1"/>
  <c r="F45" i="2"/>
  <c r="G45" i="2" s="1"/>
  <c r="F46" i="2"/>
  <c r="G46" i="2" s="1"/>
  <c r="F50" i="2"/>
  <c r="G50" i="2" s="1"/>
  <c r="F51" i="2"/>
  <c r="G51" i="2" s="1"/>
  <c r="F54" i="2"/>
  <c r="F55" i="2"/>
  <c r="G55" i="2" s="1"/>
  <c r="F56" i="2"/>
  <c r="G56" i="2" s="1"/>
  <c r="J4" i="7"/>
  <c r="K4" i="7" s="1"/>
  <c r="J5" i="7"/>
  <c r="L5" i="7" s="1"/>
  <c r="J6" i="7"/>
  <c r="K6" i="7" s="1"/>
  <c r="J7" i="7"/>
  <c r="K7" i="7" s="1"/>
  <c r="J8" i="7"/>
  <c r="L8" i="7" s="1"/>
  <c r="B25" i="1" s="1"/>
  <c r="J9" i="7"/>
  <c r="K9" i="7" s="1"/>
  <c r="J10" i="7"/>
  <c r="K10" i="7" s="1"/>
  <c r="J11" i="7"/>
  <c r="L11" i="7" s="1"/>
  <c r="J12" i="7"/>
  <c r="L12" i="7" s="1"/>
  <c r="J13" i="7"/>
  <c r="K13" i="7" s="1"/>
  <c r="J14" i="7"/>
  <c r="K14" i="7" s="1"/>
  <c r="C24" i="1" s="1"/>
  <c r="J15" i="7"/>
  <c r="K15" i="7" s="1"/>
  <c r="J16" i="7"/>
  <c r="K16" i="7" s="1"/>
  <c r="J17" i="7"/>
  <c r="K17" i="7" s="1"/>
  <c r="J18" i="7"/>
  <c r="K18" i="7" s="1"/>
  <c r="J19" i="7"/>
  <c r="L19" i="7" s="1"/>
  <c r="J20" i="7"/>
  <c r="K20" i="7" s="1"/>
  <c r="D24" i="1" s="1"/>
  <c r="J21" i="7"/>
  <c r="L21" i="7" s="1"/>
  <c r="J22" i="7"/>
  <c r="L22" i="7" s="1"/>
  <c r="J23" i="7"/>
  <c r="K23" i="7" s="1"/>
  <c r="J24" i="7"/>
  <c r="K24" i="7" s="1"/>
  <c r="J25" i="7"/>
  <c r="K25" i="7" s="1"/>
  <c r="J26" i="7"/>
  <c r="K26" i="7" s="1"/>
  <c r="E24" i="1" s="1"/>
  <c r="J27" i="7"/>
  <c r="K27" i="7" s="1"/>
  <c r="F4" i="1" s="1"/>
  <c r="J28" i="7"/>
  <c r="K28" i="7" s="1"/>
  <c r="F8" i="1" s="1"/>
  <c r="J29" i="7"/>
  <c r="K29" i="7" s="1"/>
  <c r="J30" i="7"/>
  <c r="L30" i="7" s="1"/>
  <c r="J31" i="7"/>
  <c r="K31" i="7" s="1"/>
  <c r="F20" i="1" s="1"/>
  <c r="J32" i="7"/>
  <c r="K32" i="7" s="1"/>
  <c r="F24" i="1" s="1"/>
  <c r="J33" i="7"/>
  <c r="K33" i="7" s="1"/>
  <c r="G4" i="1" s="1"/>
  <c r="J34" i="7"/>
  <c r="K34" i="7" s="1"/>
  <c r="G8" i="1" s="1"/>
  <c r="J35" i="7"/>
  <c r="K35" i="7" s="1"/>
  <c r="G12" i="1" s="1"/>
  <c r="J36" i="7"/>
  <c r="K36" i="7" s="1"/>
  <c r="G16" i="1" s="1"/>
  <c r="J37" i="7"/>
  <c r="K37" i="7" s="1"/>
  <c r="G20" i="1" s="1"/>
  <c r="J38" i="7"/>
  <c r="K38" i="7" s="1"/>
  <c r="G24" i="1" s="1"/>
  <c r="J40" i="7"/>
  <c r="L40" i="7" s="1"/>
  <c r="H9" i="1" s="1"/>
  <c r="J41" i="7"/>
  <c r="K41" i="7" s="1"/>
  <c r="H12" i="1" s="1"/>
  <c r="J42" i="7"/>
  <c r="K42" i="7" s="1"/>
  <c r="H16" i="1" s="1"/>
  <c r="J43" i="7"/>
  <c r="K43" i="7" s="1"/>
  <c r="J44" i="7"/>
  <c r="K44" i="7" s="1"/>
  <c r="H24" i="1" s="1"/>
  <c r="J45" i="7"/>
  <c r="K45" i="7" s="1"/>
  <c r="I4" i="1" s="1"/>
  <c r="J46" i="7"/>
  <c r="K46" i="7" s="1"/>
  <c r="I8" i="1" s="1"/>
  <c r="J47" i="7"/>
  <c r="K47" i="7" s="1"/>
  <c r="J48" i="7"/>
  <c r="L48" i="7" s="1"/>
  <c r="J49" i="7"/>
  <c r="K49" i="7" s="1"/>
  <c r="J50" i="7"/>
  <c r="K50" i="7" s="1"/>
  <c r="I24" i="1" s="1"/>
  <c r="J3" i="7"/>
  <c r="K3" i="7" s="1"/>
  <c r="I12" i="1" l="1"/>
  <c r="F17" i="1"/>
  <c r="F12" i="1"/>
  <c r="I17" i="1"/>
  <c r="L42" i="7"/>
  <c r="H17" i="1" s="1"/>
  <c r="K11" i="7"/>
  <c r="K40" i="7"/>
  <c r="H8" i="1" s="1"/>
  <c r="L16" i="7"/>
  <c r="K21" i="7"/>
  <c r="L39" i="7"/>
  <c r="H5" i="1" s="1"/>
  <c r="L18" i="7"/>
  <c r="K5" i="7"/>
  <c r="L10" i="7"/>
  <c r="L4" i="7"/>
  <c r="K30" i="7"/>
  <c r="L17" i="7"/>
  <c r="L29" i="7"/>
  <c r="L28" i="7"/>
  <c r="F9" i="1" s="1"/>
  <c r="K48" i="7"/>
  <c r="L15" i="7"/>
  <c r="L47" i="7"/>
  <c r="L27" i="7"/>
  <c r="F5" i="1" s="1"/>
  <c r="K12" i="7"/>
  <c r="L46" i="7"/>
  <c r="I9" i="1" s="1"/>
  <c r="K22" i="7"/>
  <c r="L36" i="7"/>
  <c r="G17" i="1" s="1"/>
  <c r="L45" i="7"/>
  <c r="I5" i="1" s="1"/>
  <c r="L35" i="7"/>
  <c r="G13" i="1" s="1"/>
  <c r="L34" i="7"/>
  <c r="G9" i="1" s="1"/>
  <c r="L24" i="7"/>
  <c r="L41" i="7"/>
  <c r="H13" i="1" s="1"/>
  <c r="L33" i="7"/>
  <c r="G5" i="1" s="1"/>
  <c r="L23" i="7"/>
  <c r="L9" i="7"/>
  <c r="L7" i="7"/>
  <c r="L6" i="7"/>
  <c r="L50" i="7"/>
  <c r="I25" i="1" s="1"/>
  <c r="L44" i="7"/>
  <c r="H25" i="1" s="1"/>
  <c r="L38" i="7"/>
  <c r="G25" i="1" s="1"/>
  <c r="L32" i="7"/>
  <c r="F25" i="1" s="1"/>
  <c r="L26" i="7"/>
  <c r="E25" i="1" s="1"/>
  <c r="L20" i="7"/>
  <c r="D25" i="1" s="1"/>
  <c r="L14" i="7"/>
  <c r="C25" i="1" s="1"/>
  <c r="K8" i="7"/>
  <c r="B24" i="1" s="1"/>
  <c r="L49" i="7"/>
  <c r="I21" i="1" s="1"/>
  <c r="L43" i="7"/>
  <c r="H21" i="1" s="1"/>
  <c r="L37" i="7"/>
  <c r="G21" i="1" s="1"/>
  <c r="L31" i="7"/>
  <c r="F21" i="1" s="1"/>
  <c r="L25" i="7"/>
  <c r="K19" i="7"/>
  <c r="L13" i="7"/>
  <c r="I16" i="1" l="1"/>
  <c r="F13" i="1"/>
  <c r="F16" i="1"/>
  <c r="I13" i="1"/>
  <c r="R11" i="2"/>
  <c r="P22" i="2"/>
  <c r="J22" i="2" s="1"/>
  <c r="P21" i="2"/>
  <c r="J21" i="2" s="1"/>
  <c r="P20" i="2"/>
  <c r="J20" i="2" s="1"/>
  <c r="P19" i="2"/>
  <c r="J19" i="2" s="1"/>
  <c r="P10" i="2"/>
  <c r="J10" i="2" s="1"/>
  <c r="P5" i="2" l="1"/>
  <c r="M4" i="2" l="1"/>
  <c r="B12" i="1"/>
  <c r="P7" i="2" l="1"/>
  <c r="P8" i="2"/>
  <c r="P9" i="2"/>
  <c r="P11" i="2"/>
  <c r="P12" i="2"/>
  <c r="P13" i="2"/>
  <c r="J13" i="2" s="1"/>
  <c r="P14" i="2"/>
  <c r="J14" i="2" s="1"/>
  <c r="P15" i="2"/>
  <c r="J15" i="2" s="1"/>
  <c r="P16" i="2"/>
  <c r="J16" i="2" s="1"/>
  <c r="J7" i="2" l="1"/>
  <c r="H25" i="2" l="1"/>
  <c r="G25" i="2" s="1"/>
  <c r="H26" i="2"/>
  <c r="G26" i="2" s="1"/>
  <c r="M50" i="7" l="1"/>
  <c r="N50" i="7"/>
  <c r="N44" i="7"/>
  <c r="M44" i="7"/>
  <c r="N38" i="7"/>
  <c r="M38" i="7"/>
  <c r="N32" i="7"/>
  <c r="M32" i="7"/>
  <c r="M26" i="7"/>
  <c r="N26" i="7"/>
  <c r="M20" i="7"/>
  <c r="N20" i="7"/>
  <c r="N14" i="7"/>
  <c r="M14" i="7"/>
  <c r="N49" i="7"/>
  <c r="M49" i="7"/>
  <c r="M43" i="7"/>
  <c r="N43" i="7"/>
  <c r="N37" i="7"/>
  <c r="M37" i="7"/>
  <c r="M31" i="7"/>
  <c r="N31" i="7"/>
  <c r="E21" i="1"/>
  <c r="M25" i="7"/>
  <c r="E20" i="1"/>
  <c r="N25" i="7"/>
  <c r="N19" i="7"/>
  <c r="D20" i="1"/>
  <c r="D21" i="1"/>
  <c r="M19" i="7"/>
  <c r="C21" i="1"/>
  <c r="C20" i="1"/>
  <c r="M13" i="7"/>
  <c r="N13" i="7"/>
  <c r="M48" i="7"/>
  <c r="N48" i="7"/>
  <c r="N42" i="7"/>
  <c r="M42" i="7"/>
  <c r="M36" i="7"/>
  <c r="N36" i="7"/>
  <c r="M30" i="7"/>
  <c r="N30" i="7"/>
  <c r="M24" i="7"/>
  <c r="E16" i="1"/>
  <c r="E17" i="1"/>
  <c r="N24" i="7"/>
  <c r="M18" i="7"/>
  <c r="N18" i="7"/>
  <c r="D16" i="1"/>
  <c r="D17" i="1"/>
  <c r="M12" i="7"/>
  <c r="C16" i="1"/>
  <c r="C17" i="1"/>
  <c r="N12" i="7"/>
  <c r="N47" i="7"/>
  <c r="M47" i="7"/>
  <c r="M41" i="7"/>
  <c r="N41" i="7"/>
  <c r="N35" i="7"/>
  <c r="M35" i="7"/>
  <c r="N29" i="7"/>
  <c r="M29" i="7"/>
  <c r="N23" i="7"/>
  <c r="E12" i="1"/>
  <c r="E13" i="1"/>
  <c r="M23" i="7"/>
  <c r="D13" i="1"/>
  <c r="D12" i="1"/>
  <c r="N17" i="7"/>
  <c r="M17" i="7"/>
  <c r="C12" i="1"/>
  <c r="M11" i="7"/>
  <c r="N11" i="7"/>
  <c r="C13" i="1"/>
  <c r="N46" i="7"/>
  <c r="M46" i="7"/>
  <c r="M40" i="7"/>
  <c r="N40" i="7"/>
  <c r="N34" i="7"/>
  <c r="M34" i="7"/>
  <c r="M28" i="7"/>
  <c r="N28" i="7"/>
  <c r="M22" i="7"/>
  <c r="E9" i="1"/>
  <c r="N22" i="7"/>
  <c r="E8" i="1"/>
  <c r="M16" i="7"/>
  <c r="N16" i="7"/>
  <c r="D9" i="1"/>
  <c r="D8" i="1"/>
  <c r="M10" i="7"/>
  <c r="N10" i="7"/>
  <c r="C8" i="1"/>
  <c r="C9" i="1"/>
  <c r="N45" i="7"/>
  <c r="M45" i="7"/>
  <c r="N39" i="7"/>
  <c r="M39" i="7"/>
  <c r="N33" i="7"/>
  <c r="M33" i="7"/>
  <c r="M27" i="7"/>
  <c r="N27" i="7"/>
  <c r="E4" i="1"/>
  <c r="E5" i="1"/>
  <c r="M21" i="7"/>
  <c r="N21" i="7"/>
  <c r="N15" i="7"/>
  <c r="D4" i="1"/>
  <c r="D5" i="1"/>
  <c r="M15" i="7"/>
  <c r="C4" i="1"/>
  <c r="C5" i="1"/>
  <c r="N9" i="7"/>
  <c r="M9" i="7"/>
  <c r="N8" i="7"/>
  <c r="M8" i="7"/>
  <c r="M7" i="7"/>
  <c r="B20" i="1"/>
  <c r="N7" i="7"/>
  <c r="B21" i="1"/>
  <c r="B16" i="1"/>
  <c r="B17" i="1"/>
  <c r="N6" i="7"/>
  <c r="M6" i="7"/>
  <c r="M5" i="7"/>
  <c r="N5" i="7"/>
  <c r="B13" i="1"/>
  <c r="N4" i="7"/>
  <c r="B8" i="1"/>
  <c r="M4" i="7"/>
  <c r="B9" i="1"/>
  <c r="P6" i="2"/>
  <c r="J6" i="2" s="1"/>
  <c r="J5" i="2"/>
  <c r="I4" i="2" l="1"/>
  <c r="P4" i="2"/>
  <c r="J4" i="2" s="1"/>
  <c r="I22" i="2" l="1"/>
  <c r="I21" i="2"/>
  <c r="I20" i="2"/>
  <c r="I19" i="2"/>
  <c r="I10" i="2"/>
  <c r="I14" i="2"/>
  <c r="I13" i="2"/>
  <c r="I15" i="2"/>
  <c r="I16" i="2"/>
  <c r="I5" i="2"/>
  <c r="I7" i="2"/>
  <c r="H4" i="2"/>
  <c r="I6" i="2"/>
  <c r="H19" i="2" l="1"/>
  <c r="G19" i="2"/>
  <c r="R19" i="2" s="1"/>
  <c r="G20" i="2"/>
  <c r="R20" i="2" s="1"/>
  <c r="H20" i="2"/>
  <c r="H21" i="2"/>
  <c r="G21" i="2"/>
  <c r="R21" i="2" s="1"/>
  <c r="H22" i="2"/>
  <c r="G22" i="2"/>
  <c r="H10" i="2"/>
  <c r="G10" i="2"/>
  <c r="R10" i="2" s="1"/>
  <c r="G13" i="2"/>
  <c r="R13" i="2" s="1"/>
  <c r="H13" i="2"/>
  <c r="G14" i="2"/>
  <c r="R14" i="2" s="1"/>
  <c r="H14" i="2"/>
  <c r="G5" i="2"/>
  <c r="H5" i="2"/>
  <c r="G16" i="2"/>
  <c r="R16" i="2" s="1"/>
  <c r="H16" i="2"/>
  <c r="G15" i="2"/>
  <c r="R15" i="2" s="1"/>
  <c r="H15" i="2"/>
  <c r="G7" i="2"/>
  <c r="H7" i="2"/>
  <c r="G6" i="2"/>
  <c r="H6" i="2"/>
  <c r="H29" i="2"/>
  <c r="B4" i="1"/>
  <c r="L3" i="7"/>
  <c r="B5" i="1" s="1"/>
  <c r="N3" i="7"/>
  <c r="M3" i="7"/>
  <c r="M22" i="2" l="1"/>
  <c r="R22" i="2"/>
  <c r="M21" i="2"/>
  <c r="M20" i="2"/>
  <c r="M19" i="2"/>
  <c r="M10" i="2"/>
  <c r="M5" i="2"/>
  <c r="M14" i="2"/>
  <c r="M13" i="2"/>
  <c r="M15" i="2"/>
  <c r="M16" i="2"/>
  <c r="M6" i="2"/>
</calcChain>
</file>

<file path=xl/sharedStrings.xml><?xml version="1.0" encoding="utf-8"?>
<sst xmlns="http://schemas.openxmlformats.org/spreadsheetml/2006/main" count="530" uniqueCount="249">
  <si>
    <t>1 mol%</t>
  </si>
  <si>
    <t>0.4 mol%</t>
  </si>
  <si>
    <t>0.1 mol%</t>
  </si>
  <si>
    <t>No product formation</t>
  </si>
  <si>
    <t>A</t>
  </si>
  <si>
    <t>Tween 80:MeCN</t>
  </si>
  <si>
    <t>PEG 600</t>
  </si>
  <si>
    <t>no surf (2.5MeCN:10water)</t>
  </si>
  <si>
    <t>10:2 MeCN:water</t>
  </si>
  <si>
    <r>
      <rPr>
        <sz val="10"/>
        <color rgb="FF000000"/>
        <rFont val="Calibri"/>
      </rPr>
      <t xml:space="preserve">10:2 CN:h20, 1.5 </t>
    </r>
    <r>
      <rPr>
        <b/>
        <sz val="10"/>
        <color rgb="FF000000"/>
        <rFont val="Calibri"/>
      </rPr>
      <t>6</t>
    </r>
    <r>
      <rPr>
        <sz val="10"/>
        <color rgb="FF000000"/>
        <rFont val="Calibri"/>
      </rPr>
      <t>, 3 base</t>
    </r>
  </si>
  <si>
    <r>
      <rPr>
        <sz val="10"/>
        <color rgb="FF000000"/>
        <rFont val="Calibri"/>
      </rPr>
      <t xml:space="preserve">10:2 CN:h20, </t>
    </r>
    <r>
      <rPr>
        <sz val="10"/>
        <color rgb="FFFF0000"/>
        <rFont val="Calibri"/>
      </rPr>
      <t xml:space="preserve">1.2 </t>
    </r>
    <r>
      <rPr>
        <b/>
        <sz val="10"/>
        <color rgb="FFFF0000"/>
        <rFont val="Calibri"/>
      </rPr>
      <t>6</t>
    </r>
    <r>
      <rPr>
        <sz val="10"/>
        <color rgb="FF000000"/>
        <rFont val="Calibri"/>
      </rPr>
      <t>, 3 base</t>
    </r>
  </si>
  <si>
    <r>
      <rPr>
        <sz val="10"/>
        <color rgb="FF000000"/>
        <rFont val="Calibri"/>
      </rPr>
      <t xml:space="preserve">10:2 CN:h20, 1.5 </t>
    </r>
    <r>
      <rPr>
        <b/>
        <sz val="10"/>
        <color rgb="FF000000"/>
        <rFont val="Calibri"/>
      </rPr>
      <t>6</t>
    </r>
    <r>
      <rPr>
        <sz val="10"/>
        <color rgb="FF000000"/>
        <rFont val="Calibri"/>
      </rPr>
      <t xml:space="preserve">, </t>
    </r>
    <r>
      <rPr>
        <sz val="10"/>
        <color rgb="FFFF0000"/>
        <rFont val="Calibri"/>
      </rPr>
      <t>2 base</t>
    </r>
  </si>
  <si>
    <r>
      <rPr>
        <sz val="10"/>
        <color rgb="FF000000"/>
        <rFont val="Calibri"/>
      </rPr>
      <t xml:space="preserve">PEG 600, 1.5 </t>
    </r>
    <r>
      <rPr>
        <b/>
        <sz val="10"/>
        <color rgb="FF000000"/>
        <rFont val="Calibri"/>
      </rPr>
      <t>6</t>
    </r>
    <r>
      <rPr>
        <sz val="10"/>
        <color rgb="FF000000"/>
        <rFont val="Calibri"/>
      </rPr>
      <t>, 3 base</t>
    </r>
  </si>
  <si>
    <t>0.5 mol%</t>
  </si>
  <si>
    <t>0.2 mol%</t>
  </si>
  <si>
    <t>0.05 mol%</t>
  </si>
  <si>
    <r>
      <t xml:space="preserve">60 - 85% yield </t>
    </r>
    <r>
      <rPr>
        <b/>
        <sz val="11"/>
        <color theme="1"/>
        <rFont val="Calibri"/>
        <family val="2"/>
        <scheme val="minor"/>
      </rPr>
      <t>7</t>
    </r>
  </si>
  <si>
    <t>B</t>
  </si>
  <si>
    <t>Tween 80</t>
  </si>
  <si>
    <r>
      <rPr>
        <sz val="10"/>
        <color rgb="FF000000"/>
        <rFont val="Calibri"/>
      </rPr>
      <t xml:space="preserve">10:2 CN:h20, </t>
    </r>
    <r>
      <rPr>
        <sz val="10"/>
        <color rgb="FFFF0000"/>
        <rFont val="Calibri"/>
      </rPr>
      <t xml:space="preserve">1.05 </t>
    </r>
    <r>
      <rPr>
        <b/>
        <sz val="10"/>
        <color rgb="FFFF0000"/>
        <rFont val="Calibri"/>
      </rPr>
      <t>6</t>
    </r>
    <r>
      <rPr>
        <sz val="10"/>
        <color rgb="FF000000"/>
        <rFont val="Calibri"/>
      </rPr>
      <t>, 3 base</t>
    </r>
  </si>
  <si>
    <r>
      <rPr>
        <sz val="10"/>
        <color rgb="FF000000"/>
        <rFont val="Calibri"/>
      </rPr>
      <t xml:space="preserve">10:2 CN:h20, 1.5 </t>
    </r>
    <r>
      <rPr>
        <b/>
        <sz val="10"/>
        <color rgb="FF000000"/>
        <rFont val="Calibri"/>
      </rPr>
      <t>6</t>
    </r>
    <r>
      <rPr>
        <sz val="10"/>
        <color rgb="FF000000"/>
        <rFont val="Calibri"/>
      </rPr>
      <t xml:space="preserve">, </t>
    </r>
    <r>
      <rPr>
        <sz val="10"/>
        <color rgb="FFFF0000"/>
        <rFont val="Calibri"/>
      </rPr>
      <t>1.5 base</t>
    </r>
  </si>
  <si>
    <t>C</t>
  </si>
  <si>
    <r>
      <t xml:space="preserve">Conversions and yields are uncorrected based on relative intensity of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5-desbr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7-desF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5 dimer</t>
    </r>
  </si>
  <si>
    <t>D</t>
  </si>
  <si>
    <t>0.01 mol%/ 100 ppm</t>
  </si>
  <si>
    <t>E</t>
  </si>
  <si>
    <r>
      <t>Pd(OAc)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</si>
  <si>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(MeCN)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PdCl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</si>
  <si>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(NH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PdCl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</si>
  <si>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PdCl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</si>
  <si>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DPPF</t>
  </si>
  <si>
    <t>Based on 5 g from Strem/Merck</t>
  </si>
  <si>
    <t>PPh3</t>
  </si>
  <si>
    <t>P(o-tolyl)3</t>
  </si>
  <si>
    <t>&gt;30k USD/mol</t>
  </si>
  <si>
    <t>20-30k USD/mol</t>
  </si>
  <si>
    <t>&lt;20k USD/mol</t>
  </si>
  <si>
    <t>Based on 250 g from Merck</t>
  </si>
  <si>
    <t>Shading indicates user input required</t>
  </si>
  <si>
    <t>Shading indicated mass/vol added to plate</t>
  </si>
  <si>
    <t>Small Scale (up to 100 g)</t>
  </si>
  <si>
    <t>250 g scale (or nearest equivalent)</t>
  </si>
  <si>
    <t>1 kg scale</t>
  </si>
  <si>
    <t>Description</t>
  </si>
  <si>
    <t>CAS</t>
  </si>
  <si>
    <t>MW (g/mol)</t>
  </si>
  <si>
    <t>Density (g/ml)</t>
  </si>
  <si>
    <t>Equiv.</t>
  </si>
  <si>
    <t>Mass (g)</t>
  </si>
  <si>
    <r>
      <t>Vol (m</t>
    </r>
    <r>
      <rPr>
        <sz val="11"/>
        <color theme="1"/>
        <rFont val="Calibri"/>
        <family val="2"/>
      </rPr>
      <t>L)</t>
    </r>
  </si>
  <si>
    <t>mmol</t>
  </si>
  <si>
    <t>Cost</t>
  </si>
  <si>
    <t>Mol</t>
  </si>
  <si>
    <t>USD/mol</t>
  </si>
  <si>
    <t>Supplier</t>
  </si>
  <si>
    <t>Cost for scale</t>
  </si>
  <si>
    <t>Mass</t>
  </si>
  <si>
    <t>Reagent</t>
  </si>
  <si>
    <t>5 (ArBr)</t>
  </si>
  <si>
    <t>6 (Boronic Acid)</t>
  </si>
  <si>
    <t>Potassium carbonate</t>
  </si>
  <si>
    <t>Pd precursor</t>
  </si>
  <si>
    <t>[Pd(Oac)2]</t>
  </si>
  <si>
    <t>3375-31-3</t>
  </si>
  <si>
    <t>Strem</t>
  </si>
  <si>
    <t>Merck</t>
  </si>
  <si>
    <t>Ligand</t>
  </si>
  <si>
    <t>603-35-0</t>
  </si>
  <si>
    <t>BLDPharm</t>
  </si>
  <si>
    <t>P(otol)3</t>
  </si>
  <si>
    <t>6163-58-2</t>
  </si>
  <si>
    <t>dppf</t>
  </si>
  <si>
    <t>12150-46-8</t>
  </si>
  <si>
    <t>Preformed catalysts</t>
  </si>
  <si>
    <t>Pd(DPPF)Cl2</t>
  </si>
  <si>
    <t>72287-26-4</t>
  </si>
  <si>
    <t>Pd(PPh3)2Cl2</t>
  </si>
  <si>
    <t>13965-03-2</t>
  </si>
  <si>
    <t>Pd(o-tolyl3)2Cl2</t>
  </si>
  <si>
    <t>40691-33-6</t>
  </si>
  <si>
    <t>Volumes</t>
  </si>
  <si>
    <t>Mass (kg)</t>
  </si>
  <si>
    <t>Vol (L)</t>
  </si>
  <si>
    <t>Volume</t>
  </si>
  <si>
    <t>USD/L</t>
  </si>
  <si>
    <t>Solvent</t>
  </si>
  <si>
    <t>MeCN</t>
  </si>
  <si>
    <t>Ethanol</t>
  </si>
  <si>
    <t>Water</t>
  </si>
  <si>
    <t>surfactant</t>
  </si>
  <si>
    <t>MeCN cosolvent</t>
  </si>
  <si>
    <t>Volume additional solvent required?</t>
  </si>
  <si>
    <t>100% MeCN</t>
  </si>
  <si>
    <t>conv. %</t>
  </si>
  <si>
    <t>&lt;90% conversion</t>
  </si>
  <si>
    <t>yield %</t>
  </si>
  <si>
    <t>90 - 96% conversion</t>
  </si>
  <si>
    <t>95% MeCN</t>
  </si>
  <si>
    <t>&gt;96% conversion</t>
  </si>
  <si>
    <t>50 % MeCN</t>
  </si>
  <si>
    <t>1 mol %</t>
  </si>
  <si>
    <t>5 % MeCN</t>
  </si>
  <si>
    <t>100% water</t>
  </si>
  <si>
    <t>F</t>
  </si>
  <si>
    <t>No product</t>
  </si>
  <si>
    <t>1E conducted at room temp on stirrer plate next to tumble stirrer</t>
  </si>
  <si>
    <t>Stock solutions</t>
  </si>
  <si>
    <t>Minimum mass required for stock solution</t>
  </si>
  <si>
    <t>Location</t>
  </si>
  <si>
    <t>Mass (mg)</t>
  </si>
  <si>
    <r>
      <t>Vol (</t>
    </r>
    <r>
      <rPr>
        <sz val="11"/>
        <color theme="1"/>
        <rFont val="Calibri"/>
        <family val="2"/>
      </rPr>
      <t>μL)</t>
    </r>
  </si>
  <si>
    <t>μmol</t>
  </si>
  <si>
    <t>Conc. mM</t>
  </si>
  <si>
    <t>Scale factor</t>
  </si>
  <si>
    <t>Volume (mL)</t>
  </si>
  <si>
    <t>Pd(dppf)Cl2</t>
  </si>
  <si>
    <t>all stock solutions to be prepared in DCE</t>
  </si>
  <si>
    <t>Pd(dppf)Cl2 loading</t>
  </si>
  <si>
    <t xml:space="preserve">box 10, </t>
  </si>
  <si>
    <t>box 10</t>
  </si>
  <si>
    <t>*JohnPhos</t>
  </si>
  <si>
    <t>box 10, green pl tray 1, orange pl tray 2</t>
  </si>
  <si>
    <t>224311-51-7</t>
  </si>
  <si>
    <t>blue tray 16</t>
  </si>
  <si>
    <t>org solvent</t>
  </si>
  <si>
    <t>uL</t>
  </si>
  <si>
    <t>Solvent ratio: Total volume</t>
  </si>
  <si>
    <t>12 Rvs</t>
  </si>
  <si>
    <t>50%</t>
  </si>
  <si>
    <t>100% org</t>
  </si>
  <si>
    <t>5% org</t>
  </si>
  <si>
    <t>5%water</t>
  </si>
  <si>
    <t xml:space="preserve">Organic </t>
  </si>
  <si>
    <t>78.4 C</t>
  </si>
  <si>
    <t>iso-propanol</t>
  </si>
  <si>
    <t>82.5 C</t>
  </si>
  <si>
    <t>Large scale RT (1 mmol)</t>
  </si>
  <si>
    <t>iso-amyl alcohol</t>
  </si>
  <si>
    <t>131 C</t>
  </si>
  <si>
    <t>Anisole</t>
  </si>
  <si>
    <t>2-MeTHF</t>
  </si>
  <si>
    <t>80.2 C</t>
  </si>
  <si>
    <t>Toluene</t>
  </si>
  <si>
    <t>110.6 C</t>
  </si>
  <si>
    <t>Dioxane</t>
  </si>
  <si>
    <t>101 C</t>
  </si>
  <si>
    <t>Acetonitrile</t>
  </si>
  <si>
    <t>82 C</t>
  </si>
  <si>
    <t>CPME</t>
  </si>
  <si>
    <t>106 C</t>
  </si>
  <si>
    <t>DMAC</t>
  </si>
  <si>
    <t>price comparison - on 5g strem unless stated otherwise</t>
  </si>
  <si>
    <t>price comparison - 250 g Merck</t>
  </si>
  <si>
    <t>Pd Precursor</t>
  </si>
  <si>
    <t>price 5g</t>
  </si>
  <si>
    <t>price 100g</t>
  </si>
  <si>
    <t xml:space="preserve">mol </t>
  </si>
  <si>
    <t>$/mol</t>
  </si>
  <si>
    <t>mol</t>
  </si>
  <si>
    <t>price 250g</t>
  </si>
  <si>
    <t>(MeCN)2PdCl2</t>
  </si>
  <si>
    <t>14592-56-4</t>
  </si>
  <si>
    <t>(NH4)2PdCl4</t>
  </si>
  <si>
    <t>13820-40-1</t>
  </si>
  <si>
    <t>for 100 g</t>
  </si>
  <si>
    <t>100 g strem</t>
  </si>
  <si>
    <t>for 25 g</t>
  </si>
  <si>
    <t>5 g sigma</t>
  </si>
  <si>
    <t>5-desBr</t>
  </si>
  <si>
    <t>Compd 5</t>
  </si>
  <si>
    <t>Compd 6</t>
  </si>
  <si>
    <t>7-desBr</t>
  </si>
  <si>
    <t>3-F-PhOH</t>
  </si>
  <si>
    <t>Compd7</t>
  </si>
  <si>
    <t>5 dimer</t>
  </si>
  <si>
    <t>6-dimer</t>
  </si>
  <si>
    <t>Total others</t>
  </si>
  <si>
    <t>Uncorrected conv.</t>
  </si>
  <si>
    <t>Uncorrected yield 7</t>
  </si>
  <si>
    <t>Uncorrected yield 7-desF</t>
  </si>
  <si>
    <t>Yield dimer</t>
  </si>
  <si>
    <t>DPPFO</t>
  </si>
  <si>
    <t>PPh3O</t>
  </si>
  <si>
    <t>P(o-tolyl)3O</t>
  </si>
  <si>
    <t>0.257 min</t>
  </si>
  <si>
    <t>0.516 min</t>
  </si>
  <si>
    <t>0.904 min</t>
  </si>
  <si>
    <t>1.19 min</t>
  </si>
  <si>
    <t>????</t>
  </si>
  <si>
    <t>%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</si>
  <si>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</si>
  <si>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</si>
  <si>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</si>
  <si>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</si>
  <si>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</si>
  <si>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</si>
  <si>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</si>
  <si>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</si>
  <si>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</si>
  <si>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</si>
  <si>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</si>
  <si>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</si>
  <si>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</si>
  <si>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</si>
  <si>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</si>
  <si>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</si>
  <si>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</si>
  <si>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</si>
  <si>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</si>
  <si>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</si>
  <si>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</si>
  <si>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</si>
  <si>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</si>
  <si>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</si>
  <si>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</si>
  <si>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</si>
  <si>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</si>
  <si>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</si>
  <si>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</si>
  <si>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</si>
  <si>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</si>
  <si>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</si>
  <si>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</si>
  <si>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</si>
  <si>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</si>
  <si>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</si>
  <si>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</si>
  <si>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</si>
  <si>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</si>
  <si>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</si>
  <si>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</si>
  <si>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</si>
  <si>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</si>
  <si>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</si>
  <si>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</si>
  <si>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</si>
  <si>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</si>
  <si>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</si>
  <si>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83% MeCN</t>
  </si>
  <si>
    <t>0.5 h</t>
  </si>
  <si>
    <t>17% water</t>
  </si>
  <si>
    <t>5% water</t>
  </si>
  <si>
    <t>0% water</t>
  </si>
  <si>
    <t>1.5 h</t>
  </si>
  <si>
    <t>4.5 h</t>
  </si>
  <si>
    <t>50% water</t>
  </si>
  <si>
    <t>95% water</t>
  </si>
  <si>
    <t>23 h</t>
  </si>
  <si>
    <t>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</si>
</sst>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_);_(&quot;$&quot;* \(#,##0\);_(&quot;$&quot;* &quot;-&quot;_);_(@_)"/>
    <numFmt numFmtId="165" formatCode="0.000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FF0000"/>
      <name val="Calibri"/>
      <family val="2"/>
      <scheme val="minor"/>
    </font>
    <font>
      <sz val="10"/>
      <color rgb="FFFF0000"/>
      <name val="Calibri"/>
    </font>
    <font>
      <b/>
      <sz val="10"/>
      <color rgb="FFFF0000"/>
      <name val="Calibri"/>
    </font>
    <font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6D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A6A6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0" borderId="0" xfId="0" applyAlignment="1">
      <alignment horizontal="left" vertical="center"/>
    </xf>
    <xf numFmtId="0" fontId="0" fillId="0" borderId="4" xfId="0" applyBorder="1"/>
    <xf numFmtId="0" fontId="2" fillId="0" borderId="0" xfId="0" applyFont="1" applyAlignment="1">
      <alignment horizontal="center" wrapText="1"/>
    </xf>
    <xf numFmtId="165" fontId="0" fillId="0" borderId="0" xfId="0" applyNumberFormat="1"/>
    <xf numFmtId="0" fontId="0" fillId="0" borderId="6" xfId="0" applyBorder="1"/>
    <xf numFmtId="0" fontId="0" fillId="0" borderId="3" xfId="0" applyBorder="1"/>
    <xf numFmtId="0" fontId="0" fillId="0" borderId="8" xfId="0" applyBorder="1"/>
    <xf numFmtId="0" fontId="1" fillId="0" borderId="0" xfId="0" applyFont="1"/>
    <xf numFmtId="1" fontId="0" fillId="0" borderId="0" xfId="0" applyNumberFormat="1"/>
    <xf numFmtId="0" fontId="4" fillId="0" borderId="0" xfId="0" applyFont="1" applyAlignment="1">
      <alignment horizontal="left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9" borderId="0" xfId="0" applyFill="1"/>
    <xf numFmtId="1" fontId="0" fillId="9" borderId="0" xfId="0" applyNumberFormat="1" applyFill="1"/>
    <xf numFmtId="165" fontId="0" fillId="9" borderId="0" xfId="0" applyNumberFormat="1" applyFill="1"/>
    <xf numFmtId="0" fontId="0" fillId="9" borderId="8" xfId="0" applyFill="1" applyBorder="1"/>
    <xf numFmtId="0" fontId="0" fillId="9" borderId="4" xfId="0" applyFill="1" applyBorder="1"/>
    <xf numFmtId="0" fontId="0" fillId="11" borderId="0" xfId="0" applyFill="1"/>
    <xf numFmtId="1" fontId="0" fillId="11" borderId="0" xfId="0" applyNumberFormat="1" applyFill="1"/>
    <xf numFmtId="0" fontId="0" fillId="12" borderId="0" xfId="0" applyFill="1"/>
    <xf numFmtId="0" fontId="0" fillId="0" borderId="0" xfId="0" applyAlignment="1">
      <alignment horizontal="center" vertical="center" wrapText="1"/>
    </xf>
    <xf numFmtId="0" fontId="0" fillId="13" borderId="0" xfId="0" applyFill="1"/>
    <xf numFmtId="0" fontId="0" fillId="14" borderId="0" xfId="0" applyFill="1"/>
    <xf numFmtId="164" fontId="0" fillId="0" borderId="0" xfId="0" applyNumberFormat="1"/>
    <xf numFmtId="0" fontId="0" fillId="8" borderId="0" xfId="0" applyFill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13" borderId="0" xfId="0" applyFont="1" applyFill="1"/>
    <xf numFmtId="0" fontId="0" fillId="13" borderId="0" xfId="0" applyFill="1" applyAlignment="1">
      <alignment horizontal="left" vertical="center"/>
    </xf>
    <xf numFmtId="1" fontId="0" fillId="13" borderId="0" xfId="0" applyNumberFormat="1" applyFill="1"/>
    <xf numFmtId="165" fontId="0" fillId="13" borderId="0" xfId="0" applyNumberFormat="1" applyFill="1"/>
    <xf numFmtId="0" fontId="0" fillId="13" borderId="4" xfId="0" applyFill="1" applyBorder="1"/>
    <xf numFmtId="0" fontId="4" fillId="13" borderId="0" xfId="0" applyFont="1" applyFill="1" applyAlignment="1">
      <alignment horizontal="left"/>
    </xf>
    <xf numFmtId="0" fontId="0" fillId="13" borderId="8" xfId="0" applyFill="1" applyBorder="1"/>
    <xf numFmtId="0" fontId="1" fillId="15" borderId="0" xfId="0" applyFont="1" applyFill="1"/>
    <xf numFmtId="166" fontId="5" fillId="15" borderId="1" xfId="0" applyNumberFormat="1" applyFont="1" applyFill="1" applyBorder="1" applyAlignment="1">
      <alignment horizontal="center" vertical="center"/>
    </xf>
    <xf numFmtId="166" fontId="5" fillId="15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2" borderId="13" xfId="0" applyFill="1" applyBorder="1"/>
    <xf numFmtId="1" fontId="0" fillId="11" borderId="13" xfId="0" applyNumberFormat="1" applyFill="1" applyBorder="1"/>
    <xf numFmtId="165" fontId="0" fillId="0" borderId="13" xfId="0" applyNumberFormat="1" applyBorder="1"/>
    <xf numFmtId="166" fontId="5" fillId="13" borderId="1" xfId="0" applyNumberFormat="1" applyFont="1" applyFill="1" applyBorder="1" applyAlignment="1">
      <alignment horizontal="center" vertical="center"/>
    </xf>
    <xf numFmtId="166" fontId="5" fillId="13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8" fillId="10" borderId="1" xfId="0" applyFont="1" applyFill="1" applyBorder="1" applyAlignment="1">
      <alignment horizontal="center" vertical="center"/>
    </xf>
    <xf numFmtId="0" fontId="0" fillId="0" borderId="7" xfId="0" applyBorder="1"/>
    <xf numFmtId="0" fontId="7" fillId="0" borderId="8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0" fillId="0" borderId="10" xfId="0" applyBorder="1"/>
    <xf numFmtId="0" fontId="0" fillId="0" borderId="14" xfId="0" applyBorder="1"/>
    <xf numFmtId="0" fontId="0" fillId="0" borderId="5" xfId="0" applyBorder="1"/>
    <xf numFmtId="0" fontId="10" fillId="3" borderId="9" xfId="0" applyFont="1" applyFill="1" applyBorder="1" applyAlignment="1">
      <alignment horizontal="center" vertical="center"/>
    </xf>
    <xf numFmtId="0" fontId="0" fillId="16" borderId="0" xfId="0" applyFill="1"/>
    <xf numFmtId="49" fontId="0" fillId="0" borderId="0" xfId="0" applyNumberFormat="1"/>
    <xf numFmtId="0" fontId="5" fillId="12" borderId="9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166" fontId="5" fillId="12" borderId="1" xfId="0" applyNumberFormat="1" applyFont="1" applyFill="1" applyBorder="1" applyAlignment="1">
      <alignment horizontal="center" vertical="center"/>
    </xf>
    <xf numFmtId="166" fontId="5" fillId="12" borderId="2" xfId="0" applyNumberFormat="1" applyFont="1" applyFill="1" applyBorder="1" applyAlignment="1">
      <alignment horizontal="center" vertical="center"/>
    </xf>
    <xf numFmtId="166" fontId="5" fillId="12" borderId="4" xfId="0" applyNumberFormat="1" applyFont="1" applyFill="1" applyBorder="1" applyAlignment="1">
      <alignment horizontal="center" vertical="center"/>
    </xf>
    <xf numFmtId="166" fontId="5" fillId="12" borderId="5" xfId="0" applyNumberFormat="1" applyFont="1" applyFill="1" applyBorder="1" applyAlignment="1">
      <alignment horizontal="center" vertical="center"/>
    </xf>
    <xf numFmtId="0" fontId="13" fillId="12" borderId="9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166" fontId="13" fillId="12" borderId="1" xfId="0" applyNumberFormat="1" applyFont="1" applyFill="1" applyBorder="1" applyAlignment="1">
      <alignment horizontal="center" vertical="center"/>
    </xf>
    <xf numFmtId="166" fontId="13" fillId="12" borderId="2" xfId="0" applyNumberFormat="1" applyFont="1" applyFill="1" applyBorder="1" applyAlignment="1">
      <alignment horizontal="center" vertical="center"/>
    </xf>
    <xf numFmtId="0" fontId="0" fillId="17" borderId="0" xfId="0" applyFill="1"/>
    <xf numFmtId="0" fontId="1" fillId="17" borderId="0" xfId="0" applyFont="1" applyFill="1"/>
    <xf numFmtId="164" fontId="0" fillId="17" borderId="0" xfId="0" applyNumberFormat="1" applyFill="1"/>
    <xf numFmtId="0" fontId="0" fillId="17" borderId="0" xfId="0" applyFill="1" applyAlignment="1">
      <alignment horizontal="left" vertical="center"/>
    </xf>
    <xf numFmtId="0" fontId="4" fillId="17" borderId="0" xfId="0" applyFont="1" applyFill="1" applyAlignment="1">
      <alignment horizontal="left"/>
    </xf>
    <xf numFmtId="20" fontId="0" fillId="0" borderId="0" xfId="0" applyNumberFormat="1"/>
    <xf numFmtId="166" fontId="5" fillId="7" borderId="1" xfId="0" applyNumberFormat="1" applyFont="1" applyFill="1" applyBorder="1" applyAlignment="1">
      <alignment horizontal="center" vertical="center"/>
    </xf>
    <xf numFmtId="166" fontId="5" fillId="7" borderId="2" xfId="0" applyNumberFormat="1" applyFont="1" applyFill="1" applyBorder="1" applyAlignment="1">
      <alignment horizontal="center" vertical="center"/>
    </xf>
    <xf numFmtId="166" fontId="5" fillId="5" borderId="1" xfId="0" applyNumberFormat="1" applyFont="1" applyFill="1" applyBorder="1" applyAlignment="1">
      <alignment horizontal="center" vertical="center"/>
    </xf>
    <xf numFmtId="166" fontId="5" fillId="5" borderId="2" xfId="0" applyNumberFormat="1" applyFont="1" applyFill="1" applyBorder="1" applyAlignment="1">
      <alignment horizontal="center" vertical="center"/>
    </xf>
    <xf numFmtId="166" fontId="5" fillId="8" borderId="1" xfId="0" applyNumberFormat="1" applyFont="1" applyFill="1" applyBorder="1" applyAlignment="1">
      <alignment horizontal="center" vertical="center"/>
    </xf>
    <xf numFmtId="166" fontId="5" fillId="8" borderId="2" xfId="0" applyNumberFormat="1" applyFont="1" applyFill="1" applyBorder="1" applyAlignment="1">
      <alignment horizontal="center" vertical="center"/>
    </xf>
    <xf numFmtId="166" fontId="5" fillId="9" borderId="1" xfId="0" applyNumberFormat="1" applyFont="1" applyFill="1" applyBorder="1" applyAlignment="1">
      <alignment horizontal="center" vertical="center"/>
    </xf>
    <xf numFmtId="166" fontId="5" fillId="9" borderId="2" xfId="0" applyNumberFormat="1" applyFont="1" applyFill="1" applyBorder="1" applyAlignment="1">
      <alignment horizontal="center" vertical="center"/>
    </xf>
    <xf numFmtId="166" fontId="5" fillId="5" borderId="4" xfId="0" applyNumberFormat="1" applyFont="1" applyFill="1" applyBorder="1" applyAlignment="1">
      <alignment horizontal="center" vertical="center"/>
    </xf>
    <xf numFmtId="166" fontId="5" fillId="5" borderId="5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5" fillId="8" borderId="11" xfId="0" applyNumberFormat="1" applyFont="1" applyFill="1" applyBorder="1" applyAlignment="1">
      <alignment horizontal="center" vertical="center"/>
    </xf>
    <xf numFmtId="1" fontId="5" fillId="8" borderId="12" xfId="0" applyNumberFormat="1" applyFont="1" applyFill="1" applyBorder="1" applyAlignment="1">
      <alignment horizontal="center" vertical="center"/>
    </xf>
    <xf numFmtId="1" fontId="5" fillId="7" borderId="6" xfId="0" applyNumberFormat="1" applyFont="1" applyFill="1" applyBorder="1" applyAlignment="1">
      <alignment horizontal="center" vertical="center"/>
    </xf>
    <xf numFmtId="1" fontId="5" fillId="7" borderId="3" xfId="0" applyNumberFormat="1" applyFont="1" applyFill="1" applyBorder="1" applyAlignment="1">
      <alignment horizontal="center" vertical="center"/>
    </xf>
    <xf numFmtId="1" fontId="5" fillId="7" borderId="10" xfId="0" applyNumberFormat="1" applyFont="1" applyFill="1" applyBorder="1" applyAlignment="1">
      <alignment horizontal="center" vertical="center"/>
    </xf>
    <xf numFmtId="1" fontId="5" fillId="7" borderId="5" xfId="0" applyNumberFormat="1" applyFont="1" applyFill="1" applyBorder="1" applyAlignment="1">
      <alignment horizontal="center" vertical="center"/>
    </xf>
    <xf numFmtId="1" fontId="5" fillId="5" borderId="6" xfId="0" applyNumberFormat="1" applyFont="1" applyFill="1" applyBorder="1" applyAlignment="1">
      <alignment horizontal="center" vertical="center"/>
    </xf>
    <xf numFmtId="1" fontId="5" fillId="5" borderId="3" xfId="0" applyNumberFormat="1" applyFont="1" applyFill="1" applyBorder="1" applyAlignment="1">
      <alignment horizontal="center" vertical="center"/>
    </xf>
    <xf numFmtId="1" fontId="5" fillId="5" borderId="10" xfId="0" applyNumberFormat="1" applyFont="1" applyFill="1" applyBorder="1" applyAlignment="1">
      <alignment horizontal="center" vertical="center"/>
    </xf>
    <xf numFmtId="1" fontId="5" fillId="5" borderId="5" xfId="0" applyNumberFormat="1" applyFont="1" applyFill="1" applyBorder="1" applyAlignment="1">
      <alignment horizontal="center" vertical="center"/>
    </xf>
    <xf numFmtId="1" fontId="5" fillId="8" borderId="6" xfId="0" applyNumberFormat="1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>
      <alignment horizontal="center" vertical="center"/>
    </xf>
    <xf numFmtId="1" fontId="5" fillId="8" borderId="5" xfId="0" applyNumberFormat="1" applyFont="1" applyFill="1" applyBorder="1" applyAlignment="1">
      <alignment horizontal="center" vertical="center"/>
    </xf>
    <xf numFmtId="1" fontId="5" fillId="5" borderId="11" xfId="0" applyNumberFormat="1" applyFont="1" applyFill="1" applyBorder="1" applyAlignment="1">
      <alignment horizontal="center" vertical="center"/>
    </xf>
    <xf numFmtId="1" fontId="5" fillId="5" borderId="12" xfId="0" applyNumberFormat="1" applyFont="1" applyFill="1" applyBorder="1" applyAlignment="1">
      <alignment horizontal="center" vertical="center"/>
    </xf>
    <xf numFmtId="1" fontId="5" fillId="7" borderId="11" xfId="0" applyNumberFormat="1" applyFont="1" applyFill="1" applyBorder="1" applyAlignment="1">
      <alignment horizontal="center" vertical="center"/>
    </xf>
    <xf numFmtId="1" fontId="5" fillId="7" borderId="1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4" borderId="8" xfId="0" applyFill="1" applyBorder="1" applyAlignment="1">
      <alignment horizontal="center" wrapText="1"/>
    </xf>
    <xf numFmtId="0" fontId="0" fillId="1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6D6"/>
      <color rgb="FFD69B96"/>
      <color rgb="FFED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B8174-4BF7-41F2-810A-21849335AA05}">
  <sheetPr>
    <pageSetUpPr fitToPage="1"/>
  </sheetPr>
  <dimension ref="A1:K16"/>
  <sheetViews>
    <sheetView zoomScaleNormal="100" workbookViewId="0">
      <selection activeCell="C22" sqref="C22"/>
    </sheetView>
  </sheetViews>
  <sheetFormatPr defaultColWidth="20.6640625" defaultRowHeight="14.4" x14ac:dyDescent="0.3"/>
  <cols>
    <col min="1" max="1" width="4" style="1" customWidth="1"/>
    <col min="2" max="9" width="20.6640625" style="19" customWidth="1"/>
    <col min="10" max="10" width="3.6640625" style="1" customWidth="1"/>
    <col min="11" max="16384" width="20.6640625" style="1"/>
  </cols>
  <sheetData>
    <row r="1" spans="1:11" ht="13.2" customHeight="1" thickBot="1" x14ac:dyDescent="0.35"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</row>
    <row r="2" spans="1:11" ht="13.2" customHeight="1" x14ac:dyDescent="0.3">
      <c r="B2" s="16" t="s">
        <v>0</v>
      </c>
      <c r="C2" s="16" t="s">
        <v>0</v>
      </c>
      <c r="D2" s="16" t="s">
        <v>0</v>
      </c>
      <c r="E2" s="16" t="s">
        <v>0</v>
      </c>
      <c r="F2" s="61" t="s">
        <v>1</v>
      </c>
      <c r="G2" s="16" t="s">
        <v>0</v>
      </c>
      <c r="H2" s="16" t="s">
        <v>0</v>
      </c>
      <c r="I2" s="16" t="s">
        <v>2</v>
      </c>
      <c r="K2" s="91" t="s">
        <v>3</v>
      </c>
    </row>
    <row r="3" spans="1:11" ht="13.2" customHeight="1" x14ac:dyDescent="0.3">
      <c r="A3" s="1" t="s">
        <v>4</v>
      </c>
      <c r="B3" s="20" t="s">
        <v>5</v>
      </c>
      <c r="C3" s="20" t="s">
        <v>6</v>
      </c>
      <c r="D3" s="20" t="s">
        <v>7</v>
      </c>
      <c r="E3" s="20" t="s">
        <v>8</v>
      </c>
      <c r="F3" s="54" t="s">
        <v>9</v>
      </c>
      <c r="G3" s="54" t="s">
        <v>10</v>
      </c>
      <c r="H3" s="54" t="s">
        <v>11</v>
      </c>
      <c r="I3" s="54" t="s">
        <v>12</v>
      </c>
      <c r="K3" s="91"/>
    </row>
    <row r="4" spans="1:11" ht="13.2" customHeight="1" thickBot="1" x14ac:dyDescent="0.35">
      <c r="B4" s="17"/>
      <c r="C4" s="17"/>
      <c r="D4" s="17"/>
      <c r="E4" s="17"/>
      <c r="F4" s="17"/>
      <c r="G4" s="17"/>
      <c r="H4" s="17"/>
      <c r="I4" s="18"/>
      <c r="K4" s="14"/>
    </row>
    <row r="5" spans="1:11" ht="13.2" customHeight="1" x14ac:dyDescent="0.3">
      <c r="B5" s="16" t="s">
        <v>13</v>
      </c>
      <c r="C5" s="16" t="s">
        <v>13</v>
      </c>
      <c r="D5" s="16" t="s">
        <v>13</v>
      </c>
      <c r="E5" s="16" t="s">
        <v>13</v>
      </c>
      <c r="F5" s="61" t="s">
        <v>14</v>
      </c>
      <c r="G5" s="16" t="s">
        <v>0</v>
      </c>
      <c r="H5" s="16" t="s">
        <v>0</v>
      </c>
      <c r="I5" s="16" t="s">
        <v>15</v>
      </c>
      <c r="K5" s="92" t="s">
        <v>16</v>
      </c>
    </row>
    <row r="6" spans="1:11" ht="13.2" customHeight="1" x14ac:dyDescent="0.3">
      <c r="A6" s="1" t="s">
        <v>17</v>
      </c>
      <c r="B6" s="20" t="s">
        <v>18</v>
      </c>
      <c r="C6" s="20" t="s">
        <v>6</v>
      </c>
      <c r="D6" s="20" t="s">
        <v>7</v>
      </c>
      <c r="E6" s="20" t="s">
        <v>8</v>
      </c>
      <c r="F6" s="54" t="s">
        <v>9</v>
      </c>
      <c r="G6" s="54" t="s">
        <v>19</v>
      </c>
      <c r="H6" s="54" t="s">
        <v>20</v>
      </c>
      <c r="I6" s="54" t="s">
        <v>12</v>
      </c>
      <c r="K6" s="92"/>
    </row>
    <row r="7" spans="1:11" ht="13.2" customHeight="1" thickBot="1" x14ac:dyDescent="0.35">
      <c r="B7" s="17"/>
      <c r="C7" s="17"/>
      <c r="D7" s="17"/>
      <c r="E7" s="17"/>
      <c r="F7" s="17"/>
      <c r="G7" s="17"/>
      <c r="H7" s="17"/>
      <c r="I7" s="18"/>
      <c r="K7" s="15"/>
    </row>
    <row r="8" spans="1:11" ht="13.2" customHeight="1" x14ac:dyDescent="0.3">
      <c r="B8" s="16" t="s">
        <v>2</v>
      </c>
      <c r="C8" s="16" t="s">
        <v>2</v>
      </c>
      <c r="D8" s="16" t="s">
        <v>2</v>
      </c>
      <c r="E8" s="16" t="s">
        <v>2</v>
      </c>
      <c r="F8" s="16"/>
      <c r="G8" s="16"/>
      <c r="H8" s="16"/>
      <c r="I8" s="16"/>
    </row>
    <row r="9" spans="1:11" ht="13.2" customHeight="1" x14ac:dyDescent="0.3">
      <c r="A9" s="1" t="s">
        <v>21</v>
      </c>
      <c r="B9" s="20" t="s">
        <v>18</v>
      </c>
      <c r="C9" s="20" t="s">
        <v>6</v>
      </c>
      <c r="D9" s="20" t="s">
        <v>7</v>
      </c>
      <c r="E9" s="20" t="s">
        <v>8</v>
      </c>
      <c r="F9" s="20"/>
      <c r="G9" s="20"/>
      <c r="H9" s="20"/>
      <c r="I9" s="20"/>
      <c r="K9" s="93" t="s">
        <v>22</v>
      </c>
    </row>
    <row r="10" spans="1:11" ht="13.2" customHeight="1" thickBot="1" x14ac:dyDescent="0.35">
      <c r="B10" s="17"/>
      <c r="C10" s="17"/>
      <c r="D10" s="17"/>
      <c r="E10" s="17"/>
      <c r="F10" s="17"/>
      <c r="G10" s="17"/>
      <c r="H10" s="17"/>
      <c r="I10" s="18"/>
      <c r="K10" s="93"/>
    </row>
    <row r="11" spans="1:11" ht="13.2" customHeight="1" x14ac:dyDescent="0.3">
      <c r="B11" s="16" t="s">
        <v>15</v>
      </c>
      <c r="C11" s="16" t="s">
        <v>15</v>
      </c>
      <c r="D11" s="16" t="s">
        <v>15</v>
      </c>
      <c r="E11" s="16" t="s">
        <v>15</v>
      </c>
      <c r="F11" s="16"/>
      <c r="G11" s="16"/>
      <c r="H11" s="16"/>
      <c r="I11" s="16"/>
      <c r="K11" s="93"/>
    </row>
    <row r="12" spans="1:11" ht="13.2" customHeight="1" x14ac:dyDescent="0.3">
      <c r="A12" s="1" t="s">
        <v>23</v>
      </c>
      <c r="B12" s="20" t="s">
        <v>18</v>
      </c>
      <c r="C12" s="20" t="s">
        <v>6</v>
      </c>
      <c r="D12" s="20" t="s">
        <v>7</v>
      </c>
      <c r="E12" s="20" t="s">
        <v>8</v>
      </c>
      <c r="F12" s="20"/>
      <c r="G12" s="20"/>
      <c r="H12" s="20"/>
      <c r="I12" s="20"/>
      <c r="K12" s="93"/>
    </row>
    <row r="13" spans="1:11" ht="13.2" customHeight="1" thickBot="1" x14ac:dyDescent="0.35">
      <c r="B13" s="17"/>
      <c r="C13" s="17"/>
      <c r="D13" s="17"/>
      <c r="E13" s="17"/>
      <c r="F13" s="17"/>
      <c r="G13" s="17"/>
      <c r="H13" s="17"/>
      <c r="I13" s="18"/>
    </row>
    <row r="14" spans="1:11" ht="13.2" customHeight="1" x14ac:dyDescent="0.3">
      <c r="B14" s="16" t="s">
        <v>24</v>
      </c>
      <c r="C14" s="16" t="s">
        <v>24</v>
      </c>
      <c r="D14" s="16" t="s">
        <v>24</v>
      </c>
      <c r="E14" s="16" t="s">
        <v>24</v>
      </c>
      <c r="F14" s="16"/>
      <c r="G14" s="16"/>
      <c r="H14" s="16"/>
      <c r="I14" s="16"/>
    </row>
    <row r="15" spans="1:11" ht="13.2" customHeight="1" x14ac:dyDescent="0.3">
      <c r="A15" s="1" t="s">
        <v>25</v>
      </c>
      <c r="B15" s="20" t="s">
        <v>18</v>
      </c>
      <c r="C15" s="20" t="s">
        <v>6</v>
      </c>
      <c r="D15" s="20" t="s">
        <v>7</v>
      </c>
      <c r="E15" s="20" t="s">
        <v>8</v>
      </c>
      <c r="F15" s="20"/>
      <c r="G15" s="20"/>
      <c r="H15" s="20"/>
      <c r="I15" s="20"/>
    </row>
    <row r="16" spans="1:11" ht="13.2" customHeight="1" thickBot="1" x14ac:dyDescent="0.35">
      <c r="B16" s="17"/>
      <c r="C16" s="17"/>
      <c r="D16" s="17"/>
      <c r="E16" s="17"/>
      <c r="F16" s="17"/>
      <c r="G16" s="17"/>
      <c r="H16" s="17"/>
      <c r="I16" s="18"/>
    </row>
  </sheetData>
  <mergeCells count="3">
    <mergeCell ref="K2:K3"/>
    <mergeCell ref="K5:K6"/>
    <mergeCell ref="K9:K1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6F80-E4B8-4236-A347-7DDF9F197976}">
  <dimension ref="A1:K19"/>
  <sheetViews>
    <sheetView zoomScaleNormal="100" workbookViewId="0">
      <selection activeCell="E23" sqref="E23"/>
    </sheetView>
  </sheetViews>
  <sheetFormatPr defaultColWidth="20.6640625" defaultRowHeight="14.4" x14ac:dyDescent="0.3"/>
  <cols>
    <col min="1" max="1" width="11.33203125" style="1" customWidth="1"/>
    <col min="2" max="9" width="15.6640625" style="1" customWidth="1"/>
    <col min="10" max="10" width="3.6640625" style="1" customWidth="1"/>
    <col min="11" max="16384" width="20.6640625" style="1"/>
  </cols>
  <sheetData>
    <row r="1" spans="1:11" ht="17.399999999999999" customHeight="1" thickBot="1" x14ac:dyDescent="0.35">
      <c r="B1" s="34" t="s">
        <v>26</v>
      </c>
      <c r="C1" s="36">
        <v>18005.701999999997</v>
      </c>
      <c r="D1" s="34" t="s">
        <v>27</v>
      </c>
      <c r="E1" s="36">
        <v>21531.030000000002</v>
      </c>
      <c r="F1" s="34" t="s">
        <v>28</v>
      </c>
      <c r="G1" s="36">
        <v>16375.104000000001</v>
      </c>
      <c r="H1" s="35" t="s">
        <v>29</v>
      </c>
    </row>
    <row r="2" spans="1:11" ht="13.2" customHeight="1" x14ac:dyDescent="0.3">
      <c r="A2" s="34" t="s">
        <v>30</v>
      </c>
      <c r="B2" s="96">
        <f>$A$3+C1</f>
        <v>28649.797999999995</v>
      </c>
      <c r="C2" s="97"/>
      <c r="D2" s="100">
        <f>$A$3+E1</f>
        <v>32175.126000000004</v>
      </c>
      <c r="E2" s="101"/>
      <c r="F2" s="96">
        <f>$A$3+G1</f>
        <v>27019.200000000001</v>
      </c>
      <c r="G2" s="97"/>
      <c r="H2" s="100">
        <v>36182</v>
      </c>
      <c r="I2" s="101"/>
      <c r="K2" s="112" t="s">
        <v>31</v>
      </c>
    </row>
    <row r="3" spans="1:11" ht="13.2" customHeight="1" thickBot="1" x14ac:dyDescent="0.35">
      <c r="A3" s="36">
        <v>10644.096</v>
      </c>
      <c r="B3" s="98"/>
      <c r="C3" s="99"/>
      <c r="D3" s="102"/>
      <c r="E3" s="103"/>
      <c r="F3" s="98"/>
      <c r="G3" s="99"/>
      <c r="H3" s="102"/>
      <c r="I3" s="103"/>
      <c r="K3" s="112"/>
    </row>
    <row r="4" spans="1:11" ht="13.2" customHeight="1" x14ac:dyDescent="0.3">
      <c r="A4" s="34" t="s">
        <v>32</v>
      </c>
      <c r="B4" s="104">
        <f>(2*$A$5)+C1</f>
        <v>18142.092799999999</v>
      </c>
      <c r="C4" s="105"/>
      <c r="D4" s="96">
        <f>(2*$A$5)+E1</f>
        <v>21667.420800000004</v>
      </c>
      <c r="E4" s="97"/>
      <c r="F4" s="104">
        <f>(2*$A$5)+G1</f>
        <v>16511.4948</v>
      </c>
      <c r="G4" s="105"/>
      <c r="H4" s="100">
        <v>30602.84</v>
      </c>
      <c r="I4" s="101"/>
    </row>
    <row r="5" spans="1:11" ht="13.2" customHeight="1" thickBot="1" x14ac:dyDescent="0.35">
      <c r="A5" s="36">
        <v>68.195400000000006</v>
      </c>
      <c r="B5" s="106"/>
      <c r="C5" s="107"/>
      <c r="D5" s="98"/>
      <c r="E5" s="99"/>
      <c r="F5" s="106"/>
      <c r="G5" s="107"/>
      <c r="H5" s="102"/>
      <c r="I5" s="103"/>
      <c r="K5" s="29"/>
    </row>
    <row r="6" spans="1:11" ht="13.2" customHeight="1" x14ac:dyDescent="0.3">
      <c r="A6" s="34" t="s">
        <v>33</v>
      </c>
      <c r="B6" s="96">
        <f>(2*$A$7)+C1</f>
        <v>26528.061999999998</v>
      </c>
      <c r="C6" s="97"/>
      <c r="D6" s="100">
        <f>(2*$A$7)+E1</f>
        <v>30053.39</v>
      </c>
      <c r="E6" s="101"/>
      <c r="F6" s="96">
        <f>(2*$A$7)+G1</f>
        <v>24897.464</v>
      </c>
      <c r="G6" s="97"/>
      <c r="H6" s="96">
        <v>25153.919999999998</v>
      </c>
      <c r="I6" s="97"/>
      <c r="K6" s="93"/>
    </row>
    <row r="7" spans="1:11" ht="13.2" customHeight="1" thickBot="1" x14ac:dyDescent="0.35">
      <c r="A7" s="36">
        <v>4261.1799999999994</v>
      </c>
      <c r="B7" s="98"/>
      <c r="C7" s="99"/>
      <c r="D7" s="102"/>
      <c r="E7" s="103"/>
      <c r="F7" s="98"/>
      <c r="G7" s="99"/>
      <c r="H7" s="98"/>
      <c r="I7" s="99"/>
      <c r="K7" s="93"/>
    </row>
    <row r="9" spans="1:11" x14ac:dyDescent="0.3">
      <c r="B9" s="108" t="s">
        <v>34</v>
      </c>
      <c r="D9" s="110" t="s">
        <v>35</v>
      </c>
      <c r="F9" s="94" t="s">
        <v>36</v>
      </c>
    </row>
    <row r="10" spans="1:11" x14ac:dyDescent="0.3">
      <c r="B10" s="109"/>
      <c r="D10" s="111"/>
      <c r="F10" s="95"/>
    </row>
    <row r="13" spans="1:11" ht="16.2" thickBot="1" x14ac:dyDescent="0.35">
      <c r="B13" s="34" t="s">
        <v>26</v>
      </c>
      <c r="C13" s="36">
        <v>16367</v>
      </c>
      <c r="D13" s="34" t="s">
        <v>27</v>
      </c>
      <c r="E13" s="36">
        <v>21531.030000000002</v>
      </c>
      <c r="F13" s="34" t="s">
        <v>28</v>
      </c>
      <c r="G13" s="36">
        <v>16375.104000000001</v>
      </c>
      <c r="H13" s="35" t="s">
        <v>29</v>
      </c>
    </row>
    <row r="14" spans="1:11" x14ac:dyDescent="0.3">
      <c r="A14" s="34" t="s">
        <v>30</v>
      </c>
      <c r="B14" s="96">
        <f>$A$15+C13</f>
        <v>20640.354800000001</v>
      </c>
      <c r="C14" s="97"/>
      <c r="D14" s="113"/>
      <c r="E14" s="114"/>
      <c r="F14" s="113"/>
      <c r="G14" s="114"/>
      <c r="H14" s="96">
        <v>26956</v>
      </c>
      <c r="I14" s="97"/>
    </row>
    <row r="15" spans="1:11" ht="15" thickBot="1" x14ac:dyDescent="0.35">
      <c r="A15" s="36">
        <v>4273.3548000000001</v>
      </c>
      <c r="B15" s="98"/>
      <c r="C15" s="99"/>
      <c r="D15" s="115"/>
      <c r="E15" s="116"/>
      <c r="F15" s="115"/>
      <c r="G15" s="116"/>
      <c r="H15" s="98"/>
      <c r="I15" s="99"/>
    </row>
    <row r="16" spans="1:11" x14ac:dyDescent="0.3">
      <c r="A16" s="34" t="s">
        <v>32</v>
      </c>
      <c r="B16" s="104">
        <f>(2*$A$17)+C13</f>
        <v>16583.126960000001</v>
      </c>
      <c r="C16" s="105"/>
      <c r="D16" s="113"/>
      <c r="E16" s="114"/>
      <c r="F16" s="113"/>
      <c r="G16" s="114"/>
      <c r="H16" s="104">
        <v>11539</v>
      </c>
      <c r="I16" s="105"/>
      <c r="K16" s="112" t="s">
        <v>37</v>
      </c>
    </row>
    <row r="17" spans="1:11" ht="15" thickBot="1" x14ac:dyDescent="0.35">
      <c r="A17" s="36">
        <v>108.06348000000001</v>
      </c>
      <c r="B17" s="106"/>
      <c r="C17" s="107"/>
      <c r="D17" s="115"/>
      <c r="E17" s="116"/>
      <c r="F17" s="115"/>
      <c r="G17" s="116"/>
      <c r="H17" s="106"/>
      <c r="I17" s="107"/>
      <c r="K17" s="112"/>
    </row>
    <row r="18" spans="1:11" x14ac:dyDescent="0.3">
      <c r="A18" s="34" t="s">
        <v>33</v>
      </c>
      <c r="B18" s="113"/>
      <c r="C18" s="114"/>
      <c r="D18" s="113"/>
      <c r="E18" s="114"/>
      <c r="F18" s="113"/>
      <c r="G18" s="114"/>
      <c r="H18" s="113"/>
      <c r="I18" s="114"/>
    </row>
    <row r="19" spans="1:11" ht="15" thickBot="1" x14ac:dyDescent="0.35">
      <c r="A19" s="36">
        <v>4261.1799999999994</v>
      </c>
      <c r="B19" s="115"/>
      <c r="C19" s="116"/>
      <c r="D19" s="115"/>
      <c r="E19" s="116"/>
      <c r="F19" s="115"/>
      <c r="G19" s="116"/>
      <c r="H19" s="115"/>
      <c r="I19" s="116"/>
    </row>
  </sheetData>
  <mergeCells count="30">
    <mergeCell ref="K16:K17"/>
    <mergeCell ref="B16:C17"/>
    <mergeCell ref="D16:E17"/>
    <mergeCell ref="F16:G17"/>
    <mergeCell ref="H16:I17"/>
    <mergeCell ref="B18:C19"/>
    <mergeCell ref="D18:E19"/>
    <mergeCell ref="F18:G19"/>
    <mergeCell ref="H18:I19"/>
    <mergeCell ref="B14:C15"/>
    <mergeCell ref="D14:E15"/>
    <mergeCell ref="F14:G15"/>
    <mergeCell ref="H14:I15"/>
    <mergeCell ref="H6:I7"/>
    <mergeCell ref="F6:G7"/>
    <mergeCell ref="F4:G5"/>
    <mergeCell ref="K2:K3"/>
    <mergeCell ref="K6:K7"/>
    <mergeCell ref="B2:C3"/>
    <mergeCell ref="D2:E3"/>
    <mergeCell ref="F2:G3"/>
    <mergeCell ref="H2:I3"/>
    <mergeCell ref="H4:I5"/>
    <mergeCell ref="F9:F10"/>
    <mergeCell ref="D4:E5"/>
    <mergeCell ref="D6:E7"/>
    <mergeCell ref="B6:C7"/>
    <mergeCell ref="B4:C5"/>
    <mergeCell ref="B9:B10"/>
    <mergeCell ref="D9:D10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71066-29B4-47F1-BF9A-36DF2BB79798}">
  <sheetPr>
    <pageSetUpPr fitToPage="1"/>
  </sheetPr>
  <dimension ref="A1:AA45"/>
  <sheetViews>
    <sheetView tabSelected="1" zoomScale="80" zoomScaleNormal="80" workbookViewId="0">
      <selection activeCell="F4" sqref="F4"/>
    </sheetView>
  </sheetViews>
  <sheetFormatPr defaultRowHeight="14.4" x14ac:dyDescent="0.3"/>
  <cols>
    <col min="1" max="1" width="22.33203125" customWidth="1"/>
    <col min="2" max="2" width="13" customWidth="1"/>
    <col min="3" max="3" width="9.33203125" customWidth="1"/>
    <col min="4" max="4" width="10.5546875" customWidth="1"/>
    <col min="6" max="6" width="10" customWidth="1"/>
    <col min="7" max="7" width="9.5546875" bestFit="1" customWidth="1"/>
    <col min="8" max="8" width="10.33203125" customWidth="1"/>
    <col min="9" max="9" width="4.88671875" customWidth="1"/>
  </cols>
  <sheetData>
    <row r="1" spans="1:27" x14ac:dyDescent="0.3">
      <c r="A1" s="3" t="s">
        <v>38</v>
      </c>
      <c r="B1" s="26" t="s">
        <v>39</v>
      </c>
      <c r="J1" s="8"/>
      <c r="K1" s="55" t="s">
        <v>40</v>
      </c>
      <c r="L1" s="55"/>
      <c r="M1" s="55"/>
      <c r="N1" s="55"/>
      <c r="O1" s="9"/>
      <c r="P1" s="55" t="s">
        <v>41</v>
      </c>
      <c r="Q1" s="55"/>
      <c r="R1" s="55"/>
      <c r="S1" s="55"/>
      <c r="T1" s="55"/>
      <c r="U1" s="9"/>
      <c r="V1" s="8" t="s">
        <v>42</v>
      </c>
      <c r="W1" s="55"/>
      <c r="X1" s="55"/>
      <c r="Y1" s="55"/>
      <c r="Z1" s="55"/>
      <c r="AA1" s="9"/>
    </row>
    <row r="2" spans="1:27" ht="28.8" x14ac:dyDescent="0.3">
      <c r="A2" s="2" t="s">
        <v>43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48</v>
      </c>
      <c r="G2" s="2" t="s">
        <v>49</v>
      </c>
      <c r="H2" s="6" t="s">
        <v>50</v>
      </c>
      <c r="J2" s="56" t="s">
        <v>51</v>
      </c>
      <c r="K2" s="53" t="s">
        <v>48</v>
      </c>
      <c r="L2" s="53" t="s">
        <v>52</v>
      </c>
      <c r="M2" s="53" t="s">
        <v>53</v>
      </c>
      <c r="N2" s="53" t="s">
        <v>54</v>
      </c>
      <c r="O2" s="57" t="s">
        <v>55</v>
      </c>
      <c r="P2" s="53" t="s">
        <v>51</v>
      </c>
      <c r="Q2" s="53" t="s">
        <v>56</v>
      </c>
      <c r="R2" s="53" t="s">
        <v>52</v>
      </c>
      <c r="S2" s="53" t="s">
        <v>53</v>
      </c>
      <c r="T2" s="53" t="s">
        <v>54</v>
      </c>
      <c r="U2" s="57" t="s">
        <v>55</v>
      </c>
      <c r="V2" s="56" t="s">
        <v>51</v>
      </c>
      <c r="W2" s="53" t="s">
        <v>56</v>
      </c>
      <c r="X2" s="53" t="s">
        <v>52</v>
      </c>
      <c r="Y2" s="53" t="s">
        <v>53</v>
      </c>
      <c r="Z2" s="53" t="s">
        <v>54</v>
      </c>
      <c r="AA2" s="57" t="s">
        <v>55</v>
      </c>
    </row>
    <row r="3" spans="1:27" x14ac:dyDescent="0.3">
      <c r="A3" s="11" t="s">
        <v>57</v>
      </c>
      <c r="J3" s="10"/>
      <c r="O3" s="5"/>
      <c r="U3" s="5"/>
      <c r="V3" s="10"/>
      <c r="AA3" s="5"/>
    </row>
    <row r="4" spans="1:27" x14ac:dyDescent="0.3">
      <c r="A4" t="s">
        <v>58</v>
      </c>
      <c r="C4">
        <v>230.06</v>
      </c>
      <c r="E4">
        <v>1</v>
      </c>
      <c r="F4" s="62">
        <v>50000</v>
      </c>
      <c r="G4" s="26" t="e">
        <f>1000*H4/#REF!</f>
        <v>#REF!</v>
      </c>
      <c r="H4" s="7">
        <f>F4/C4*1000</f>
        <v>217334.60836303572</v>
      </c>
      <c r="J4" s="10"/>
      <c r="O4" s="5"/>
      <c r="U4" s="5"/>
      <c r="V4" s="10"/>
      <c r="AA4" s="5"/>
    </row>
    <row r="5" spans="1:27" x14ac:dyDescent="0.3">
      <c r="A5" t="s">
        <v>59</v>
      </c>
      <c r="C5">
        <v>139.91999999999999</v>
      </c>
      <c r="E5" s="3">
        <v>1.5</v>
      </c>
      <c r="F5" s="26">
        <f>H5*C5/1000</f>
        <v>45614.187603233935</v>
      </c>
      <c r="G5" s="27" t="e">
        <f>1000*H5/#REF!</f>
        <v>#REF!</v>
      </c>
      <c r="H5" s="7">
        <f>$H$4*E5</f>
        <v>326001.91254455358</v>
      </c>
      <c r="J5" s="10"/>
      <c r="L5">
        <f>K5/$C5</f>
        <v>0</v>
      </c>
      <c r="M5" t="e">
        <f>J5/L5</f>
        <v>#DIV/0!</v>
      </c>
      <c r="O5" s="5" t="e">
        <f>M5*$E5</f>
        <v>#DIV/0!</v>
      </c>
      <c r="R5">
        <f>Q5/$C5</f>
        <v>0</v>
      </c>
      <c r="S5" t="e">
        <f>P5/R5</f>
        <v>#DIV/0!</v>
      </c>
      <c r="U5" s="5" t="e">
        <f>S5*$E5</f>
        <v>#DIV/0!</v>
      </c>
      <c r="V5" s="10"/>
      <c r="X5">
        <f>W5/$C5</f>
        <v>0</v>
      </c>
      <c r="Y5" t="e">
        <f>V5/X5</f>
        <v>#DIV/0!</v>
      </c>
      <c r="AA5" s="5" t="e">
        <f>Y5*$E5</f>
        <v>#DIV/0!</v>
      </c>
    </row>
    <row r="6" spans="1:27" x14ac:dyDescent="0.3">
      <c r="A6" t="s">
        <v>60</v>
      </c>
      <c r="C6">
        <v>138.21</v>
      </c>
      <c r="E6" s="3">
        <v>3</v>
      </c>
      <c r="F6" s="26">
        <f>H6*C6/1000</f>
        <v>90113.448665565506</v>
      </c>
      <c r="G6" s="12" t="e">
        <f>1000*H6/#REF!</f>
        <v>#REF!</v>
      </c>
      <c r="H6" s="7">
        <f>$H$4*E6</f>
        <v>652003.82508910715</v>
      </c>
      <c r="J6" s="10"/>
      <c r="L6">
        <f>K6/$C6</f>
        <v>0</v>
      </c>
      <c r="M6" t="e">
        <f>J6/L6</f>
        <v>#DIV/0!</v>
      </c>
      <c r="O6" s="5" t="e">
        <f>M6*$E6</f>
        <v>#DIV/0!</v>
      </c>
      <c r="R6">
        <f>Q6/$C6</f>
        <v>0</v>
      </c>
      <c r="S6" t="e">
        <f>P6/R6</f>
        <v>#DIV/0!</v>
      </c>
      <c r="U6" s="5" t="e">
        <f>S6*$E6</f>
        <v>#DIV/0!</v>
      </c>
      <c r="V6" s="10"/>
      <c r="X6">
        <f>W6/$C6</f>
        <v>0</v>
      </c>
      <c r="Y6" t="e">
        <f>V6/X6</f>
        <v>#DIV/0!</v>
      </c>
      <c r="AA6" s="5" t="e">
        <f>Y6*$E6</f>
        <v>#DIV/0!</v>
      </c>
    </row>
    <row r="7" spans="1:27" ht="14.4" customHeight="1" x14ac:dyDescent="0.3">
      <c r="J7" s="10"/>
      <c r="O7" s="5"/>
      <c r="U7" s="5"/>
      <c r="V7" s="10"/>
      <c r="AA7" s="5"/>
    </row>
    <row r="8" spans="1:27" x14ac:dyDescent="0.3">
      <c r="A8" s="44" t="s">
        <v>61</v>
      </c>
      <c r="J8" s="10"/>
      <c r="O8" s="5"/>
      <c r="U8" s="5"/>
      <c r="V8" s="10"/>
      <c r="AA8" s="5"/>
    </row>
    <row r="9" spans="1:27" x14ac:dyDescent="0.3">
      <c r="A9" s="4" t="s">
        <v>62</v>
      </c>
      <c r="B9" t="s">
        <v>63</v>
      </c>
      <c r="C9">
        <v>224.51</v>
      </c>
      <c r="E9" s="3">
        <v>0.01</v>
      </c>
      <c r="F9">
        <f t="shared" ref="F9" si="0">H9*C9/1000</f>
        <v>487.93792923585147</v>
      </c>
      <c r="G9" s="27" t="e">
        <f>1000*H9/#REF!</f>
        <v>#REF!</v>
      </c>
      <c r="H9" s="7">
        <f t="shared" ref="H9" si="1">$H$4*E9</f>
        <v>2173.346083630357</v>
      </c>
      <c r="J9" s="10">
        <v>401</v>
      </c>
      <c r="K9">
        <v>5</v>
      </c>
      <c r="L9">
        <f>K9/$C9</f>
        <v>2.2270722907665585E-2</v>
      </c>
      <c r="M9">
        <f>J9/L9</f>
        <v>18005.701999999997</v>
      </c>
      <c r="N9" t="s">
        <v>64</v>
      </c>
      <c r="O9" s="5">
        <f>M9*$H9/1000</f>
        <v>39132.621924715284</v>
      </c>
      <c r="P9">
        <v>7290</v>
      </c>
      <c r="Q9">
        <v>100</v>
      </c>
      <c r="R9">
        <f>Q9/$C9</f>
        <v>0.44541445815331165</v>
      </c>
      <c r="S9">
        <f>P9/R9</f>
        <v>16366.779</v>
      </c>
      <c r="T9" t="s">
        <v>65</v>
      </c>
      <c r="U9" s="5">
        <f>S9*$H9/1000</f>
        <v>35570.675041293565</v>
      </c>
      <c r="V9" s="10">
        <v>34795</v>
      </c>
      <c r="W9">
        <v>1000</v>
      </c>
      <c r="X9">
        <f>W9/$C9</f>
        <v>4.4541445815331171</v>
      </c>
      <c r="Y9">
        <f>V9/X9</f>
        <v>7811.8254499999994</v>
      </c>
      <c r="Z9" t="s">
        <v>248</v>
      </c>
      <c r="AA9" s="5">
        <f>Y9*$H9/1000</f>
        <v>16977.80024776145</v>
      </c>
    </row>
    <row r="10" spans="1:27" x14ac:dyDescent="0.3">
      <c r="A10" s="4"/>
      <c r="G10" s="12"/>
      <c r="H10" s="7"/>
      <c r="J10" s="10"/>
      <c r="O10" s="5"/>
      <c r="U10" s="5"/>
      <c r="V10" s="10"/>
      <c r="AA10" s="5"/>
    </row>
    <row r="11" spans="1:27" x14ac:dyDescent="0.3">
      <c r="A11" s="11" t="s">
        <v>66</v>
      </c>
      <c r="G11" s="12"/>
      <c r="H11" s="7"/>
      <c r="J11" s="10"/>
      <c r="O11" s="5"/>
      <c r="U11" s="5"/>
      <c r="V11" s="10"/>
      <c r="AA11" s="5"/>
    </row>
    <row r="12" spans="1:27" x14ac:dyDescent="0.3">
      <c r="A12" t="s">
        <v>32</v>
      </c>
      <c r="B12" s="13" t="s">
        <v>67</v>
      </c>
      <c r="C12">
        <v>262.29000000000002</v>
      </c>
      <c r="E12">
        <v>0.02</v>
      </c>
      <c r="F12">
        <f>H12*C12/1000</f>
        <v>1140.0938885508128</v>
      </c>
      <c r="G12" s="12" t="e">
        <f>1000*H12/#REF!</f>
        <v>#REF!</v>
      </c>
      <c r="H12" s="7">
        <f>$H$4*E12</f>
        <v>4346.6921672607141</v>
      </c>
      <c r="J12" s="10">
        <v>26</v>
      </c>
      <c r="K12">
        <v>100</v>
      </c>
      <c r="L12">
        <f>K12/$C12</f>
        <v>0.38125738686187044</v>
      </c>
      <c r="M12">
        <f>J12/L12</f>
        <v>68.195400000000006</v>
      </c>
      <c r="N12" t="s">
        <v>64</v>
      </c>
      <c r="O12" s="5">
        <f>M12*$H12/1000</f>
        <v>296.42441102321129</v>
      </c>
      <c r="P12">
        <v>103</v>
      </c>
      <c r="Q12">
        <v>250</v>
      </c>
      <c r="R12">
        <f>Q12/$C12</f>
        <v>0.95314346715467602</v>
      </c>
      <c r="S12">
        <f>P12/R12</f>
        <v>108.06348000000001</v>
      </c>
      <c r="T12" t="s">
        <v>65</v>
      </c>
      <c r="U12" s="5">
        <f>S12*$H12/1000</f>
        <v>469.71868208293489</v>
      </c>
      <c r="V12" s="10">
        <v>199</v>
      </c>
      <c r="W12">
        <v>1000</v>
      </c>
      <c r="X12">
        <f>W12/$C12</f>
        <v>3.8125738686187041</v>
      </c>
      <c r="Y12">
        <f>V12/X12</f>
        <v>52.195710000000005</v>
      </c>
      <c r="Z12" t="s">
        <v>68</v>
      </c>
      <c r="AA12" s="5">
        <f>Y12*$H12/1000</f>
        <v>226.87868382161176</v>
      </c>
    </row>
    <row r="13" spans="1:27" x14ac:dyDescent="0.3">
      <c r="A13" t="s">
        <v>69</v>
      </c>
      <c r="B13" s="13" t="s">
        <v>70</v>
      </c>
      <c r="C13">
        <v>304.37</v>
      </c>
      <c r="E13">
        <v>0.02</v>
      </c>
      <c r="F13">
        <f>H13*C13/1000</f>
        <v>1323.0026949491435</v>
      </c>
      <c r="G13" s="12" t="e">
        <f>1000*H13/#REF!</f>
        <v>#REF!</v>
      </c>
      <c r="H13" s="7">
        <f>$H$4*E13</f>
        <v>4346.6921672607141</v>
      </c>
      <c r="J13" s="10">
        <v>70</v>
      </c>
      <c r="K13">
        <v>5</v>
      </c>
      <c r="L13">
        <f t="shared" ref="L13:L14" si="2">K13/$C13</f>
        <v>1.6427374576995106E-2</v>
      </c>
      <c r="M13">
        <f t="shared" ref="M13:M14" si="3">J13/L13</f>
        <v>4261.1799999999994</v>
      </c>
      <c r="N13" t="s">
        <v>64</v>
      </c>
      <c r="O13" s="5">
        <f>M13*$H13/1000</f>
        <v>18522.037729288008</v>
      </c>
      <c r="P13">
        <v>45</v>
      </c>
      <c r="Q13">
        <v>100</v>
      </c>
      <c r="R13">
        <f>Q13/$C13</f>
        <v>0.32854749153990209</v>
      </c>
      <c r="S13">
        <f>P13/R13</f>
        <v>136.9665</v>
      </c>
      <c r="T13" t="s">
        <v>68</v>
      </c>
      <c r="U13" s="5">
        <f>S13*$H13/1000</f>
        <v>595.35121272711456</v>
      </c>
      <c r="V13" s="10">
        <v>376</v>
      </c>
      <c r="W13">
        <v>1000</v>
      </c>
      <c r="X13">
        <f>W13/$C13</f>
        <v>3.2854749153990208</v>
      </c>
      <c r="Y13">
        <f>V13/X13</f>
        <v>114.44312000000001</v>
      </c>
      <c r="Z13" t="s">
        <v>68</v>
      </c>
      <c r="AA13" s="5">
        <f>Y13*$H13/1000</f>
        <v>497.44901330087799</v>
      </c>
    </row>
    <row r="14" spans="1:27" x14ac:dyDescent="0.3">
      <c r="A14" t="s">
        <v>71</v>
      </c>
      <c r="B14" s="13" t="s">
        <v>72</v>
      </c>
      <c r="C14">
        <v>554.38</v>
      </c>
      <c r="E14">
        <v>0.01</v>
      </c>
      <c r="F14">
        <f>H14*C14/1000</f>
        <v>1204.8596018429973</v>
      </c>
      <c r="G14" s="12" t="e">
        <f>1000*H14/#REF!</f>
        <v>#REF!</v>
      </c>
      <c r="H14" s="7">
        <f>$H$4*E14</f>
        <v>2173.346083630357</v>
      </c>
      <c r="J14" s="10">
        <v>96</v>
      </c>
      <c r="K14">
        <v>5</v>
      </c>
      <c r="L14">
        <f t="shared" si="2"/>
        <v>9.0190843825534838E-3</v>
      </c>
      <c r="M14">
        <f t="shared" si="3"/>
        <v>10644.096</v>
      </c>
      <c r="N14" t="s">
        <v>64</v>
      </c>
      <c r="O14" s="5">
        <f>M14*$H14/1000</f>
        <v>23133.30435538555</v>
      </c>
      <c r="P14">
        <v>351</v>
      </c>
      <c r="Q14">
        <v>25</v>
      </c>
      <c r="R14">
        <f>Q14/$C14</f>
        <v>4.5095421912767414E-2</v>
      </c>
      <c r="S14">
        <f>P14/R14</f>
        <v>7783.4952000000003</v>
      </c>
      <c r="T14" t="s">
        <v>65</v>
      </c>
      <c r="U14" s="5">
        <f>S14*$H14/1000</f>
        <v>16916.228809875684</v>
      </c>
      <c r="V14" s="10">
        <v>454</v>
      </c>
      <c r="W14">
        <v>1000</v>
      </c>
      <c r="X14">
        <f>W14/$C14</f>
        <v>1.8038168765106966</v>
      </c>
      <c r="Y14">
        <f>V14/X14</f>
        <v>251.68852000000001</v>
      </c>
      <c r="Z14" t="s">
        <v>68</v>
      </c>
      <c r="AA14" s="5">
        <f>Y14*$H14/1000</f>
        <v>547.00625923672089</v>
      </c>
    </row>
    <row r="15" spans="1:27" x14ac:dyDescent="0.3">
      <c r="G15" s="12"/>
      <c r="H15" s="7"/>
      <c r="J15" s="10"/>
      <c r="O15" s="5"/>
      <c r="U15" s="5"/>
      <c r="V15" s="10"/>
      <c r="AA15" s="5"/>
    </row>
    <row r="16" spans="1:27" x14ac:dyDescent="0.3">
      <c r="A16" s="11" t="s">
        <v>73</v>
      </c>
      <c r="G16" s="12"/>
      <c r="H16" s="7"/>
      <c r="J16" s="10"/>
      <c r="O16" s="5"/>
      <c r="U16" s="5"/>
      <c r="V16" s="10"/>
      <c r="AA16" s="5"/>
    </row>
    <row r="17" spans="1:27" x14ac:dyDescent="0.3">
      <c r="A17" t="s">
        <v>74</v>
      </c>
      <c r="B17" t="s">
        <v>75</v>
      </c>
      <c r="C17">
        <v>731.7</v>
      </c>
      <c r="E17">
        <v>3.0000000000000001E-3</v>
      </c>
      <c r="F17">
        <f>H17*C17/1000</f>
        <v>477.07119881769972</v>
      </c>
      <c r="G17" s="12" t="e">
        <f>1000*H17/#REF!</f>
        <v>#REF!</v>
      </c>
      <c r="H17" s="7">
        <f>$H$4*E17</f>
        <v>652.00382508910718</v>
      </c>
      <c r="J17" s="10">
        <v>234</v>
      </c>
      <c r="K17">
        <v>5</v>
      </c>
      <c r="L17">
        <f t="shared" ref="L17:L19" si="4">K17/$C17</f>
        <v>6.8334016673500062E-3</v>
      </c>
      <c r="M17">
        <f>J17/L17</f>
        <v>34243.560000000005</v>
      </c>
      <c r="N17" t="s">
        <v>64</v>
      </c>
      <c r="O17" s="5">
        <f>M17*$H17/1000</f>
        <v>22326.932104668351</v>
      </c>
      <c r="P17">
        <v>9210</v>
      </c>
      <c r="Q17">
        <v>250</v>
      </c>
      <c r="R17">
        <f>Q17/$C17</f>
        <v>0.34167008336750032</v>
      </c>
      <c r="S17">
        <f>P17/R17</f>
        <v>26955.828000000001</v>
      </c>
      <c r="T17" t="s">
        <v>65</v>
      </c>
      <c r="U17" s="5">
        <f>S17*$H17/1000</f>
        <v>17575.302964444061</v>
      </c>
      <c r="V17" s="10">
        <v>13105</v>
      </c>
      <c r="W17">
        <v>1000</v>
      </c>
      <c r="X17">
        <f>W17/$C17</f>
        <v>1.3666803334700013</v>
      </c>
      <c r="Y17">
        <f>V17/X17</f>
        <v>9588.9285</v>
      </c>
      <c r="Z17" t="s">
        <v>248</v>
      </c>
      <c r="AA17" s="5">
        <f>Y17*$H17/1000</f>
        <v>6252.018060505955</v>
      </c>
    </row>
    <row r="18" spans="1:27" x14ac:dyDescent="0.3">
      <c r="A18" t="s">
        <v>76</v>
      </c>
      <c r="B18" t="s">
        <v>77</v>
      </c>
      <c r="C18">
        <v>701.9</v>
      </c>
      <c r="E18">
        <v>0.01</v>
      </c>
      <c r="F18">
        <f>H18*C18/1000</f>
        <v>1525.4716161001477</v>
      </c>
      <c r="G18" s="12" t="e">
        <f>1000*H18/#REF!</f>
        <v>#REF!</v>
      </c>
      <c r="H18" s="7">
        <f>$H$4*E18</f>
        <v>2173.346083630357</v>
      </c>
      <c r="J18" s="10">
        <v>218</v>
      </c>
      <c r="K18">
        <v>5</v>
      </c>
      <c r="L18">
        <f t="shared" si="4"/>
        <v>7.1235218692121387E-3</v>
      </c>
      <c r="M18">
        <f t="shared" ref="M18:M19" si="5">J18/L18</f>
        <v>30602.84</v>
      </c>
      <c r="N18" t="s">
        <v>64</v>
      </c>
      <c r="O18" s="5">
        <f>M18*$H18/1000</f>
        <v>66510.56246196643</v>
      </c>
      <c r="P18">
        <v>4110</v>
      </c>
      <c r="Q18">
        <v>250</v>
      </c>
      <c r="R18">
        <f>Q18/$C18</f>
        <v>0.35617609346060691</v>
      </c>
      <c r="S18">
        <f>P18/R18</f>
        <v>11539.236000000001</v>
      </c>
      <c r="T18" t="s">
        <v>65</v>
      </c>
      <c r="U18" s="5">
        <f>S18*$H18/1000</f>
        <v>25078.75336868643</v>
      </c>
      <c r="V18" s="10">
        <v>12828</v>
      </c>
      <c r="W18">
        <v>1000</v>
      </c>
      <c r="X18">
        <f>W18/$C18</f>
        <v>1.4247043738424277</v>
      </c>
      <c r="Y18">
        <f>V18/X18</f>
        <v>9003.9732000000004</v>
      </c>
      <c r="Z18" t="s">
        <v>248</v>
      </c>
      <c r="AA18" s="5">
        <f>Y18*$H18/1000</f>
        <v>19568.749891332693</v>
      </c>
    </row>
    <row r="19" spans="1:27" ht="15" thickBot="1" x14ac:dyDescent="0.35">
      <c r="A19" t="s">
        <v>78</v>
      </c>
      <c r="B19" t="s">
        <v>79</v>
      </c>
      <c r="C19">
        <v>786.06</v>
      </c>
      <c r="E19">
        <v>0.01</v>
      </c>
      <c r="F19">
        <f>H19*C19/1000</f>
        <v>1708.3804224984783</v>
      </c>
      <c r="G19" s="12" t="e">
        <f>1000*H19/#REF!</f>
        <v>#REF!</v>
      </c>
      <c r="H19" s="7">
        <f>$H$4*E19</f>
        <v>2173.346083630357</v>
      </c>
      <c r="J19" s="10">
        <v>160</v>
      </c>
      <c r="K19">
        <v>5</v>
      </c>
      <c r="L19">
        <f t="shared" si="4"/>
        <v>6.3608375950945225E-3</v>
      </c>
      <c r="M19">
        <f t="shared" si="5"/>
        <v>25153.919999999998</v>
      </c>
      <c r="N19" t="s">
        <v>64</v>
      </c>
      <c r="O19" s="5">
        <f>M19*$H19/1000</f>
        <v>54668.173519951306</v>
      </c>
      <c r="P19">
        <v>811</v>
      </c>
      <c r="Q19">
        <v>25</v>
      </c>
      <c r="R19">
        <f>Q19/$C19</f>
        <v>3.180418797547261E-2</v>
      </c>
      <c r="S19">
        <f>P19/R19</f>
        <v>25499.786400000001</v>
      </c>
      <c r="T19" t="s">
        <v>68</v>
      </c>
      <c r="U19" s="5">
        <f>S19*$H19/1000</f>
        <v>55419.860905850641</v>
      </c>
      <c r="V19" s="10"/>
      <c r="X19">
        <f>W19/$C19</f>
        <v>0</v>
      </c>
      <c r="Y19" t="e">
        <f>V19/X19</f>
        <v>#DIV/0!</v>
      </c>
      <c r="AA19" s="5" t="e">
        <f>Y19*$H19/1000</f>
        <v>#DIV/0!</v>
      </c>
    </row>
    <row r="20" spans="1:27" x14ac:dyDescent="0.3">
      <c r="G20" s="12"/>
      <c r="H20" s="7"/>
      <c r="J20" s="8"/>
      <c r="K20" s="55"/>
      <c r="L20" s="55"/>
      <c r="M20" s="55"/>
      <c r="N20" s="55"/>
      <c r="O20" s="9"/>
      <c r="P20" s="8"/>
      <c r="Q20" s="55"/>
      <c r="R20" s="55"/>
      <c r="S20" s="55"/>
      <c r="T20" s="55"/>
      <c r="U20" s="9"/>
      <c r="V20" s="8"/>
      <c r="W20" s="55"/>
      <c r="X20" s="55"/>
      <c r="Y20" s="55"/>
      <c r="Z20" s="55"/>
      <c r="AA20" s="9"/>
    </row>
    <row r="21" spans="1:27" ht="28.8" x14ac:dyDescent="0.3">
      <c r="C21" s="2" t="s">
        <v>45</v>
      </c>
      <c r="D21" s="2" t="s">
        <v>46</v>
      </c>
      <c r="E21" t="s">
        <v>80</v>
      </c>
      <c r="F21" t="s">
        <v>81</v>
      </c>
      <c r="G21" s="12" t="s">
        <v>82</v>
      </c>
      <c r="H21" s="7"/>
      <c r="J21" s="56" t="s">
        <v>51</v>
      </c>
      <c r="K21" s="53" t="s">
        <v>83</v>
      </c>
      <c r="L21" s="53"/>
      <c r="M21" s="53" t="s">
        <v>84</v>
      </c>
      <c r="N21" s="53" t="s">
        <v>54</v>
      </c>
      <c r="O21" s="57" t="s">
        <v>55</v>
      </c>
      <c r="P21" s="56" t="s">
        <v>51</v>
      </c>
      <c r="Q21" s="53" t="s">
        <v>83</v>
      </c>
      <c r="R21" s="53"/>
      <c r="S21" s="53" t="s">
        <v>84</v>
      </c>
      <c r="T21" s="53" t="s">
        <v>54</v>
      </c>
      <c r="U21" s="57" t="s">
        <v>55</v>
      </c>
      <c r="V21" s="56" t="s">
        <v>51</v>
      </c>
      <c r="W21" s="53" t="s">
        <v>83</v>
      </c>
      <c r="X21" s="53"/>
      <c r="Y21" s="53" t="s">
        <v>84</v>
      </c>
      <c r="Z21" s="53" t="s">
        <v>54</v>
      </c>
      <c r="AA21" s="57" t="s">
        <v>55</v>
      </c>
    </row>
    <row r="22" spans="1:27" x14ac:dyDescent="0.3">
      <c r="A22" s="11" t="s">
        <v>85</v>
      </c>
      <c r="G22" s="12"/>
      <c r="J22" s="10"/>
      <c r="O22" s="5"/>
      <c r="P22" s="10"/>
      <c r="U22" s="5"/>
      <c r="V22" s="10"/>
      <c r="AA22" s="5"/>
    </row>
    <row r="23" spans="1:27" x14ac:dyDescent="0.3">
      <c r="A23" t="s">
        <v>86</v>
      </c>
      <c r="C23">
        <v>41.05</v>
      </c>
      <c r="D23">
        <v>0.78600000000000003</v>
      </c>
      <c r="E23" s="3">
        <v>10</v>
      </c>
      <c r="F23">
        <f>G23*D23</f>
        <v>393</v>
      </c>
      <c r="G23" s="27">
        <f>F4*E23/1000</f>
        <v>500</v>
      </c>
      <c r="J23" s="10"/>
      <c r="M23" t="e">
        <f>J23/K23</f>
        <v>#DIV/0!</v>
      </c>
      <c r="O23" s="5" t="e">
        <f>M23*$G23</f>
        <v>#DIV/0!</v>
      </c>
      <c r="P23" s="10"/>
      <c r="S23" t="e">
        <f>P23/Q23</f>
        <v>#DIV/0!</v>
      </c>
      <c r="U23" s="5" t="e">
        <f>S23*$G23</f>
        <v>#DIV/0!</v>
      </c>
      <c r="V23" s="10"/>
      <c r="Y23" t="e">
        <f>V23/W23</f>
        <v>#DIV/0!</v>
      </c>
      <c r="AA23" s="5" t="e">
        <f>Y23*$G23</f>
        <v>#DIV/0!</v>
      </c>
    </row>
    <row r="24" spans="1:27" x14ac:dyDescent="0.3">
      <c r="A24" t="s">
        <v>87</v>
      </c>
      <c r="C24">
        <v>46.07</v>
      </c>
      <c r="D24">
        <v>0.78900000000000003</v>
      </c>
      <c r="E24" s="3">
        <v>10</v>
      </c>
      <c r="F24">
        <f>G24*D24</f>
        <v>394.5</v>
      </c>
      <c r="G24" s="27">
        <f>F4*E24/1000</f>
        <v>500</v>
      </c>
      <c r="J24" s="10"/>
      <c r="M24" t="e">
        <f>J24/K24</f>
        <v>#DIV/0!</v>
      </c>
      <c r="O24" s="5" t="e">
        <f>M24*$G24</f>
        <v>#DIV/0!</v>
      </c>
      <c r="P24" s="10"/>
      <c r="S24" t="e">
        <f>P24/Q24</f>
        <v>#DIV/0!</v>
      </c>
      <c r="U24" s="5" t="e">
        <f>S24*$G24</f>
        <v>#DIV/0!</v>
      </c>
      <c r="V24" s="10"/>
      <c r="Y24" t="e">
        <f>V24/W24</f>
        <v>#DIV/0!</v>
      </c>
      <c r="AA24" s="5" t="e">
        <f>Y24*$G24</f>
        <v>#DIV/0!</v>
      </c>
    </row>
    <row r="25" spans="1:27" x14ac:dyDescent="0.3">
      <c r="A25" s="47" t="s">
        <v>88</v>
      </c>
      <c r="B25" s="47"/>
      <c r="C25" s="47">
        <v>18.02</v>
      </c>
      <c r="D25" s="47">
        <v>1</v>
      </c>
      <c r="E25" s="48">
        <v>2</v>
      </c>
      <c r="F25" s="47">
        <f>G25*D25</f>
        <v>100</v>
      </c>
      <c r="G25" s="49">
        <f>F4*E25/1000</f>
        <v>100</v>
      </c>
      <c r="H25" s="50"/>
      <c r="J25" s="10"/>
      <c r="M25" t="e">
        <f>J25/K25</f>
        <v>#DIV/0!</v>
      </c>
      <c r="O25" s="5" t="e">
        <f>M25*$G25</f>
        <v>#DIV/0!</v>
      </c>
      <c r="P25" s="10"/>
      <c r="S25" t="e">
        <f>P25/Q25</f>
        <v>#DIV/0!</v>
      </c>
      <c r="U25" s="5" t="e">
        <f>S25*$G25</f>
        <v>#DIV/0!</v>
      </c>
      <c r="V25" s="10"/>
      <c r="Y25" t="e">
        <f>V25/W25</f>
        <v>#DIV/0!</v>
      </c>
      <c r="AA25" s="5" t="e">
        <f>Y25*$G25</f>
        <v>#DIV/0!</v>
      </c>
    </row>
    <row r="26" spans="1:27" x14ac:dyDescent="0.3">
      <c r="A26" t="s">
        <v>89</v>
      </c>
      <c r="E26" s="3">
        <v>10</v>
      </c>
      <c r="G26" s="27">
        <f>F4*E26</f>
        <v>500000</v>
      </c>
      <c r="H26" s="7"/>
      <c r="J26" s="10"/>
      <c r="O26" s="5"/>
      <c r="P26" s="10"/>
      <c r="U26" s="5"/>
      <c r="V26" s="10"/>
      <c r="AA26" s="5"/>
    </row>
    <row r="27" spans="1:27" x14ac:dyDescent="0.3">
      <c r="A27" t="s">
        <v>90</v>
      </c>
      <c r="E27" s="3">
        <v>2.5</v>
      </c>
      <c r="G27" s="49">
        <f>F4*E27</f>
        <v>125000</v>
      </c>
      <c r="H27" s="7"/>
      <c r="J27" s="10"/>
      <c r="O27" s="5"/>
      <c r="P27" s="10"/>
      <c r="U27" s="5"/>
      <c r="V27" s="10"/>
      <c r="AA27" s="5"/>
    </row>
    <row r="28" spans="1:27" ht="15" thickBot="1" x14ac:dyDescent="0.35">
      <c r="B28" t="s">
        <v>91</v>
      </c>
      <c r="G28" s="12" t="e">
        <f>500-G4-#REF!-G25</f>
        <v>#REF!</v>
      </c>
      <c r="J28" s="58"/>
      <c r="K28" s="59"/>
      <c r="L28" s="59"/>
      <c r="M28" s="59"/>
      <c r="N28" s="59"/>
      <c r="O28" s="60"/>
      <c r="P28" s="58"/>
      <c r="Q28" s="59"/>
      <c r="R28" s="59"/>
      <c r="S28" s="59"/>
      <c r="T28" s="59"/>
      <c r="U28" s="60"/>
      <c r="V28" s="58"/>
      <c r="W28" s="59"/>
      <c r="X28" s="59"/>
      <c r="Y28" s="59"/>
      <c r="Z28" s="59"/>
      <c r="AA28" s="60"/>
    </row>
    <row r="29" spans="1:27" x14ac:dyDescent="0.3">
      <c r="O29" s="11"/>
      <c r="U29" s="32"/>
    </row>
    <row r="30" spans="1:27" x14ac:dyDescent="0.3">
      <c r="U30" s="32"/>
    </row>
    <row r="31" spans="1:27" x14ac:dyDescent="0.3">
      <c r="A31" s="117"/>
      <c r="B31" s="117"/>
      <c r="C31" s="117"/>
      <c r="D31" s="117"/>
      <c r="E31" s="117"/>
      <c r="F31" s="117"/>
      <c r="U31" s="32"/>
    </row>
    <row r="32" spans="1:27" x14ac:dyDescent="0.3">
      <c r="A32" s="11"/>
      <c r="U32" s="32"/>
    </row>
    <row r="33" spans="1:6" x14ac:dyDescent="0.3">
      <c r="F33" s="32"/>
    </row>
    <row r="34" spans="1:6" x14ac:dyDescent="0.3">
      <c r="F34" s="32"/>
    </row>
    <row r="35" spans="1:6" x14ac:dyDescent="0.3">
      <c r="A35" s="4"/>
      <c r="F35" s="32"/>
    </row>
    <row r="36" spans="1:6" x14ac:dyDescent="0.3">
      <c r="A36" s="4"/>
      <c r="F36" s="32"/>
    </row>
    <row r="37" spans="1:6" x14ac:dyDescent="0.3">
      <c r="A37" s="11"/>
      <c r="F37" s="32"/>
    </row>
    <row r="38" spans="1:6" x14ac:dyDescent="0.3">
      <c r="F38" s="32"/>
    </row>
    <row r="39" spans="1:6" x14ac:dyDescent="0.3">
      <c r="F39" s="32"/>
    </row>
    <row r="40" spans="1:6" x14ac:dyDescent="0.3">
      <c r="F40" s="32"/>
    </row>
    <row r="41" spans="1:6" x14ac:dyDescent="0.3">
      <c r="F41" s="32"/>
    </row>
    <row r="42" spans="1:6" x14ac:dyDescent="0.3">
      <c r="A42" s="11"/>
      <c r="F42" s="32"/>
    </row>
    <row r="43" spans="1:6" x14ac:dyDescent="0.3">
      <c r="F43" s="32"/>
    </row>
    <row r="44" spans="1:6" x14ac:dyDescent="0.3">
      <c r="F44" s="32"/>
    </row>
    <row r="45" spans="1:6" x14ac:dyDescent="0.3">
      <c r="F45" s="32"/>
    </row>
  </sheetData>
  <mergeCells count="1">
    <mergeCell ref="A31:F31"/>
  </mergeCells>
  <pageMargins left="0.7" right="0.7" top="0.75" bottom="0.75" header="0.3" footer="0.3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190E-5EF1-4502-9AEB-23DD5662E534}">
  <sheetPr codeName="Sheet1">
    <pageSetUpPr fitToPage="1"/>
  </sheetPr>
  <dimension ref="A1:K32"/>
  <sheetViews>
    <sheetView zoomScale="110" zoomScaleNormal="110" workbookViewId="0">
      <selection activeCell="D2" sqref="D2"/>
    </sheetView>
  </sheetViews>
  <sheetFormatPr defaultColWidth="20.6640625" defaultRowHeight="14.4" x14ac:dyDescent="0.3"/>
  <cols>
    <col min="1" max="1" width="8.6640625" style="1" customWidth="1"/>
    <col min="2" max="9" width="20.6640625" style="1" customWidth="1"/>
    <col min="10" max="10" width="9" style="1" customWidth="1"/>
    <col min="11" max="16384" width="20.6640625" style="1"/>
  </cols>
  <sheetData>
    <row r="1" spans="1:11" ht="13.2" customHeight="1" thickBot="1" x14ac:dyDescent="0.35">
      <c r="B1" s="1" t="s">
        <v>4</v>
      </c>
      <c r="C1" s="1" t="s">
        <v>17</v>
      </c>
      <c r="D1" s="1" t="s">
        <v>21</v>
      </c>
      <c r="E1" s="1" t="s">
        <v>23</v>
      </c>
      <c r="F1" s="1" t="s">
        <v>25</v>
      </c>
      <c r="G1" s="1">
        <v>6</v>
      </c>
      <c r="H1" s="1">
        <v>7</v>
      </c>
      <c r="I1" s="1">
        <v>8</v>
      </c>
    </row>
    <row r="2" spans="1:11" ht="13.2" customHeight="1" x14ac:dyDescent="0.3">
      <c r="B2" s="16" t="s">
        <v>0</v>
      </c>
      <c r="C2" s="16" t="s">
        <v>0</v>
      </c>
      <c r="D2" s="16" t="s">
        <v>0</v>
      </c>
      <c r="E2" s="16" t="s">
        <v>0</v>
      </c>
      <c r="F2" s="16" t="s">
        <v>0</v>
      </c>
      <c r="G2" s="64"/>
      <c r="H2" s="16" t="s">
        <v>0</v>
      </c>
      <c r="I2" s="16" t="s">
        <v>0</v>
      </c>
      <c r="K2" s="91" t="s">
        <v>3</v>
      </c>
    </row>
    <row r="3" spans="1:11" ht="13.2" customHeight="1" x14ac:dyDescent="0.3">
      <c r="A3" s="1">
        <v>1</v>
      </c>
      <c r="B3" s="20" t="s">
        <v>242</v>
      </c>
      <c r="C3" s="20" t="s">
        <v>241</v>
      </c>
      <c r="D3" s="20" t="s">
        <v>245</v>
      </c>
      <c r="E3" s="20" t="s">
        <v>246</v>
      </c>
      <c r="F3" s="20" t="s">
        <v>102</v>
      </c>
      <c r="G3" s="66"/>
      <c r="H3" s="20" t="s">
        <v>240</v>
      </c>
      <c r="I3" s="20" t="s">
        <v>245</v>
      </c>
      <c r="K3" s="91"/>
    </row>
    <row r="4" spans="1:11" ht="13.2" customHeight="1" x14ac:dyDescent="0.3">
      <c r="A4" s="1" t="s">
        <v>93</v>
      </c>
      <c r="B4" s="83">
        <f>'UPLC Data (iClass)'!K3</f>
        <v>46.420141620771041</v>
      </c>
      <c r="C4" s="81">
        <f>'UPLC Data (iClass)'!K9</f>
        <v>83.705108186482278</v>
      </c>
      <c r="D4" s="81">
        <f>'UPLC Data (iClass)'!K15</f>
        <v>90.93231162196679</v>
      </c>
      <c r="E4" s="87">
        <f>'UPLC Data (iClass)'!K21</f>
        <v>14.491539621377147</v>
      </c>
      <c r="F4" s="87">
        <f>'UPLC Data (iClass)'!K27</f>
        <v>48.011861436851305</v>
      </c>
      <c r="G4" s="67">
        <f>'UPLC Data (iClass)'!K33</f>
        <v>100</v>
      </c>
      <c r="H4" s="83">
        <f>'UPLC Data (iClass)'!K39</f>
        <v>28.845563401903597</v>
      </c>
      <c r="I4" s="83">
        <f>'UPLC Data (iClass)'!K45</f>
        <v>37.053194483535044</v>
      </c>
      <c r="J4" s="1" t="s">
        <v>239</v>
      </c>
      <c r="K4" s="118" t="s">
        <v>94</v>
      </c>
    </row>
    <row r="5" spans="1:11" ht="13.2" customHeight="1" thickBot="1" x14ac:dyDescent="0.35">
      <c r="A5" s="1" t="s">
        <v>95</v>
      </c>
      <c r="B5" s="84">
        <f>'UPLC Data (iClass)'!L3</f>
        <v>6.582743246787305</v>
      </c>
      <c r="C5" s="82">
        <f>'UPLC Data (iClass)'!L9</f>
        <v>53.368280169529335</v>
      </c>
      <c r="D5" s="82">
        <f>'UPLC Data (iClass)'!L15</f>
        <v>73.122024846162788</v>
      </c>
      <c r="E5" s="88">
        <f>'UPLC Data (iClass)'!L21</f>
        <v>0.40207739989948055</v>
      </c>
      <c r="F5" s="88">
        <f>'UPLC Data (iClass)'!L27</f>
        <v>1.3883272678258525</v>
      </c>
      <c r="G5" s="68">
        <f>'UPLC Data (iClass)'!L33</f>
        <v>0</v>
      </c>
      <c r="H5" s="84">
        <f>'UPLC Data (iClass)'!L39</f>
        <v>8.7196806877494613</v>
      </c>
      <c r="I5" s="83">
        <f>'UPLC Data (iClass)'!L45</f>
        <v>6.4874753729242896</v>
      </c>
      <c r="K5" s="118"/>
    </row>
    <row r="6" spans="1:11" ht="13.2" customHeight="1" x14ac:dyDescent="0.3">
      <c r="B6" s="16" t="s">
        <v>0</v>
      </c>
      <c r="C6" s="16" t="s">
        <v>0</v>
      </c>
      <c r="D6" s="16" t="s">
        <v>0</v>
      </c>
      <c r="E6" s="16" t="s">
        <v>0</v>
      </c>
      <c r="F6" s="16" t="s">
        <v>0</v>
      </c>
      <c r="G6" s="64"/>
      <c r="H6" s="16" t="s">
        <v>0</v>
      </c>
      <c r="I6" s="16" t="s">
        <v>0</v>
      </c>
      <c r="K6" s="92" t="s">
        <v>96</v>
      </c>
    </row>
    <row r="7" spans="1:11" ht="13.2" customHeight="1" x14ac:dyDescent="0.3">
      <c r="A7" s="1">
        <v>2</v>
      </c>
      <c r="B7" s="20" t="s">
        <v>242</v>
      </c>
      <c r="C7" s="20" t="s">
        <v>241</v>
      </c>
      <c r="D7" s="20" t="s">
        <v>245</v>
      </c>
      <c r="E7" s="20" t="s">
        <v>246</v>
      </c>
      <c r="F7" s="20" t="s">
        <v>102</v>
      </c>
      <c r="G7" s="66"/>
      <c r="H7" s="20" t="s">
        <v>240</v>
      </c>
      <c r="I7" s="20" t="s">
        <v>245</v>
      </c>
      <c r="K7" s="92"/>
    </row>
    <row r="8" spans="1:11" ht="13.2" customHeight="1" x14ac:dyDescent="0.3">
      <c r="A8" s="1" t="s">
        <v>93</v>
      </c>
      <c r="B8" s="81">
        <f>'UPLC Data (iClass)'!K4</f>
        <v>84.663518299881943</v>
      </c>
      <c r="C8" s="85">
        <f>'UPLC Data (iClass)'!K10</f>
        <v>97.8319478768816</v>
      </c>
      <c r="D8" s="85">
        <f>'UPLC Data (iClass)'!K16</f>
        <v>98.580281690140851</v>
      </c>
      <c r="E8" s="87">
        <f>'UPLC Data (iClass)'!K22</f>
        <v>3.7337662337662345</v>
      </c>
      <c r="F8" s="87">
        <f>'UPLC Data (iClass)'!K28</f>
        <v>18.612836438923399</v>
      </c>
      <c r="G8" s="67">
        <f>'UPLC Data (iClass)'!K34</f>
        <v>100</v>
      </c>
      <c r="H8" s="83">
        <f>'UPLC Data (iClass)'!K40</f>
        <v>37.327612626417412</v>
      </c>
      <c r="I8" s="83">
        <f>'UPLC Data (iClass)'!K46</f>
        <v>36.861894432393363</v>
      </c>
      <c r="J8" s="1" t="s">
        <v>243</v>
      </c>
      <c r="K8" s="119" t="s">
        <v>98</v>
      </c>
    </row>
    <row r="9" spans="1:11" ht="13.2" customHeight="1" thickBot="1" x14ac:dyDescent="0.35">
      <c r="A9" s="1" t="s">
        <v>95</v>
      </c>
      <c r="B9" s="82">
        <f>'UPLC Data (iClass)'!L4</f>
        <v>68.170011806375456</v>
      </c>
      <c r="C9" s="86">
        <f>'UPLC Data (iClass)'!L10</f>
        <v>86.34014828128511</v>
      </c>
      <c r="D9" s="86">
        <f>'UPLC Data (iClass)'!L16</f>
        <v>87.154929577464785</v>
      </c>
      <c r="E9" s="88">
        <f>'UPLC Data (iClass)'!L22</f>
        <v>2.8318903318903321</v>
      </c>
      <c r="F9" s="88">
        <f>'UPLC Data (iClass)'!L28</f>
        <v>14.161490683229811</v>
      </c>
      <c r="G9" s="68">
        <f>'UPLC Data (iClass)'!L34</f>
        <v>0</v>
      </c>
      <c r="H9" s="84">
        <f>'UPLC Data (iClass)'!L40</f>
        <v>23.643885994483604</v>
      </c>
      <c r="I9" s="83">
        <f>'UPLC Data (iClass)'!L46</f>
        <v>15.531453362255958</v>
      </c>
      <c r="K9" s="119"/>
    </row>
    <row r="10" spans="1:11" ht="13.2" customHeight="1" x14ac:dyDescent="0.3">
      <c r="B10" s="16" t="s">
        <v>0</v>
      </c>
      <c r="C10" s="16" t="s">
        <v>0</v>
      </c>
      <c r="D10" s="16" t="s">
        <v>0</v>
      </c>
      <c r="E10" s="16" t="s">
        <v>0</v>
      </c>
      <c r="F10" s="16" t="s">
        <v>0</v>
      </c>
      <c r="G10" s="64"/>
      <c r="H10" s="16" t="s">
        <v>0</v>
      </c>
      <c r="I10" s="16" t="s">
        <v>0</v>
      </c>
    </row>
    <row r="11" spans="1:11" ht="13.2" customHeight="1" x14ac:dyDescent="0.3">
      <c r="A11" s="1" t="s">
        <v>21</v>
      </c>
      <c r="B11" s="20" t="s">
        <v>92</v>
      </c>
      <c r="C11" s="20" t="s">
        <v>97</v>
      </c>
      <c r="D11" s="20" t="s">
        <v>99</v>
      </c>
      <c r="E11" s="20" t="s">
        <v>101</v>
      </c>
      <c r="F11" s="20" t="s">
        <v>102</v>
      </c>
      <c r="G11" s="65"/>
      <c r="H11" s="20" t="s">
        <v>238</v>
      </c>
      <c r="I11" s="20" t="s">
        <v>99</v>
      </c>
    </row>
    <row r="12" spans="1:11" ht="13.2" customHeight="1" x14ac:dyDescent="0.3">
      <c r="A12" s="1" t="s">
        <v>93</v>
      </c>
      <c r="B12" s="67">
        <f>'UPLC Data (iClass)'!K5</f>
        <v>100</v>
      </c>
      <c r="C12" s="67">
        <f>'UPLC Data (iClass)'!K11</f>
        <v>100</v>
      </c>
      <c r="D12" s="67">
        <f>'UPLC Data (iClass)'!K17</f>
        <v>100</v>
      </c>
      <c r="E12" s="67">
        <f>'UPLC Data (iClass)'!K23</f>
        <v>100</v>
      </c>
      <c r="F12" s="67">
        <f>'UPLC Data (iClass)'!K29</f>
        <v>100</v>
      </c>
      <c r="G12" s="67">
        <f>'UPLC Data (iClass)'!K35</f>
        <v>100</v>
      </c>
      <c r="H12" s="83">
        <f>'UPLC Data (iClass)'!K41</f>
        <v>63.359874689988253</v>
      </c>
      <c r="I12" s="89">
        <f>'UPLC Data (iClass)'!K47</f>
        <v>47.309602649006628</v>
      </c>
      <c r="J12" s="1" t="s">
        <v>244</v>
      </c>
    </row>
    <row r="13" spans="1:11" ht="13.2" customHeight="1" thickBot="1" x14ac:dyDescent="0.35">
      <c r="A13" s="1" t="s">
        <v>95</v>
      </c>
      <c r="B13" s="68">
        <f>'UPLC Data (iClass)'!L5</f>
        <v>0</v>
      </c>
      <c r="C13" s="68">
        <f>'UPLC Data (iClass)'!L11</f>
        <v>0</v>
      </c>
      <c r="D13" s="68">
        <f>'UPLC Data (iClass)'!L17</f>
        <v>0</v>
      </c>
      <c r="E13" s="68">
        <f>'UPLC Data (iClass)'!L23</f>
        <v>0</v>
      </c>
      <c r="F13" s="68">
        <f>'UPLC Data (iClass)'!L29</f>
        <v>0</v>
      </c>
      <c r="G13" s="68">
        <f>'UPLC Data (iClass)'!L35</f>
        <v>0</v>
      </c>
      <c r="H13" s="84">
        <f>'UPLC Data (iClass)'!L41</f>
        <v>45.868685550189262</v>
      </c>
      <c r="I13" s="90">
        <f>'UPLC Data (iClass)'!L47</f>
        <v>26.255518763796907</v>
      </c>
    </row>
    <row r="14" spans="1:11" ht="13.2" customHeight="1" x14ac:dyDescent="0.3">
      <c r="B14" s="16" t="s">
        <v>0</v>
      </c>
      <c r="C14" s="16" t="s">
        <v>0</v>
      </c>
      <c r="D14" s="16" t="s">
        <v>0</v>
      </c>
      <c r="E14" s="16" t="s">
        <v>0</v>
      </c>
      <c r="F14" s="16" t="s">
        <v>0</v>
      </c>
      <c r="G14" s="64"/>
      <c r="H14" s="16" t="s">
        <v>0</v>
      </c>
      <c r="I14" s="16" t="s">
        <v>0</v>
      </c>
    </row>
    <row r="15" spans="1:11" ht="13.2" customHeight="1" x14ac:dyDescent="0.3">
      <c r="A15" s="1" t="s">
        <v>23</v>
      </c>
      <c r="B15" s="20" t="s">
        <v>92</v>
      </c>
      <c r="C15" s="20" t="s">
        <v>97</v>
      </c>
      <c r="D15" s="20" t="s">
        <v>99</v>
      </c>
      <c r="E15" s="20" t="s">
        <v>101</v>
      </c>
      <c r="F15" s="20" t="s">
        <v>102</v>
      </c>
      <c r="G15" s="65"/>
      <c r="H15" s="20" t="s">
        <v>238</v>
      </c>
      <c r="I15" s="20" t="s">
        <v>99</v>
      </c>
    </row>
    <row r="16" spans="1:11" ht="13.2" customHeight="1" x14ac:dyDescent="0.3">
      <c r="A16" s="1" t="s">
        <v>93</v>
      </c>
      <c r="B16" s="67">
        <f>'UPLC Data (iClass)'!K6</f>
        <v>100</v>
      </c>
      <c r="C16" s="67">
        <f>'UPLC Data (iClass)'!K12</f>
        <v>100</v>
      </c>
      <c r="D16" s="67">
        <f>'UPLC Data (iClass)'!K18</f>
        <v>100</v>
      </c>
      <c r="E16" s="67">
        <f>'UPLC Data (iClass)'!K24</f>
        <v>100</v>
      </c>
      <c r="F16" s="67">
        <f>'UPLC Data (iClass)'!K30</f>
        <v>100</v>
      </c>
      <c r="G16" s="67">
        <f>'UPLC Data (iClass)'!K36</f>
        <v>100</v>
      </c>
      <c r="H16" s="81">
        <f>'UPLC Data (iClass)'!K42</f>
        <v>88.715298641990145</v>
      </c>
      <c r="I16" s="89">
        <f>'UPLC Data (iClass)'!K48</f>
        <v>56.385412461310736</v>
      </c>
      <c r="J16" s="1" t="s">
        <v>247</v>
      </c>
    </row>
    <row r="17" spans="1:9" ht="13.2" customHeight="1" thickBot="1" x14ac:dyDescent="0.35">
      <c r="A17" s="1" t="s">
        <v>95</v>
      </c>
      <c r="B17" s="68">
        <f>'UPLC Data (iClass)'!L6</f>
        <v>0</v>
      </c>
      <c r="C17" s="68">
        <f>'UPLC Data (iClass)'!L12</f>
        <v>0</v>
      </c>
      <c r="D17" s="68">
        <f>'UPLC Data (iClass)'!L18</f>
        <v>0</v>
      </c>
      <c r="E17" s="68">
        <f>'UPLC Data (iClass)'!L24</f>
        <v>0</v>
      </c>
      <c r="F17" s="68">
        <f>'UPLC Data (iClass)'!L30</f>
        <v>0</v>
      </c>
      <c r="G17" s="68">
        <f>'UPLC Data (iClass)'!L36</f>
        <v>0</v>
      </c>
      <c r="H17" s="82">
        <f>'UPLC Data (iClass)'!L42</f>
        <v>82.345871890397788</v>
      </c>
      <c r="I17" s="90">
        <f>'UPLC Data (iClass)'!L48</f>
        <v>40.183017090566544</v>
      </c>
    </row>
    <row r="18" spans="1:9" ht="13.2" customHeight="1" x14ac:dyDescent="0.3">
      <c r="B18" s="16" t="s">
        <v>0</v>
      </c>
      <c r="C18" s="16" t="s">
        <v>0</v>
      </c>
      <c r="D18" s="16" t="s">
        <v>0</v>
      </c>
      <c r="E18" s="16" t="s">
        <v>0</v>
      </c>
      <c r="F18" s="16" t="s">
        <v>0</v>
      </c>
      <c r="G18" s="64"/>
      <c r="H18" s="16" t="s">
        <v>0</v>
      </c>
      <c r="I18" s="16" t="s">
        <v>0</v>
      </c>
    </row>
    <row r="19" spans="1:9" ht="13.2" customHeight="1" x14ac:dyDescent="0.3">
      <c r="A19" s="1" t="s">
        <v>25</v>
      </c>
      <c r="B19" s="20" t="s">
        <v>92</v>
      </c>
      <c r="C19" s="20" t="s">
        <v>97</v>
      </c>
      <c r="D19" s="20" t="s">
        <v>99</v>
      </c>
      <c r="E19" s="20" t="s">
        <v>101</v>
      </c>
      <c r="F19" s="20" t="s">
        <v>102</v>
      </c>
      <c r="G19" s="65"/>
      <c r="H19" s="20" t="s">
        <v>238</v>
      </c>
      <c r="I19" s="20" t="s">
        <v>99</v>
      </c>
    </row>
    <row r="20" spans="1:9" ht="13.2" customHeight="1" x14ac:dyDescent="0.3">
      <c r="A20" s="1" t="s">
        <v>93</v>
      </c>
      <c r="B20" s="67">
        <f>'UPLC Data (iClass)'!K7</f>
        <v>100</v>
      </c>
      <c r="C20" s="67">
        <f>'UPLC Data (iClass)'!K13</f>
        <v>100</v>
      </c>
      <c r="D20" s="67">
        <f>'UPLC Data (iClass)'!K19</f>
        <v>100</v>
      </c>
      <c r="E20" s="67">
        <f>'UPLC Data (iClass)'!K25</f>
        <v>100</v>
      </c>
      <c r="F20" s="67">
        <f>'UPLC Data (iClass)'!K31</f>
        <v>100</v>
      </c>
      <c r="G20" s="67">
        <f>'UPLC Data (iClass)'!K37</f>
        <v>100</v>
      </c>
      <c r="H20" s="67">
        <f>'UPLC Data (iClass)'!K43</f>
        <v>100</v>
      </c>
      <c r="I20" s="69">
        <f>'UPLC Data (iClass)'!K49</f>
        <v>100</v>
      </c>
    </row>
    <row r="21" spans="1:9" ht="13.2" customHeight="1" thickBot="1" x14ac:dyDescent="0.35">
      <c r="A21" s="1" t="s">
        <v>95</v>
      </c>
      <c r="B21" s="68">
        <f>'UPLC Data (iClass)'!L7</f>
        <v>0</v>
      </c>
      <c r="C21" s="68">
        <f>'UPLC Data (iClass)'!L13</f>
        <v>0</v>
      </c>
      <c r="D21" s="68">
        <f>'UPLC Data (iClass)'!L19</f>
        <v>0</v>
      </c>
      <c r="E21" s="68">
        <f>'UPLC Data (iClass)'!L25</f>
        <v>0</v>
      </c>
      <c r="F21" s="68">
        <f>'UPLC Data (iClass)'!L31</f>
        <v>0</v>
      </c>
      <c r="G21" s="68">
        <f>'UPLC Data (iClass)'!L37</f>
        <v>0</v>
      </c>
      <c r="H21" s="68">
        <f>'UPLC Data (iClass)'!L43</f>
        <v>0</v>
      </c>
      <c r="I21" s="70">
        <f>'UPLC Data (iClass)'!L49</f>
        <v>0</v>
      </c>
    </row>
    <row r="22" spans="1:9" ht="13.2" customHeight="1" x14ac:dyDescent="0.3">
      <c r="B22" s="71"/>
      <c r="C22" s="64"/>
      <c r="D22" s="64"/>
      <c r="E22" s="64"/>
      <c r="F22" s="64"/>
      <c r="G22" s="64"/>
      <c r="H22" s="16" t="s">
        <v>0</v>
      </c>
      <c r="I22" s="16" t="s">
        <v>0</v>
      </c>
    </row>
    <row r="23" spans="1:9" ht="13.2" customHeight="1" x14ac:dyDescent="0.3">
      <c r="A23" s="1" t="s">
        <v>103</v>
      </c>
      <c r="B23" s="72"/>
      <c r="C23" s="65"/>
      <c r="D23" s="65"/>
      <c r="E23" s="65"/>
      <c r="F23" s="65"/>
      <c r="G23" s="65"/>
      <c r="H23" s="20" t="s">
        <v>238</v>
      </c>
      <c r="I23" s="20" t="s">
        <v>99</v>
      </c>
    </row>
    <row r="24" spans="1:9" ht="13.2" customHeight="1" x14ac:dyDescent="0.3">
      <c r="A24" s="1" t="s">
        <v>93</v>
      </c>
      <c r="B24" s="73">
        <f>'UPLC Data (iClass)'!K8</f>
        <v>100</v>
      </c>
      <c r="C24" s="67">
        <f>'UPLC Data (iClass)'!K14</f>
        <v>100</v>
      </c>
      <c r="D24" s="67">
        <f>'UPLC Data (iClass)'!K20</f>
        <v>100</v>
      </c>
      <c r="E24" s="67">
        <f>'UPLC Data (iClass)'!K26</f>
        <v>100</v>
      </c>
      <c r="F24" s="67">
        <f>'UPLC Data (iClass)'!K32</f>
        <v>100</v>
      </c>
      <c r="G24" s="67">
        <f>'UPLC Data (iClass)'!K38</f>
        <v>100</v>
      </c>
      <c r="H24" s="67">
        <f>'UPLC Data (iClass)'!K44</f>
        <v>100</v>
      </c>
      <c r="I24" s="69">
        <f>'UPLC Data (iClass)'!K50</f>
        <v>100</v>
      </c>
    </row>
    <row r="25" spans="1:9" ht="13.2" customHeight="1" thickBot="1" x14ac:dyDescent="0.35">
      <c r="A25" s="1" t="s">
        <v>95</v>
      </c>
      <c r="B25" s="74">
        <f>'UPLC Data (iClass)'!L8</f>
        <v>0</v>
      </c>
      <c r="C25" s="68">
        <f>'UPLC Data (iClass)'!L14</f>
        <v>0</v>
      </c>
      <c r="D25" s="68">
        <f>'UPLC Data (iClass)'!L20</f>
        <v>0</v>
      </c>
      <c r="E25" s="68">
        <f>'UPLC Data (iClass)'!L26</f>
        <v>0</v>
      </c>
      <c r="F25" s="68">
        <f>'UPLC Data (iClass)'!L32</f>
        <v>0</v>
      </c>
      <c r="G25" s="68">
        <f>'UPLC Data (iClass)'!L38</f>
        <v>0</v>
      </c>
      <c r="H25" s="68">
        <f>'UPLC Data (iClass)'!L44</f>
        <v>0</v>
      </c>
      <c r="I25" s="70">
        <f>'UPLC Data (iClass)'!L50</f>
        <v>0</v>
      </c>
    </row>
    <row r="27" spans="1:9" x14ac:dyDescent="0.3">
      <c r="B27" s="119" t="s">
        <v>98</v>
      </c>
      <c r="C27" s="92" t="s">
        <v>96</v>
      </c>
      <c r="D27" s="118" t="s">
        <v>94</v>
      </c>
      <c r="E27" s="120" t="s">
        <v>104</v>
      </c>
      <c r="G27" s="93" t="s">
        <v>22</v>
      </c>
    </row>
    <row r="28" spans="1:9" x14ac:dyDescent="0.3">
      <c r="B28" s="119"/>
      <c r="C28" s="92"/>
      <c r="D28" s="118"/>
      <c r="E28" s="120"/>
      <c r="G28" s="93"/>
    </row>
    <row r="29" spans="1:9" x14ac:dyDescent="0.3">
      <c r="G29" s="93"/>
    </row>
    <row r="30" spans="1:9" x14ac:dyDescent="0.3">
      <c r="C30" s="1" t="s">
        <v>105</v>
      </c>
      <c r="G30" s="93"/>
    </row>
    <row r="31" spans="1:9" x14ac:dyDescent="0.3">
      <c r="G31" s="93"/>
    </row>
    <row r="32" spans="1:9" x14ac:dyDescent="0.3">
      <c r="G32" s="93"/>
    </row>
  </sheetData>
  <mergeCells count="9">
    <mergeCell ref="K2:K3"/>
    <mergeCell ref="K4:K5"/>
    <mergeCell ref="K6:K7"/>
    <mergeCell ref="K8:K9"/>
    <mergeCell ref="B27:B28"/>
    <mergeCell ref="C27:C28"/>
    <mergeCell ref="D27:D28"/>
    <mergeCell ref="E27:E28"/>
    <mergeCell ref="G27:G32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F0EFE-2B79-4F4F-8A2C-AE8CB7818FA2}">
  <sheetPr>
    <pageSetUpPr fitToPage="1"/>
  </sheetPr>
  <dimension ref="A1:Y56"/>
  <sheetViews>
    <sheetView zoomScale="90" zoomScaleNormal="90" workbookViewId="0">
      <selection activeCell="F10" sqref="F10"/>
    </sheetView>
  </sheetViews>
  <sheetFormatPr defaultRowHeight="14.4" x14ac:dyDescent="0.3"/>
  <cols>
    <col min="1" max="1" width="22.33203125" customWidth="1"/>
    <col min="2" max="2" width="13.33203125" customWidth="1"/>
    <col min="3" max="3" width="13" customWidth="1"/>
    <col min="4" max="4" width="9.33203125" customWidth="1"/>
    <col min="5" max="5" width="10.5546875" customWidth="1"/>
    <col min="7" max="7" width="10" customWidth="1"/>
    <col min="8" max="8" width="9.5546875" bestFit="1" customWidth="1"/>
    <col min="9" max="9" width="10.33203125" customWidth="1"/>
    <col min="10" max="10" width="11.44140625" customWidth="1"/>
    <col min="11" max="11" width="6.44140625" bestFit="1" customWidth="1"/>
    <col min="12" max="12" width="8.6640625" customWidth="1"/>
    <col min="13" max="13" width="7.88671875" customWidth="1"/>
    <col min="16" max="16" width="7.6640625" customWidth="1"/>
    <col min="18" max="18" width="17.6640625" customWidth="1"/>
    <col min="21" max="21" width="18.88671875" customWidth="1"/>
    <col min="24" max="24" width="9.33203125" bestFit="1" customWidth="1"/>
  </cols>
  <sheetData>
    <row r="1" spans="1:23" x14ac:dyDescent="0.3">
      <c r="A1" s="3" t="s">
        <v>38</v>
      </c>
      <c r="C1" s="26" t="s">
        <v>39</v>
      </c>
      <c r="L1" s="8"/>
      <c r="M1" s="121" t="s">
        <v>106</v>
      </c>
      <c r="N1" s="121"/>
      <c r="O1" s="121"/>
      <c r="P1" s="121"/>
      <c r="Q1" s="9"/>
      <c r="R1" s="122" t="s">
        <v>107</v>
      </c>
    </row>
    <row r="2" spans="1:23" ht="29.4" thickBot="1" x14ac:dyDescent="0.35">
      <c r="A2" s="2" t="s">
        <v>43</v>
      </c>
      <c r="B2" s="2" t="s">
        <v>108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109</v>
      </c>
      <c r="H2" s="2" t="s">
        <v>110</v>
      </c>
      <c r="I2" s="6" t="s">
        <v>111</v>
      </c>
      <c r="J2" s="2" t="s">
        <v>112</v>
      </c>
      <c r="L2" s="10"/>
      <c r="M2" s="2" t="s">
        <v>113</v>
      </c>
      <c r="N2" s="2" t="s">
        <v>109</v>
      </c>
      <c r="O2" s="2" t="s">
        <v>114</v>
      </c>
      <c r="P2" s="2" t="s">
        <v>112</v>
      </c>
      <c r="Q2" s="5"/>
      <c r="R2" s="122"/>
      <c r="T2" s="1"/>
      <c r="U2" s="1">
        <v>1</v>
      </c>
    </row>
    <row r="3" spans="1:23" x14ac:dyDescent="0.3">
      <c r="A3" s="11" t="s">
        <v>57</v>
      </c>
      <c r="L3" s="10"/>
      <c r="Q3" s="5"/>
      <c r="T3" s="1"/>
      <c r="U3" s="16" t="s">
        <v>0</v>
      </c>
    </row>
    <row r="4" spans="1:23" x14ac:dyDescent="0.3">
      <c r="A4" t="s">
        <v>58</v>
      </c>
      <c r="D4">
        <v>230.06</v>
      </c>
      <c r="F4">
        <v>1</v>
      </c>
      <c r="G4" s="3">
        <v>60</v>
      </c>
      <c r="H4" s="26">
        <f>1000*I4/J4</f>
        <v>918.36734693877565</v>
      </c>
      <c r="I4" s="7">
        <f>G4/D4*1000</f>
        <v>260.80153003564288</v>
      </c>
      <c r="J4">
        <f>P4</f>
        <v>283.98388826103331</v>
      </c>
      <c r="L4" s="10"/>
      <c r="M4">
        <f>N4/G4</f>
        <v>6.5333333333333332</v>
      </c>
      <c r="N4" s="3">
        <v>392</v>
      </c>
      <c r="O4" s="3">
        <v>6</v>
      </c>
      <c r="P4">
        <f t="shared" ref="P4:P16" si="0">1000*(N4/D4)/O4</f>
        <v>283.98388826103331</v>
      </c>
      <c r="Q4" s="5"/>
      <c r="R4">
        <f>G4*7</f>
        <v>420</v>
      </c>
      <c r="T4" s="1" t="s">
        <v>4</v>
      </c>
      <c r="U4" s="20" t="s">
        <v>92</v>
      </c>
    </row>
    <row r="5" spans="1:23" x14ac:dyDescent="0.3">
      <c r="A5" t="s">
        <v>59</v>
      </c>
      <c r="D5">
        <v>139.91999999999999</v>
      </c>
      <c r="F5" s="3">
        <v>1.5</v>
      </c>
      <c r="G5" s="26">
        <f>I5*D5/1000</f>
        <v>54.737025123880727</v>
      </c>
      <c r="H5" s="27" t="e">
        <f>1000*I5/J5</f>
        <v>#DIV/0!</v>
      </c>
      <c r="I5" s="7">
        <f>$I$4*F5</f>
        <v>391.20229505346435</v>
      </c>
      <c r="J5" t="e">
        <f>P5</f>
        <v>#DIV/0!</v>
      </c>
      <c r="L5" s="10"/>
      <c r="M5">
        <f>N5/G5</f>
        <v>0</v>
      </c>
      <c r="N5" s="3"/>
      <c r="O5" s="3"/>
      <c r="P5" t="e">
        <f>1000*(N5/D5)/O5</f>
        <v>#DIV/0!</v>
      </c>
      <c r="Q5" s="5"/>
      <c r="R5">
        <f>G5*7</f>
        <v>383.15917586716512</v>
      </c>
      <c r="T5" s="1" t="s">
        <v>93</v>
      </c>
      <c r="U5" s="45">
        <f>'UPLC Data (iClass)'!AD7</f>
        <v>0</v>
      </c>
    </row>
    <row r="6" spans="1:23" ht="15" thickBot="1" x14ac:dyDescent="0.35">
      <c r="A6" t="s">
        <v>60</v>
      </c>
      <c r="D6">
        <v>138.21</v>
      </c>
      <c r="F6" s="3">
        <v>3</v>
      </c>
      <c r="G6" s="26">
        <f>I6*D6/1000</f>
        <v>108.13613839867863</v>
      </c>
      <c r="H6" s="12" t="e">
        <f>1000*I6/J6</f>
        <v>#DIV/0!</v>
      </c>
      <c r="I6" s="7">
        <f>$I$4*F6</f>
        <v>782.40459010692871</v>
      </c>
      <c r="J6" t="e">
        <f>P6</f>
        <v>#DIV/0!</v>
      </c>
      <c r="L6" s="10"/>
      <c r="M6" s="28">
        <f>N6/G6</f>
        <v>0</v>
      </c>
      <c r="N6" s="28"/>
      <c r="O6" s="28"/>
      <c r="P6" s="28" t="e">
        <f t="shared" si="0"/>
        <v>#DIV/0!</v>
      </c>
      <c r="Q6" s="5"/>
      <c r="T6" s="1" t="s">
        <v>95</v>
      </c>
      <c r="U6" s="46">
        <f>'UPLC Data (iClass)'!AE7</f>
        <v>0</v>
      </c>
    </row>
    <row r="7" spans="1:23" x14ac:dyDescent="0.3">
      <c r="A7" s="21" t="s">
        <v>115</v>
      </c>
      <c r="B7" s="21"/>
      <c r="C7" t="s">
        <v>75</v>
      </c>
      <c r="D7">
        <v>731.7</v>
      </c>
      <c r="E7" s="21"/>
      <c r="F7" s="21">
        <v>0.01</v>
      </c>
      <c r="G7" s="21">
        <f>I7*D7/1000</f>
        <v>1.9082847952707993</v>
      </c>
      <c r="H7" s="22" t="e">
        <f>1000*I7/J7</f>
        <v>#DIV/0!</v>
      </c>
      <c r="I7" s="23">
        <f>$I$4*F7</f>
        <v>2.608015300356429</v>
      </c>
      <c r="J7" s="21" t="e">
        <f>P7</f>
        <v>#DIV/0!</v>
      </c>
      <c r="K7" s="21"/>
      <c r="L7" s="24"/>
      <c r="M7" s="21"/>
      <c r="N7" s="21"/>
      <c r="O7" s="21"/>
      <c r="P7" s="21" t="e">
        <f t="shared" si="0"/>
        <v>#DIV/0!</v>
      </c>
      <c r="Q7" s="25"/>
      <c r="R7" s="21"/>
      <c r="T7" s="1"/>
      <c r="U7" s="16" t="s">
        <v>0</v>
      </c>
    </row>
    <row r="8" spans="1:23" ht="14.4" customHeight="1" x14ac:dyDescent="0.3">
      <c r="L8" s="123" t="s">
        <v>116</v>
      </c>
      <c r="P8" t="e">
        <f t="shared" si="0"/>
        <v>#DIV/0!</v>
      </c>
      <c r="Q8" s="5"/>
      <c r="T8" s="1" t="s">
        <v>17</v>
      </c>
      <c r="U8" s="20" t="s">
        <v>97</v>
      </c>
      <c r="W8" s="80"/>
    </row>
    <row r="9" spans="1:23" x14ac:dyDescent="0.3">
      <c r="A9" s="44" t="s">
        <v>117</v>
      </c>
      <c r="L9" s="123"/>
      <c r="P9" t="e">
        <f t="shared" si="0"/>
        <v>#DIV/0!</v>
      </c>
      <c r="Q9" s="5"/>
      <c r="T9" s="1" t="s">
        <v>93</v>
      </c>
      <c r="U9" s="45">
        <f>'UPLC Data (iClass)'!AD8</f>
        <v>0</v>
      </c>
    </row>
    <row r="10" spans="1:23" ht="15" thickBot="1" x14ac:dyDescent="0.35">
      <c r="A10" t="s">
        <v>0</v>
      </c>
      <c r="C10" t="s">
        <v>75</v>
      </c>
      <c r="D10">
        <v>731.7</v>
      </c>
      <c r="F10" s="3">
        <v>0.01</v>
      </c>
      <c r="G10">
        <f t="shared" ref="G10" si="1">I10*D10/1000</f>
        <v>1.9082847952707993</v>
      </c>
      <c r="H10" s="27">
        <f t="shared" ref="H10" si="2">1000*I10/J10</f>
        <v>299.87332497112556</v>
      </c>
      <c r="I10" s="7">
        <f t="shared" ref="I10" si="3">$I$4*F10</f>
        <v>2.608015300356429</v>
      </c>
      <c r="J10">
        <f t="shared" ref="J10" si="4">P10</f>
        <v>8.6970566675363727</v>
      </c>
      <c r="L10" s="123"/>
      <c r="M10">
        <f>N10/G10</f>
        <v>8.4368958134025771</v>
      </c>
      <c r="N10" s="3">
        <v>16.100000000000001</v>
      </c>
      <c r="O10" s="3">
        <v>2.5299999999999998</v>
      </c>
      <c r="P10">
        <f t="shared" ref="P10" si="5">1000*(N10/D10)/O10</f>
        <v>8.6970566675363727</v>
      </c>
      <c r="Q10" s="5"/>
      <c r="R10">
        <f>G10*7</f>
        <v>13.357993566895596</v>
      </c>
      <c r="T10" s="1" t="s">
        <v>95</v>
      </c>
      <c r="U10" s="46">
        <f>'UPLC Data (iClass)'!AE8</f>
        <v>0</v>
      </c>
    </row>
    <row r="11" spans="1:23" x14ac:dyDescent="0.3">
      <c r="A11" s="4"/>
      <c r="B11" s="4"/>
      <c r="H11" s="12"/>
      <c r="I11" s="7"/>
      <c r="L11" s="123"/>
      <c r="P11" t="e">
        <f t="shared" si="0"/>
        <v>#DIV/0!</v>
      </c>
      <c r="Q11" s="5"/>
      <c r="R11">
        <f t="shared" ref="R11" si="6">G11*15</f>
        <v>0</v>
      </c>
      <c r="T11" s="1"/>
      <c r="U11" s="16" t="s">
        <v>0</v>
      </c>
    </row>
    <row r="12" spans="1:23" s="30" customFormat="1" x14ac:dyDescent="0.3">
      <c r="A12" s="37" t="s">
        <v>66</v>
      </c>
      <c r="B12" s="38"/>
      <c r="H12" s="39"/>
      <c r="I12" s="40"/>
      <c r="L12" s="123"/>
      <c r="P12" s="30" t="e">
        <f t="shared" si="0"/>
        <v>#DIV/0!</v>
      </c>
      <c r="Q12" s="41"/>
      <c r="T12" s="1" t="s">
        <v>21</v>
      </c>
      <c r="U12" s="20" t="s">
        <v>99</v>
      </c>
    </row>
    <row r="13" spans="1:23" s="30" customFormat="1" x14ac:dyDescent="0.3">
      <c r="A13" s="30" t="s">
        <v>32</v>
      </c>
      <c r="B13" s="30" t="s">
        <v>118</v>
      </c>
      <c r="C13" s="42" t="s">
        <v>67</v>
      </c>
      <c r="D13" s="30">
        <v>262.29000000000002</v>
      </c>
      <c r="F13" s="30">
        <v>0.02</v>
      </c>
      <c r="G13" s="30">
        <f>I13*D13/1000</f>
        <v>1.3681126662609757</v>
      </c>
      <c r="H13" s="39">
        <f>1000*I13/J13</f>
        <v>76.860262149493025</v>
      </c>
      <c r="I13" s="40">
        <f>$I$4*F13</f>
        <v>5.2160306007128581</v>
      </c>
      <c r="J13" s="30">
        <f>P13</f>
        <v>67.863814861412934</v>
      </c>
      <c r="L13" s="43"/>
      <c r="M13" s="30">
        <f t="shared" ref="M13:M16" si="7">N13/G13</f>
        <v>13.010624372513881</v>
      </c>
      <c r="N13" s="30">
        <v>17.8</v>
      </c>
      <c r="O13" s="30">
        <v>1</v>
      </c>
      <c r="P13" s="30">
        <f t="shared" si="0"/>
        <v>67.863814861412934</v>
      </c>
      <c r="Q13" s="41"/>
      <c r="R13" s="30">
        <f>G13*15</f>
        <v>20.521689993914634</v>
      </c>
      <c r="T13" s="1" t="s">
        <v>93</v>
      </c>
      <c r="U13" s="45">
        <f>'UPLC Data (iClass)'!AD9</f>
        <v>0</v>
      </c>
    </row>
    <row r="14" spans="1:23" s="30" customFormat="1" ht="15" thickBot="1" x14ac:dyDescent="0.35">
      <c r="A14" s="30" t="s">
        <v>69</v>
      </c>
      <c r="B14" s="30" t="s">
        <v>119</v>
      </c>
      <c r="C14" s="42" t="s">
        <v>70</v>
      </c>
      <c r="D14" s="30">
        <v>304.37</v>
      </c>
      <c r="F14" s="30">
        <v>0.02</v>
      </c>
      <c r="G14" s="30">
        <f>I14*D14/1000</f>
        <v>1.5876032339389725</v>
      </c>
      <c r="H14" s="39">
        <f>1000*I14/J14</f>
        <v>81.415550458408873</v>
      </c>
      <c r="I14" s="40">
        <f>$I$4*F14</f>
        <v>5.2160306007128581</v>
      </c>
      <c r="J14" s="30">
        <f>P14</f>
        <v>64.0667608502809</v>
      </c>
      <c r="L14" s="43"/>
      <c r="M14" s="30">
        <f t="shared" si="7"/>
        <v>12.282665834346354</v>
      </c>
      <c r="N14" s="30">
        <v>19.5</v>
      </c>
      <c r="O14" s="30">
        <v>1</v>
      </c>
      <c r="P14" s="30">
        <f t="shared" si="0"/>
        <v>64.0667608502809</v>
      </c>
      <c r="Q14" s="41"/>
      <c r="R14" s="30">
        <f t="shared" ref="R14:R16" si="8">G14*15</f>
        <v>23.814048509084589</v>
      </c>
      <c r="T14" s="1" t="s">
        <v>95</v>
      </c>
      <c r="U14" s="46">
        <f>'UPLC Data (iClass)'!AE9</f>
        <v>0</v>
      </c>
    </row>
    <row r="15" spans="1:23" s="30" customFormat="1" x14ac:dyDescent="0.3">
      <c r="A15" s="30" t="s">
        <v>120</v>
      </c>
      <c r="B15" s="30" t="s">
        <v>121</v>
      </c>
      <c r="C15" s="30" t="s">
        <v>122</v>
      </c>
      <c r="D15" s="30">
        <v>298.39999999999998</v>
      </c>
      <c r="F15" s="30">
        <v>0.02</v>
      </c>
      <c r="G15" s="30">
        <f>I15*D15/1000</f>
        <v>1.5564635312527166</v>
      </c>
      <c r="H15" s="39" t="e">
        <f>1000*I15/J15</f>
        <v>#DIV/0!</v>
      </c>
      <c r="I15" s="40">
        <f>$I$4*F15</f>
        <v>5.2160306007128581</v>
      </c>
      <c r="J15" s="30" t="e">
        <f>P15</f>
        <v>#DIV/0!</v>
      </c>
      <c r="L15" s="43"/>
      <c r="M15" s="30">
        <f t="shared" si="7"/>
        <v>0</v>
      </c>
      <c r="P15" s="30" t="e">
        <f t="shared" si="0"/>
        <v>#DIV/0!</v>
      </c>
      <c r="Q15" s="41"/>
      <c r="R15" s="30">
        <f t="shared" si="8"/>
        <v>23.346952968790749</v>
      </c>
      <c r="T15" s="1"/>
      <c r="U15" s="16" t="s">
        <v>100</v>
      </c>
    </row>
    <row r="16" spans="1:23" s="30" customFormat="1" x14ac:dyDescent="0.3">
      <c r="A16" s="30" t="s">
        <v>71</v>
      </c>
      <c r="B16" s="30" t="s">
        <v>123</v>
      </c>
      <c r="C16" s="42" t="s">
        <v>72</v>
      </c>
      <c r="D16" s="30">
        <v>554.38</v>
      </c>
      <c r="F16" s="30">
        <v>0.01</v>
      </c>
      <c r="G16" s="30">
        <f>I16*D16/1000</f>
        <v>1.4458315222115972</v>
      </c>
      <c r="H16" s="39">
        <f>1000*I16/J16</f>
        <v>102.54124271004237</v>
      </c>
      <c r="I16" s="40">
        <f>$I$4*F16</f>
        <v>2.608015300356429</v>
      </c>
      <c r="J16" s="30">
        <f>P16</f>
        <v>25.43381795880082</v>
      </c>
      <c r="L16" s="43"/>
      <c r="M16" s="30">
        <f t="shared" si="7"/>
        <v>9.752173599336194</v>
      </c>
      <c r="N16" s="30">
        <v>14.1</v>
      </c>
      <c r="O16" s="30">
        <v>1</v>
      </c>
      <c r="P16" s="30">
        <f t="shared" si="0"/>
        <v>25.43381795880082</v>
      </c>
      <c r="Q16" s="41"/>
      <c r="R16" s="30">
        <f t="shared" si="8"/>
        <v>21.687472833173956</v>
      </c>
      <c r="T16" s="1" t="s">
        <v>23</v>
      </c>
      <c r="U16" s="20" t="s">
        <v>101</v>
      </c>
    </row>
    <row r="17" spans="1:21" s="30" customFormat="1" x14ac:dyDescent="0.3">
      <c r="H17" s="39"/>
      <c r="I17" s="40"/>
      <c r="T17" s="1" t="s">
        <v>93</v>
      </c>
      <c r="U17" s="45">
        <f>'UPLC Data (iClass)'!AD10</f>
        <v>0</v>
      </c>
    </row>
    <row r="18" spans="1:21" s="30" customFormat="1" ht="15" thickBot="1" x14ac:dyDescent="0.35">
      <c r="A18" s="37" t="s">
        <v>73</v>
      </c>
      <c r="H18" s="39"/>
      <c r="I18" s="40"/>
      <c r="T18" s="1" t="s">
        <v>95</v>
      </c>
      <c r="U18" s="46">
        <f>'UPLC Data (iClass)'!AE10</f>
        <v>0</v>
      </c>
    </row>
    <row r="19" spans="1:21" s="30" customFormat="1" x14ac:dyDescent="0.3">
      <c r="A19" s="30" t="s">
        <v>74</v>
      </c>
      <c r="C19" s="30" t="s">
        <v>75</v>
      </c>
      <c r="D19" s="30">
        <v>731.7</v>
      </c>
      <c r="F19" s="30">
        <v>0.01</v>
      </c>
      <c r="G19" s="30">
        <f>I19*D19/1000</f>
        <v>1.9082847952707993</v>
      </c>
      <c r="H19" s="39">
        <f>1000*I19/J19</f>
        <v>76.637943585172664</v>
      </c>
      <c r="I19" s="40">
        <f>$I$4*F19</f>
        <v>2.608015300356429</v>
      </c>
      <c r="J19" s="30">
        <f>P19</f>
        <v>34.03034030340303</v>
      </c>
      <c r="L19" s="43"/>
      <c r="M19" s="30">
        <f t="shared" ref="M19:M22" si="9">N19/G19</f>
        <v>13.048366817001501</v>
      </c>
      <c r="N19" s="30">
        <v>24.9</v>
      </c>
      <c r="O19" s="30">
        <v>1</v>
      </c>
      <c r="P19" s="30">
        <f t="shared" ref="P19:P22" si="10">1000*(N19/D19)/O19</f>
        <v>34.03034030340303</v>
      </c>
      <c r="Q19" s="41"/>
      <c r="R19" s="30">
        <f>G19*6</f>
        <v>11.449708771624795</v>
      </c>
      <c r="T19" s="1"/>
      <c r="U19" s="16" t="s">
        <v>100</v>
      </c>
    </row>
    <row r="20" spans="1:21" s="30" customFormat="1" x14ac:dyDescent="0.3">
      <c r="A20" s="30" t="s">
        <v>76</v>
      </c>
      <c r="C20" s="30" t="s">
        <v>77</v>
      </c>
      <c r="D20" s="30">
        <v>701.9</v>
      </c>
      <c r="F20" s="30">
        <v>0.01</v>
      </c>
      <c r="G20" s="30">
        <f>I20*D20/1000</f>
        <v>1.8305659393201774</v>
      </c>
      <c r="H20" s="39">
        <f>1000*I20/J20</f>
        <v>112.99789748889987</v>
      </c>
      <c r="I20" s="40">
        <f>$I$4*F20</f>
        <v>2.608015300356429</v>
      </c>
      <c r="J20" s="30">
        <f>P20</f>
        <v>23.080210856247326</v>
      </c>
      <c r="L20" s="43"/>
      <c r="M20" s="30">
        <f t="shared" si="9"/>
        <v>8.8497221826471009</v>
      </c>
      <c r="N20" s="30">
        <v>16.2</v>
      </c>
      <c r="O20" s="30">
        <v>1</v>
      </c>
      <c r="P20" s="30">
        <f t="shared" si="10"/>
        <v>23.080210856247326</v>
      </c>
      <c r="Q20" s="41"/>
      <c r="R20" s="30">
        <f>G20*6</f>
        <v>10.983395635921065</v>
      </c>
      <c r="T20" s="1" t="s">
        <v>25</v>
      </c>
      <c r="U20" s="20" t="s">
        <v>102</v>
      </c>
    </row>
    <row r="21" spans="1:21" s="30" customFormat="1" x14ac:dyDescent="0.3">
      <c r="A21" s="30" t="s">
        <v>78</v>
      </c>
      <c r="C21" s="30" t="s">
        <v>79</v>
      </c>
      <c r="D21" s="30">
        <v>786.06</v>
      </c>
      <c r="F21" s="30">
        <v>0.01</v>
      </c>
      <c r="G21" s="30">
        <f>I21*D21/1000</f>
        <v>2.0500565069981742</v>
      </c>
      <c r="H21" s="39">
        <f>1000*I21/J21</f>
        <v>184.68977540524097</v>
      </c>
      <c r="I21" s="40">
        <f>$I$4*F21</f>
        <v>2.608015300356429</v>
      </c>
      <c r="J21" s="30">
        <f>P21</f>
        <v>14.121059461109839</v>
      </c>
      <c r="L21" s="43"/>
      <c r="M21" s="30">
        <f t="shared" si="9"/>
        <v>5.4144848993715495</v>
      </c>
      <c r="N21" s="30">
        <v>11.1</v>
      </c>
      <c r="O21" s="30">
        <v>1</v>
      </c>
      <c r="P21" s="30">
        <f t="shared" si="10"/>
        <v>14.121059461109839</v>
      </c>
      <c r="Q21" s="41"/>
      <c r="R21" s="30">
        <f>G21*6</f>
        <v>12.300339041989044</v>
      </c>
      <c r="T21" s="1" t="s">
        <v>93</v>
      </c>
      <c r="U21" s="51">
        <f>'UPLC Data (iClass)'!AD11</f>
        <v>0</v>
      </c>
    </row>
    <row r="22" spans="1:21" ht="15" thickBot="1" x14ac:dyDescent="0.35">
      <c r="F22" s="3">
        <v>0.01</v>
      </c>
      <c r="G22">
        <f>I22*D22/1000</f>
        <v>0</v>
      </c>
      <c r="H22" s="27" t="e">
        <f>1000*I22/J22</f>
        <v>#DIV/0!</v>
      </c>
      <c r="I22" s="7">
        <f>$I$4*F22</f>
        <v>2.608015300356429</v>
      </c>
      <c r="J22" t="e">
        <f>P22</f>
        <v>#DIV/0!</v>
      </c>
      <c r="L22" s="10"/>
      <c r="M22" t="e">
        <f t="shared" si="9"/>
        <v>#DIV/0!</v>
      </c>
      <c r="N22" s="3"/>
      <c r="O22" s="3"/>
      <c r="P22" t="e">
        <f t="shared" si="10"/>
        <v>#DIV/0!</v>
      </c>
      <c r="Q22" s="5"/>
      <c r="R22">
        <f>G22*20</f>
        <v>0</v>
      </c>
      <c r="T22" s="1" t="s">
        <v>95</v>
      </c>
      <c r="U22" s="52">
        <f>'UPLC Data (iClass)'!AE11</f>
        <v>0</v>
      </c>
    </row>
    <row r="23" spans="1:21" x14ac:dyDescent="0.3">
      <c r="H23" s="12"/>
      <c r="I23" s="7"/>
    </row>
    <row r="24" spans="1:21" x14ac:dyDescent="0.3">
      <c r="A24" s="11" t="s">
        <v>85</v>
      </c>
      <c r="H24" s="12"/>
    </row>
    <row r="25" spans="1:21" x14ac:dyDescent="0.3">
      <c r="A25" t="s">
        <v>124</v>
      </c>
      <c r="D25">
        <v>41.05</v>
      </c>
      <c r="E25">
        <v>0.79</v>
      </c>
      <c r="F25" s="3">
        <v>10</v>
      </c>
      <c r="G25">
        <f>H25*E25</f>
        <v>474</v>
      </c>
      <c r="H25" s="27">
        <f>G4*F25</f>
        <v>600</v>
      </c>
      <c r="I25" t="s">
        <v>125</v>
      </c>
      <c r="L25" t="s">
        <v>126</v>
      </c>
      <c r="O25" t="s">
        <v>127</v>
      </c>
      <c r="P25">
        <f>G4*12</f>
        <v>720</v>
      </c>
    </row>
    <row r="26" spans="1:21" x14ac:dyDescent="0.3">
      <c r="A26" s="47" t="s">
        <v>88</v>
      </c>
      <c r="B26" s="47"/>
      <c r="C26" s="47"/>
      <c r="D26" s="47">
        <v>18.02</v>
      </c>
      <c r="E26" s="47">
        <v>1</v>
      </c>
      <c r="F26" s="48">
        <v>2</v>
      </c>
      <c r="G26" s="47">
        <f>H26*E26</f>
        <v>120</v>
      </c>
      <c r="H26" s="49">
        <f>G4*F26</f>
        <v>120</v>
      </c>
      <c r="I26" s="50" t="s">
        <v>125</v>
      </c>
    </row>
    <row r="27" spans="1:21" x14ac:dyDescent="0.3">
      <c r="A27" t="s">
        <v>89</v>
      </c>
      <c r="F27" s="3">
        <v>10</v>
      </c>
      <c r="H27" s="27">
        <f>G4*F27</f>
        <v>600</v>
      </c>
      <c r="I27" s="7"/>
      <c r="M27" s="63" t="s">
        <v>128</v>
      </c>
      <c r="N27" s="63" t="s">
        <v>129</v>
      </c>
      <c r="O27" s="63" t="s">
        <v>102</v>
      </c>
      <c r="P27" s="63" t="s">
        <v>130</v>
      </c>
      <c r="Q27" s="63" t="s">
        <v>131</v>
      </c>
    </row>
    <row r="28" spans="1:21" x14ac:dyDescent="0.3">
      <c r="A28" t="s">
        <v>90</v>
      </c>
      <c r="F28" s="3">
        <v>2.5</v>
      </c>
      <c r="H28" s="49">
        <f>G4*F28</f>
        <v>150</v>
      </c>
      <c r="I28" s="7"/>
      <c r="L28" t="s">
        <v>132</v>
      </c>
      <c r="M28">
        <f>P25*0.5</f>
        <v>360</v>
      </c>
      <c r="N28">
        <f>12*G4</f>
        <v>720</v>
      </c>
      <c r="O28">
        <v>0</v>
      </c>
      <c r="P28">
        <f>P25*0.05</f>
        <v>36</v>
      </c>
      <c r="Q28">
        <f>P25*0.95</f>
        <v>684</v>
      </c>
    </row>
    <row r="29" spans="1:21" x14ac:dyDescent="0.3">
      <c r="C29" t="s">
        <v>91</v>
      </c>
      <c r="H29" s="12" t="e">
        <f>500-H4-#REF!-H26</f>
        <v>#REF!</v>
      </c>
      <c r="L29" t="s">
        <v>88</v>
      </c>
      <c r="M29">
        <f>P25*0.5</f>
        <v>360</v>
      </c>
      <c r="N29">
        <v>0</v>
      </c>
      <c r="O29">
        <f>12*G4</f>
        <v>720</v>
      </c>
      <c r="P29">
        <f>P25*0.95</f>
        <v>684</v>
      </c>
      <c r="Q29">
        <f>P25*0.05</f>
        <v>36</v>
      </c>
    </row>
    <row r="31" spans="1:21" x14ac:dyDescent="0.3">
      <c r="A31" s="75" t="s">
        <v>87</v>
      </c>
      <c r="B31" s="75" t="s">
        <v>133</v>
      </c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</row>
    <row r="32" spans="1:21" x14ac:dyDescent="0.3">
      <c r="A32" s="75" t="s">
        <v>134</v>
      </c>
      <c r="B32" s="75" t="s">
        <v>135</v>
      </c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P32" t="s">
        <v>136</v>
      </c>
    </row>
    <row r="33" spans="1:25" x14ac:dyDescent="0.3">
      <c r="A33" s="75" t="s">
        <v>137</v>
      </c>
      <c r="B33" s="75" t="s">
        <v>138</v>
      </c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</row>
    <row r="34" spans="1:25" ht="28.8" x14ac:dyDescent="0.3">
      <c r="A34" s="75" t="s">
        <v>139</v>
      </c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P34" s="2" t="s">
        <v>43</v>
      </c>
      <c r="Q34" s="2" t="s">
        <v>108</v>
      </c>
      <c r="R34" s="2" t="s">
        <v>44</v>
      </c>
      <c r="S34" s="2" t="s">
        <v>45</v>
      </c>
      <c r="T34" s="2" t="s">
        <v>46</v>
      </c>
      <c r="U34" s="2" t="s">
        <v>47</v>
      </c>
      <c r="V34" s="2" t="s">
        <v>109</v>
      </c>
      <c r="W34" s="2" t="s">
        <v>110</v>
      </c>
      <c r="X34" s="6" t="s">
        <v>111</v>
      </c>
      <c r="Y34" s="2" t="s">
        <v>112</v>
      </c>
    </row>
    <row r="35" spans="1:25" x14ac:dyDescent="0.3">
      <c r="A35" s="75" t="s">
        <v>140</v>
      </c>
      <c r="B35" s="75" t="s">
        <v>141</v>
      </c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P35" s="11" t="s">
        <v>57</v>
      </c>
    </row>
    <row r="36" spans="1:25" x14ac:dyDescent="0.3">
      <c r="A36" s="75" t="s">
        <v>142</v>
      </c>
      <c r="B36" s="75" t="s">
        <v>143</v>
      </c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P36" t="s">
        <v>58</v>
      </c>
      <c r="S36">
        <v>230.06</v>
      </c>
      <c r="U36">
        <v>1</v>
      </c>
      <c r="V36" s="3">
        <f>(S36*X36)/1000</f>
        <v>230.06</v>
      </c>
      <c r="W36" s="26" t="e">
        <f>1000*X36/Y36</f>
        <v>#DIV/0!</v>
      </c>
      <c r="X36" s="7">
        <v>1000</v>
      </c>
      <c r="Y36">
        <f>AE36</f>
        <v>0</v>
      </c>
    </row>
    <row r="37" spans="1:25" x14ac:dyDescent="0.3">
      <c r="A37" s="75" t="s">
        <v>144</v>
      </c>
      <c r="B37" s="75" t="s">
        <v>145</v>
      </c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P37" t="s">
        <v>59</v>
      </c>
      <c r="S37">
        <v>139.91999999999999</v>
      </c>
      <c r="U37" s="3">
        <v>1.5</v>
      </c>
      <c r="V37" s="26">
        <f>X37*S37/1000</f>
        <v>209.87999999999997</v>
      </c>
      <c r="W37" s="27" t="e">
        <f>1000*X37/Y37</f>
        <v>#DIV/0!</v>
      </c>
      <c r="X37" s="7">
        <v>1500</v>
      </c>
      <c r="Y37">
        <f>AE37</f>
        <v>0</v>
      </c>
    </row>
    <row r="38" spans="1:25" x14ac:dyDescent="0.3">
      <c r="A38" s="75" t="s">
        <v>146</v>
      </c>
      <c r="B38" s="75" t="s">
        <v>147</v>
      </c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P38" t="s">
        <v>60</v>
      </c>
      <c r="S38">
        <v>138.21</v>
      </c>
      <c r="U38" s="3">
        <v>3</v>
      </c>
      <c r="V38" s="26">
        <f>X38*S38/1000</f>
        <v>414.63</v>
      </c>
      <c r="W38" s="12" t="e">
        <f>1000*X38/Y38</f>
        <v>#DIV/0!</v>
      </c>
      <c r="X38" s="7">
        <v>3000</v>
      </c>
      <c r="Y38">
        <f>AE38</f>
        <v>0</v>
      </c>
    </row>
    <row r="39" spans="1:25" x14ac:dyDescent="0.3">
      <c r="A39" s="75" t="s">
        <v>148</v>
      </c>
      <c r="B39" s="75" t="s">
        <v>149</v>
      </c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P39" s="21" t="s">
        <v>115</v>
      </c>
      <c r="Q39" s="21"/>
      <c r="R39" t="s">
        <v>75</v>
      </c>
      <c r="S39">
        <v>731.7</v>
      </c>
      <c r="T39" s="21"/>
      <c r="U39" s="21">
        <v>0.01</v>
      </c>
      <c r="V39" s="21">
        <f>X39*S39/1000</f>
        <v>7.3170000000000002</v>
      </c>
      <c r="W39" s="22" t="e">
        <f>1000*X39/Y39</f>
        <v>#DIV/0!</v>
      </c>
      <c r="X39" s="23">
        <f>X36*U39</f>
        <v>10</v>
      </c>
      <c r="Y39" s="21">
        <f>AE39</f>
        <v>0</v>
      </c>
    </row>
    <row r="40" spans="1:25" x14ac:dyDescent="0.3">
      <c r="A40" s="75" t="s">
        <v>150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</row>
    <row r="41" spans="1:25" x14ac:dyDescent="0.3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P41" s="11" t="s">
        <v>85</v>
      </c>
      <c r="W41" s="12"/>
    </row>
    <row r="42" spans="1:25" x14ac:dyDescent="0.3">
      <c r="A42" s="124" t="s">
        <v>151</v>
      </c>
      <c r="B42" s="124"/>
      <c r="C42" s="124"/>
      <c r="D42" s="124"/>
      <c r="E42" s="124"/>
      <c r="F42" s="124"/>
      <c r="G42" s="124"/>
      <c r="H42" s="75"/>
      <c r="I42" s="75"/>
      <c r="J42" s="75" t="s">
        <v>152</v>
      </c>
      <c r="K42" s="75"/>
      <c r="L42" s="75"/>
      <c r="M42" s="75"/>
      <c r="N42" s="75"/>
      <c r="P42" t="s">
        <v>124</v>
      </c>
      <c r="S42">
        <v>41.05</v>
      </c>
      <c r="T42">
        <v>0.79</v>
      </c>
      <c r="U42" s="3">
        <v>10</v>
      </c>
      <c r="V42">
        <f>W42*T42</f>
        <v>1817.4739999999999</v>
      </c>
      <c r="W42" s="27">
        <f>V36*U42</f>
        <v>2300.6</v>
      </c>
      <c r="X42" t="s">
        <v>125</v>
      </c>
    </row>
    <row r="43" spans="1:25" x14ac:dyDescent="0.3">
      <c r="A43" s="76" t="s">
        <v>153</v>
      </c>
      <c r="B43" s="75"/>
      <c r="C43" s="75"/>
      <c r="D43" s="75" t="s">
        <v>154</v>
      </c>
      <c r="E43" s="75" t="s">
        <v>155</v>
      </c>
      <c r="F43" s="75" t="s">
        <v>156</v>
      </c>
      <c r="G43" s="75" t="s">
        <v>157</v>
      </c>
      <c r="H43" s="75"/>
      <c r="I43" s="75" t="s">
        <v>158</v>
      </c>
      <c r="J43" s="75" t="s">
        <v>159</v>
      </c>
      <c r="K43" s="75" t="s">
        <v>157</v>
      </c>
      <c r="L43" s="75"/>
      <c r="M43" s="75"/>
      <c r="N43" s="75"/>
      <c r="P43" s="47" t="s">
        <v>88</v>
      </c>
      <c r="Q43" s="47"/>
      <c r="R43" s="47"/>
      <c r="S43" s="47">
        <v>18.02</v>
      </c>
      <c r="T43" s="47">
        <v>1</v>
      </c>
      <c r="U43" s="48">
        <v>2</v>
      </c>
      <c r="V43" s="47">
        <f>W43*T43</f>
        <v>460.12</v>
      </c>
      <c r="W43" s="49">
        <f>V36*U43</f>
        <v>460.12</v>
      </c>
      <c r="X43" s="50" t="s">
        <v>125</v>
      </c>
    </row>
    <row r="44" spans="1:25" x14ac:dyDescent="0.3">
      <c r="A44" s="75" t="s">
        <v>160</v>
      </c>
      <c r="B44" s="75" t="s">
        <v>161</v>
      </c>
      <c r="C44" s="75">
        <v>259.41000000000003</v>
      </c>
      <c r="D44" s="75">
        <v>415</v>
      </c>
      <c r="E44" s="75"/>
      <c r="F44" s="75">
        <f>5/C44</f>
        <v>1.9274507536332443E-2</v>
      </c>
      <c r="G44" s="77">
        <f>D44/F44</f>
        <v>21531.030000000002</v>
      </c>
      <c r="H44" s="75"/>
      <c r="I44" s="75"/>
      <c r="J44" s="75"/>
      <c r="K44" s="75"/>
      <c r="L44" s="75"/>
      <c r="M44" s="75"/>
      <c r="N44" s="75"/>
    </row>
    <row r="45" spans="1:25" x14ac:dyDescent="0.3">
      <c r="A45" s="75" t="s">
        <v>162</v>
      </c>
      <c r="B45" s="75" t="s">
        <v>163</v>
      </c>
      <c r="C45" s="75">
        <v>284.29000000000002</v>
      </c>
      <c r="D45" s="75">
        <v>288</v>
      </c>
      <c r="E45" s="75"/>
      <c r="F45" s="75">
        <f>5/C45</f>
        <v>1.7587674557669984E-2</v>
      </c>
      <c r="G45" s="77">
        <f>D45/F45</f>
        <v>16375.104000000001</v>
      </c>
      <c r="H45" s="75"/>
      <c r="I45" s="75"/>
      <c r="J45" s="75"/>
      <c r="K45" s="75"/>
      <c r="L45" s="75"/>
      <c r="M45" s="75"/>
      <c r="N45" s="75"/>
    </row>
    <row r="46" spans="1:25" x14ac:dyDescent="0.3">
      <c r="A46" s="78" t="s">
        <v>62</v>
      </c>
      <c r="B46" s="75" t="s">
        <v>63</v>
      </c>
      <c r="C46" s="75">
        <v>224.51</v>
      </c>
      <c r="D46" s="75">
        <v>401</v>
      </c>
      <c r="E46" s="75"/>
      <c r="F46" s="75">
        <f>5/C46</f>
        <v>2.2270722907665585E-2</v>
      </c>
      <c r="G46" s="77">
        <f>D46/F46</f>
        <v>18005.701999999997</v>
      </c>
      <c r="H46" s="75"/>
      <c r="I46" s="75">
        <f>100/C46</f>
        <v>0.44541445815331165</v>
      </c>
      <c r="J46" s="75">
        <v>7290</v>
      </c>
      <c r="K46" s="75">
        <f>J46/I46</f>
        <v>16366.779</v>
      </c>
      <c r="L46" s="75" t="s">
        <v>164</v>
      </c>
      <c r="M46" s="75"/>
      <c r="N46" s="75"/>
    </row>
    <row r="47" spans="1:25" x14ac:dyDescent="0.3">
      <c r="A47" s="78"/>
      <c r="B47" s="75"/>
      <c r="C47" s="75"/>
      <c r="D47" s="75"/>
      <c r="E47" s="75"/>
      <c r="F47" s="75"/>
      <c r="G47" s="77"/>
      <c r="H47" s="75"/>
      <c r="I47" s="75"/>
      <c r="J47" s="75"/>
      <c r="K47" s="75"/>
      <c r="L47" s="75"/>
      <c r="M47" s="75"/>
      <c r="N47" s="75"/>
    </row>
    <row r="48" spans="1:25" x14ac:dyDescent="0.3">
      <c r="A48" s="76" t="s">
        <v>66</v>
      </c>
      <c r="B48" s="75"/>
      <c r="C48" s="75"/>
      <c r="D48" s="75"/>
      <c r="E48" s="75"/>
      <c r="F48" s="75"/>
      <c r="G48" s="77"/>
      <c r="H48" s="75"/>
      <c r="I48" s="75"/>
      <c r="J48" s="75"/>
      <c r="K48" s="75"/>
      <c r="L48" s="75"/>
      <c r="M48" s="75"/>
      <c r="N48" s="75"/>
    </row>
    <row r="49" spans="1:14" x14ac:dyDescent="0.3">
      <c r="A49" s="75" t="s">
        <v>32</v>
      </c>
      <c r="B49" s="79" t="s">
        <v>67</v>
      </c>
      <c r="C49" s="75">
        <v>262.29000000000002</v>
      </c>
      <c r="D49" s="75"/>
      <c r="E49" s="75">
        <v>26</v>
      </c>
      <c r="F49" s="75">
        <f>100/C49</f>
        <v>0.38125738686187044</v>
      </c>
      <c r="G49" s="77">
        <f>E49/F49</f>
        <v>68.195400000000006</v>
      </c>
      <c r="H49" s="75" t="s">
        <v>165</v>
      </c>
      <c r="I49" s="75">
        <f>250/C49</f>
        <v>0.95314346715467602</v>
      </c>
      <c r="J49" s="75">
        <v>103</v>
      </c>
      <c r="K49" s="75">
        <f>J49/I49</f>
        <v>108.06348000000001</v>
      </c>
      <c r="L49" s="75"/>
      <c r="M49" s="75"/>
      <c r="N49" s="75"/>
    </row>
    <row r="50" spans="1:14" x14ac:dyDescent="0.3">
      <c r="A50" s="75" t="s">
        <v>69</v>
      </c>
      <c r="B50" s="79" t="s">
        <v>70</v>
      </c>
      <c r="C50" s="75">
        <v>304.37</v>
      </c>
      <c r="D50" s="75">
        <v>70</v>
      </c>
      <c r="E50" s="75"/>
      <c r="F50" s="75">
        <f>5/C50</f>
        <v>1.6427374576995106E-2</v>
      </c>
      <c r="G50" s="77">
        <f>D50/F50</f>
        <v>4261.1799999999994</v>
      </c>
      <c r="H50" s="75"/>
      <c r="I50" s="75">
        <f>25/C50</f>
        <v>8.2136872884975523E-2</v>
      </c>
      <c r="J50" s="75"/>
      <c r="K50" s="75"/>
      <c r="L50" s="75"/>
      <c r="M50" s="75"/>
      <c r="N50" s="75"/>
    </row>
    <row r="51" spans="1:14" x14ac:dyDescent="0.3">
      <c r="A51" s="75" t="s">
        <v>71</v>
      </c>
      <c r="B51" s="79" t="s">
        <v>72</v>
      </c>
      <c r="C51" s="75">
        <v>554.38</v>
      </c>
      <c r="D51" s="75">
        <v>96</v>
      </c>
      <c r="E51" s="75"/>
      <c r="F51" s="75">
        <f>5/C51</f>
        <v>9.0190843825534838E-3</v>
      </c>
      <c r="G51" s="77">
        <f>D51/F51</f>
        <v>10644.096</v>
      </c>
      <c r="H51" s="75"/>
      <c r="I51" s="75"/>
      <c r="J51" s="75">
        <v>351</v>
      </c>
      <c r="K51" s="75">
        <f>J51/I50</f>
        <v>4273.3548000000001</v>
      </c>
      <c r="L51" s="75" t="s">
        <v>166</v>
      </c>
      <c r="M51" s="75"/>
      <c r="N51" s="75"/>
    </row>
    <row r="52" spans="1:14" x14ac:dyDescent="0.3">
      <c r="A52" s="75"/>
      <c r="B52" s="75"/>
      <c r="C52" s="75"/>
      <c r="D52" s="75"/>
      <c r="E52" s="75"/>
      <c r="F52" s="75"/>
      <c r="G52" s="77"/>
      <c r="H52" s="75"/>
      <c r="I52" s="75"/>
      <c r="J52" s="75"/>
      <c r="K52" s="75"/>
      <c r="L52" s="75"/>
      <c r="M52" s="75"/>
      <c r="N52" s="75"/>
    </row>
    <row r="53" spans="1:14" x14ac:dyDescent="0.3">
      <c r="A53" s="76" t="s">
        <v>73</v>
      </c>
      <c r="B53" s="75"/>
      <c r="C53" s="75"/>
      <c r="D53" s="75"/>
      <c r="E53" s="75"/>
      <c r="F53" s="75"/>
      <c r="G53" s="77"/>
      <c r="H53" s="75"/>
      <c r="I53" s="75"/>
      <c r="J53" s="75"/>
      <c r="K53" s="75"/>
      <c r="L53" s="75"/>
      <c r="M53" s="75"/>
      <c r="N53" s="75"/>
    </row>
    <row r="54" spans="1:14" x14ac:dyDescent="0.3">
      <c r="A54" s="75" t="s">
        <v>74</v>
      </c>
      <c r="B54" s="75" t="s">
        <v>75</v>
      </c>
      <c r="C54" s="75">
        <v>731.7</v>
      </c>
      <c r="D54" s="75">
        <v>234</v>
      </c>
      <c r="E54" s="75"/>
      <c r="F54" s="75">
        <f>5/C54</f>
        <v>6.8334016673500062E-3</v>
      </c>
      <c r="G54" s="77">
        <v>36182</v>
      </c>
      <c r="H54" s="75" t="s">
        <v>167</v>
      </c>
      <c r="I54" s="75">
        <f>250/C54</f>
        <v>0.34167008336750032</v>
      </c>
      <c r="J54" s="75">
        <v>9210</v>
      </c>
      <c r="K54" s="75">
        <f>J54/I54</f>
        <v>26955.828000000001</v>
      </c>
      <c r="L54" s="75"/>
      <c r="M54" s="75"/>
      <c r="N54" s="75"/>
    </row>
    <row r="55" spans="1:14" x14ac:dyDescent="0.3">
      <c r="A55" s="75" t="s">
        <v>76</v>
      </c>
      <c r="B55" s="75" t="s">
        <v>77</v>
      </c>
      <c r="C55" s="75">
        <v>701.9</v>
      </c>
      <c r="D55" s="75">
        <v>218</v>
      </c>
      <c r="E55" s="75"/>
      <c r="F55" s="75">
        <f>5/C55</f>
        <v>7.1235218692121387E-3</v>
      </c>
      <c r="G55" s="77">
        <f>D55/F55</f>
        <v>30602.84</v>
      </c>
      <c r="H55" s="75"/>
      <c r="I55" s="75">
        <f>250/C55</f>
        <v>0.35617609346060691</v>
      </c>
      <c r="J55" s="75">
        <v>4110</v>
      </c>
      <c r="K55" s="75">
        <f>J55/I55</f>
        <v>11539.236000000001</v>
      </c>
      <c r="L55" s="75"/>
      <c r="M55" s="75"/>
      <c r="N55" s="75"/>
    </row>
    <row r="56" spans="1:14" x14ac:dyDescent="0.3">
      <c r="A56" s="75" t="s">
        <v>78</v>
      </c>
      <c r="B56" s="75" t="s">
        <v>79</v>
      </c>
      <c r="C56" s="75">
        <v>786.06</v>
      </c>
      <c r="D56" s="75">
        <v>160</v>
      </c>
      <c r="E56" s="75"/>
      <c r="F56" s="75">
        <f>5/C56</f>
        <v>6.3608375950945225E-3</v>
      </c>
      <c r="G56" s="77">
        <f>D56/F56</f>
        <v>25153.919999999998</v>
      </c>
      <c r="H56" s="75"/>
      <c r="I56" s="75"/>
      <c r="J56" s="75"/>
      <c r="K56" s="75"/>
      <c r="L56" s="75"/>
      <c r="M56" s="75"/>
      <c r="N56" s="75"/>
    </row>
  </sheetData>
  <mergeCells count="4">
    <mergeCell ref="M1:P1"/>
    <mergeCell ref="R1:R2"/>
    <mergeCell ref="L8:L12"/>
    <mergeCell ref="A42:G42"/>
  </mergeCells>
  <pageMargins left="0.7" right="0.7" top="0.75" bottom="0.75" header="0.3" footer="0.3"/>
  <pageSetup paperSize="9"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19D1-860A-435A-81F0-7E059429388D}">
  <dimension ref="A1:V50"/>
  <sheetViews>
    <sheetView zoomScale="80" zoomScaleNormal="80" workbookViewId="0">
      <pane ySplit="2" topLeftCell="A23" activePane="bottomLeft" state="frozen"/>
      <selection pane="bottomLeft" activeCell="R49" sqref="R49"/>
    </sheetView>
  </sheetViews>
  <sheetFormatPr defaultRowHeight="14.4" x14ac:dyDescent="0.3"/>
  <cols>
    <col min="1" max="1" width="5.33203125" customWidth="1"/>
    <col min="2" max="2" width="9" bestFit="1" customWidth="1"/>
    <col min="3" max="3" width="12" customWidth="1"/>
    <col min="4" max="4" width="12.33203125" customWidth="1"/>
    <col min="5" max="5" width="11.33203125" customWidth="1"/>
    <col min="6" max="6" width="11.5546875" customWidth="1"/>
    <col min="7" max="7" width="11.88671875" customWidth="1"/>
    <col min="8" max="8" width="10.6640625" customWidth="1"/>
    <col min="9" max="9" width="10.88671875" customWidth="1"/>
    <col min="10" max="10" width="11.33203125" customWidth="1"/>
    <col min="11" max="11" width="10.88671875" style="31" customWidth="1"/>
    <col min="12" max="12" width="12.33203125" style="31" customWidth="1"/>
    <col min="13" max="14" width="13.33203125" style="30" customWidth="1"/>
    <col min="15" max="15" width="2.33203125" customWidth="1"/>
    <col min="17" max="17" width="3.44140625" customWidth="1"/>
  </cols>
  <sheetData>
    <row r="1" spans="1:22" x14ac:dyDescent="0.3"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s="31" t="s">
        <v>177</v>
      </c>
      <c r="L1" s="31" t="s">
        <v>178</v>
      </c>
      <c r="M1" s="30" t="s">
        <v>179</v>
      </c>
      <c r="N1" s="30" t="s">
        <v>180</v>
      </c>
      <c r="O1" s="3" t="s">
        <v>38</v>
      </c>
      <c r="R1" t="s">
        <v>181</v>
      </c>
      <c r="S1" t="s">
        <v>182</v>
      </c>
      <c r="T1" t="s">
        <v>183</v>
      </c>
      <c r="U1" t="s">
        <v>33</v>
      </c>
      <c r="V1" t="s">
        <v>33</v>
      </c>
    </row>
    <row r="2" spans="1:22" x14ac:dyDescent="0.3">
      <c r="B2" t="s">
        <v>184</v>
      </c>
      <c r="C2" t="s">
        <v>185</v>
      </c>
      <c r="D2" t="s">
        <v>186</v>
      </c>
      <c r="E2">
        <v>1.04</v>
      </c>
      <c r="F2">
        <v>1.077</v>
      </c>
      <c r="G2" t="s">
        <v>187</v>
      </c>
      <c r="H2" t="s">
        <v>188</v>
      </c>
      <c r="I2">
        <v>1.9550000000000001</v>
      </c>
      <c r="K2" s="31" t="s">
        <v>189</v>
      </c>
      <c r="L2" s="31" t="s">
        <v>189</v>
      </c>
      <c r="M2" s="30" t="s">
        <v>189</v>
      </c>
      <c r="R2">
        <v>1.79</v>
      </c>
      <c r="S2">
        <v>1.6659999999999999</v>
      </c>
      <c r="T2">
        <v>1.877</v>
      </c>
      <c r="U2">
        <v>2.2999999999999998</v>
      </c>
      <c r="V2">
        <v>2.36</v>
      </c>
    </row>
    <row r="3" spans="1:22" x14ac:dyDescent="0.3">
      <c r="A3" t="s">
        <v>190</v>
      </c>
      <c r="B3" s="33">
        <v>0.02</v>
      </c>
      <c r="C3" s="33">
        <v>40.840000000000003</v>
      </c>
      <c r="D3" s="33">
        <v>21.67</v>
      </c>
      <c r="E3" s="33"/>
      <c r="F3" s="33">
        <v>4.32</v>
      </c>
      <c r="G3" s="33">
        <v>5.0199999999999996</v>
      </c>
      <c r="H3" s="33"/>
      <c r="I3" s="33">
        <v>25.49</v>
      </c>
      <c r="J3">
        <f>100-SUM(B3:I3)-SUM(R3:V3)</f>
        <v>0.57000000000000073</v>
      </c>
      <c r="K3" s="31">
        <f>100*SUM(E3:J3)/SUM(B3:C3,E3:J3)</f>
        <v>46.420141620771041</v>
      </c>
      <c r="L3" s="31">
        <f t="shared" ref="L3" si="0">100*G3/SUM(B3:C3,E3:J3)</f>
        <v>6.582743246787305</v>
      </c>
      <c r="M3" s="30">
        <f t="shared" ref="M3:M50" si="1">100*E3/SUM(B3:C3,E3:J3)</f>
        <v>0</v>
      </c>
      <c r="N3" s="30">
        <f t="shared" ref="N3:N50" si="2">100*H3/SUM(B3:C3,E3:J3)</f>
        <v>0</v>
      </c>
      <c r="R3" s="3">
        <v>2.0699999999999998</v>
      </c>
      <c r="S3" s="3"/>
      <c r="T3" s="3"/>
      <c r="U3" s="3"/>
      <c r="V3" s="3"/>
    </row>
    <row r="4" spans="1:22" x14ac:dyDescent="0.3">
      <c r="A4" t="s">
        <v>191</v>
      </c>
      <c r="B4" s="33">
        <v>1.1299999999999999</v>
      </c>
      <c r="C4" s="33">
        <v>11.86</v>
      </c>
      <c r="D4" s="33">
        <v>13.9</v>
      </c>
      <c r="E4" s="33"/>
      <c r="F4" s="33">
        <v>1.3</v>
      </c>
      <c r="G4" s="33">
        <v>57.74</v>
      </c>
      <c r="H4" s="33"/>
      <c r="I4" s="33">
        <v>11.69</v>
      </c>
      <c r="J4">
        <f t="shared" ref="J4:J50" si="3">100-SUM(B4:I4)-SUM(R4:V4)</f>
        <v>0.97999999999999554</v>
      </c>
      <c r="K4" s="31">
        <f t="shared" ref="K4:K50" si="4">100*SUM(E4:J4)/SUM(B4:C4,E4:J4)</f>
        <v>84.663518299881943</v>
      </c>
      <c r="L4" s="31">
        <f t="shared" ref="L4:L50" si="5">100*G4/SUM(B4:C4,E4:J4)</f>
        <v>68.170011806375456</v>
      </c>
      <c r="M4" s="30">
        <f t="shared" si="1"/>
        <v>0</v>
      </c>
      <c r="N4" s="30">
        <f t="shared" si="2"/>
        <v>0</v>
      </c>
      <c r="R4" s="3">
        <v>1.4</v>
      </c>
      <c r="S4" s="3"/>
      <c r="T4" s="3"/>
      <c r="U4" s="3"/>
      <c r="V4" s="3"/>
    </row>
    <row r="5" spans="1:22" x14ac:dyDescent="0.3">
      <c r="A5" t="s">
        <v>192</v>
      </c>
      <c r="B5" s="3"/>
      <c r="C5" s="3"/>
      <c r="D5" s="3"/>
      <c r="E5" s="3"/>
      <c r="F5" s="3"/>
      <c r="G5" s="3"/>
      <c r="H5" s="3"/>
      <c r="I5" s="3"/>
      <c r="J5">
        <f t="shared" si="3"/>
        <v>100</v>
      </c>
      <c r="K5" s="31">
        <f t="shared" si="4"/>
        <v>100</v>
      </c>
      <c r="L5" s="31">
        <f t="shared" si="5"/>
        <v>0</v>
      </c>
      <c r="M5" s="30">
        <f t="shared" si="1"/>
        <v>0</v>
      </c>
      <c r="N5" s="30">
        <f t="shared" si="2"/>
        <v>0</v>
      </c>
      <c r="R5" s="3"/>
      <c r="S5" s="3"/>
      <c r="T5" s="3"/>
      <c r="U5" s="3"/>
      <c r="V5" s="3"/>
    </row>
    <row r="6" spans="1:22" x14ac:dyDescent="0.3">
      <c r="A6" t="s">
        <v>193</v>
      </c>
      <c r="B6" s="3"/>
      <c r="C6" s="3"/>
      <c r="D6" s="3"/>
      <c r="E6" s="3"/>
      <c r="F6" s="3"/>
      <c r="G6" s="3"/>
      <c r="H6" s="3"/>
      <c r="I6" s="3"/>
      <c r="J6">
        <f t="shared" si="3"/>
        <v>100</v>
      </c>
      <c r="K6" s="31">
        <f t="shared" si="4"/>
        <v>100</v>
      </c>
      <c r="L6" s="31">
        <f t="shared" si="5"/>
        <v>0</v>
      </c>
      <c r="M6" s="30">
        <f t="shared" si="1"/>
        <v>0</v>
      </c>
      <c r="N6" s="30">
        <f t="shared" si="2"/>
        <v>0</v>
      </c>
      <c r="R6" s="3"/>
      <c r="S6" s="3"/>
      <c r="T6" s="3"/>
      <c r="U6" s="3"/>
      <c r="V6" s="3"/>
    </row>
    <row r="7" spans="1:22" x14ac:dyDescent="0.3">
      <c r="A7" t="s">
        <v>194</v>
      </c>
      <c r="B7" s="3"/>
      <c r="C7" s="3"/>
      <c r="D7" s="3"/>
      <c r="E7" s="3"/>
      <c r="F7" s="3"/>
      <c r="G7" s="3"/>
      <c r="H7" s="3"/>
      <c r="I7" s="3"/>
      <c r="J7">
        <f t="shared" si="3"/>
        <v>100</v>
      </c>
      <c r="K7" s="31">
        <f t="shared" si="4"/>
        <v>100</v>
      </c>
      <c r="L7" s="31">
        <f t="shared" si="5"/>
        <v>0</v>
      </c>
      <c r="M7" s="30">
        <f t="shared" si="1"/>
        <v>0</v>
      </c>
      <c r="N7" s="30">
        <f t="shared" si="2"/>
        <v>0</v>
      </c>
      <c r="R7" s="3"/>
      <c r="S7" s="3"/>
      <c r="T7" s="3"/>
      <c r="U7" s="3"/>
      <c r="V7" s="3"/>
    </row>
    <row r="8" spans="1:22" x14ac:dyDescent="0.3">
      <c r="A8" t="s">
        <v>195</v>
      </c>
      <c r="B8" s="3"/>
      <c r="C8" s="3"/>
      <c r="D8" s="3"/>
      <c r="E8" s="3"/>
      <c r="F8" s="3"/>
      <c r="G8" s="3"/>
      <c r="H8" s="3"/>
      <c r="I8" s="3"/>
      <c r="J8">
        <f t="shared" si="3"/>
        <v>100</v>
      </c>
      <c r="K8" s="31">
        <f t="shared" si="4"/>
        <v>100</v>
      </c>
      <c r="L8" s="31">
        <f t="shared" si="5"/>
        <v>0</v>
      </c>
      <c r="M8" s="30">
        <f t="shared" si="1"/>
        <v>0</v>
      </c>
      <c r="N8" s="30">
        <f t="shared" si="2"/>
        <v>0</v>
      </c>
      <c r="R8" s="3"/>
      <c r="S8" s="3"/>
      <c r="T8" s="3"/>
      <c r="U8" s="3"/>
      <c r="V8" s="3"/>
    </row>
    <row r="9" spans="1:22" x14ac:dyDescent="0.3">
      <c r="A9" t="s">
        <v>196</v>
      </c>
      <c r="B9" s="33">
        <v>1.0900000000000001</v>
      </c>
      <c r="C9" s="33">
        <v>13.52</v>
      </c>
      <c r="D9" s="33">
        <v>8.69</v>
      </c>
      <c r="E9" s="33"/>
      <c r="F9" s="33">
        <v>3.2</v>
      </c>
      <c r="G9" s="33">
        <v>47.85</v>
      </c>
      <c r="H9" s="33"/>
      <c r="I9" s="33">
        <v>23.44</v>
      </c>
      <c r="J9">
        <f t="shared" si="3"/>
        <v>0.56000000000000805</v>
      </c>
      <c r="K9" s="31">
        <f t="shared" si="4"/>
        <v>83.705108186482278</v>
      </c>
      <c r="L9" s="31">
        <f t="shared" si="5"/>
        <v>53.368280169529335</v>
      </c>
      <c r="M9" s="30">
        <f t="shared" si="1"/>
        <v>0</v>
      </c>
      <c r="N9" s="30">
        <f t="shared" si="2"/>
        <v>0</v>
      </c>
      <c r="R9" s="3">
        <v>1.65</v>
      </c>
      <c r="S9" s="3"/>
      <c r="T9" s="3"/>
      <c r="U9" s="3"/>
      <c r="V9" s="3"/>
    </row>
    <row r="10" spans="1:22" x14ac:dyDescent="0.3">
      <c r="A10" t="s">
        <v>197</v>
      </c>
      <c r="B10" s="33">
        <v>1.93</v>
      </c>
      <c r="C10" s="33">
        <v>0</v>
      </c>
      <c r="D10" s="33">
        <v>10.029999999999999</v>
      </c>
      <c r="E10" s="33"/>
      <c r="F10" s="33">
        <v>0.5</v>
      </c>
      <c r="G10" s="33">
        <v>76.86</v>
      </c>
      <c r="H10" s="33"/>
      <c r="I10" s="33">
        <v>9.74</v>
      </c>
      <c r="J10">
        <f t="shared" si="3"/>
        <v>-9.9999999999880185E-3</v>
      </c>
      <c r="K10" s="31">
        <f t="shared" si="4"/>
        <v>97.8319478768816</v>
      </c>
      <c r="L10" s="31">
        <f t="shared" si="5"/>
        <v>86.34014828128511</v>
      </c>
      <c r="M10" s="30">
        <f t="shared" si="1"/>
        <v>0</v>
      </c>
      <c r="N10" s="30">
        <f t="shared" si="2"/>
        <v>0</v>
      </c>
      <c r="R10" s="3">
        <v>0.95</v>
      </c>
      <c r="S10" s="3"/>
      <c r="T10" s="3"/>
      <c r="U10" s="3"/>
      <c r="V10" s="3"/>
    </row>
    <row r="11" spans="1:22" x14ac:dyDescent="0.3">
      <c r="A11" t="s">
        <v>198</v>
      </c>
      <c r="B11" s="3"/>
      <c r="C11" s="3"/>
      <c r="D11" s="3"/>
      <c r="E11" s="3"/>
      <c r="F11" s="3"/>
      <c r="G11" s="3"/>
      <c r="H11" s="3"/>
      <c r="I11" s="3"/>
      <c r="J11">
        <f t="shared" si="3"/>
        <v>100</v>
      </c>
      <c r="K11" s="31">
        <f t="shared" si="4"/>
        <v>100</v>
      </c>
      <c r="L11" s="31">
        <f t="shared" si="5"/>
        <v>0</v>
      </c>
      <c r="M11" s="30">
        <f t="shared" si="1"/>
        <v>0</v>
      </c>
      <c r="N11" s="30">
        <f t="shared" si="2"/>
        <v>0</v>
      </c>
      <c r="R11" s="3"/>
      <c r="S11" s="3"/>
      <c r="T11" s="3"/>
      <c r="U11" s="3"/>
      <c r="V11" s="3"/>
    </row>
    <row r="12" spans="1:22" x14ac:dyDescent="0.3">
      <c r="A12" t="s">
        <v>199</v>
      </c>
      <c r="B12" s="3"/>
      <c r="C12" s="3"/>
      <c r="D12" s="3"/>
      <c r="E12" s="3"/>
      <c r="F12" s="3"/>
      <c r="G12" s="3"/>
      <c r="H12" s="3"/>
      <c r="I12" s="3"/>
      <c r="J12">
        <f t="shared" si="3"/>
        <v>100</v>
      </c>
      <c r="K12" s="31">
        <f t="shared" si="4"/>
        <v>100</v>
      </c>
      <c r="L12" s="31">
        <f t="shared" si="5"/>
        <v>0</v>
      </c>
      <c r="M12" s="30">
        <f t="shared" si="1"/>
        <v>0</v>
      </c>
      <c r="N12" s="30">
        <f t="shared" si="2"/>
        <v>0</v>
      </c>
      <c r="R12" s="3"/>
      <c r="S12" s="3"/>
      <c r="T12" s="3"/>
      <c r="U12" s="3"/>
      <c r="V12" s="3"/>
    </row>
    <row r="13" spans="1:22" x14ac:dyDescent="0.3">
      <c r="A13" t="s">
        <v>200</v>
      </c>
      <c r="B13" s="3"/>
      <c r="C13" s="3"/>
      <c r="D13" s="3"/>
      <c r="E13" s="3"/>
      <c r="F13" s="3"/>
      <c r="G13" s="3"/>
      <c r="H13" s="3"/>
      <c r="I13" s="3"/>
      <c r="J13">
        <f t="shared" si="3"/>
        <v>100</v>
      </c>
      <c r="K13" s="31">
        <f t="shared" si="4"/>
        <v>100</v>
      </c>
      <c r="L13" s="31">
        <f t="shared" si="5"/>
        <v>0</v>
      </c>
      <c r="M13" s="30">
        <f t="shared" si="1"/>
        <v>0</v>
      </c>
      <c r="N13" s="30">
        <f t="shared" si="2"/>
        <v>0</v>
      </c>
      <c r="R13" s="3"/>
      <c r="S13" s="3"/>
      <c r="T13" s="3"/>
      <c r="U13" s="3"/>
      <c r="V13" s="3"/>
    </row>
    <row r="14" spans="1:22" x14ac:dyDescent="0.3">
      <c r="A14" t="s">
        <v>201</v>
      </c>
      <c r="B14" s="3"/>
      <c r="C14" s="3"/>
      <c r="D14" s="3"/>
      <c r="E14" s="3"/>
      <c r="F14" s="3"/>
      <c r="G14" s="3"/>
      <c r="H14" s="3"/>
      <c r="I14" s="3"/>
      <c r="J14">
        <f t="shared" si="3"/>
        <v>100</v>
      </c>
      <c r="K14" s="31">
        <f t="shared" si="4"/>
        <v>100</v>
      </c>
      <c r="L14" s="31">
        <f t="shared" si="5"/>
        <v>0</v>
      </c>
      <c r="M14" s="30">
        <f t="shared" si="1"/>
        <v>0</v>
      </c>
      <c r="N14" s="30">
        <f t="shared" si="2"/>
        <v>0</v>
      </c>
      <c r="R14" s="3"/>
      <c r="S14" s="3"/>
      <c r="T14" s="3"/>
      <c r="U14" s="3"/>
      <c r="V14" s="3"/>
    </row>
    <row r="15" spans="1:22" x14ac:dyDescent="0.3">
      <c r="A15" t="s">
        <v>202</v>
      </c>
      <c r="B15" s="33">
        <v>1.1599999999999999</v>
      </c>
      <c r="C15" s="33">
        <v>6.65</v>
      </c>
      <c r="D15" s="33">
        <v>12.81</v>
      </c>
      <c r="E15" s="33"/>
      <c r="F15" s="33">
        <v>1.57</v>
      </c>
      <c r="G15" s="33">
        <v>62.98</v>
      </c>
      <c r="H15" s="33"/>
      <c r="I15" s="33">
        <v>13.02</v>
      </c>
      <c r="J15">
        <f t="shared" si="3"/>
        <v>0.75000000000000222</v>
      </c>
      <c r="K15" s="31">
        <f t="shared" si="4"/>
        <v>90.93231162196679</v>
      </c>
      <c r="L15" s="31">
        <f t="shared" si="5"/>
        <v>73.122024846162788</v>
      </c>
      <c r="M15" s="30">
        <f t="shared" si="1"/>
        <v>0</v>
      </c>
      <c r="N15" s="30">
        <f t="shared" si="2"/>
        <v>0</v>
      </c>
      <c r="R15" s="3">
        <v>1.06</v>
      </c>
      <c r="S15" s="3"/>
      <c r="T15" s="3"/>
      <c r="U15" s="3"/>
      <c r="V15" s="3"/>
    </row>
    <row r="16" spans="1:22" x14ac:dyDescent="0.3">
      <c r="A16" t="s">
        <v>203</v>
      </c>
      <c r="B16" s="33">
        <v>1.26</v>
      </c>
      <c r="C16" s="33">
        <v>0</v>
      </c>
      <c r="D16" s="33">
        <v>10.37</v>
      </c>
      <c r="E16" s="33"/>
      <c r="F16" s="33">
        <v>0.84</v>
      </c>
      <c r="G16" s="33">
        <v>77.349999999999994</v>
      </c>
      <c r="H16" s="33"/>
      <c r="I16" s="33">
        <v>9.31</v>
      </c>
      <c r="J16">
        <f t="shared" si="3"/>
        <v>-9.999999999995457E-3</v>
      </c>
      <c r="K16" s="31">
        <f t="shared" si="4"/>
        <v>98.580281690140851</v>
      </c>
      <c r="L16" s="31">
        <f t="shared" si="5"/>
        <v>87.154929577464785</v>
      </c>
      <c r="M16" s="30">
        <f t="shared" si="1"/>
        <v>0</v>
      </c>
      <c r="N16" s="30">
        <f t="shared" si="2"/>
        <v>0</v>
      </c>
      <c r="R16" s="3">
        <v>0.88</v>
      </c>
      <c r="S16" s="3"/>
      <c r="T16" s="3"/>
      <c r="U16" s="3"/>
      <c r="V16" s="3"/>
    </row>
    <row r="17" spans="1:22" x14ac:dyDescent="0.3">
      <c r="A17" t="s">
        <v>204</v>
      </c>
      <c r="B17" s="3"/>
      <c r="C17" s="3"/>
      <c r="D17" s="3"/>
      <c r="E17" s="3"/>
      <c r="F17" s="3"/>
      <c r="G17" s="3"/>
      <c r="H17" s="3"/>
      <c r="I17" s="3"/>
      <c r="J17">
        <f t="shared" si="3"/>
        <v>100</v>
      </c>
      <c r="K17" s="31">
        <f t="shared" si="4"/>
        <v>100</v>
      </c>
      <c r="L17" s="31">
        <f t="shared" si="5"/>
        <v>0</v>
      </c>
      <c r="M17" s="30">
        <f t="shared" si="1"/>
        <v>0</v>
      </c>
      <c r="N17" s="30">
        <f t="shared" si="2"/>
        <v>0</v>
      </c>
      <c r="R17" s="3"/>
      <c r="S17" s="3"/>
      <c r="T17" s="3"/>
      <c r="U17" s="3"/>
      <c r="V17" s="3"/>
    </row>
    <row r="18" spans="1:22" x14ac:dyDescent="0.3">
      <c r="A18" t="s">
        <v>205</v>
      </c>
      <c r="B18" s="3"/>
      <c r="C18" s="3"/>
      <c r="D18" s="3"/>
      <c r="E18" s="3"/>
      <c r="F18" s="3"/>
      <c r="G18" s="3"/>
      <c r="H18" s="3"/>
      <c r="I18" s="3"/>
      <c r="J18">
        <f t="shared" si="3"/>
        <v>100</v>
      </c>
      <c r="K18" s="31">
        <f t="shared" si="4"/>
        <v>100</v>
      </c>
      <c r="L18" s="31">
        <f t="shared" si="5"/>
        <v>0</v>
      </c>
      <c r="M18" s="30">
        <f t="shared" si="1"/>
        <v>0</v>
      </c>
      <c r="N18" s="30">
        <f t="shared" si="2"/>
        <v>0</v>
      </c>
      <c r="R18" s="3"/>
      <c r="S18" s="3"/>
      <c r="T18" s="3"/>
      <c r="U18" s="3"/>
      <c r="V18" s="3"/>
    </row>
    <row r="19" spans="1:22" x14ac:dyDescent="0.3">
      <c r="A19" t="s">
        <v>206</v>
      </c>
      <c r="B19" s="3"/>
      <c r="C19" s="3"/>
      <c r="D19" s="3"/>
      <c r="E19" s="3"/>
      <c r="F19" s="3"/>
      <c r="G19" s="3"/>
      <c r="H19" s="3"/>
      <c r="I19" s="3"/>
      <c r="J19">
        <f t="shared" si="3"/>
        <v>100</v>
      </c>
      <c r="K19" s="31">
        <f t="shared" si="4"/>
        <v>100</v>
      </c>
      <c r="L19" s="31">
        <f t="shared" si="5"/>
        <v>0</v>
      </c>
      <c r="M19" s="30">
        <f t="shared" si="1"/>
        <v>0</v>
      </c>
      <c r="N19" s="30">
        <f t="shared" si="2"/>
        <v>0</v>
      </c>
      <c r="R19" s="3"/>
      <c r="S19" s="3"/>
      <c r="T19" s="3"/>
      <c r="U19" s="3"/>
      <c r="V19" s="3"/>
    </row>
    <row r="20" spans="1:22" x14ac:dyDescent="0.3">
      <c r="A20" t="s">
        <v>207</v>
      </c>
      <c r="B20" s="3"/>
      <c r="C20" s="3"/>
      <c r="D20" s="3"/>
      <c r="E20" s="3"/>
      <c r="F20" s="3"/>
      <c r="G20" s="3"/>
      <c r="H20" s="3"/>
      <c r="I20" s="3"/>
      <c r="J20">
        <f t="shared" si="3"/>
        <v>100</v>
      </c>
      <c r="K20" s="31">
        <f t="shared" si="4"/>
        <v>100</v>
      </c>
      <c r="L20" s="31">
        <f t="shared" si="5"/>
        <v>0</v>
      </c>
      <c r="M20" s="30">
        <f t="shared" si="1"/>
        <v>0</v>
      </c>
      <c r="N20" s="30">
        <f t="shared" si="2"/>
        <v>0</v>
      </c>
      <c r="R20" s="3"/>
      <c r="S20" s="3"/>
      <c r="T20" s="3"/>
      <c r="U20" s="3"/>
      <c r="V20" s="3"/>
    </row>
    <row r="21" spans="1:22" x14ac:dyDescent="0.3">
      <c r="A21" t="s">
        <v>208</v>
      </c>
      <c r="B21" s="33">
        <v>0</v>
      </c>
      <c r="C21" s="33">
        <v>51.04</v>
      </c>
      <c r="D21" s="33">
        <v>40</v>
      </c>
      <c r="E21" s="33"/>
      <c r="F21" s="33">
        <v>1.22</v>
      </c>
      <c r="G21" s="33">
        <v>0.24</v>
      </c>
      <c r="H21" s="33"/>
      <c r="I21" s="33">
        <v>7.18</v>
      </c>
      <c r="J21">
        <f t="shared" si="3"/>
        <v>1.0000000000021603E-2</v>
      </c>
      <c r="K21" s="31">
        <f t="shared" si="4"/>
        <v>14.491539621377147</v>
      </c>
      <c r="L21" s="31">
        <f t="shared" si="5"/>
        <v>0.40207739989948055</v>
      </c>
      <c r="M21" s="30">
        <f t="shared" si="1"/>
        <v>0</v>
      </c>
      <c r="N21" s="30">
        <f t="shared" si="2"/>
        <v>0</v>
      </c>
      <c r="R21" s="3">
        <v>0.31</v>
      </c>
      <c r="S21" s="3"/>
      <c r="T21" s="3"/>
      <c r="U21" s="3"/>
      <c r="V21" s="3"/>
    </row>
    <row r="22" spans="1:22" x14ac:dyDescent="0.3">
      <c r="A22" t="s">
        <v>209</v>
      </c>
      <c r="B22" s="33">
        <v>0</v>
      </c>
      <c r="C22" s="33">
        <v>53.37</v>
      </c>
      <c r="D22" s="33">
        <v>44.56</v>
      </c>
      <c r="E22" s="33"/>
      <c r="F22" s="33">
        <v>0</v>
      </c>
      <c r="G22" s="33">
        <v>1.57</v>
      </c>
      <c r="H22" s="33"/>
      <c r="I22" s="33">
        <v>0.5</v>
      </c>
      <c r="J22">
        <f t="shared" si="3"/>
        <v>0</v>
      </c>
      <c r="K22" s="31">
        <f t="shared" si="4"/>
        <v>3.7337662337662345</v>
      </c>
      <c r="L22" s="31">
        <f t="shared" si="5"/>
        <v>2.8318903318903321</v>
      </c>
      <c r="M22" s="30">
        <f t="shared" si="1"/>
        <v>0</v>
      </c>
      <c r="N22" s="30">
        <f t="shared" si="2"/>
        <v>0</v>
      </c>
      <c r="R22" s="3">
        <v>0</v>
      </c>
      <c r="S22" s="3"/>
      <c r="T22" s="3"/>
      <c r="U22" s="3"/>
      <c r="V22" s="3"/>
    </row>
    <row r="23" spans="1:22" x14ac:dyDescent="0.3">
      <c r="A23" t="s">
        <v>210</v>
      </c>
      <c r="B23" s="33"/>
      <c r="C23" s="33"/>
      <c r="D23" s="33"/>
      <c r="E23" s="33"/>
      <c r="F23" s="33"/>
      <c r="G23" s="33"/>
      <c r="H23" s="33"/>
      <c r="I23" s="33"/>
      <c r="J23">
        <f t="shared" si="3"/>
        <v>100</v>
      </c>
      <c r="K23" s="31">
        <f t="shared" si="4"/>
        <v>100</v>
      </c>
      <c r="L23" s="31">
        <f t="shared" si="5"/>
        <v>0</v>
      </c>
      <c r="M23" s="30">
        <f t="shared" si="1"/>
        <v>0</v>
      </c>
      <c r="N23" s="30">
        <f t="shared" si="2"/>
        <v>0</v>
      </c>
      <c r="R23" s="3"/>
      <c r="S23" s="3"/>
      <c r="T23" s="3"/>
      <c r="U23" s="3"/>
      <c r="V23" s="3"/>
    </row>
    <row r="24" spans="1:22" x14ac:dyDescent="0.3">
      <c r="A24" t="s">
        <v>211</v>
      </c>
      <c r="B24" s="3"/>
      <c r="C24" s="3"/>
      <c r="D24" s="3"/>
      <c r="E24" s="3"/>
      <c r="F24" s="3"/>
      <c r="G24" s="3"/>
      <c r="H24" s="3"/>
      <c r="I24" s="3"/>
      <c r="J24">
        <f t="shared" si="3"/>
        <v>100</v>
      </c>
      <c r="K24" s="31">
        <f t="shared" si="4"/>
        <v>100</v>
      </c>
      <c r="L24" s="31">
        <f t="shared" si="5"/>
        <v>0</v>
      </c>
      <c r="M24" s="30">
        <f t="shared" si="1"/>
        <v>0</v>
      </c>
      <c r="N24" s="30">
        <f t="shared" si="2"/>
        <v>0</v>
      </c>
      <c r="R24" s="3"/>
      <c r="S24" s="3"/>
      <c r="T24" s="3"/>
      <c r="U24" s="3"/>
      <c r="V24" s="3"/>
    </row>
    <row r="25" spans="1:22" x14ac:dyDescent="0.3">
      <c r="A25" t="s">
        <v>212</v>
      </c>
      <c r="B25" s="3"/>
      <c r="C25" s="3"/>
      <c r="D25" s="3"/>
      <c r="E25" s="3"/>
      <c r="F25" s="3"/>
      <c r="G25" s="3"/>
      <c r="H25" s="3"/>
      <c r="I25" s="3"/>
      <c r="J25">
        <f t="shared" si="3"/>
        <v>100</v>
      </c>
      <c r="K25" s="31">
        <f t="shared" si="4"/>
        <v>100</v>
      </c>
      <c r="L25" s="31">
        <f t="shared" si="5"/>
        <v>0</v>
      </c>
      <c r="M25" s="30">
        <f t="shared" si="1"/>
        <v>0</v>
      </c>
      <c r="N25" s="30">
        <f t="shared" si="2"/>
        <v>0</v>
      </c>
      <c r="R25" s="3"/>
      <c r="S25" s="3"/>
      <c r="T25" s="3"/>
      <c r="U25" s="3"/>
      <c r="V25" s="3"/>
    </row>
    <row r="26" spans="1:22" x14ac:dyDescent="0.3">
      <c r="A26" t="s">
        <v>213</v>
      </c>
      <c r="B26" s="3"/>
      <c r="C26" s="3"/>
      <c r="D26" s="3"/>
      <c r="E26" s="3"/>
      <c r="F26" s="3"/>
      <c r="G26" s="3"/>
      <c r="H26" s="3"/>
      <c r="I26" s="3"/>
      <c r="J26">
        <f t="shared" si="3"/>
        <v>100</v>
      </c>
      <c r="K26" s="31">
        <f t="shared" si="4"/>
        <v>100</v>
      </c>
      <c r="L26" s="31">
        <f t="shared" si="5"/>
        <v>0</v>
      </c>
      <c r="M26" s="30">
        <f t="shared" si="1"/>
        <v>0</v>
      </c>
      <c r="N26" s="30">
        <f t="shared" si="2"/>
        <v>0</v>
      </c>
      <c r="R26" s="3"/>
      <c r="S26" s="3"/>
      <c r="T26" s="3"/>
      <c r="U26" s="3"/>
      <c r="V26" s="3"/>
    </row>
    <row r="27" spans="1:22" x14ac:dyDescent="0.3">
      <c r="A27" t="s">
        <v>214</v>
      </c>
      <c r="B27" s="33">
        <v>0</v>
      </c>
      <c r="C27" s="33">
        <v>38.57</v>
      </c>
      <c r="D27" s="33">
        <v>24.24</v>
      </c>
      <c r="E27" s="33"/>
      <c r="F27" s="33">
        <v>4.93</v>
      </c>
      <c r="G27" s="33">
        <v>1.03</v>
      </c>
      <c r="H27" s="33"/>
      <c r="I27" s="33">
        <v>29.65</v>
      </c>
      <c r="J27">
        <f t="shared" si="3"/>
        <v>9.9999999999840217E-3</v>
      </c>
      <c r="K27" s="31">
        <f t="shared" si="4"/>
        <v>48.011861436851305</v>
      </c>
      <c r="L27" s="31">
        <f t="shared" si="5"/>
        <v>1.3883272678258525</v>
      </c>
      <c r="M27" s="30">
        <f t="shared" si="1"/>
        <v>0</v>
      </c>
      <c r="N27" s="30">
        <f t="shared" si="2"/>
        <v>0</v>
      </c>
      <c r="R27" s="3">
        <v>1.57</v>
      </c>
      <c r="S27" s="3"/>
      <c r="T27" s="3"/>
      <c r="U27" s="3"/>
      <c r="V27" s="3"/>
    </row>
    <row r="28" spans="1:22" x14ac:dyDescent="0.3">
      <c r="A28" t="s">
        <v>215</v>
      </c>
      <c r="B28" s="33">
        <v>0.36</v>
      </c>
      <c r="C28" s="33">
        <v>38.950000000000003</v>
      </c>
      <c r="D28" s="33">
        <v>51.51</v>
      </c>
      <c r="E28" s="33"/>
      <c r="F28" s="33">
        <v>0.28000000000000003</v>
      </c>
      <c r="G28" s="33">
        <v>6.84</v>
      </c>
      <c r="H28" s="33"/>
      <c r="I28" s="33">
        <v>1.86</v>
      </c>
      <c r="J28">
        <f t="shared" si="3"/>
        <v>1.000000000000284E-2</v>
      </c>
      <c r="K28" s="31">
        <f t="shared" si="4"/>
        <v>18.612836438923399</v>
      </c>
      <c r="L28" s="31">
        <f t="shared" si="5"/>
        <v>14.161490683229811</v>
      </c>
      <c r="M28" s="30">
        <f t="shared" si="1"/>
        <v>0</v>
      </c>
      <c r="N28" s="30">
        <f t="shared" si="2"/>
        <v>0</v>
      </c>
      <c r="R28" s="3">
        <v>0.19</v>
      </c>
      <c r="S28" s="3"/>
      <c r="T28" s="3"/>
      <c r="U28" s="3"/>
      <c r="V28" s="3"/>
    </row>
    <row r="29" spans="1:22" x14ac:dyDescent="0.3">
      <c r="A29" t="s">
        <v>216</v>
      </c>
      <c r="B29" s="3"/>
      <c r="C29" s="3"/>
      <c r="D29" s="3"/>
      <c r="E29" s="3"/>
      <c r="F29" s="3"/>
      <c r="G29" s="3"/>
      <c r="H29" s="3"/>
      <c r="I29" s="3"/>
      <c r="J29">
        <f t="shared" si="3"/>
        <v>100</v>
      </c>
      <c r="K29" s="31">
        <f t="shared" si="4"/>
        <v>100</v>
      </c>
      <c r="L29" s="31">
        <f t="shared" si="5"/>
        <v>0</v>
      </c>
      <c r="M29" s="30">
        <f t="shared" si="1"/>
        <v>0</v>
      </c>
      <c r="N29" s="30">
        <f t="shared" si="2"/>
        <v>0</v>
      </c>
      <c r="R29" s="3"/>
      <c r="S29" s="3"/>
      <c r="T29" s="3"/>
      <c r="U29" s="3"/>
      <c r="V29" s="3"/>
    </row>
    <row r="30" spans="1:22" x14ac:dyDescent="0.3">
      <c r="A30" t="s">
        <v>217</v>
      </c>
      <c r="B30" s="3"/>
      <c r="C30" s="3"/>
      <c r="D30" s="3"/>
      <c r="E30" s="3"/>
      <c r="F30" s="3"/>
      <c r="G30" s="3"/>
      <c r="H30" s="3"/>
      <c r="I30" s="3"/>
      <c r="J30">
        <f t="shared" si="3"/>
        <v>100</v>
      </c>
      <c r="K30" s="31">
        <f t="shared" si="4"/>
        <v>100</v>
      </c>
      <c r="L30" s="31">
        <f t="shared" si="5"/>
        <v>0</v>
      </c>
      <c r="M30" s="30">
        <f t="shared" si="1"/>
        <v>0</v>
      </c>
      <c r="N30" s="30">
        <f t="shared" si="2"/>
        <v>0</v>
      </c>
      <c r="R30" s="3"/>
      <c r="S30" s="3"/>
      <c r="T30" s="3"/>
      <c r="U30" s="3"/>
      <c r="V30" s="3"/>
    </row>
    <row r="31" spans="1:22" x14ac:dyDescent="0.3">
      <c r="A31" t="s">
        <v>218</v>
      </c>
      <c r="B31" s="3"/>
      <c r="C31" s="3"/>
      <c r="D31" s="3"/>
      <c r="E31" s="3"/>
      <c r="F31" s="3"/>
      <c r="G31" s="3"/>
      <c r="H31" s="3"/>
      <c r="I31" s="3"/>
      <c r="J31">
        <f t="shared" si="3"/>
        <v>100</v>
      </c>
      <c r="K31" s="31">
        <f t="shared" si="4"/>
        <v>100</v>
      </c>
      <c r="L31" s="31">
        <f t="shared" si="5"/>
        <v>0</v>
      </c>
      <c r="M31" s="30">
        <f t="shared" si="1"/>
        <v>0</v>
      </c>
      <c r="N31" s="30">
        <f t="shared" si="2"/>
        <v>0</v>
      </c>
      <c r="R31" s="3"/>
      <c r="S31" s="3"/>
      <c r="T31" s="3"/>
      <c r="U31" s="3"/>
      <c r="V31" s="3"/>
    </row>
    <row r="32" spans="1:22" x14ac:dyDescent="0.3">
      <c r="A32" t="s">
        <v>219</v>
      </c>
      <c r="B32" s="3"/>
      <c r="C32" s="3"/>
      <c r="D32" s="3"/>
      <c r="E32" s="3"/>
      <c r="F32" s="3"/>
      <c r="G32" s="3"/>
      <c r="H32" s="3"/>
      <c r="I32" s="3"/>
      <c r="J32">
        <f t="shared" si="3"/>
        <v>100</v>
      </c>
      <c r="K32" s="31">
        <f t="shared" si="4"/>
        <v>100</v>
      </c>
      <c r="L32" s="31">
        <f t="shared" si="5"/>
        <v>0</v>
      </c>
      <c r="M32" s="30">
        <f t="shared" si="1"/>
        <v>0</v>
      </c>
      <c r="N32" s="30">
        <f t="shared" si="2"/>
        <v>0</v>
      </c>
      <c r="R32" s="3"/>
      <c r="S32" s="3"/>
      <c r="T32" s="3"/>
      <c r="U32" s="3"/>
      <c r="V32" s="3"/>
    </row>
    <row r="33" spans="1:22" x14ac:dyDescent="0.3">
      <c r="A33" t="s">
        <v>220</v>
      </c>
      <c r="B33" s="33"/>
      <c r="C33" s="33"/>
      <c r="D33" s="33"/>
      <c r="E33" s="33"/>
      <c r="F33" s="33"/>
      <c r="G33" s="33"/>
      <c r="H33" s="33"/>
      <c r="I33" s="33"/>
      <c r="J33">
        <f t="shared" si="3"/>
        <v>100</v>
      </c>
      <c r="K33" s="31">
        <f t="shared" si="4"/>
        <v>100</v>
      </c>
      <c r="L33" s="31">
        <f t="shared" si="5"/>
        <v>0</v>
      </c>
      <c r="M33" s="30">
        <f t="shared" si="1"/>
        <v>0</v>
      </c>
      <c r="N33" s="30">
        <f t="shared" si="2"/>
        <v>0</v>
      </c>
      <c r="R33" s="3"/>
      <c r="S33" s="3"/>
      <c r="T33" s="3"/>
      <c r="U33" s="3"/>
      <c r="V33" s="3"/>
    </row>
    <row r="34" spans="1:22" x14ac:dyDescent="0.3">
      <c r="A34" t="s">
        <v>221</v>
      </c>
      <c r="B34" s="33"/>
      <c r="C34" s="33"/>
      <c r="D34" s="33"/>
      <c r="E34" s="33"/>
      <c r="F34" s="33"/>
      <c r="G34" s="33"/>
      <c r="H34" s="33"/>
      <c r="I34" s="33"/>
      <c r="J34">
        <f t="shared" si="3"/>
        <v>100</v>
      </c>
      <c r="K34" s="31">
        <f t="shared" si="4"/>
        <v>100</v>
      </c>
      <c r="L34" s="31">
        <f t="shared" si="5"/>
        <v>0</v>
      </c>
      <c r="M34" s="30">
        <f t="shared" si="1"/>
        <v>0</v>
      </c>
      <c r="N34" s="30">
        <f t="shared" si="2"/>
        <v>0</v>
      </c>
      <c r="R34" s="3"/>
      <c r="S34" s="3"/>
      <c r="T34" s="3"/>
      <c r="U34" s="3"/>
      <c r="V34" s="3"/>
    </row>
    <row r="35" spans="1:22" x14ac:dyDescent="0.3">
      <c r="A35" t="s">
        <v>222</v>
      </c>
      <c r="B35" s="3"/>
      <c r="C35" s="3"/>
      <c r="D35" s="3"/>
      <c r="E35" s="3"/>
      <c r="F35" s="3"/>
      <c r="G35" s="3"/>
      <c r="H35" s="3"/>
      <c r="I35" s="3"/>
      <c r="J35">
        <f t="shared" si="3"/>
        <v>100</v>
      </c>
      <c r="K35" s="31">
        <f t="shared" si="4"/>
        <v>100</v>
      </c>
      <c r="L35" s="31">
        <f t="shared" si="5"/>
        <v>0</v>
      </c>
      <c r="M35" s="30">
        <f t="shared" si="1"/>
        <v>0</v>
      </c>
      <c r="N35" s="30">
        <f t="shared" si="2"/>
        <v>0</v>
      </c>
      <c r="R35" s="3"/>
      <c r="S35" s="3"/>
      <c r="T35" s="3"/>
      <c r="U35" s="3"/>
      <c r="V35" s="3"/>
    </row>
    <row r="36" spans="1:22" x14ac:dyDescent="0.3">
      <c r="A36" t="s">
        <v>223</v>
      </c>
      <c r="B36" s="3"/>
      <c r="C36" s="3"/>
      <c r="D36" s="3"/>
      <c r="E36" s="3"/>
      <c r="F36" s="3"/>
      <c r="G36" s="3"/>
      <c r="H36" s="3"/>
      <c r="I36" s="3"/>
      <c r="J36">
        <f t="shared" si="3"/>
        <v>100</v>
      </c>
      <c r="K36" s="31">
        <f t="shared" si="4"/>
        <v>100</v>
      </c>
      <c r="L36" s="31">
        <f t="shared" si="5"/>
        <v>0</v>
      </c>
      <c r="M36" s="30">
        <f t="shared" si="1"/>
        <v>0</v>
      </c>
      <c r="N36" s="30">
        <f t="shared" si="2"/>
        <v>0</v>
      </c>
      <c r="R36" s="3"/>
      <c r="S36" s="3"/>
      <c r="T36" s="3"/>
      <c r="U36" s="3"/>
      <c r="V36" s="3"/>
    </row>
    <row r="37" spans="1:22" x14ac:dyDescent="0.3">
      <c r="A37" t="s">
        <v>224</v>
      </c>
      <c r="B37" s="3"/>
      <c r="C37" s="3"/>
      <c r="D37" s="3"/>
      <c r="E37" s="3"/>
      <c r="F37" s="3"/>
      <c r="G37" s="3"/>
      <c r="H37" s="3"/>
      <c r="I37" s="3"/>
      <c r="J37">
        <f t="shared" si="3"/>
        <v>100</v>
      </c>
      <c r="K37" s="31">
        <f t="shared" si="4"/>
        <v>100</v>
      </c>
      <c r="L37" s="31">
        <f t="shared" si="5"/>
        <v>0</v>
      </c>
      <c r="M37" s="30">
        <f t="shared" si="1"/>
        <v>0</v>
      </c>
      <c r="N37" s="30">
        <f t="shared" si="2"/>
        <v>0</v>
      </c>
      <c r="R37" s="3"/>
      <c r="S37" s="3"/>
      <c r="T37" s="3"/>
      <c r="U37" s="3"/>
      <c r="V37" s="3"/>
    </row>
    <row r="38" spans="1:22" x14ac:dyDescent="0.3">
      <c r="A38" t="s">
        <v>225</v>
      </c>
      <c r="B38" s="3"/>
      <c r="C38" s="3"/>
      <c r="D38" s="3"/>
      <c r="E38" s="3"/>
      <c r="F38" s="3"/>
      <c r="G38" s="3"/>
      <c r="H38" s="3"/>
      <c r="I38" s="3"/>
      <c r="J38">
        <f t="shared" si="3"/>
        <v>100</v>
      </c>
      <c r="K38" s="31">
        <f t="shared" si="4"/>
        <v>100</v>
      </c>
      <c r="L38" s="31">
        <f t="shared" si="5"/>
        <v>0</v>
      </c>
      <c r="M38" s="30">
        <f t="shared" si="1"/>
        <v>0</v>
      </c>
      <c r="N38" s="30">
        <f t="shared" si="2"/>
        <v>0</v>
      </c>
      <c r="R38" s="3"/>
      <c r="S38" s="3"/>
      <c r="T38" s="3"/>
      <c r="U38" s="3"/>
      <c r="V38" s="3"/>
    </row>
    <row r="39" spans="1:22" x14ac:dyDescent="0.3">
      <c r="A39" t="s">
        <v>226</v>
      </c>
      <c r="B39" s="33">
        <v>0</v>
      </c>
      <c r="C39" s="33">
        <v>46.35</v>
      </c>
      <c r="D39" s="33">
        <v>32.79</v>
      </c>
      <c r="E39" s="33"/>
      <c r="F39" s="33">
        <v>1.97</v>
      </c>
      <c r="G39" s="33">
        <v>5.68</v>
      </c>
      <c r="H39" s="33"/>
      <c r="I39" s="33">
        <v>11.14</v>
      </c>
      <c r="J39">
        <f>100-SUM(B39:I39)-SUM(R39:V39)</f>
        <v>7.5495165674510645E-15</v>
      </c>
      <c r="K39" s="31">
        <f t="shared" si="4"/>
        <v>28.845563401903597</v>
      </c>
      <c r="L39" s="31">
        <f t="shared" si="5"/>
        <v>8.7196806877494613</v>
      </c>
      <c r="M39" s="30">
        <f t="shared" si="1"/>
        <v>0</v>
      </c>
      <c r="N39" s="30">
        <f t="shared" si="2"/>
        <v>0</v>
      </c>
      <c r="R39" s="3">
        <v>2.0699999999999998</v>
      </c>
      <c r="S39" s="3"/>
      <c r="T39" s="3"/>
      <c r="U39" s="3"/>
      <c r="V39" s="3"/>
    </row>
    <row r="40" spans="1:22" x14ac:dyDescent="0.3">
      <c r="A40" t="s">
        <v>227</v>
      </c>
      <c r="B40" s="33">
        <v>0.31</v>
      </c>
      <c r="C40" s="33">
        <v>40.590000000000003</v>
      </c>
      <c r="D40" s="33">
        <v>32.82</v>
      </c>
      <c r="E40" s="33"/>
      <c r="F40" s="33">
        <v>1.17</v>
      </c>
      <c r="G40" s="33">
        <v>15.43</v>
      </c>
      <c r="H40" s="33"/>
      <c r="I40" s="33">
        <v>7.62</v>
      </c>
      <c r="J40">
        <f t="shared" si="3"/>
        <v>0.14000000000000234</v>
      </c>
      <c r="K40" s="31">
        <f t="shared" si="4"/>
        <v>37.327612626417412</v>
      </c>
      <c r="L40" s="31">
        <f t="shared" si="5"/>
        <v>23.643885994483604</v>
      </c>
      <c r="M40" s="30">
        <f t="shared" si="1"/>
        <v>0</v>
      </c>
      <c r="N40" s="30">
        <f t="shared" si="2"/>
        <v>0</v>
      </c>
      <c r="R40" s="3">
        <v>1.92</v>
      </c>
      <c r="S40" s="3"/>
      <c r="T40" s="3"/>
      <c r="U40" s="3"/>
      <c r="V40" s="3"/>
    </row>
    <row r="41" spans="1:22" x14ac:dyDescent="0.3">
      <c r="A41" t="s">
        <v>228</v>
      </c>
      <c r="B41" s="3">
        <v>0.64</v>
      </c>
      <c r="C41" s="3">
        <v>27.43</v>
      </c>
      <c r="D41" s="3">
        <v>21.84</v>
      </c>
      <c r="E41" s="3"/>
      <c r="F41" s="3">
        <v>1.68</v>
      </c>
      <c r="G41" s="3">
        <v>35.14</v>
      </c>
      <c r="H41" s="3"/>
      <c r="I41" s="3">
        <v>11.73</v>
      </c>
      <c r="J41">
        <f t="shared" si="3"/>
        <v>-9.9999999999937916E-3</v>
      </c>
      <c r="K41" s="31">
        <f t="shared" si="4"/>
        <v>63.359874689988253</v>
      </c>
      <c r="L41" s="31">
        <f t="shared" si="5"/>
        <v>45.868685550189262</v>
      </c>
      <c r="M41" s="30">
        <f t="shared" si="1"/>
        <v>0</v>
      </c>
      <c r="N41" s="30">
        <f t="shared" si="2"/>
        <v>0</v>
      </c>
      <c r="R41" s="3">
        <v>1.55</v>
      </c>
      <c r="S41" s="3"/>
      <c r="T41" s="3"/>
      <c r="U41" s="3"/>
      <c r="V41" s="3"/>
    </row>
    <row r="42" spans="1:22" x14ac:dyDescent="0.3">
      <c r="A42" t="s">
        <v>229</v>
      </c>
      <c r="B42" s="3">
        <v>1.1399999999999999</v>
      </c>
      <c r="C42" s="3">
        <v>8.25</v>
      </c>
      <c r="D42" s="3">
        <v>15.56</v>
      </c>
      <c r="E42" s="3"/>
      <c r="F42" s="3">
        <v>0.19</v>
      </c>
      <c r="G42" s="3">
        <v>68.52</v>
      </c>
      <c r="H42" s="3"/>
      <c r="I42" s="3">
        <v>5.0999999999999996</v>
      </c>
      <c r="J42">
        <f t="shared" si="3"/>
        <v>1.0000000000009113E-2</v>
      </c>
      <c r="K42" s="31">
        <f t="shared" si="4"/>
        <v>88.715298641990145</v>
      </c>
      <c r="L42" s="31">
        <f t="shared" si="5"/>
        <v>82.345871890397788</v>
      </c>
      <c r="M42" s="30">
        <f t="shared" si="1"/>
        <v>0</v>
      </c>
      <c r="N42" s="30">
        <f t="shared" si="2"/>
        <v>0</v>
      </c>
      <c r="R42" s="3">
        <v>1.23</v>
      </c>
      <c r="S42" s="3"/>
      <c r="T42" s="3"/>
      <c r="U42" s="3"/>
      <c r="V42" s="3"/>
    </row>
    <row r="43" spans="1:22" x14ac:dyDescent="0.3">
      <c r="A43" t="s">
        <v>230</v>
      </c>
      <c r="B43" s="3"/>
      <c r="C43" s="3"/>
      <c r="D43" s="3"/>
      <c r="E43" s="3"/>
      <c r="F43" s="3"/>
      <c r="G43" s="3"/>
      <c r="H43" s="3"/>
      <c r="I43" s="3"/>
      <c r="J43">
        <f t="shared" si="3"/>
        <v>100</v>
      </c>
      <c r="K43" s="31">
        <f t="shared" si="4"/>
        <v>100</v>
      </c>
      <c r="L43" s="31">
        <f t="shared" si="5"/>
        <v>0</v>
      </c>
      <c r="M43" s="30">
        <f t="shared" si="1"/>
        <v>0</v>
      </c>
      <c r="N43" s="30">
        <f t="shared" si="2"/>
        <v>0</v>
      </c>
      <c r="R43" s="3"/>
      <c r="S43" s="3"/>
      <c r="T43" s="3"/>
      <c r="U43" s="3"/>
      <c r="V43" s="3"/>
    </row>
    <row r="44" spans="1:22" x14ac:dyDescent="0.3">
      <c r="A44" t="s">
        <v>231</v>
      </c>
      <c r="B44" s="3"/>
      <c r="C44" s="3"/>
      <c r="D44" s="3"/>
      <c r="E44" s="3"/>
      <c r="F44" s="3"/>
      <c r="G44" s="3"/>
      <c r="H44" s="3"/>
      <c r="I44" s="3"/>
      <c r="J44">
        <f t="shared" si="3"/>
        <v>100</v>
      </c>
      <c r="K44" s="31">
        <f t="shared" si="4"/>
        <v>100</v>
      </c>
      <c r="L44" s="31">
        <f t="shared" si="5"/>
        <v>0</v>
      </c>
      <c r="M44" s="30">
        <f t="shared" si="1"/>
        <v>0</v>
      </c>
      <c r="N44" s="30">
        <f t="shared" si="2"/>
        <v>0</v>
      </c>
      <c r="R44" s="3"/>
      <c r="S44" s="3"/>
      <c r="T44" s="3"/>
      <c r="U44" s="3"/>
      <c r="V44" s="3"/>
    </row>
    <row r="45" spans="1:22" x14ac:dyDescent="0.3">
      <c r="A45" t="s">
        <v>232</v>
      </c>
      <c r="B45" s="33">
        <v>0</v>
      </c>
      <c r="C45" s="33">
        <v>44.73</v>
      </c>
      <c r="D45" s="33">
        <v>27.02</v>
      </c>
      <c r="E45" s="33"/>
      <c r="F45" s="33">
        <v>3.1</v>
      </c>
      <c r="G45" s="33">
        <v>4.6100000000000003</v>
      </c>
      <c r="H45" s="33"/>
      <c r="I45" s="33">
        <v>18.61</v>
      </c>
      <c r="J45">
        <f t="shared" si="3"/>
        <v>1.0000000000006892E-2</v>
      </c>
      <c r="K45" s="31">
        <f t="shared" si="4"/>
        <v>37.053194483535044</v>
      </c>
      <c r="L45" s="31">
        <f t="shared" si="5"/>
        <v>6.4874753729242896</v>
      </c>
      <c r="M45" s="30">
        <f t="shared" si="1"/>
        <v>0</v>
      </c>
      <c r="N45" s="30">
        <f t="shared" si="2"/>
        <v>0</v>
      </c>
      <c r="R45" s="3">
        <v>1.92</v>
      </c>
      <c r="S45" s="3"/>
      <c r="T45" s="3"/>
      <c r="U45" s="3"/>
      <c r="V45" s="3"/>
    </row>
    <row r="46" spans="1:22" x14ac:dyDescent="0.3">
      <c r="A46" t="s">
        <v>233</v>
      </c>
      <c r="B46" s="33">
        <v>7.0000000000000007E-2</v>
      </c>
      <c r="C46" s="33">
        <v>43.59</v>
      </c>
      <c r="D46" s="33">
        <v>29.03</v>
      </c>
      <c r="E46" s="33"/>
      <c r="F46" s="33">
        <v>2.0699999999999998</v>
      </c>
      <c r="G46" s="33">
        <v>10.74</v>
      </c>
      <c r="H46" s="33"/>
      <c r="I46" s="33">
        <v>12.68</v>
      </c>
      <c r="J46">
        <f t="shared" si="3"/>
        <v>2.1538326677728037E-14</v>
      </c>
      <c r="K46" s="31">
        <f t="shared" si="4"/>
        <v>36.861894432393363</v>
      </c>
      <c r="L46" s="31">
        <f t="shared" si="5"/>
        <v>15.531453362255958</v>
      </c>
      <c r="M46" s="30">
        <f t="shared" si="1"/>
        <v>0</v>
      </c>
      <c r="N46" s="30">
        <f t="shared" si="2"/>
        <v>0</v>
      </c>
      <c r="R46" s="3">
        <v>1.82</v>
      </c>
      <c r="S46" s="3"/>
      <c r="T46" s="3"/>
      <c r="U46" s="3"/>
      <c r="V46" s="3"/>
    </row>
    <row r="47" spans="1:22" x14ac:dyDescent="0.3">
      <c r="A47" t="s">
        <v>234</v>
      </c>
      <c r="B47" s="3">
        <v>0.15</v>
      </c>
      <c r="C47" s="3">
        <v>38.04</v>
      </c>
      <c r="D47" s="3">
        <v>25.82</v>
      </c>
      <c r="E47" s="3"/>
      <c r="F47" s="3">
        <v>2.11</v>
      </c>
      <c r="G47" s="3">
        <v>19.03</v>
      </c>
      <c r="H47" s="3"/>
      <c r="I47" s="3">
        <v>13.03</v>
      </c>
      <c r="J47">
        <f t="shared" si="3"/>
        <v>0.12000000000000743</v>
      </c>
      <c r="K47" s="31">
        <f t="shared" si="4"/>
        <v>47.309602649006628</v>
      </c>
      <c r="L47" s="31">
        <f t="shared" si="5"/>
        <v>26.255518763796907</v>
      </c>
      <c r="M47" s="30">
        <f t="shared" si="1"/>
        <v>0</v>
      </c>
      <c r="N47" s="30">
        <f t="shared" si="2"/>
        <v>0</v>
      </c>
      <c r="R47" s="3">
        <v>1.7</v>
      </c>
      <c r="S47" s="3"/>
      <c r="T47" s="3"/>
      <c r="U47" s="3"/>
      <c r="V47" s="3"/>
    </row>
    <row r="48" spans="1:22" x14ac:dyDescent="0.3">
      <c r="A48" t="s">
        <v>235</v>
      </c>
      <c r="B48" s="3">
        <v>0.26</v>
      </c>
      <c r="C48" s="3">
        <v>32.15</v>
      </c>
      <c r="D48" s="3">
        <v>23.94</v>
      </c>
      <c r="E48" s="3"/>
      <c r="F48" s="3">
        <v>1.5</v>
      </c>
      <c r="G48" s="3">
        <v>29.86</v>
      </c>
      <c r="H48" s="3"/>
      <c r="I48" s="3">
        <v>10.36</v>
      </c>
      <c r="J48">
        <f t="shared" si="3"/>
        <v>0.18000000000000682</v>
      </c>
      <c r="K48" s="31">
        <f t="shared" si="4"/>
        <v>56.385412461310736</v>
      </c>
      <c r="L48" s="31">
        <f t="shared" si="5"/>
        <v>40.183017090566544</v>
      </c>
      <c r="M48" s="30">
        <f t="shared" si="1"/>
        <v>0</v>
      </c>
      <c r="N48" s="30">
        <f t="shared" si="2"/>
        <v>0</v>
      </c>
      <c r="R48" s="3">
        <v>1.75</v>
      </c>
      <c r="S48" s="3"/>
      <c r="T48" s="3"/>
      <c r="U48" s="3"/>
      <c r="V48" s="3"/>
    </row>
    <row r="49" spans="1:22" x14ac:dyDescent="0.3">
      <c r="A49" t="s">
        <v>236</v>
      </c>
      <c r="B49" s="3"/>
      <c r="C49" s="3"/>
      <c r="D49" s="3"/>
      <c r="E49" s="3"/>
      <c r="F49" s="3"/>
      <c r="G49" s="3"/>
      <c r="H49" s="3"/>
      <c r="I49" s="3"/>
      <c r="J49">
        <f t="shared" si="3"/>
        <v>100</v>
      </c>
      <c r="K49" s="31">
        <f t="shared" si="4"/>
        <v>100</v>
      </c>
      <c r="L49" s="31">
        <f t="shared" si="5"/>
        <v>0</v>
      </c>
      <c r="M49" s="30">
        <f t="shared" si="1"/>
        <v>0</v>
      </c>
      <c r="N49" s="30">
        <f t="shared" si="2"/>
        <v>0</v>
      </c>
      <c r="R49" s="3"/>
      <c r="S49" s="3"/>
      <c r="T49" s="3"/>
      <c r="U49" s="3"/>
      <c r="V49" s="3"/>
    </row>
    <row r="50" spans="1:22" x14ac:dyDescent="0.3">
      <c r="A50" t="s">
        <v>237</v>
      </c>
      <c r="B50" s="3"/>
      <c r="C50" s="3"/>
      <c r="D50" s="3"/>
      <c r="E50" s="3"/>
      <c r="F50" s="3"/>
      <c r="G50" s="3"/>
      <c r="H50" s="3"/>
      <c r="I50" s="3"/>
      <c r="J50">
        <f t="shared" si="3"/>
        <v>100</v>
      </c>
      <c r="K50" s="31">
        <f t="shared" si="4"/>
        <v>100</v>
      </c>
      <c r="L50" s="31">
        <f t="shared" si="5"/>
        <v>0</v>
      </c>
      <c r="M50" s="30">
        <f t="shared" si="1"/>
        <v>0</v>
      </c>
      <c r="N50" s="30">
        <f t="shared" si="2"/>
        <v>0</v>
      </c>
      <c r="R50" s="3"/>
      <c r="S50" s="3"/>
      <c r="T50" s="3"/>
      <c r="U50" s="3"/>
      <c r="V50" s="3"/>
    </row>
  </sheetData>
  <conditionalFormatting sqref="K3:K50">
    <cfRule type="iconSet" priority="3">
      <iconSet>
        <cfvo type="percent" val="0"/>
        <cfvo type="percent" val="50"/>
        <cfvo type="percent" val="90"/>
      </iconSet>
    </cfRule>
  </conditionalFormatting>
  <conditionalFormatting sqref="L3:N50">
    <cfRule type="iconSet" priority="2">
      <iconSet>
        <cfvo type="percent" val="0"/>
        <cfvo type="num" val="30"/>
        <cfvo type="num" val="60"/>
      </iconSet>
    </cfRule>
  </conditionalFormatting>
  <conditionalFormatting sqref="J3:J50">
    <cfRule type="iconSet" priority="1">
      <iconSet reverse="1">
        <cfvo type="percent" val="0"/>
        <cfvo type="num" val="1"/>
        <cfvo type="num" val="2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2c08957-0585-46c2-8b5f-633d6c5df5e3" xsi:nil="true"/>
    <lcf76f155ced4ddcb4097134ff3c332f xmlns="cf130514-ff48-46bf-88ff-d692fa5f132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01614F5E3BD44D88B33D12C6DB3ED3" ma:contentTypeVersion="16" ma:contentTypeDescription="Create a new document." ma:contentTypeScope="" ma:versionID="355c89797a746212168ac3a917337747">
  <xsd:schema xmlns:xsd="http://www.w3.org/2001/XMLSchema" xmlns:xs="http://www.w3.org/2001/XMLSchema" xmlns:p="http://schemas.microsoft.com/office/2006/metadata/properties" xmlns:ns2="cf130514-ff48-46bf-88ff-d692fa5f132a" xmlns:ns3="b2c08957-0585-46c2-8b5f-633d6c5df5e3" targetNamespace="http://schemas.microsoft.com/office/2006/metadata/properties" ma:root="true" ma:fieldsID="db99c725005a5cb19d00c91c740a8c16" ns2:_="" ns3:_="">
    <xsd:import namespace="cf130514-ff48-46bf-88ff-d692fa5f132a"/>
    <xsd:import namespace="b2c08957-0585-46c2-8b5f-633d6c5df5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3:SharedWithUsers" minOccurs="0"/>
                <xsd:element ref="ns3:SharedWithDetail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130514-ff48-46bf-88ff-d692fa5f13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8dda6bb-520e-42c9-b1d9-a1eda62eff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08957-0585-46c2-8b5f-633d6c5df5e3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d35d120f-1a58-4c39-8367-2b43b97d71e2}" ma:internalName="TaxCatchAll" ma:showField="CatchAllData" ma:web="b2c08957-0585-46c2-8b5f-633d6c5df5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82D511-C595-48F6-A1C1-62CDEC51B301}">
  <ds:schemaRefs>
    <ds:schemaRef ds:uri="http://schemas.microsoft.com/office/2006/metadata/properties"/>
    <ds:schemaRef ds:uri="http://schemas.microsoft.com/office/infopath/2007/PartnerControls"/>
    <ds:schemaRef ds:uri="b2c08957-0585-46c2-8b5f-633d6c5df5e3"/>
    <ds:schemaRef ds:uri="cf130514-ff48-46bf-88ff-d692fa5f132a"/>
  </ds:schemaRefs>
</ds:datastoreItem>
</file>

<file path=customXml/itemProps2.xml><?xml version="1.0" encoding="utf-8"?>
<ds:datastoreItem xmlns:ds="http://schemas.openxmlformats.org/officeDocument/2006/customXml" ds:itemID="{8D602DD1-86F0-4397-AE9D-F59007C0A5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130514-ff48-46bf-88ff-d692fa5f132a"/>
    <ds:schemaRef ds:uri="b2c08957-0585-46c2-8b5f-633d6c5df5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458DF7-EB28-4FED-896E-6D7F2D9BA1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Screen Plate (image only)</vt:lpstr>
      <vt:lpstr>Screen Plate Costs</vt:lpstr>
      <vt:lpstr>Screen Plate Costing</vt:lpstr>
      <vt:lpstr>Screen Plate</vt:lpstr>
      <vt:lpstr>Calculations</vt:lpstr>
      <vt:lpstr>UPLC Data (iClass)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 Kahan</dc:creator>
  <cp:keywords/>
  <dc:description/>
  <cp:lastModifiedBy>Rachel Kahan</cp:lastModifiedBy>
  <cp:revision/>
  <dcterms:created xsi:type="dcterms:W3CDTF">2022-03-02T13:01:03Z</dcterms:created>
  <dcterms:modified xsi:type="dcterms:W3CDTF">2022-10-27T12:08:57Z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0x0101000F01614F5E3BD44D88B33D12C6DB3ED3</vt:lpwstr>
  </property>
  <property fmtid="{D5CDD505-2E9C-101B-9397-08002B2CF9AE}" pid="3" name="MediaServiceImageTags">
    <vt:lpwstr/>
  </property>
</Properties>
</file>