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xdso\Desktop\UNIOVI\Proyectos independientes\Nevera\"/>
    </mc:Choice>
  </mc:AlternateContent>
  <xr:revisionPtr revIDLastSave="0" documentId="13_ncr:1_{ACD48D51-B148-4A0C-9D18-DEA80FC8A7E4}" xr6:coauthVersionLast="45" xr6:coauthVersionMax="45" xr10:uidLastSave="{00000000-0000-0000-0000-000000000000}"/>
  <bookViews>
    <workbookView xWindow="12684" yWindow="1236" windowWidth="17280" windowHeight="8964" firstSheet="1" activeTab="2" xr2:uid="{00000000-000D-0000-FFFF-FFFF00000000}"/>
  </bookViews>
  <sheets>
    <sheet name="Disipacion cajas" sheetId="1" r:id="rId1"/>
    <sheet name="paneles solares" sheetId="2" r:id="rId2"/>
    <sheet name="Params_panel_psim" sheetId="3" r:id="rId3"/>
  </sheets>
  <definedNames>
    <definedName name="_xlnm._FilterDatabase" localSheetId="1" hidden="1">'paneles solares'!$A$1:$P$14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O5" i="2"/>
  <c r="M7" i="2"/>
  <c r="M8" i="2"/>
  <c r="M9" i="2"/>
  <c r="O9" i="2" s="1"/>
  <c r="M10" i="2"/>
  <c r="O10" i="2" s="1"/>
  <c r="M11" i="2"/>
  <c r="M12" i="2"/>
  <c r="O12" i="2" s="1"/>
  <c r="M13" i="2"/>
  <c r="O13" i="2" s="1"/>
  <c r="M14" i="2"/>
  <c r="O14" i="2" s="1"/>
  <c r="M6" i="2"/>
  <c r="O6" i="2" s="1"/>
  <c r="O2" i="2"/>
  <c r="O3" i="2"/>
  <c r="O11" i="2"/>
  <c r="G14" i="2"/>
  <c r="D14" i="2"/>
  <c r="E14" i="2" s="1"/>
  <c r="J14" i="2"/>
  <c r="D13" i="2"/>
  <c r="E13" i="2" s="1"/>
  <c r="G13" i="2"/>
  <c r="J13" i="2"/>
  <c r="J12" i="2"/>
  <c r="G12" i="2"/>
  <c r="D12" i="2"/>
  <c r="E12" i="2" s="1"/>
  <c r="O7" i="2"/>
  <c r="O4" i="2"/>
  <c r="O8" i="2"/>
  <c r="D8" i="2"/>
  <c r="E8" i="2" s="1"/>
  <c r="J8" i="2"/>
  <c r="J9" i="2"/>
  <c r="J10" i="2"/>
  <c r="J11" i="2"/>
  <c r="G8" i="2"/>
  <c r="G9" i="2"/>
  <c r="J3" i="2"/>
  <c r="J4" i="2"/>
  <c r="J5" i="2"/>
  <c r="J6" i="2"/>
  <c r="J7" i="2"/>
  <c r="J2" i="2"/>
  <c r="G3" i="2"/>
  <c r="G4" i="2"/>
  <c r="G5" i="2"/>
  <c r="G6" i="2"/>
  <c r="G7" i="2"/>
  <c r="G10" i="2"/>
  <c r="G11" i="2"/>
  <c r="D3" i="2"/>
  <c r="E3" i="2" s="1"/>
  <c r="D4" i="2"/>
  <c r="E4" i="2" s="1"/>
  <c r="D5" i="2"/>
  <c r="E5" i="2" s="1"/>
  <c r="D6" i="2"/>
  <c r="E6" i="2" s="1"/>
  <c r="D7" i="2"/>
  <c r="E7" i="2" s="1"/>
  <c r="D9" i="2"/>
  <c r="E9" i="2" s="1"/>
  <c r="D10" i="2"/>
  <c r="E10" i="2" s="1"/>
  <c r="D11" i="2"/>
  <c r="E11" i="2" s="1"/>
  <c r="G2" i="2"/>
  <c r="D2" i="2"/>
  <c r="E2" i="2" s="1"/>
  <c r="M20" i="1"/>
  <c r="M19" i="1"/>
  <c r="M18" i="1"/>
  <c r="M17" i="1"/>
  <c r="L20" i="1"/>
  <c r="L19" i="1"/>
  <c r="L18" i="1"/>
  <c r="L17" i="1"/>
  <c r="F20" i="1"/>
  <c r="F19" i="1"/>
  <c r="F18" i="1"/>
  <c r="F17" i="1"/>
  <c r="Q1" i="1"/>
  <c r="I26" i="1"/>
  <c r="G25" i="1"/>
  <c r="I25" i="1" s="1"/>
  <c r="G24" i="1"/>
  <c r="K26" i="1" s="1"/>
  <c r="G26" i="1"/>
  <c r="I24" i="1" l="1"/>
  <c r="K23" i="1" s="1"/>
  <c r="K24" i="1"/>
  <c r="G29" i="1" s="1"/>
  <c r="K28" i="1" s="1"/>
  <c r="M28" i="1" s="1"/>
  <c r="H18" i="1"/>
  <c r="H19" i="1"/>
  <c r="H20" i="1"/>
  <c r="H17" i="1"/>
  <c r="I17" i="1" s="1"/>
  <c r="J17" i="1" s="1"/>
  <c r="G18" i="1"/>
  <c r="G19" i="1"/>
  <c r="G20" i="1"/>
  <c r="G17" i="1"/>
  <c r="A20" i="1"/>
  <c r="H6" i="1"/>
  <c r="H7" i="1"/>
  <c r="H8" i="1"/>
  <c r="H5" i="1"/>
  <c r="I8" i="1"/>
  <c r="K8" i="1" s="1"/>
  <c r="J8" i="1"/>
  <c r="A8" i="1"/>
  <c r="I7" i="1"/>
  <c r="J7" i="1"/>
  <c r="K7" i="1" s="1"/>
  <c r="K6" i="1"/>
  <c r="I5" i="1"/>
  <c r="I6" i="1"/>
  <c r="J6" i="1"/>
  <c r="J5" i="1"/>
  <c r="I20" i="1" l="1"/>
  <c r="J20" i="1" s="1"/>
  <c r="I19" i="1"/>
  <c r="J19" i="1" s="1"/>
  <c r="I18" i="1"/>
  <c r="J18" i="1" s="1"/>
  <c r="L6" i="1"/>
  <c r="M6" i="1" s="1"/>
  <c r="L8" i="1"/>
  <c r="M8" i="1" s="1"/>
  <c r="L7" i="1"/>
  <c r="M7" i="1" s="1"/>
  <c r="L5" i="1"/>
  <c r="M5" i="1" s="1"/>
</calcChain>
</file>

<file path=xl/sharedStrings.xml><?xml version="1.0" encoding="utf-8"?>
<sst xmlns="http://schemas.openxmlformats.org/spreadsheetml/2006/main" count="123" uniqueCount="99">
  <si>
    <t>Coeficiente termico</t>
  </si>
  <si>
    <t>ancho</t>
  </si>
  <si>
    <t>largo</t>
  </si>
  <si>
    <t>alto</t>
  </si>
  <si>
    <t>Interior</t>
  </si>
  <si>
    <t>Exterior</t>
  </si>
  <si>
    <t>S exterior</t>
  </si>
  <si>
    <t>S interior</t>
  </si>
  <si>
    <t>S media</t>
  </si>
  <si>
    <t>Temp int</t>
  </si>
  <si>
    <t>Temp ext</t>
  </si>
  <si>
    <t>Superficie</t>
  </si>
  <si>
    <t>CT</t>
  </si>
  <si>
    <t>P</t>
  </si>
  <si>
    <t>Capacidad</t>
  </si>
  <si>
    <t>Grosor</t>
  </si>
  <si>
    <t>Modelo</t>
  </si>
  <si>
    <t>https://www.tiendasmgi.es/nevera-rigida-atlantic-24l-azul-8436532860010?gclid=EAIaIQobChMI64SB2Yfi7QIVT_BRCh0TTwSeEAQYAiABEgJv_PD_BwE</t>
  </si>
  <si>
    <t>https://www.redferreteria.com/camping/15411-nevera-portatil-orework-10-l-8423966076469.html</t>
  </si>
  <si>
    <t>https://www.mwmaterialsworld.com/es/caja-de-porexpan-isotermica-poliestireno-expandido.html</t>
  </si>
  <si>
    <t>https://www.mwmaterialsworld.com/es/caja-de-porex-nevera-isotermica-poliestireno-expandido.html</t>
  </si>
  <si>
    <t xml:space="preserve">Compartimento de: </t>
  </si>
  <si>
    <t>l</t>
  </si>
  <si>
    <t>Caja</t>
  </si>
  <si>
    <t>Compartimento</t>
  </si>
  <si>
    <t>Ancho</t>
  </si>
  <si>
    <t>Largo</t>
  </si>
  <si>
    <t>Alto</t>
  </si>
  <si>
    <t>longitud</t>
  </si>
  <si>
    <t>capacidad</t>
  </si>
  <si>
    <t>S</t>
  </si>
  <si>
    <t>REFLEXIVO POLYNUM 5L coeficiente 1,82 (2cm)</t>
  </si>
  <si>
    <t>Polietileno: 0,04</t>
  </si>
  <si>
    <t>Diametro</t>
  </si>
  <si>
    <t>Margen</t>
  </si>
  <si>
    <t>Lata</t>
  </si>
  <si>
    <t>PACK 12</t>
  </si>
  <si>
    <t>Suma</t>
  </si>
  <si>
    <t>Volumen:</t>
  </si>
  <si>
    <t>Area:</t>
  </si>
  <si>
    <t>m2</t>
  </si>
  <si>
    <t>mm</t>
  </si>
  <si>
    <t>Ptotal</t>
  </si>
  <si>
    <t>W</t>
  </si>
  <si>
    <t>Area lat</t>
  </si>
  <si>
    <t>dm2</t>
  </si>
  <si>
    <t>Area Sup dm2</t>
  </si>
  <si>
    <t>Ancho mm</t>
  </si>
  <si>
    <t>Largo mm</t>
  </si>
  <si>
    <t>Potencia</t>
  </si>
  <si>
    <t>Area dm2</t>
  </si>
  <si>
    <t>P/S</t>
  </si>
  <si>
    <t>Tensión max</t>
  </si>
  <si>
    <t>https://www.amazon.es/port%C3%A1til-Dispositivo-energ%C3%ADa-Flexible-Vacaciones/dp/B07VDSTHJT/ref=sr_1_65?__mk_es_ES=%C3%85M%C3%85%C5%BD%C3%95%C3%91&amp;dchild=1&amp;keywords=40W+panel+solar&amp;qid=1616437664&amp;sr=8-65</t>
  </si>
  <si>
    <t>I @ Vmax</t>
  </si>
  <si>
    <t>Flexible</t>
  </si>
  <si>
    <t>No</t>
  </si>
  <si>
    <t>Si</t>
  </si>
  <si>
    <t>Precio</t>
  </si>
  <si>
    <t>W/€</t>
  </si>
  <si>
    <t>https://www.amazon.es/monocristalino-enjoysolar-Dispositivo-Monocristalino-Conversi%C3%B3n/dp/B07QRXW6QW/ref=sr_1_66?__mk_es_ES=%C3%85M%C3%85%C5%BD%C3%95%C3%91&amp;dchild=1&amp;keywords=40W+panel+solar&amp;qid=1616437664&amp;sr=8-66</t>
  </si>
  <si>
    <t>no</t>
  </si>
  <si>
    <t>Ancho pleg</t>
  </si>
  <si>
    <t>Alto pleg</t>
  </si>
  <si>
    <t>https://www.amazon.es/Lorenlli-plegable-port%C3%A1til-impermeable-alimentaci%C3%B3n/dp/B07ZBJGKJY/ref=sr_1_122?__mk_es_ES=%C3%85M%C3%85%C5%BD%C3%95%C3%91&amp;dchild=1&amp;keywords=40W+panel+solar&amp;qid=1616439119&amp;sr=8-122</t>
  </si>
  <si>
    <t>https://www.amazon.es/ILS-impermeable-Monocristalino-flexible-cargador/dp/B088DGR734/ref=sr_1_117?__mk_es_ES=%C3%85M%C3%85%C5%BD%C3%95%C3%91&amp;dchild=1&amp;keywords=40W+panel+solar&amp;qid=1616439119&amp;sr=8-117</t>
  </si>
  <si>
    <t>libro</t>
  </si>
  <si>
    <t>https://www.amazon.es/Cikonielf-monocristalino-Cargador-Plegable-tel%C3%A9fono/dp/B08DHYQCV2/ref=sr_1_5?__mk_es_ES=%C3%85M%C3%85%C5%BD%C3%95%C3%91&amp;dchild=1&amp;keywords=30W+panel+solar&amp;qid=1616440476&amp;sr=8-5</t>
  </si>
  <si>
    <t>url</t>
  </si>
  <si>
    <t>Area lat dm2</t>
  </si>
  <si>
    <t>https://www.amazon.es/Offgridtec-ETFE-M%C3%B3dulo-solar-semiflexible/dp/B07XF2P329/ref=sr_1_4?__mk_es_ES=%C3%85M%C3%85%C5%BD%C3%95%C3%91&amp;dchild=1&amp;keywords=panel+solar+35w&amp;qid=1616442573&amp;sr=8-4</t>
  </si>
  <si>
    <t>si</t>
  </si>
  <si>
    <t>https://www.amazon.es/C%C3%A9lula-Monocristalino-Cargador-Acampar-Emergencia/dp/B089Q8P4NV/ref=sr_1_11?__mk_es_ES=%C3%85M%C3%85%C5%BD%C3%95%C3%91&amp;dchild=1&amp;keywords=panel+solar+35w&amp;qid=1616442854&amp;sr=8-11</t>
  </si>
  <si>
    <t>Pinta que tienen en base a potencia estimada</t>
  </si>
  <si>
    <t>https://www.amazon.es/Ichiias-peque%C3%B1os-Suministros-port%C3%A1tiles-Exteriores/dp/B08LQN6HTR/ref=sr_1_3?__mk_es_ES=%C3%85M%C3%85%C5%BD%C3%95%C3%91&amp;dchild=1&amp;keywords=panel+solar+25w&amp;qid=1616443464&amp;sr=8-3</t>
  </si>
  <si>
    <t>Diff estimada</t>
  </si>
  <si>
    <t>https://www.amazon.es/Tiamu-Tablero-Port%C3%A1Til-Cocodrilo-Cargador/dp/B0829V7NRL/ref=sr_1_24?__mk_es_ES=%C3%85M%C3%85%C5%BD%C3%95%C3%91&amp;dchild=1&amp;keywords=panel+solar+25w&amp;qid=1616443464&amp;sr=8-24</t>
  </si>
  <si>
    <t>https://www.amazon.es/Tiamu-Port%C3%A1Til-Energ%C3%ADA-Bater%C3%ADA-Cargador/dp/B0823LXSDM/ref=sr_1_41?__mk_es_ES=%C3%85M%C3%85%C5%BD%C3%95%C3%91&amp;dchild=1&amp;keywords=panel+solar+25w&amp;qid=1616443464&amp;sr=8-41</t>
  </si>
  <si>
    <t>https://www.amazon.es/impermeable-Cargador-policristalino-motocicleta-Autumobile/dp/B07RWCCQ7Z/ref=sr_1_45?__mk_es_ES=%C3%85M%C3%85%C5%BD%C3%95%C3%91&amp;dchild=1&amp;keywords=panel+solar+25w&amp;qid=1616443464&amp;sr=8-45</t>
  </si>
  <si>
    <t>https://www.amazon.es/Cargador-Impermeable-Plegable-computadora-port%C3%A1til/dp/B08PZ9SYTG/ref=sr_1_15?__mk_es_ES=%C3%85M%C3%85%C5%BD%C3%95%C3%91&amp;dchild=1&amp;keywords=panel+solar+50w&amp;qid=1616444342&amp;sr=8-15</t>
  </si>
  <si>
    <t>https://www.amazon.es/Redxiao-%E3%80%90%F0%9D%90%91%F0%9D%90%9E%F0%9D%90%A0%F0%9D%90%9A%F0%9D%90%A5%F0%9D%90%A8%E3%80%91-monocristalino-Computadoras-Plantaciones/dp/B08Q8NSDC5/ref=sr_1_42?__mk_es_ES=%C3%85M%C3%85%C5%BD%C3%95%C3%91&amp;dchild=1&amp;keywords=panel+solar+50w&amp;qid=1616444342&amp;sr=8-42</t>
  </si>
  <si>
    <t>Cosignas</t>
  </si>
  <si>
    <t>Pmax</t>
  </si>
  <si>
    <t>Vvacio</t>
  </si>
  <si>
    <t>Icorto</t>
  </si>
  <si>
    <t>Numero celdas</t>
  </si>
  <si>
    <t>Estándar light intensity</t>
  </si>
  <si>
    <t>Tref</t>
  </si>
  <si>
    <t>Rs</t>
  </si>
  <si>
    <t>Rsh</t>
  </si>
  <si>
    <t>Isc0</t>
  </si>
  <si>
    <t>Is0</t>
  </si>
  <si>
    <t>Eg</t>
  </si>
  <si>
    <t>A</t>
  </si>
  <si>
    <t>Ct</t>
  </si>
  <si>
    <t>Ks</t>
  </si>
  <si>
    <t>8m</t>
  </si>
  <si>
    <t>Vpmax = 15,5</t>
  </si>
  <si>
    <t>Ipmax = 2,7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</si>
</sst>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0" xfId="0" applyFill="1" applyAlignment="1"/>
    <xf numFmtId="0" fontId="0" fillId="2" borderId="1" xfId="0" applyFill="1" applyBorder="1"/>
    <xf numFmtId="0" fontId="0" fillId="2" borderId="0" xfId="0" applyFill="1" applyBorder="1"/>
    <xf numFmtId="0" fontId="0" fillId="0" borderId="1" xfId="0" applyBorder="1"/>
    <xf numFmtId="0" fontId="1" fillId="6" borderId="0" xfId="4"/>
    <xf numFmtId="0" fontId="3" fillId="4" borderId="0" xfId="2"/>
    <xf numFmtId="0" fontId="4" fillId="5" borderId="0" xfId="3"/>
    <xf numFmtId="2" fontId="5" fillId="0" borderId="0" xfId="0" applyNumberFormat="1" applyFont="1"/>
    <xf numFmtId="0" fontId="5" fillId="6" borderId="0" xfId="4" applyFont="1"/>
    <xf numFmtId="0" fontId="2" fillId="3" borderId="0" xfId="1"/>
    <xf numFmtId="0" fontId="6" fillId="3" borderId="0" xfId="1" applyFont="1"/>
    <xf numFmtId="0" fontId="5" fillId="0" borderId="0" xfId="0" applyFont="1"/>
    <xf numFmtId="0" fontId="5" fillId="6" borderId="0" xfId="4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5">
    <cellStyle name="40% - Énfasis3" xfId="4" builtinId="39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A6" workbookViewId="0">
      <selection activeCell="P14" sqref="P14"/>
    </sheetView>
  </sheetViews>
  <sheetFormatPr baseColWidth="10" defaultColWidth="8.88671875" defaultRowHeight="14.4" x14ac:dyDescent="0.3"/>
  <cols>
    <col min="16" max="16" width="62.6640625" customWidth="1"/>
  </cols>
  <sheetData>
    <row r="1" spans="1:17" x14ac:dyDescent="0.3">
      <c r="B1" s="16" t="s">
        <v>0</v>
      </c>
      <c r="C1" s="16"/>
      <c r="D1" s="1">
        <v>0.03</v>
      </c>
      <c r="E1" s="1"/>
      <c r="F1" s="1" t="s">
        <v>9</v>
      </c>
      <c r="G1" s="1">
        <v>5</v>
      </c>
      <c r="H1" s="1"/>
      <c r="I1" s="1"/>
      <c r="J1" s="1" t="s">
        <v>10</v>
      </c>
      <c r="K1" s="1">
        <v>30</v>
      </c>
      <c r="M1" s="17" t="s">
        <v>31</v>
      </c>
      <c r="N1" s="17"/>
      <c r="O1" s="17"/>
      <c r="P1" s="17"/>
      <c r="Q1">
        <f>1/1.82*0.02</f>
        <v>1.0989010989010988E-2</v>
      </c>
    </row>
    <row r="2" spans="1:17" x14ac:dyDescent="0.3">
      <c r="P2" t="s">
        <v>32</v>
      </c>
    </row>
    <row r="3" spans="1:17" x14ac:dyDescent="0.3">
      <c r="A3" s="1" t="s">
        <v>14</v>
      </c>
      <c r="B3" s="16" t="s">
        <v>4</v>
      </c>
      <c r="C3" s="16"/>
      <c r="D3" s="16"/>
      <c r="E3" s="16" t="s">
        <v>5</v>
      </c>
      <c r="F3" s="16"/>
      <c r="G3" s="16"/>
      <c r="H3" s="1" t="s">
        <v>15</v>
      </c>
      <c r="I3" s="16" t="s">
        <v>11</v>
      </c>
      <c r="J3" s="16"/>
      <c r="K3" s="16"/>
    </row>
    <row r="4" spans="1:17" x14ac:dyDescent="0.3">
      <c r="A4" s="1"/>
      <c r="B4" s="1" t="s">
        <v>1</v>
      </c>
      <c r="C4" s="1" t="s">
        <v>2</v>
      </c>
      <c r="D4" s="1" t="s">
        <v>3</v>
      </c>
      <c r="E4" s="1" t="s">
        <v>1</v>
      </c>
      <c r="F4" s="1" t="s">
        <v>2</v>
      </c>
      <c r="G4" s="1" t="s">
        <v>3</v>
      </c>
      <c r="H4">
        <v>0.02</v>
      </c>
      <c r="I4" s="1" t="s">
        <v>7</v>
      </c>
      <c r="J4" s="1" t="s">
        <v>6</v>
      </c>
      <c r="K4" s="1" t="s">
        <v>8</v>
      </c>
      <c r="L4" s="1" t="s">
        <v>12</v>
      </c>
      <c r="M4" s="1" t="s">
        <v>13</v>
      </c>
      <c r="N4" s="1"/>
      <c r="O4" s="1"/>
      <c r="P4" s="1" t="s">
        <v>16</v>
      </c>
    </row>
    <row r="5" spans="1:17" x14ac:dyDescent="0.3">
      <c r="A5">
        <v>36</v>
      </c>
      <c r="E5">
        <v>30</v>
      </c>
      <c r="F5">
        <v>30</v>
      </c>
      <c r="G5">
        <v>40</v>
      </c>
      <c r="H5">
        <f>$H$4</f>
        <v>0.02</v>
      </c>
      <c r="I5" s="2">
        <f>(B5*C5*2+B5*D5*2+C5*D5*2)/10000</f>
        <v>0</v>
      </c>
      <c r="J5" s="2">
        <f>(E5*F5*2+E5*G5*2+F5*G5*2)/10000</f>
        <v>0.66</v>
      </c>
      <c r="K5" s="2"/>
      <c r="L5" s="2">
        <f>$D$1*J5/H5</f>
        <v>0.9900000000000001</v>
      </c>
      <c r="M5" s="2">
        <f>($K$1-$G$1)*L5</f>
        <v>24.750000000000004</v>
      </c>
      <c r="P5" t="s">
        <v>20</v>
      </c>
    </row>
    <row r="6" spans="1:17" x14ac:dyDescent="0.3">
      <c r="A6">
        <v>24</v>
      </c>
      <c r="B6">
        <v>33</v>
      </c>
      <c r="C6">
        <v>33.700000000000003</v>
      </c>
      <c r="D6">
        <v>17</v>
      </c>
      <c r="E6">
        <v>39.5</v>
      </c>
      <c r="F6">
        <v>38.5</v>
      </c>
      <c r="G6">
        <v>23</v>
      </c>
      <c r="H6">
        <f t="shared" ref="H6:H8" si="0">$H$4</f>
        <v>0.02</v>
      </c>
      <c r="I6" s="2">
        <f>(B6*C6*2+B6*D6*2+C6*D6*2)/10000</f>
        <v>0.44919999999999999</v>
      </c>
      <c r="J6" s="2">
        <f>(E6*F6*2+E6*G6*2+F6*G6*2)/10000</f>
        <v>0.66295000000000004</v>
      </c>
      <c r="K6" s="2">
        <f>(I6+J6)/2</f>
        <v>0.55607499999999999</v>
      </c>
      <c r="L6" s="2">
        <f>$D$1*K6/H6</f>
        <v>0.83411249999999992</v>
      </c>
      <c r="M6" s="2">
        <f>($K$1-$G$1)*L6</f>
        <v>20.852812499999999</v>
      </c>
      <c r="P6" t="s">
        <v>17</v>
      </c>
    </row>
    <row r="7" spans="1:17" x14ac:dyDescent="0.3">
      <c r="A7">
        <v>10</v>
      </c>
      <c r="E7">
        <v>21.5</v>
      </c>
      <c r="F7">
        <v>37</v>
      </c>
      <c r="G7">
        <v>22.5</v>
      </c>
      <c r="H7">
        <f t="shared" si="0"/>
        <v>0.02</v>
      </c>
      <c r="I7" s="2">
        <f>(B7*C7*2+B7*D7*2+C7*D7*2)/10000</f>
        <v>0</v>
      </c>
      <c r="J7" s="2">
        <f>(E7*F7*2+E7*G7*2+F7*G7*2)/10000</f>
        <v>0.42235</v>
      </c>
      <c r="K7" s="2">
        <f>J7</f>
        <v>0.42235</v>
      </c>
      <c r="L7" s="2">
        <f>$D$1*K7/H7</f>
        <v>0.633525</v>
      </c>
      <c r="M7" s="2">
        <f>($K$1-$G$1)*L7</f>
        <v>15.838125</v>
      </c>
      <c r="P7" t="s">
        <v>18</v>
      </c>
    </row>
    <row r="8" spans="1:17" x14ac:dyDescent="0.3">
      <c r="A8">
        <f>B8*C8*D8/1000</f>
        <v>22.286999999999999</v>
      </c>
      <c r="B8">
        <v>28.5</v>
      </c>
      <c r="C8">
        <v>46</v>
      </c>
      <c r="D8">
        <v>17</v>
      </c>
      <c r="H8">
        <f t="shared" si="0"/>
        <v>0.02</v>
      </c>
      <c r="I8" s="2">
        <f>(B8*C8*2+B8*D8*2+C8*D8*2)/10000</f>
        <v>0.51549999999999996</v>
      </c>
      <c r="J8" s="2">
        <f>(E8*F8*2+E8*G8*2+F8*G8*2)/10000</f>
        <v>0</v>
      </c>
      <c r="K8" s="2">
        <f>I8</f>
        <v>0.51549999999999996</v>
      </c>
      <c r="L8" s="2">
        <f>$D$1*K8/H8</f>
        <v>0.77324999999999988</v>
      </c>
      <c r="M8" s="2">
        <f>($K$1-$G$1)*L8</f>
        <v>19.331249999999997</v>
      </c>
      <c r="P8" t="s">
        <v>19</v>
      </c>
    </row>
    <row r="12" spans="1:17" x14ac:dyDescent="0.3">
      <c r="A12" s="18" t="s">
        <v>21</v>
      </c>
      <c r="B12" s="18"/>
      <c r="C12" s="18"/>
      <c r="D12" s="3">
        <v>5</v>
      </c>
      <c r="E12" s="3" t="s">
        <v>22</v>
      </c>
    </row>
    <row r="14" spans="1:17" x14ac:dyDescent="0.3">
      <c r="A14" s="16" t="s">
        <v>23</v>
      </c>
      <c r="B14" s="16"/>
      <c r="C14" s="16"/>
      <c r="D14" s="16"/>
      <c r="E14" s="19" t="s">
        <v>24</v>
      </c>
      <c r="F14" s="20"/>
    </row>
    <row r="15" spans="1:17" x14ac:dyDescent="0.3">
      <c r="A15" s="16" t="s">
        <v>4</v>
      </c>
      <c r="B15" s="16"/>
      <c r="C15" s="16"/>
      <c r="D15" s="16"/>
      <c r="E15" s="4"/>
      <c r="F15" s="5"/>
      <c r="G15" s="1" t="s">
        <v>15</v>
      </c>
    </row>
    <row r="16" spans="1:17" x14ac:dyDescent="0.3">
      <c r="A16" s="1" t="s">
        <v>14</v>
      </c>
      <c r="B16" s="1" t="s">
        <v>25</v>
      </c>
      <c r="C16" s="1" t="s">
        <v>26</v>
      </c>
      <c r="D16" s="1" t="s">
        <v>27</v>
      </c>
      <c r="E16" s="4" t="s">
        <v>28</v>
      </c>
      <c r="F16" s="5" t="s">
        <v>29</v>
      </c>
      <c r="G16">
        <v>0.03</v>
      </c>
      <c r="H16" s="1" t="s">
        <v>30</v>
      </c>
      <c r="I16" s="1" t="s">
        <v>12</v>
      </c>
      <c r="J16" s="1" t="s">
        <v>13</v>
      </c>
      <c r="L16" s="1" t="s">
        <v>46</v>
      </c>
      <c r="M16" s="1" t="s">
        <v>69</v>
      </c>
    </row>
    <row r="17" spans="1:14" x14ac:dyDescent="0.3">
      <c r="A17">
        <v>36</v>
      </c>
      <c r="B17">
        <v>30</v>
      </c>
      <c r="C17">
        <v>40</v>
      </c>
      <c r="D17">
        <v>30</v>
      </c>
      <c r="E17" s="6">
        <v>13</v>
      </c>
      <c r="F17">
        <f>D17*E17*B17/1000</f>
        <v>11.7</v>
      </c>
      <c r="G17">
        <f>$G$16</f>
        <v>0.03</v>
      </c>
      <c r="H17">
        <f>(B17*C17*2+B17*E17*2+C17*E17*2)/10000</f>
        <v>0.42199999999999999</v>
      </c>
      <c r="I17" s="2">
        <f>$D$1*H17/G17</f>
        <v>0.42199999999999999</v>
      </c>
      <c r="J17" s="10">
        <f>($K$1-$G$1)*I17</f>
        <v>10.549999999999999</v>
      </c>
      <c r="L17">
        <f>B17*C17/100</f>
        <v>12</v>
      </c>
      <c r="M17">
        <f>B17*D17/100</f>
        <v>9</v>
      </c>
    </row>
    <row r="18" spans="1:14" x14ac:dyDescent="0.3">
      <c r="A18">
        <v>24</v>
      </c>
      <c r="B18">
        <v>33</v>
      </c>
      <c r="C18">
        <v>17</v>
      </c>
      <c r="D18">
        <v>33.700000000000003</v>
      </c>
      <c r="E18" s="6">
        <v>13</v>
      </c>
      <c r="F18">
        <f t="shared" ref="F18:F20" si="1">D18*E18*B18/1000</f>
        <v>14.457300000000002</v>
      </c>
      <c r="G18">
        <f t="shared" ref="G18:G20" si="2">$G$16</f>
        <v>0.03</v>
      </c>
      <c r="H18">
        <f>(B18*C18*2+B18*E18*2+C18*E18*2)/10000</f>
        <v>0.2422</v>
      </c>
      <c r="I18" s="2">
        <f t="shared" ref="I18:I20" si="3">$D$1*H18/G18</f>
        <v>0.2422</v>
      </c>
      <c r="J18" s="10">
        <f>($K$1-$G$1)*I18</f>
        <v>6.0549999999999997</v>
      </c>
      <c r="L18">
        <f>B18*D18/100</f>
        <v>11.121000000000002</v>
      </c>
      <c r="M18">
        <f>B18*C18/100</f>
        <v>5.61</v>
      </c>
    </row>
    <row r="19" spans="1:14" x14ac:dyDescent="0.3">
      <c r="A19">
        <v>10</v>
      </c>
      <c r="B19">
        <v>21.5</v>
      </c>
      <c r="C19">
        <v>22.5</v>
      </c>
      <c r="D19">
        <v>37</v>
      </c>
      <c r="E19" s="6">
        <v>13</v>
      </c>
      <c r="F19">
        <f t="shared" si="1"/>
        <v>10.3415</v>
      </c>
      <c r="G19">
        <f t="shared" si="2"/>
        <v>0.03</v>
      </c>
      <c r="H19">
        <f>(B19*C19*2+B19*E19*2+C19*E19*2)/10000</f>
        <v>0.21115</v>
      </c>
      <c r="I19" s="2">
        <f t="shared" si="3"/>
        <v>0.21115</v>
      </c>
      <c r="J19" s="10">
        <f>($K$1-$G$1)*I19</f>
        <v>5.2787500000000005</v>
      </c>
      <c r="L19">
        <f>B19*D19/100</f>
        <v>7.9550000000000001</v>
      </c>
      <c r="M19">
        <f>B19*C19/100</f>
        <v>4.8375000000000004</v>
      </c>
    </row>
    <row r="20" spans="1:14" x14ac:dyDescent="0.3">
      <c r="A20">
        <f>D20*B20*C20/1000</f>
        <v>22.286999999999999</v>
      </c>
      <c r="B20">
        <v>28.5</v>
      </c>
      <c r="C20">
        <v>17</v>
      </c>
      <c r="D20">
        <v>46</v>
      </c>
      <c r="E20" s="6">
        <v>13</v>
      </c>
      <c r="F20">
        <f t="shared" si="1"/>
        <v>17.042999999999999</v>
      </c>
      <c r="G20">
        <f t="shared" si="2"/>
        <v>0.03</v>
      </c>
      <c r="H20">
        <f>(B20*C20*2+B20*E20*2+C20*E20*2)/10000</f>
        <v>0.2152</v>
      </c>
      <c r="I20" s="2">
        <f t="shared" si="3"/>
        <v>0.2152</v>
      </c>
      <c r="J20" s="10">
        <f>($K$1-$G$1)*I20</f>
        <v>5.38</v>
      </c>
      <c r="L20">
        <f>B20*D20/100</f>
        <v>13.11</v>
      </c>
      <c r="M20">
        <f>B20*C20/100</f>
        <v>4.8449999999999998</v>
      </c>
    </row>
    <row r="23" spans="1:14" x14ac:dyDescent="0.3">
      <c r="A23" s="15" t="s">
        <v>35</v>
      </c>
      <c r="B23" s="15"/>
      <c r="C23" s="15"/>
      <c r="D23" s="15"/>
      <c r="F23" s="7" t="s">
        <v>36</v>
      </c>
      <c r="G23" s="7">
        <v>4</v>
      </c>
      <c r="H23" s="7" t="s">
        <v>34</v>
      </c>
      <c r="I23" s="7" t="s">
        <v>37</v>
      </c>
      <c r="J23" s="7" t="s">
        <v>38</v>
      </c>
      <c r="K23" s="7">
        <f>I24*I25*I26/1000000</f>
        <v>7.7285000000000004</v>
      </c>
      <c r="L23" s="7" t="s">
        <v>22</v>
      </c>
    </row>
    <row r="24" spans="1:14" x14ac:dyDescent="0.3">
      <c r="A24" s="7" t="s">
        <v>27</v>
      </c>
      <c r="B24" s="7">
        <v>120</v>
      </c>
      <c r="C24" s="7" t="s">
        <v>33</v>
      </c>
      <c r="D24" s="7">
        <v>65</v>
      </c>
      <c r="F24" s="7" t="s">
        <v>25</v>
      </c>
      <c r="G24" s="7">
        <f>12/G23*D24</f>
        <v>195</v>
      </c>
      <c r="H24" s="7">
        <v>10</v>
      </c>
      <c r="I24" s="7">
        <f>H24+G24</f>
        <v>205</v>
      </c>
      <c r="J24" s="7" t="s">
        <v>39</v>
      </c>
      <c r="K24" s="7">
        <f>(2*I24*I25+2*I24*I26+2*I25*I26)/1000000</f>
        <v>0.24759999999999999</v>
      </c>
      <c r="L24" s="7" t="s">
        <v>40</v>
      </c>
    </row>
    <row r="25" spans="1:14" x14ac:dyDescent="0.3">
      <c r="F25" s="7" t="s">
        <v>27</v>
      </c>
      <c r="G25" s="7">
        <f>G23*D24</f>
        <v>260</v>
      </c>
      <c r="H25" s="7">
        <v>30</v>
      </c>
      <c r="I25" s="7">
        <f t="shared" ref="I25:I26" si="4">H25+G25</f>
        <v>290</v>
      </c>
      <c r="J25" s="7"/>
      <c r="K25" s="7"/>
      <c r="L25" s="7"/>
    </row>
    <row r="26" spans="1:14" x14ac:dyDescent="0.3">
      <c r="F26" s="7" t="s">
        <v>15</v>
      </c>
      <c r="G26" s="7">
        <f>B24</f>
        <v>120</v>
      </c>
      <c r="H26" s="7">
        <v>10</v>
      </c>
      <c r="I26" s="7">
        <f t="shared" si="4"/>
        <v>130</v>
      </c>
      <c r="J26" s="7" t="s">
        <v>44</v>
      </c>
      <c r="K26" s="7">
        <f>G24*G25/10000</f>
        <v>5.07</v>
      </c>
      <c r="L26" s="7" t="s">
        <v>45</v>
      </c>
    </row>
    <row r="28" spans="1:14" x14ac:dyDescent="0.3">
      <c r="F28" s="7" t="s">
        <v>15</v>
      </c>
      <c r="G28" s="7">
        <v>30</v>
      </c>
      <c r="H28" s="7" t="s">
        <v>41</v>
      </c>
      <c r="I28" s="7"/>
      <c r="J28" s="7" t="s">
        <v>13</v>
      </c>
      <c r="K28" s="11">
        <f>($K$1-$G$1)*G29</f>
        <v>6.19</v>
      </c>
      <c r="L28" s="7" t="s">
        <v>42</v>
      </c>
      <c r="M28" s="11">
        <f>40/10*K28</f>
        <v>24.76</v>
      </c>
      <c r="N28" s="7" t="s">
        <v>43</v>
      </c>
    </row>
    <row r="29" spans="1:14" x14ac:dyDescent="0.3">
      <c r="F29" s="7" t="s">
        <v>12</v>
      </c>
      <c r="G29" s="7">
        <f>$D$1*K24/G28*1000</f>
        <v>0.24760000000000001</v>
      </c>
      <c r="H29" s="7"/>
      <c r="I29" s="7"/>
      <c r="J29" s="7"/>
      <c r="K29" s="7"/>
      <c r="L29" s="7"/>
      <c r="M29" s="7"/>
      <c r="N29" s="7"/>
    </row>
  </sheetData>
  <mergeCells count="10">
    <mergeCell ref="A23:D23"/>
    <mergeCell ref="A15:D15"/>
    <mergeCell ref="B3:D3"/>
    <mergeCell ref="E3:G3"/>
    <mergeCell ref="M1:P1"/>
    <mergeCell ref="I3:K3"/>
    <mergeCell ref="B1:C1"/>
    <mergeCell ref="A12:C12"/>
    <mergeCell ref="A14:D14"/>
    <mergeCell ref="E14:F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6966-DB22-42D8-A085-6A5502E73B1E}">
  <dimension ref="A1:Q14"/>
  <sheetViews>
    <sheetView workbookViewId="0">
      <selection activeCell="G16" sqref="G16"/>
    </sheetView>
  </sheetViews>
  <sheetFormatPr baseColWidth="10" defaultRowHeight="14.4" x14ac:dyDescent="0.3"/>
  <cols>
    <col min="14" max="14" width="13.6640625" customWidth="1"/>
    <col min="15" max="15" width="19.33203125" customWidth="1"/>
  </cols>
  <sheetData>
    <row r="1" spans="1:17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54</v>
      </c>
      <c r="H1" t="s">
        <v>55</v>
      </c>
      <c r="I1" t="s">
        <v>58</v>
      </c>
      <c r="J1" t="s">
        <v>59</v>
      </c>
      <c r="K1" t="s">
        <v>62</v>
      </c>
      <c r="L1" t="s">
        <v>63</v>
      </c>
      <c r="M1" t="s">
        <v>73</v>
      </c>
      <c r="O1" t="s">
        <v>75</v>
      </c>
      <c r="P1" t="s">
        <v>68</v>
      </c>
    </row>
    <row r="2" spans="1:17" x14ac:dyDescent="0.3">
      <c r="A2">
        <v>540</v>
      </c>
      <c r="B2">
        <v>280</v>
      </c>
      <c r="C2">
        <v>40</v>
      </c>
      <c r="D2">
        <f>A2*B2/10000</f>
        <v>15.12</v>
      </c>
      <c r="E2">
        <f>C2/D2</f>
        <v>2.6455026455026456</v>
      </c>
      <c r="F2">
        <v>18</v>
      </c>
      <c r="G2">
        <f>C2/F2</f>
        <v>2.2222222222222223</v>
      </c>
      <c r="H2" t="s">
        <v>56</v>
      </c>
      <c r="I2">
        <v>27.29</v>
      </c>
      <c r="J2">
        <f>C2/I2</f>
        <v>1.4657383657017222</v>
      </c>
      <c r="M2">
        <f>$C$14/$B$14/$A$14*B2*A2</f>
        <v>30.882352941176475</v>
      </c>
      <c r="N2">
        <v>30</v>
      </c>
      <c r="O2">
        <f t="shared" ref="O2:O14" si="0">M2-C2</f>
        <v>-9.1176470588235254</v>
      </c>
      <c r="P2" t="s">
        <v>53</v>
      </c>
    </row>
    <row r="3" spans="1:17" x14ac:dyDescent="0.3">
      <c r="A3">
        <v>500</v>
      </c>
      <c r="B3">
        <v>320</v>
      </c>
      <c r="C3">
        <v>30</v>
      </c>
      <c r="D3">
        <f t="shared" ref="D3:D14" si="1">A3*B3/10000</f>
        <v>16</v>
      </c>
      <c r="E3">
        <f t="shared" ref="E3:E14" si="2">C3/D3</f>
        <v>1.875</v>
      </c>
      <c r="F3">
        <v>12</v>
      </c>
      <c r="G3">
        <f t="shared" ref="G3:G14" si="3">C3/F3</f>
        <v>2.5</v>
      </c>
      <c r="H3" t="s">
        <v>57</v>
      </c>
      <c r="I3">
        <v>27.99</v>
      </c>
      <c r="J3">
        <f t="shared" ref="J3:J6" si="4">C3/I3</f>
        <v>1.0718113612004287</v>
      </c>
      <c r="M3">
        <f>$C$14/$B$14/$A$14*B3*A3</f>
        <v>32.679738562091508</v>
      </c>
      <c r="N3">
        <v>30</v>
      </c>
      <c r="O3">
        <f t="shared" si="0"/>
        <v>2.679738562091508</v>
      </c>
      <c r="P3" t="s">
        <v>60</v>
      </c>
    </row>
    <row r="4" spans="1:17" x14ac:dyDescent="0.3">
      <c r="A4">
        <v>430</v>
      </c>
      <c r="B4">
        <v>430</v>
      </c>
      <c r="C4">
        <v>30</v>
      </c>
      <c r="D4">
        <f t="shared" si="1"/>
        <v>18.489999999999998</v>
      </c>
      <c r="E4">
        <f t="shared" si="2"/>
        <v>1.6224986479177936</v>
      </c>
      <c r="F4">
        <v>18</v>
      </c>
      <c r="G4">
        <f t="shared" si="3"/>
        <v>1.6666666666666667</v>
      </c>
      <c r="H4" t="s">
        <v>61</v>
      </c>
      <c r="I4">
        <v>35.6</v>
      </c>
      <c r="J4">
        <f t="shared" si="4"/>
        <v>0.84269662921348309</v>
      </c>
      <c r="M4">
        <f>$C$14/$B$14/$A$14*B4*A4</f>
        <v>37.765522875816998</v>
      </c>
      <c r="N4">
        <v>40</v>
      </c>
      <c r="O4">
        <f t="shared" si="0"/>
        <v>7.7655228758169983</v>
      </c>
      <c r="P4" t="s">
        <v>65</v>
      </c>
    </row>
    <row r="5" spans="1:17" x14ac:dyDescent="0.3">
      <c r="A5" s="12">
        <v>1040</v>
      </c>
      <c r="B5" s="12">
        <v>350</v>
      </c>
      <c r="C5" s="12">
        <v>40</v>
      </c>
      <c r="D5">
        <f t="shared" si="1"/>
        <v>36.4</v>
      </c>
      <c r="E5">
        <f t="shared" si="2"/>
        <v>1.098901098901099</v>
      </c>
      <c r="F5">
        <v>18</v>
      </c>
      <c r="G5">
        <f t="shared" si="3"/>
        <v>2.2222222222222223</v>
      </c>
      <c r="H5" t="s">
        <v>66</v>
      </c>
      <c r="I5">
        <v>44.23</v>
      </c>
      <c r="J5">
        <f t="shared" si="4"/>
        <v>0.9043635541487679</v>
      </c>
      <c r="K5">
        <v>350</v>
      </c>
      <c r="L5">
        <v>250</v>
      </c>
      <c r="M5">
        <v>40</v>
      </c>
      <c r="N5">
        <v>40</v>
      </c>
      <c r="O5">
        <f t="shared" si="0"/>
        <v>0</v>
      </c>
      <c r="P5" t="s">
        <v>64</v>
      </c>
    </row>
    <row r="6" spans="1:17" x14ac:dyDescent="0.3">
      <c r="A6">
        <v>580</v>
      </c>
      <c r="B6">
        <v>310</v>
      </c>
      <c r="C6">
        <v>30</v>
      </c>
      <c r="D6">
        <f t="shared" si="1"/>
        <v>17.98</v>
      </c>
      <c r="E6">
        <f t="shared" si="2"/>
        <v>1.6685205784204671</v>
      </c>
      <c r="G6" t="e">
        <f t="shared" si="3"/>
        <v>#DIV/0!</v>
      </c>
      <c r="H6" t="s">
        <v>66</v>
      </c>
      <c r="I6">
        <v>22</v>
      </c>
      <c r="J6">
        <f t="shared" si="4"/>
        <v>1.3636363636363635</v>
      </c>
      <c r="K6">
        <v>310</v>
      </c>
      <c r="L6">
        <v>160</v>
      </c>
      <c r="M6">
        <f>$C$14/$B$14/$A$14*B6*A6</f>
        <v>36.723856209150327</v>
      </c>
      <c r="N6">
        <v>35</v>
      </c>
      <c r="O6">
        <f t="shared" si="0"/>
        <v>6.7238562091503269</v>
      </c>
      <c r="P6" t="s">
        <v>67</v>
      </c>
    </row>
    <row r="7" spans="1:17" x14ac:dyDescent="0.3">
      <c r="A7" s="8">
        <v>750</v>
      </c>
      <c r="B7" s="8">
        <v>285</v>
      </c>
      <c r="C7" s="8">
        <v>35</v>
      </c>
      <c r="D7" s="8">
        <f>A7*B7/10000</f>
        <v>21.375</v>
      </c>
      <c r="E7">
        <f>C7/D7</f>
        <v>1.6374269005847952</v>
      </c>
      <c r="F7">
        <v>20.88</v>
      </c>
      <c r="G7">
        <f>C7/F7</f>
        <v>1.6762452107279695</v>
      </c>
      <c r="H7" t="s">
        <v>71</v>
      </c>
      <c r="I7">
        <v>87</v>
      </c>
      <c r="J7">
        <f>C7/I7</f>
        <v>0.40229885057471265</v>
      </c>
      <c r="M7">
        <f>$C$14/$B$14/$A$14*B7*A7</f>
        <v>43.658088235294116</v>
      </c>
      <c r="N7">
        <v>40</v>
      </c>
      <c r="O7">
        <f t="shared" si="0"/>
        <v>8.658088235294116</v>
      </c>
      <c r="P7" t="s">
        <v>70</v>
      </c>
    </row>
    <row r="8" spans="1:17" x14ac:dyDescent="0.3">
      <c r="A8">
        <v>330</v>
      </c>
      <c r="B8">
        <v>360</v>
      </c>
      <c r="C8" s="9">
        <v>35</v>
      </c>
      <c r="D8">
        <f>A8*B8/10000</f>
        <v>11.88</v>
      </c>
      <c r="E8">
        <f t="shared" ref="E8:E9" si="5">C8/D8</f>
        <v>2.9461279461279459</v>
      </c>
      <c r="F8">
        <v>20</v>
      </c>
      <c r="G8">
        <f t="shared" ref="G8:G9" si="6">C8/F8</f>
        <v>1.75</v>
      </c>
      <c r="H8" t="s">
        <v>61</v>
      </c>
      <c r="I8">
        <v>54</v>
      </c>
      <c r="J8">
        <f t="shared" ref="J8:J14" si="7">C8/I8</f>
        <v>0.64814814814814814</v>
      </c>
      <c r="M8">
        <f>$C$14/$B$14/$A$14*B8*A8</f>
        <v>24.264705882352942</v>
      </c>
      <c r="N8">
        <v>25</v>
      </c>
      <c r="O8">
        <f t="shared" si="0"/>
        <v>-10.735294117647058</v>
      </c>
      <c r="P8" t="s">
        <v>72</v>
      </c>
    </row>
    <row r="9" spans="1:17" x14ac:dyDescent="0.3">
      <c r="A9">
        <v>330</v>
      </c>
      <c r="B9">
        <v>360</v>
      </c>
      <c r="C9">
        <v>25</v>
      </c>
      <c r="D9">
        <f t="shared" si="1"/>
        <v>11.88</v>
      </c>
      <c r="E9">
        <f t="shared" si="5"/>
        <v>2.1043771043771042</v>
      </c>
      <c r="F9">
        <v>18</v>
      </c>
      <c r="G9">
        <f t="shared" si="6"/>
        <v>1.3888888888888888</v>
      </c>
      <c r="H9" t="s">
        <v>71</v>
      </c>
      <c r="I9">
        <v>14.29</v>
      </c>
      <c r="J9">
        <f t="shared" si="7"/>
        <v>1.7494751574527643</v>
      </c>
      <c r="M9">
        <f>$C$14/$B$14/$A$14*B9*A9</f>
        <v>24.264705882352942</v>
      </c>
      <c r="N9">
        <v>25</v>
      </c>
      <c r="O9">
        <f t="shared" si="0"/>
        <v>-0.73529411764705799</v>
      </c>
      <c r="P9" t="s">
        <v>74</v>
      </c>
    </row>
    <row r="10" spans="1:17" x14ac:dyDescent="0.3">
      <c r="A10">
        <v>430</v>
      </c>
      <c r="B10">
        <v>250</v>
      </c>
      <c r="C10">
        <v>25</v>
      </c>
      <c r="D10">
        <f t="shared" si="1"/>
        <v>10.75</v>
      </c>
      <c r="E10">
        <f t="shared" si="2"/>
        <v>2.3255813953488373</v>
      </c>
      <c r="F10">
        <v>18</v>
      </c>
      <c r="G10">
        <f t="shared" si="3"/>
        <v>1.3888888888888888</v>
      </c>
      <c r="H10" t="s">
        <v>61</v>
      </c>
      <c r="I10">
        <v>18</v>
      </c>
      <c r="J10">
        <f t="shared" si="7"/>
        <v>1.3888888888888888</v>
      </c>
      <c r="M10">
        <f>$C$14/$B$14/$A$14*B10*A10</f>
        <v>21.956699346405227</v>
      </c>
      <c r="N10">
        <v>20</v>
      </c>
      <c r="O10">
        <f t="shared" si="0"/>
        <v>-3.0433006535947733</v>
      </c>
      <c r="P10" t="s">
        <v>76</v>
      </c>
    </row>
    <row r="11" spans="1:17" x14ac:dyDescent="0.3">
      <c r="A11">
        <v>260</v>
      </c>
      <c r="B11">
        <v>430</v>
      </c>
      <c r="C11">
        <v>25</v>
      </c>
      <c r="D11">
        <f t="shared" si="1"/>
        <v>11.18</v>
      </c>
      <c r="E11">
        <f t="shared" si="2"/>
        <v>2.2361359570661898</v>
      </c>
      <c r="F11">
        <v>12</v>
      </c>
      <c r="G11">
        <f t="shared" si="3"/>
        <v>2.0833333333333335</v>
      </c>
      <c r="H11" t="s">
        <v>66</v>
      </c>
      <c r="I11">
        <v>24</v>
      </c>
      <c r="J11">
        <f t="shared" si="7"/>
        <v>1.0416666666666667</v>
      </c>
      <c r="K11">
        <v>215</v>
      </c>
      <c r="L11">
        <v>260</v>
      </c>
      <c r="M11">
        <f>$C$14/$B$14/$A$14*B11*A11</f>
        <v>22.834967320261441</v>
      </c>
      <c r="N11">
        <v>20</v>
      </c>
      <c r="O11">
        <f t="shared" si="0"/>
        <v>-2.1650326797385588</v>
      </c>
      <c r="P11" t="s">
        <v>77</v>
      </c>
    </row>
    <row r="12" spans="1:17" x14ac:dyDescent="0.3">
      <c r="A12" s="12">
        <v>420</v>
      </c>
      <c r="B12" s="12">
        <v>370</v>
      </c>
      <c r="C12" s="12">
        <v>25</v>
      </c>
      <c r="D12">
        <f t="shared" si="1"/>
        <v>15.54</v>
      </c>
      <c r="E12">
        <f t="shared" si="2"/>
        <v>1.6087516087516089</v>
      </c>
      <c r="F12">
        <v>18</v>
      </c>
      <c r="G12">
        <f t="shared" si="3"/>
        <v>1.3888888888888888</v>
      </c>
      <c r="H12" t="s">
        <v>61</v>
      </c>
      <c r="I12">
        <v>25</v>
      </c>
      <c r="J12">
        <f t="shared" si="7"/>
        <v>1</v>
      </c>
      <c r="M12">
        <f>$C$14/$B$14/$A$14*B12*A12</f>
        <v>31.740196078431378</v>
      </c>
      <c r="N12">
        <v>30</v>
      </c>
      <c r="O12">
        <f t="shared" si="0"/>
        <v>6.7401960784313779</v>
      </c>
      <c r="P12" t="s">
        <v>78</v>
      </c>
    </row>
    <row r="13" spans="1:17" x14ac:dyDescent="0.3">
      <c r="A13" s="13">
        <v>680</v>
      </c>
      <c r="B13" s="13">
        <v>360</v>
      </c>
      <c r="C13" s="13">
        <v>50</v>
      </c>
      <c r="D13" s="14">
        <f t="shared" si="1"/>
        <v>24.48</v>
      </c>
      <c r="E13" s="14">
        <f t="shared" si="2"/>
        <v>2.0424836601307188</v>
      </c>
      <c r="F13" s="14">
        <v>18</v>
      </c>
      <c r="G13" s="14">
        <f t="shared" si="3"/>
        <v>2.7777777777777777</v>
      </c>
      <c r="H13" s="14" t="s">
        <v>66</v>
      </c>
      <c r="I13" s="14">
        <v>29</v>
      </c>
      <c r="J13" s="14">
        <f t="shared" si="7"/>
        <v>1.7241379310344827</v>
      </c>
      <c r="K13" s="13">
        <v>340</v>
      </c>
      <c r="L13" s="13">
        <v>360</v>
      </c>
      <c r="M13" s="14">
        <f>$C$14/$B$14/$A$14*B13*A13</f>
        <v>50</v>
      </c>
      <c r="N13" s="14">
        <v>50</v>
      </c>
      <c r="O13" s="14">
        <f t="shared" si="0"/>
        <v>0</v>
      </c>
      <c r="P13" s="13" t="s">
        <v>79</v>
      </c>
      <c r="Q13" s="14"/>
    </row>
    <row r="14" spans="1:17" x14ac:dyDescent="0.3">
      <c r="A14">
        <v>680</v>
      </c>
      <c r="B14">
        <v>360</v>
      </c>
      <c r="C14">
        <v>50</v>
      </c>
      <c r="D14">
        <f t="shared" si="1"/>
        <v>24.48</v>
      </c>
      <c r="E14">
        <f t="shared" si="2"/>
        <v>2.0424836601307188</v>
      </c>
      <c r="F14">
        <v>18</v>
      </c>
      <c r="G14">
        <f t="shared" si="3"/>
        <v>2.7777777777777777</v>
      </c>
      <c r="H14" t="s">
        <v>66</v>
      </c>
      <c r="I14">
        <v>42</v>
      </c>
      <c r="J14">
        <f t="shared" si="7"/>
        <v>1.1904761904761905</v>
      </c>
      <c r="K14">
        <v>340</v>
      </c>
      <c r="L14">
        <v>360</v>
      </c>
      <c r="M14">
        <f>$C$14/$B$14/$A$14*B14*A14</f>
        <v>50</v>
      </c>
      <c r="N14">
        <v>50</v>
      </c>
      <c r="O14">
        <f t="shared" si="0"/>
        <v>0</v>
      </c>
      <c r="P14" t="s">
        <v>80</v>
      </c>
    </row>
  </sheetData>
  <autoFilter ref="A1:P14" xr:uid="{FEDC0869-19AB-431B-AF14-2469CD86F769}"/>
  <conditionalFormatting sqref="E2:E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75B5-A26D-4467-8CFA-FE664CACEDE3}">
  <dimension ref="A2:F17"/>
  <sheetViews>
    <sheetView tabSelected="1" workbookViewId="0">
      <selection activeCell="E21" sqref="E21"/>
    </sheetView>
  </sheetViews>
  <sheetFormatPr baseColWidth="10" defaultRowHeight="14.4" x14ac:dyDescent="0.3"/>
  <sheetData>
    <row r="2" spans="1:6" x14ac:dyDescent="0.3">
      <c r="A2" t="s">
        <v>81</v>
      </c>
    </row>
    <row r="3" spans="1:6" x14ac:dyDescent="0.3">
      <c r="A3" t="s">
        <v>82</v>
      </c>
      <c r="B3" t="s">
        <v>83</v>
      </c>
      <c r="C3" t="s">
        <v>84</v>
      </c>
      <c r="E3" t="s">
        <v>97</v>
      </c>
      <c r="F3">
        <v>16</v>
      </c>
    </row>
    <row r="4" spans="1:6" x14ac:dyDescent="0.3">
      <c r="A4">
        <v>50</v>
      </c>
      <c r="B4">
        <v>18</v>
      </c>
      <c r="C4">
        <v>2.77</v>
      </c>
      <c r="E4" t="s">
        <v>98</v>
      </c>
      <c r="F4">
        <v>3</v>
      </c>
    </row>
    <row r="7" spans="1:6" x14ac:dyDescent="0.3">
      <c r="A7" t="s">
        <v>85</v>
      </c>
      <c r="B7">
        <v>20</v>
      </c>
    </row>
    <row r="8" spans="1:6" x14ac:dyDescent="0.3">
      <c r="A8" t="s">
        <v>86</v>
      </c>
      <c r="B8">
        <v>1000</v>
      </c>
    </row>
    <row r="9" spans="1:6" x14ac:dyDescent="0.3">
      <c r="A9" t="s">
        <v>87</v>
      </c>
      <c r="B9">
        <v>25</v>
      </c>
    </row>
    <row r="10" spans="1:6" x14ac:dyDescent="0.3">
      <c r="A10" t="s">
        <v>88</v>
      </c>
      <c r="B10" t="s">
        <v>96</v>
      </c>
      <c r="D10" s="22"/>
      <c r="E10" s="22"/>
      <c r="F10" s="22"/>
    </row>
    <row r="11" spans="1:6" x14ac:dyDescent="0.3">
      <c r="A11" t="s">
        <v>89</v>
      </c>
      <c r="B11">
        <v>2000</v>
      </c>
    </row>
    <row r="12" spans="1:6" x14ac:dyDescent="0.3">
      <c r="A12" t="s">
        <v>90</v>
      </c>
      <c r="B12">
        <v>2.8</v>
      </c>
    </row>
    <row r="13" spans="1:6" x14ac:dyDescent="0.3">
      <c r="A13" t="s">
        <v>91</v>
      </c>
      <c r="B13" s="21">
        <v>2.1600000000000002E-8</v>
      </c>
    </row>
    <row r="14" spans="1:6" x14ac:dyDescent="0.3">
      <c r="A14" t="s">
        <v>92</v>
      </c>
      <c r="B14">
        <v>1.1200000000000001</v>
      </c>
    </row>
    <row r="15" spans="1:6" x14ac:dyDescent="0.3">
      <c r="A15" t="s">
        <v>93</v>
      </c>
      <c r="B15">
        <v>2</v>
      </c>
    </row>
    <row r="16" spans="1:6" x14ac:dyDescent="0.3">
      <c r="A16" t="s">
        <v>94</v>
      </c>
      <c r="B16">
        <v>2.3999999999999998E-3</v>
      </c>
    </row>
    <row r="17" spans="1:2" x14ac:dyDescent="0.3">
      <c r="A17" t="s">
        <v>95</v>
      </c>
      <c r="B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Disipacion cajas</vt:lpstr>
      <vt:lpstr>paneles solares</vt:lpstr>
      <vt:lpstr>Params_panel_psim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</dc:creator>
  <cp:lastModifiedBy>Diego Carro Fernández</cp:lastModifiedBy>
  <dcterms:created xsi:type="dcterms:W3CDTF">2015-06-05T18:19:34Z</dcterms:created>
  <dcterms:modified xsi:type="dcterms:W3CDTF">2021-03-23T21:11:37Z</dcterms:modified>
</cp:coreProperties>
</file>