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PERT" sheetId="2" r:id="rId5"/>
    <sheet state="visible" name="Time Frame" sheetId="3" r:id="rId6"/>
  </sheets>
  <definedNames/>
  <calcPr/>
</workbook>
</file>

<file path=xl/sharedStrings.xml><?xml version="1.0" encoding="utf-8"?>
<sst xmlns="http://schemas.openxmlformats.org/spreadsheetml/2006/main" count="46" uniqueCount="34">
  <si>
    <t>Description</t>
  </si>
  <si>
    <t>Details</t>
  </si>
  <si>
    <t>Justification</t>
  </si>
  <si>
    <t>Estimation Price</t>
  </si>
  <si>
    <t>Team Salary</t>
  </si>
  <si>
    <t>4 people 10€/hour;
14 weeks;
6 hours/week.</t>
  </si>
  <si>
    <t>The team consists of 4 members, each working 6 hours weekly for 14 weeks. Total: 336 hours at 10€/hour.</t>
  </si>
  <si>
    <t>Traveling</t>
  </si>
  <si>
    <t>169.2 km/day;
34,18€ on tolls and fuel;
1 day a week.</t>
  </si>
  <si>
    <t>Travel once a week for 14 weeks. The cost is 34.12€/day for fuel and tolls, totaling 168€.</t>
  </si>
  <si>
    <t>Equipment</t>
  </si>
  <si>
    <t>4 computers.</t>
  </si>
  <si>
    <t>To calculate the value of a 4-year-old computer for a 14-week project, the straight-line depreciation method is used, spreading the cost over its 4-5 year lifespan. The remaining value is then depreciated for the 14-week project.
Estimated useful life: 4 years
Annual depreciation: 1000€/4=250€
After 3 years, the depreciated value will be:1000€-(3✕250€)=250€
The weekly price is: 250€/52=4,81€/per week
For 14 weeks: 4,81€×14=67,31€</t>
  </si>
  <si>
    <t>Meeting Room</t>
  </si>
  <si>
    <t>Rent for a conference room with projector and internet for 14 weeks.</t>
  </si>
  <si>
    <t>Necessary for team meetings and presentations with stakeholders.</t>
  </si>
  <si>
    <t>Quality Certificate</t>
  </si>
  <si>
    <t>Safety and performance audits.</t>
  </si>
  <si>
    <t>To ensure compliance with technical requirements at the end of the project.</t>
  </si>
  <si>
    <t>Marketing costs</t>
  </si>
  <si>
    <t>Promotional materials</t>
  </si>
  <si>
    <t>Leaflets, posters and digital marketing</t>
  </si>
  <si>
    <t>Total</t>
  </si>
  <si>
    <t>Optimistic Cost</t>
  </si>
  <si>
    <t>Probable cost</t>
  </si>
  <si>
    <t>Pessimistic cost</t>
  </si>
  <si>
    <t>PERT</t>
  </si>
  <si>
    <t>Reservation</t>
  </si>
  <si>
    <t>Human Resources</t>
  </si>
  <si>
    <t>Room</t>
  </si>
  <si>
    <t>Marketing Costs</t>
  </si>
  <si>
    <t>To describe the reserves, the team used Programme Evaluation and Review Technique (PERT) estimation.
The PERT estimate uses three estimates to calculate the probable duration of a task: the optimistic estimate (O), the most probable estimate (M) and the pessimistic estimate (P). The formula for PERT estimation is:
Estimated Duration (ED)=(O+4M+P)/6</t>
  </si>
  <si>
    <t>Week</t>
  </si>
  <si>
    <t>Reserves Costs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</si>
</sst>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0\ [$€-1]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11232B"/>
      <name val="Roboto"/>
    </font>
    <font>
      <sz val="10.0"/>
      <color theme="1"/>
      <name val="Roboto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164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164" xfId="0" applyAlignment="1" applyBorder="1" applyFont="1" applyNumberForma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3" numFmtId="164" xfId="0" applyAlignment="1" applyBorder="1" applyFont="1" applyNumberForma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164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5" fillId="0" fontId="1" numFmtId="165" xfId="0" applyAlignment="1" applyBorder="1" applyFont="1" applyNumberFormat="1">
      <alignment readingOrder="0" shrinkToFit="0" vertical="center" wrapText="1"/>
    </xf>
    <xf borderId="6" fillId="0" fontId="1" numFmtId="165" xfId="0" applyAlignment="1" applyBorder="1" applyFont="1" applyNumberFormat="1">
      <alignment readingOrder="0" shrinkToFit="0" vertical="center" wrapText="1"/>
    </xf>
    <xf borderId="0" fillId="0" fontId="1" numFmtId="165" xfId="0" applyAlignment="1" applyFont="1" applyNumberFormat="1">
      <alignment readingOrder="0" shrinkToFit="0" wrapText="1"/>
    </xf>
    <xf borderId="5" fillId="2" fontId="4" numFmtId="165" xfId="0" applyAlignment="1" applyBorder="1" applyFill="1" applyFont="1" applyNumberFormat="1">
      <alignment shrinkToFit="0" vertical="center" wrapText="0"/>
    </xf>
    <xf borderId="8" fillId="0" fontId="1" numFmtId="165" xfId="0" applyAlignment="1" applyBorder="1" applyFont="1" applyNumberFormat="1">
      <alignment readingOrder="0" shrinkToFit="0" vertical="center" wrapText="1"/>
    </xf>
    <xf borderId="9" fillId="0" fontId="1" numFmtId="165" xfId="0" applyAlignment="1" applyBorder="1" applyFont="1" applyNumberFormat="1">
      <alignment readingOrder="0" shrinkToFit="0" vertical="center" wrapText="1"/>
    </xf>
    <xf borderId="0" fillId="2" fontId="4" numFmtId="165" xfId="0" applyFont="1" applyNumberFormat="1"/>
    <xf borderId="11" fillId="0" fontId="1" numFmtId="165" xfId="0" applyAlignment="1" applyBorder="1" applyFont="1" applyNumberFormat="1">
      <alignment shrinkToFit="0" vertical="center" wrapText="1"/>
    </xf>
    <xf borderId="12" fillId="0" fontId="1" numFmtId="165" xfId="0" applyAlignment="1" applyBorder="1" applyFont="1" applyNumberFormat="1">
      <alignment shrinkToFit="0" vertical="center" wrapText="1"/>
    </xf>
    <xf borderId="0" fillId="0" fontId="1" numFmtId="165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164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164" xfId="0" applyAlignment="1" applyBorder="1" applyFont="1" applyNumberFormat="1">
      <alignment horizontal="center" readingOrder="0" shrinkToFit="0" vertical="center" wrapText="1"/>
    </xf>
    <xf borderId="9" fillId="0" fontId="1" numFmtId="164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164" xfId="0" applyAlignment="1" applyBorder="1" applyFont="1" applyNumberFormat="1">
      <alignment horizontal="center" readingOrder="0" shrinkToFit="0" vertical="center" wrapText="1"/>
    </xf>
    <xf borderId="11" fillId="0" fontId="1" numFmtId="164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Folha1-style">
      <tableStyleElement dxfId="1" type="headerRow"/>
      <tableStyleElement dxfId="2" type="firstRowStripe"/>
      <tableStyleElement dxfId="3" type="secondRowStripe"/>
    </tableStyle>
    <tableStyle count="3" pivot="0" name="PERT-style">
      <tableStyleElement dxfId="1" type="headerRow"/>
      <tableStyleElement dxfId="2" type="firstRowStripe"/>
      <tableStyleElement dxfId="3" type="secondRowStripe"/>
    </tableStyle>
    <tableStyle count="2" pivot="0" name="PERT-style 2">
      <tableStyleElement dxfId="2" type="firstRowStripe"/>
      <tableStyleElement dxfId="3" type="secondRowStripe"/>
    </tableStyle>
    <tableStyle count="3" pivot="0" name="Time Fram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8" displayName="Tabela1" name="Tabela1" id="1">
  <tableColumns count="4">
    <tableColumn name="Description" id="1"/>
    <tableColumn name="Details" id="2"/>
    <tableColumn name="Justification" id="3"/>
    <tableColumn name="Estimation Price" id="4"/>
  </tableColumns>
  <tableStyleInfo name="Folha1-style" showColumnStripes="0" showFirstColumn="1" showLastColumn="1" showRowStripes="1"/>
</table>
</file>

<file path=xl/tables/table2.xml><?xml version="1.0" encoding="utf-8"?>
<table xmlns="http://schemas.openxmlformats.org/spreadsheetml/2006/main" ref="A1:F8" displayName="Tabela2" name="Tabela2" id="2">
  <tableColumns count="6">
    <tableColumn name="Description" id="1"/>
    <tableColumn name="Optimistic Cost" id="2"/>
    <tableColumn name="Probable cost" id="3"/>
    <tableColumn name="Pessimistic cost" id="4"/>
    <tableColumn name="PERT" id="5"/>
    <tableColumn name="Reservation" id="6"/>
  </tableColumns>
  <tableStyleInfo name="PERT-style" showColumnStripes="0" showFirstColumn="1" showLastColumn="1" showRowStripes="1"/>
</table>
</file>

<file path=xl/tables/table3.xml><?xml version="1.0" encoding="utf-8"?>
<table xmlns="http://schemas.openxmlformats.org/spreadsheetml/2006/main" headerRowCount="0" ref="I2:I8" displayName="Table_1" name="Table_1" id="3">
  <tableColumns count="1">
    <tableColumn name="Column1" id="1"/>
  </tableColumns>
  <tableStyleInfo name="PERT-style 2" showColumnStripes="0" showFirstColumn="1" showLastColumn="1" showRowStripes="1"/>
</table>
</file>

<file path=xl/tables/table4.xml><?xml version="1.0" encoding="utf-8"?>
<table xmlns="http://schemas.openxmlformats.org/spreadsheetml/2006/main" ref="A1:H16" displayName="Tabela2_2" name="Tabela2_2" id="4">
  <tableColumns count="8">
    <tableColumn name="Week" id="1"/>
    <tableColumn name="Human Resources" id="2"/>
    <tableColumn name="Equipment" id="3"/>
    <tableColumn name="Meeting Room" id="4"/>
    <tableColumn name="Quality Certificate" id="5"/>
    <tableColumn name="Marketing Costs" id="6"/>
    <tableColumn name="Reserves Costs" id="7"/>
    <tableColumn name="Total" id="8"/>
  </tableColumns>
  <tableStyleInfo name="Time Fram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75"/>
    <col customWidth="1" min="3" max="3" width="56.88"/>
    <col customWidth="1" min="4" max="4" width="12.13"/>
    <col customWidth="1" min="5" max="5" width="17.88"/>
  </cols>
  <sheetData>
    <row r="1" ht="26.25" customHeight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6" t="s">
        <v>6</v>
      </c>
      <c r="D2" s="7">
        <f>336*10</f>
        <v>3360</v>
      </c>
    </row>
    <row r="3">
      <c r="A3" s="8" t="s">
        <v>7</v>
      </c>
      <c r="B3" s="9" t="s">
        <v>8</v>
      </c>
      <c r="C3" s="9" t="s">
        <v>9</v>
      </c>
      <c r="D3" s="10">
        <f>34.18*14</f>
        <v>478.52</v>
      </c>
    </row>
    <row r="4">
      <c r="A4" s="5" t="s">
        <v>10</v>
      </c>
      <c r="B4" s="6" t="s">
        <v>11</v>
      </c>
      <c r="C4" s="6" t="s">
        <v>12</v>
      </c>
      <c r="D4" s="7">
        <f>(250/52)*14*4</f>
        <v>269.2307692</v>
      </c>
    </row>
    <row r="5">
      <c r="A5" s="11" t="s">
        <v>13</v>
      </c>
      <c r="B5" s="12" t="s">
        <v>14</v>
      </c>
      <c r="C5" s="12" t="s">
        <v>15</v>
      </c>
      <c r="D5" s="10">
        <v>600.0</v>
      </c>
    </row>
    <row r="6">
      <c r="A6" s="5" t="s">
        <v>16</v>
      </c>
      <c r="B6" s="6" t="s">
        <v>17</v>
      </c>
      <c r="C6" s="6" t="s">
        <v>18</v>
      </c>
      <c r="D6" s="7">
        <v>160.0</v>
      </c>
    </row>
    <row r="7">
      <c r="A7" s="13" t="s">
        <v>19</v>
      </c>
      <c r="B7" s="14" t="s">
        <v>20</v>
      </c>
      <c r="C7" s="14" t="s">
        <v>21</v>
      </c>
      <c r="D7" s="15">
        <v>800.0</v>
      </c>
    </row>
    <row r="8">
      <c r="A8" s="16" t="s">
        <v>22</v>
      </c>
      <c r="B8" s="17"/>
      <c r="C8" s="17"/>
      <c r="D8" s="18">
        <f>SUM(D2:D7)</f>
        <v>5667.750769</v>
      </c>
    </row>
    <row r="15">
      <c r="D15" s="19">
        <v>140.0</v>
      </c>
    </row>
    <row r="16">
      <c r="D16" s="19">
        <v>1020.0</v>
      </c>
    </row>
    <row r="17">
      <c r="D17" s="19">
        <v>2360.0</v>
      </c>
    </row>
    <row r="18">
      <c r="D18" s="19">
        <v>1360.0</v>
      </c>
    </row>
    <row r="19">
      <c r="D19" s="19">
        <v>3400.0</v>
      </c>
    </row>
    <row r="20">
      <c r="D20" s="19">
        <v>680.0</v>
      </c>
    </row>
    <row r="21">
      <c r="D21" s="19">
        <v>3060.0</v>
      </c>
    </row>
    <row r="22">
      <c r="D22" s="19">
        <v>200.0</v>
      </c>
    </row>
    <row r="23">
      <c r="D23" s="19">
        <v>2000.0</v>
      </c>
    </row>
    <row r="24">
      <c r="D24" s="19">
        <v>275.0</v>
      </c>
    </row>
    <row r="25">
      <c r="D25" s="19">
        <v>375.0</v>
      </c>
    </row>
    <row r="26">
      <c r="D26" s="19">
        <v>450.0</v>
      </c>
    </row>
    <row r="27">
      <c r="D27" s="19">
        <v>400.0</v>
      </c>
    </row>
    <row r="28">
      <c r="D28" s="19">
        <v>250.0</v>
      </c>
    </row>
    <row r="29">
      <c r="D29" s="19">
        <v>200.0</v>
      </c>
    </row>
    <row r="30">
      <c r="D30" s="20">
        <f>SUM(D15:D29)/15</f>
        <v>1078</v>
      </c>
    </row>
  </sheetData>
  <dataValidations>
    <dataValidation type="custom" allowBlank="1" showDropDown="1" sqref="D2:D8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38"/>
    <col customWidth="1" min="2" max="6" width="17.25"/>
  </cols>
  <sheetData>
    <row r="1" ht="39.0" customHeight="1">
      <c r="A1" s="21" t="s">
        <v>0</v>
      </c>
      <c r="B1" s="22" t="s">
        <v>23</v>
      </c>
      <c r="C1" s="22" t="s">
        <v>24</v>
      </c>
      <c r="D1" s="22" t="s">
        <v>25</v>
      </c>
      <c r="E1" s="22" t="s">
        <v>26</v>
      </c>
      <c r="F1" s="23" t="s">
        <v>27</v>
      </c>
    </row>
    <row r="2">
      <c r="A2" s="5" t="s">
        <v>28</v>
      </c>
      <c r="B2" s="24">
        <f>4*14*4*10</f>
        <v>2240</v>
      </c>
      <c r="C2" s="24">
        <f>3510</f>
        <v>3510</v>
      </c>
      <c r="D2" s="24">
        <f>8*16*4*10</f>
        <v>5120</v>
      </c>
      <c r="E2" s="24">
        <f t="shared" ref="E2:E7" si="1">(B2+C2*4+D2)/6</f>
        <v>3566.666667</v>
      </c>
      <c r="F2" s="25">
        <f>E2-C2</f>
        <v>56.66666667</v>
      </c>
      <c r="I2" s="26">
        <v>3510.0</v>
      </c>
    </row>
    <row r="3">
      <c r="A3" s="8" t="s">
        <v>7</v>
      </c>
      <c r="B3" s="27">
        <f>28.76*14</f>
        <v>402.64</v>
      </c>
      <c r="C3" s="27">
        <f>34.18*14</f>
        <v>478.52</v>
      </c>
      <c r="D3" s="27">
        <f>38.04*14</f>
        <v>532.56</v>
      </c>
      <c r="E3" s="28">
        <f t="shared" si="1"/>
        <v>474.88</v>
      </c>
      <c r="F3" s="29">
        <f>(E3-C3)*-1</f>
        <v>3.64</v>
      </c>
      <c r="I3" s="30">
        <f>34.18*12</f>
        <v>410.16</v>
      </c>
    </row>
    <row r="4">
      <c r="A4" s="5" t="s">
        <v>10</v>
      </c>
      <c r="B4" s="27">
        <f>(250/52)*14*3</f>
        <v>201.9230769</v>
      </c>
      <c r="C4" s="27">
        <f>(250/52)*14*4</f>
        <v>269.2307692</v>
      </c>
      <c r="D4" s="27">
        <f>(250/52)*14*5</f>
        <v>336.5384615</v>
      </c>
      <c r="E4" s="24">
        <f t="shared" si="1"/>
        <v>269.2307692</v>
      </c>
      <c r="F4" s="25">
        <f t="shared" ref="F4:F7" si="2">E4-C4</f>
        <v>0</v>
      </c>
      <c r="I4" s="30">
        <f>(250/52)*12*4</f>
        <v>230.7692308</v>
      </c>
    </row>
    <row r="5">
      <c r="A5" s="8" t="s">
        <v>29</v>
      </c>
      <c r="B5" s="28">
        <v>140.0</v>
      </c>
      <c r="C5" s="28">
        <v>600.0</v>
      </c>
      <c r="D5" s="28">
        <v>3400.0</v>
      </c>
      <c r="E5" s="28">
        <f t="shared" si="1"/>
        <v>990</v>
      </c>
      <c r="F5" s="29">
        <f t="shared" si="2"/>
        <v>390</v>
      </c>
      <c r="I5" s="26">
        <f>(600/14)*12</f>
        <v>514.2857143</v>
      </c>
    </row>
    <row r="6">
      <c r="A6" s="5" t="s">
        <v>16</v>
      </c>
      <c r="B6" s="24">
        <v>100.0</v>
      </c>
      <c r="C6" s="24">
        <v>120.0</v>
      </c>
      <c r="D6" s="24">
        <v>500.0</v>
      </c>
      <c r="E6" s="24">
        <f t="shared" si="1"/>
        <v>180</v>
      </c>
      <c r="F6" s="25">
        <f t="shared" si="2"/>
        <v>60</v>
      </c>
      <c r="I6" s="26">
        <v>120.0</v>
      </c>
    </row>
    <row r="7">
      <c r="A7" s="8" t="s">
        <v>30</v>
      </c>
      <c r="B7" s="28">
        <v>150.0</v>
      </c>
      <c r="C7" s="28">
        <v>800.0</v>
      </c>
      <c r="D7" s="28">
        <v>1500.0</v>
      </c>
      <c r="E7" s="28">
        <f t="shared" si="1"/>
        <v>808.3333333</v>
      </c>
      <c r="F7" s="29">
        <f t="shared" si="2"/>
        <v>8.333333333</v>
      </c>
      <c r="I7" s="26">
        <v>400.0</v>
      </c>
    </row>
    <row r="8">
      <c r="A8" s="16" t="s">
        <v>22</v>
      </c>
      <c r="B8" s="31">
        <f t="shared" ref="B8:F8" si="3">SUM(B2:B7)</f>
        <v>3234.563077</v>
      </c>
      <c r="C8" s="31">
        <f t="shared" si="3"/>
        <v>5777.750769</v>
      </c>
      <c r="D8" s="31">
        <f t="shared" si="3"/>
        <v>11389.09846</v>
      </c>
      <c r="E8" s="31">
        <f t="shared" si="3"/>
        <v>6289.110769</v>
      </c>
      <c r="F8" s="32">
        <f t="shared" si="3"/>
        <v>518.64</v>
      </c>
      <c r="H8" s="33">
        <f>C8+F8</f>
        <v>6296.390769</v>
      </c>
      <c r="I8" s="26">
        <f>SUM(I2:I7)</f>
        <v>5185.214945</v>
      </c>
    </row>
    <row r="9">
      <c r="C9" s="34"/>
    </row>
    <row r="10">
      <c r="A10" s="35" t="s">
        <v>31</v>
      </c>
      <c r="F10" s="19"/>
    </row>
    <row r="11">
      <c r="F11" s="19"/>
    </row>
    <row r="12">
      <c r="F12" s="19"/>
    </row>
    <row r="13">
      <c r="A13" s="19"/>
      <c r="B13" s="19"/>
      <c r="C13" s="19"/>
      <c r="D13" s="19"/>
      <c r="E13" s="19"/>
      <c r="F13" s="19"/>
    </row>
    <row r="14">
      <c r="A14" s="19"/>
      <c r="B14" s="19"/>
      <c r="C14" s="19"/>
      <c r="D14" s="19"/>
      <c r="E14" s="19"/>
      <c r="F14" s="19"/>
    </row>
    <row r="15">
      <c r="D15" s="33">
        <f>C8+3610-C2</f>
        <v>5877.750769</v>
      </c>
    </row>
  </sheetData>
  <mergeCells count="1">
    <mergeCell ref="A10:E12"/>
  </mergeCells>
  <dataValidations>
    <dataValidation type="custom" allowBlank="1" showDropDown="1" sqref="B2:F8">
      <formula1>AND(ISNUMBER(B2),(NOT(OR(NOT(ISERROR(DATEVALUE(B2))), AND(ISNUMBER(B2), LEFT(CELL("format", B2))="D")))))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4" width="17.25"/>
    <col customWidth="1" min="5" max="5" width="19.63"/>
    <col customWidth="1" min="6" max="6" width="17.25"/>
    <col customWidth="1" min="7" max="7" width="15.25"/>
  </cols>
  <sheetData>
    <row r="1" ht="39.0" customHeight="1">
      <c r="A1" s="21" t="s">
        <v>32</v>
      </c>
      <c r="B1" s="22" t="s">
        <v>28</v>
      </c>
      <c r="C1" s="22" t="s">
        <v>10</v>
      </c>
      <c r="D1" s="22" t="s">
        <v>13</v>
      </c>
      <c r="E1" s="22" t="s">
        <v>16</v>
      </c>
      <c r="F1" s="36" t="s">
        <v>30</v>
      </c>
      <c r="G1" s="36" t="s">
        <v>33</v>
      </c>
      <c r="H1" s="23" t="s">
        <v>22</v>
      </c>
    </row>
    <row r="2">
      <c r="A2" s="37">
        <v>1.0</v>
      </c>
      <c r="B2" s="38">
        <f t="shared" ref="B2:B15" si="1">6*4*10+34.18</f>
        <v>274.18</v>
      </c>
      <c r="C2" s="38">
        <f t="shared" ref="C2:C15" si="2">(250/52)*4</f>
        <v>19.23076923</v>
      </c>
      <c r="D2" s="39">
        <f t="shared" ref="D2:D15" si="3">600/14</f>
        <v>42.85714286</v>
      </c>
      <c r="E2" s="39"/>
      <c r="F2" s="39"/>
      <c r="G2" s="40">
        <f t="shared" ref="G2:G15" si="4">541.973/14</f>
        <v>38.71235714</v>
      </c>
      <c r="H2" s="41">
        <f t="shared" ref="H2:H15" si="5">SUM(B2:G2)</f>
        <v>374.9802692</v>
      </c>
    </row>
    <row r="3">
      <c r="A3" s="42">
        <v>2.0</v>
      </c>
      <c r="B3" s="43">
        <f t="shared" si="1"/>
        <v>274.18</v>
      </c>
      <c r="C3" s="43">
        <f t="shared" si="2"/>
        <v>19.23076923</v>
      </c>
      <c r="D3" s="44">
        <f t="shared" si="3"/>
        <v>42.85714286</v>
      </c>
      <c r="E3" s="44"/>
      <c r="F3" s="44"/>
      <c r="G3" s="45">
        <f t="shared" si="4"/>
        <v>38.71235714</v>
      </c>
      <c r="H3" s="46">
        <f t="shared" si="5"/>
        <v>374.9802692</v>
      </c>
    </row>
    <row r="4">
      <c r="A4" s="37">
        <v>3.0</v>
      </c>
      <c r="B4" s="38">
        <f t="shared" si="1"/>
        <v>274.18</v>
      </c>
      <c r="C4" s="38">
        <f t="shared" si="2"/>
        <v>19.23076923</v>
      </c>
      <c r="D4" s="39">
        <f t="shared" si="3"/>
        <v>42.85714286</v>
      </c>
      <c r="E4" s="39"/>
      <c r="F4" s="39"/>
      <c r="G4" s="40">
        <f t="shared" si="4"/>
        <v>38.71235714</v>
      </c>
      <c r="H4" s="41">
        <f t="shared" si="5"/>
        <v>374.9802692</v>
      </c>
    </row>
    <row r="5">
      <c r="A5" s="42">
        <v>4.0</v>
      </c>
      <c r="B5" s="43">
        <f t="shared" si="1"/>
        <v>274.18</v>
      </c>
      <c r="C5" s="43">
        <f t="shared" si="2"/>
        <v>19.23076923</v>
      </c>
      <c r="D5" s="44">
        <f t="shared" si="3"/>
        <v>42.85714286</v>
      </c>
      <c r="E5" s="44"/>
      <c r="F5" s="44"/>
      <c r="G5" s="45">
        <f t="shared" si="4"/>
        <v>38.71235714</v>
      </c>
      <c r="H5" s="46">
        <f t="shared" si="5"/>
        <v>374.9802692</v>
      </c>
    </row>
    <row r="6">
      <c r="A6" s="37">
        <v>5.0</v>
      </c>
      <c r="B6" s="38">
        <f t="shared" si="1"/>
        <v>274.18</v>
      </c>
      <c r="C6" s="38">
        <f t="shared" si="2"/>
        <v>19.23076923</v>
      </c>
      <c r="D6" s="39">
        <f t="shared" si="3"/>
        <v>42.85714286</v>
      </c>
      <c r="E6" s="39"/>
      <c r="F6" s="39"/>
      <c r="G6" s="40">
        <f t="shared" si="4"/>
        <v>38.71235714</v>
      </c>
      <c r="H6" s="41">
        <f t="shared" si="5"/>
        <v>374.9802692</v>
      </c>
    </row>
    <row r="7">
      <c r="A7" s="42">
        <v>6.0</v>
      </c>
      <c r="B7" s="43">
        <f t="shared" si="1"/>
        <v>274.18</v>
      </c>
      <c r="C7" s="43">
        <f t="shared" si="2"/>
        <v>19.23076923</v>
      </c>
      <c r="D7" s="44">
        <f t="shared" si="3"/>
        <v>42.85714286</v>
      </c>
      <c r="E7" s="44"/>
      <c r="F7" s="44"/>
      <c r="G7" s="45">
        <f t="shared" si="4"/>
        <v>38.71235714</v>
      </c>
      <c r="H7" s="46">
        <f t="shared" si="5"/>
        <v>374.9802692</v>
      </c>
    </row>
    <row r="8">
      <c r="A8" s="37">
        <v>7.0</v>
      </c>
      <c r="B8" s="38">
        <f t="shared" si="1"/>
        <v>274.18</v>
      </c>
      <c r="C8" s="38">
        <f t="shared" si="2"/>
        <v>19.23076923</v>
      </c>
      <c r="D8" s="39">
        <f t="shared" si="3"/>
        <v>42.85714286</v>
      </c>
      <c r="E8" s="39"/>
      <c r="F8" s="39"/>
      <c r="G8" s="40">
        <f t="shared" si="4"/>
        <v>38.71235714</v>
      </c>
      <c r="H8" s="41">
        <f t="shared" si="5"/>
        <v>374.9802692</v>
      </c>
    </row>
    <row r="9">
      <c r="A9" s="42">
        <v>8.0</v>
      </c>
      <c r="B9" s="43">
        <f t="shared" si="1"/>
        <v>274.18</v>
      </c>
      <c r="C9" s="43">
        <f t="shared" si="2"/>
        <v>19.23076923</v>
      </c>
      <c r="D9" s="44">
        <f t="shared" si="3"/>
        <v>42.85714286</v>
      </c>
      <c r="E9" s="44"/>
      <c r="F9" s="47"/>
      <c r="G9" s="45">
        <f t="shared" si="4"/>
        <v>38.71235714</v>
      </c>
      <c r="H9" s="46">
        <f t="shared" si="5"/>
        <v>374.9802692</v>
      </c>
    </row>
    <row r="10">
      <c r="A10" s="37">
        <v>9.0</v>
      </c>
      <c r="B10" s="38">
        <f t="shared" si="1"/>
        <v>274.18</v>
      </c>
      <c r="C10" s="38">
        <f t="shared" si="2"/>
        <v>19.23076923</v>
      </c>
      <c r="D10" s="39">
        <f t="shared" si="3"/>
        <v>42.85714286</v>
      </c>
      <c r="E10" s="39"/>
      <c r="F10" s="48"/>
      <c r="G10" s="40">
        <f t="shared" si="4"/>
        <v>38.71235714</v>
      </c>
      <c r="H10" s="41">
        <f t="shared" si="5"/>
        <v>374.9802692</v>
      </c>
    </row>
    <row r="11">
      <c r="A11" s="42">
        <v>10.0</v>
      </c>
      <c r="B11" s="43">
        <f t="shared" si="1"/>
        <v>274.18</v>
      </c>
      <c r="C11" s="43">
        <f t="shared" si="2"/>
        <v>19.23076923</v>
      </c>
      <c r="D11" s="44">
        <f t="shared" si="3"/>
        <v>42.85714286</v>
      </c>
      <c r="E11" s="44">
        <v>500.0</v>
      </c>
      <c r="F11" s="47"/>
      <c r="G11" s="45">
        <f t="shared" si="4"/>
        <v>38.71235714</v>
      </c>
      <c r="H11" s="46">
        <f t="shared" si="5"/>
        <v>874.9802692</v>
      </c>
    </row>
    <row r="12">
      <c r="A12" s="37">
        <v>11.0</v>
      </c>
      <c r="B12" s="38">
        <f t="shared" si="1"/>
        <v>274.18</v>
      </c>
      <c r="C12" s="38">
        <f t="shared" si="2"/>
        <v>19.23076923</v>
      </c>
      <c r="D12" s="39">
        <f t="shared" si="3"/>
        <v>42.85714286</v>
      </c>
      <c r="E12" s="48"/>
      <c r="F12" s="39"/>
      <c r="G12" s="40">
        <f t="shared" si="4"/>
        <v>38.71235714</v>
      </c>
      <c r="H12" s="41">
        <f t="shared" si="5"/>
        <v>374.9802692</v>
      </c>
    </row>
    <row r="13">
      <c r="A13" s="42">
        <v>12.0</v>
      </c>
      <c r="B13" s="43">
        <f t="shared" si="1"/>
        <v>274.18</v>
      </c>
      <c r="C13" s="43">
        <f t="shared" si="2"/>
        <v>19.23076923</v>
      </c>
      <c r="D13" s="44">
        <f t="shared" si="3"/>
        <v>42.85714286</v>
      </c>
      <c r="E13" s="47"/>
      <c r="F13" s="47"/>
      <c r="G13" s="45">
        <f t="shared" si="4"/>
        <v>38.71235714</v>
      </c>
      <c r="H13" s="46">
        <f t="shared" si="5"/>
        <v>374.9802692</v>
      </c>
    </row>
    <row r="14">
      <c r="A14" s="37">
        <v>13.0</v>
      </c>
      <c r="B14" s="38">
        <f t="shared" si="1"/>
        <v>274.18</v>
      </c>
      <c r="C14" s="38">
        <f t="shared" si="2"/>
        <v>19.23076923</v>
      </c>
      <c r="D14" s="39">
        <f t="shared" si="3"/>
        <v>42.85714286</v>
      </c>
      <c r="E14" s="48"/>
      <c r="F14" s="39"/>
      <c r="G14" s="40">
        <f t="shared" si="4"/>
        <v>38.71235714</v>
      </c>
      <c r="H14" s="41">
        <f t="shared" si="5"/>
        <v>374.9802692</v>
      </c>
    </row>
    <row r="15">
      <c r="A15" s="42">
        <v>14.0</v>
      </c>
      <c r="B15" s="43">
        <f t="shared" si="1"/>
        <v>274.18</v>
      </c>
      <c r="C15" s="43">
        <f t="shared" si="2"/>
        <v>19.23076923</v>
      </c>
      <c r="D15" s="44">
        <f t="shared" si="3"/>
        <v>42.85714286</v>
      </c>
      <c r="E15" s="47"/>
      <c r="F15" s="44">
        <v>800.0</v>
      </c>
      <c r="G15" s="45">
        <f t="shared" si="4"/>
        <v>38.71235714</v>
      </c>
      <c r="H15" s="46">
        <f t="shared" si="5"/>
        <v>1174.980269</v>
      </c>
    </row>
    <row r="16">
      <c r="A16" s="49" t="s">
        <v>22</v>
      </c>
      <c r="B16" s="50">
        <f t="shared" ref="B16:H16" si="6">SUM(B2:B15)</f>
        <v>3838.52</v>
      </c>
      <c r="C16" s="51">
        <f t="shared" si="6"/>
        <v>269.2307692</v>
      </c>
      <c r="D16" s="52">
        <f t="shared" si="6"/>
        <v>600</v>
      </c>
      <c r="E16" s="52">
        <f t="shared" si="6"/>
        <v>500</v>
      </c>
      <c r="F16" s="52">
        <f t="shared" si="6"/>
        <v>800</v>
      </c>
      <c r="G16" s="52">
        <f t="shared" si="6"/>
        <v>541.973</v>
      </c>
      <c r="H16" s="53">
        <f t="shared" si="6"/>
        <v>6549.723769</v>
      </c>
    </row>
    <row r="17">
      <c r="C17" s="34"/>
    </row>
    <row r="18">
      <c r="A18" s="35"/>
      <c r="F18" s="19"/>
    </row>
    <row r="19">
      <c r="F19" s="19"/>
    </row>
    <row r="20">
      <c r="F20" s="19"/>
    </row>
    <row r="21">
      <c r="A21" s="19"/>
      <c r="B21" s="19"/>
      <c r="C21" s="19"/>
      <c r="D21" s="19"/>
      <c r="E21" s="19"/>
      <c r="F21" s="19"/>
    </row>
    <row r="22">
      <c r="A22" s="19"/>
      <c r="B22" s="19"/>
      <c r="C22" s="19"/>
      <c r="D22" s="19"/>
      <c r="E22" s="19"/>
      <c r="F22" s="19"/>
    </row>
  </sheetData>
  <mergeCells count="1">
    <mergeCell ref="A18:E20"/>
  </mergeCells>
  <dataValidations>
    <dataValidation type="custom" allowBlank="1" showDropDown="1" sqref="B2:F16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