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henikaa\nam 2021-2022\dethi\XSTK-3TC\"/>
    </mc:Choice>
  </mc:AlternateContent>
  <xr:revisionPtr revIDLastSave="0" documentId="13_ncr:1_{19349FFB-9C34-4269-9249-AFDADA912759}" xr6:coauthVersionLast="47" xr6:coauthVersionMax="47" xr10:uidLastSave="{00000000-0000-0000-0000-000000000000}"/>
  <bookViews>
    <workbookView xWindow="28680" yWindow="-120" windowWidth="29040" windowHeight="15840" xr2:uid="{AF0A3E61-6361-4369-9B40-C5DFE7B25B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5" i="1" l="1"/>
  <c r="B12" i="1"/>
  <c r="B13" i="1" s="1"/>
  <c r="E89" i="1"/>
  <c r="E88" i="1"/>
  <c r="H73" i="1"/>
  <c r="H74" i="1"/>
  <c r="H75" i="1"/>
  <c r="H72" i="1"/>
  <c r="G73" i="1"/>
  <c r="G74" i="1"/>
  <c r="G75" i="1"/>
  <c r="G72" i="1"/>
  <c r="F73" i="1"/>
  <c r="F74" i="1"/>
  <c r="F75" i="1"/>
  <c r="F72" i="1"/>
  <c r="E76" i="1"/>
  <c r="E77" i="1" s="1"/>
  <c r="E78" i="1" s="1"/>
  <c r="B74" i="1" s="1"/>
  <c r="D76" i="1"/>
  <c r="D77" i="1" s="1"/>
  <c r="D78" i="1" s="1"/>
  <c r="B73" i="1" s="1"/>
  <c r="B64" i="1"/>
  <c r="B62" i="1"/>
  <c r="E59" i="1"/>
  <c r="E58" i="1"/>
  <c r="J32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31" i="1"/>
  <c r="B39" i="1"/>
  <c r="B40" i="1" s="1"/>
  <c r="B42" i="1" s="1"/>
  <c r="E36" i="1"/>
  <c r="F32" i="1"/>
  <c r="F35" i="1"/>
  <c r="F31" i="1"/>
  <c r="D34" i="1"/>
  <c r="F34" i="1" s="1"/>
  <c r="D33" i="1"/>
  <c r="I11" i="1"/>
  <c r="I12" i="1"/>
  <c r="I13" i="1"/>
  <c r="I14" i="1"/>
  <c r="I15" i="1"/>
  <c r="I16" i="1"/>
  <c r="I17" i="1"/>
  <c r="I18" i="1"/>
  <c r="I19" i="1"/>
  <c r="I10" i="1"/>
  <c r="B18" i="1"/>
  <c r="B19" i="1" s="1"/>
  <c r="B20" i="1" s="1"/>
  <c r="B21" i="1" s="1"/>
  <c r="B22" i="1" s="1"/>
  <c r="F11" i="1"/>
  <c r="F12" i="1"/>
  <c r="F13" i="1"/>
  <c r="F14" i="1"/>
  <c r="F15" i="1"/>
  <c r="F16" i="1"/>
  <c r="F17" i="1"/>
  <c r="F18" i="1"/>
  <c r="F19" i="1"/>
  <c r="F10" i="1"/>
  <c r="E61" i="1" l="1"/>
  <c r="E93" i="1"/>
  <c r="E94" i="1" s="1"/>
  <c r="B95" i="1" s="1"/>
  <c r="G76" i="1"/>
  <c r="G77" i="1" s="1"/>
  <c r="G78" i="1" s="1"/>
  <c r="B76" i="1" s="1"/>
  <c r="F76" i="1"/>
  <c r="F77" i="1" s="1"/>
  <c r="F78" i="1" s="1"/>
  <c r="B75" i="1" s="1"/>
  <c r="H76" i="1"/>
  <c r="H77" i="1" s="1"/>
  <c r="H78" i="1" s="1"/>
  <c r="B77" i="1" s="1"/>
  <c r="D36" i="1"/>
  <c r="B41" i="1" s="1"/>
  <c r="B43" i="1" s="1"/>
  <c r="B14" i="1"/>
  <c r="F33" i="1"/>
  <c r="F36" i="1" s="1"/>
  <c r="B23" i="1"/>
  <c r="B80" i="1" l="1"/>
  <c r="B81" i="1" s="1"/>
  <c r="B83" i="1" s="1"/>
  <c r="B66" i="1"/>
  <c r="B67" i="1" s="1"/>
  <c r="B68" i="1" s="1"/>
  <c r="E37" i="1"/>
  <c r="G34" i="1" l="1"/>
  <c r="G33" i="1"/>
  <c r="G32" i="1"/>
  <c r="G31" i="1"/>
  <c r="G35" i="1"/>
  <c r="G36" i="1" l="1"/>
  <c r="E38" i="1" l="1"/>
  <c r="G38" i="1" s="1"/>
  <c r="B44" i="1" l="1"/>
  <c r="B46" i="1" s="1"/>
  <c r="B45" i="1" l="1"/>
</calcChain>
</file>

<file path=xl/sharedStrings.xml><?xml version="1.0" encoding="utf-8"?>
<sst xmlns="http://schemas.openxmlformats.org/spreadsheetml/2006/main" count="128" uniqueCount="99">
  <si>
    <t>ĐÁP ÁN MÔN XÁC SUẤT THỐNG KÊ</t>
  </si>
  <si>
    <t>ĐỀ SỐ 2</t>
  </si>
  <si>
    <t>a=</t>
  </si>
  <si>
    <t>b=</t>
  </si>
  <si>
    <t>Câu 1 (3 điểm)</t>
  </si>
  <si>
    <t xml:space="preserve">(a) </t>
  </si>
  <si>
    <t>mu=</t>
  </si>
  <si>
    <t>sigma =</t>
  </si>
  <si>
    <t>Phi</t>
  </si>
  <si>
    <t>Chỉ số</t>
  </si>
  <si>
    <t>i</t>
  </si>
  <si>
    <t>Vậy m=</t>
  </si>
  <si>
    <t>Bảng tham chiếu
 giá trị Phi (A7)</t>
  </si>
  <si>
    <t>(b)</t>
  </si>
  <si>
    <t>P(-k-b &lt; X - mu &lt; k+b) =
Phi((k+b)/sigma) - Phi((-k-b)/sigma)
= 2*Phi((k+b)/sigma)-1</t>
  </si>
  <si>
    <t>(50+2a)%=</t>
  </si>
  <si>
    <t>2*Phi((k+b)/sigma)=</t>
  </si>
  <si>
    <t>Phi((k+b)/sigma) =</t>
  </si>
  <si>
    <t>Bảng tham chiếu
 giá trị z (A8)</t>
  </si>
  <si>
    <t>Phi_b</t>
  </si>
  <si>
    <t>z</t>
  </si>
  <si>
    <t>(k+b)/sigma= z=</t>
  </si>
  <si>
    <t>k = z*sigma -b</t>
  </si>
  <si>
    <t>Đáp số k=</t>
  </si>
  <si>
    <t>Câu 2 (2 điểm)</t>
  </si>
  <si>
    <t>Bảng giá trị</t>
  </si>
  <si>
    <t>Y_i</t>
  </si>
  <si>
    <t>n_i</t>
  </si>
  <si>
    <t>SUM=</t>
  </si>
  <si>
    <t>Y_i*n_i</t>
  </si>
  <si>
    <t>Y_TB=</t>
  </si>
  <si>
    <t>S^2=</t>
  </si>
  <si>
    <t>S=</t>
  </si>
  <si>
    <t>Độ tin cậy gamma=</t>
  </si>
  <si>
    <t>alpha/2=</t>
  </si>
  <si>
    <t xml:space="preserve">Bậc tự do = (n-1) = </t>
  </si>
  <si>
    <t>Giá trị tới hạn t_{alpha/2} =</t>
  </si>
  <si>
    <t>GTTH</t>
  </si>
  <si>
    <t>Bậc TD
n-1 = 22+ a +b</t>
  </si>
  <si>
    <t>F(t_{alpha/2})=</t>
  </si>
  <si>
    <t>k = t*s/sqrt(n) =</t>
  </si>
  <si>
    <t>KTC = (TB-k,TB+k)=</t>
  </si>
  <si>
    <t>(y_i-TB)^2*n_i</t>
  </si>
  <si>
    <t>Bảng tham chiếu
 giá trị tới hạn (A9) F(t) = 0.975</t>
  </si>
  <si>
    <t>Có
 thể thay đổi (do cách lấy xấp xỉ)</t>
  </si>
  <si>
    <t>ĐIỂM</t>
  </si>
  <si>
    <t>Câu 3 (2 điểm)</t>
  </si>
  <si>
    <t>TB-k=</t>
  </si>
  <si>
    <t>TB+k=</t>
  </si>
  <si>
    <t>Bài toán kiểm định</t>
  </si>
  <si>
    <t>H_0: mu = mu_0</t>
  </si>
  <si>
    <t>H_1: mu &lt; mu_0</t>
  </si>
  <si>
    <t xml:space="preserve">Độ lệch chuẩn sigma = </t>
  </si>
  <si>
    <t>mu_0 =</t>
  </si>
  <si>
    <t>X_i</t>
  </si>
  <si>
    <t>TB =</t>
  </si>
  <si>
    <t>TCKĐ: 
T = (X_tb - mu_0)/(sigma/sqrt(n))</t>
  </si>
  <si>
    <t>Mức ý nghĩa alpha=</t>
  </si>
  <si>
    <t>Phi(U_alpha)=</t>
  </si>
  <si>
    <t>Giá trị tới hạn U_alpha =</t>
  </si>
  <si>
    <t>Miền bác bỏ
W_alpha = {T: T &lt; - U_alpha}</t>
  </si>
  <si>
    <t>Giá trị quan sát T_qs =</t>
  </si>
  <si>
    <t>Kết luận</t>
  </si>
  <si>
    <t>(+)   - U_alpha =</t>
  </si>
  <si>
    <t>T_qs thuộc W_alpha hay không ?</t>
  </si>
  <si>
    <t>Câu 4 (2 điểm)</t>
  </si>
  <si>
    <t>n=</t>
  </si>
  <si>
    <t>X_i^2</t>
  </si>
  <si>
    <t>Y_i^2</t>
  </si>
  <si>
    <t>X_iY_i</t>
  </si>
  <si>
    <t>y_tb=</t>
  </si>
  <si>
    <t>x_tb =</t>
  </si>
  <si>
    <t>TB=</t>
  </si>
  <si>
    <t>s_y^2 =</t>
  </si>
  <si>
    <t xml:space="preserve">s_x^2 = </t>
  </si>
  <si>
    <t>s_xy =</t>
  </si>
  <si>
    <t>(a)</t>
  </si>
  <si>
    <t>Hệ số xác định k_1 = s_{xy}/s_x^2=</t>
  </si>
  <si>
    <t>Hệ số tự do k_0 = y_tb - k_1*x_tb=</t>
  </si>
  <si>
    <t>SUM</t>
  </si>
  <si>
    <t>Trung bình</t>
  </si>
  <si>
    <t>*  Phương trình đường 
hồi quy tuyến tính mẫu 
y = k_0 + k_1*x</t>
  </si>
  <si>
    <t>* Giá trị gần đúng tại x=3 là
y(3) =</t>
  </si>
  <si>
    <t>Câu 5 (1 điểm)</t>
  </si>
  <si>
    <t>UL hợp lý cực đại của theta =</t>
  </si>
  <si>
    <t>Logarithm:
ln(L(theta)) =
 n*ln 2 + n*ln(theta) - 2n*theta*(x_tb-1)</t>
  </si>
  <si>
    <t>Đạo hàm
[ln(L(theta)]' = n/theta - 2n*(x_tb-1)</t>
  </si>
  <si>
    <t>Phương pháp hợp lý cực đại: 
[ln(L(theta)]' = 0  
&lt;=&gt;  theta = 1/[2*(x_tb-1)]</t>
  </si>
  <si>
    <t>0,5 điểm</t>
  </si>
  <si>
    <t>0,25 điểm</t>
  </si>
  <si>
    <t>Các tham số a, b</t>
  </si>
  <si>
    <t>Trưởng Bộ Môn</t>
  </si>
  <si>
    <t>TS. Phan Quang Sáng</t>
  </si>
  <si>
    <t>Người ra đề</t>
  </si>
  <si>
    <t>TS. Vũ Hữu Nhự</t>
  </si>
  <si>
    <t>P(X &lt; mu+sigma^2*(a+1)) = Phi((a+1)*sigma)=</t>
  </si>
  <si>
    <t>(a+1)+sigma</t>
  </si>
  <si>
    <t xml:space="preserve">(X-mu)/sigma = (a+1)*sigma= </t>
  </si>
  <si>
    <t>Hàm mật độ xác suất đồng thời
L(theta) = f(x_1,theta)…f(x_n,theta)
= (2theta)^n*exp[-2theta*n*(x_tb - 1)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</si>
</sst>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color rgb="FFFF0000"/>
      <name val="Times New Roman"/>
      <family val="1"/>
    </font>
    <font>
      <b/>
      <sz val="14"/>
      <color theme="1"/>
      <name val="Times New Roman"/>
      <family val="1"/>
    </font>
    <font>
      <sz val="14"/>
      <name val="Times New Roman"/>
      <family val="1"/>
    </font>
    <font>
      <b/>
      <sz val="14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0" borderId="0" xfId="0" applyFont="1" applyAlignment="1">
      <alignment wrapText="1"/>
    </xf>
    <xf numFmtId="0" fontId="3" fillId="0" borderId="0" xfId="0" applyFont="1"/>
    <xf numFmtId="0" fontId="1" fillId="0" borderId="1" xfId="0" applyFont="1" applyBorder="1"/>
    <xf numFmtId="0" fontId="4" fillId="0" borderId="0" xfId="0" applyFont="1"/>
    <xf numFmtId="0" fontId="4" fillId="2" borderId="0" xfId="0" applyFont="1" applyFill="1"/>
    <xf numFmtId="0" fontId="1" fillId="3" borderId="0" xfId="0" applyFont="1" applyFill="1"/>
    <xf numFmtId="0" fontId="2" fillId="3" borderId="0" xfId="0" applyFont="1" applyFill="1"/>
    <xf numFmtId="0" fontId="1" fillId="0" borderId="5" xfId="0" applyFont="1" applyBorder="1"/>
    <xf numFmtId="0" fontId="2" fillId="2" borderId="0" xfId="0" applyFont="1" applyFill="1"/>
    <xf numFmtId="0" fontId="1" fillId="0" borderId="1" xfId="0" applyFont="1" applyBorder="1" applyAlignment="1">
      <alignment wrapText="1"/>
    </xf>
    <xf numFmtId="0" fontId="1" fillId="2" borderId="1" xfId="0" applyFont="1" applyFill="1" applyBorder="1"/>
    <xf numFmtId="0" fontId="3" fillId="0" borderId="0" xfId="0" applyFont="1" applyAlignment="1">
      <alignment horizontal="center"/>
    </xf>
    <xf numFmtId="0" fontId="4" fillId="0" borderId="1" xfId="0" applyFont="1" applyBorder="1"/>
    <xf numFmtId="0" fontId="1" fillId="2" borderId="0" xfId="0" applyFont="1" applyFill="1" applyAlignment="1">
      <alignment wrapText="1"/>
    </xf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2" fillId="3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1" fillId="3" borderId="0" xfId="0" applyFont="1" applyFill="1" applyAlignment="1">
      <alignment horizontal="right"/>
    </xf>
    <xf numFmtId="0" fontId="5" fillId="0" borderId="0" xfId="0" applyFont="1" applyAlignment="1">
      <alignment horizontal="right"/>
    </xf>
    <xf numFmtId="0" fontId="3" fillId="0" borderId="1" xfId="0" applyFont="1" applyBorder="1"/>
    <xf numFmtId="0" fontId="4" fillId="3" borderId="0" xfId="0" applyFont="1" applyFill="1"/>
    <xf numFmtId="0" fontId="4" fillId="3" borderId="0" xfId="0" applyFont="1" applyFill="1" applyAlignment="1">
      <alignment horizontal="right"/>
    </xf>
    <xf numFmtId="0" fontId="3" fillId="0" borderId="0" xfId="0" applyFont="1" applyAlignment="1"/>
    <xf numFmtId="0" fontId="3" fillId="0" borderId="2" xfId="0" applyFont="1" applyBorder="1" applyAlignment="1">
      <alignment vertic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25CA0-427E-45B7-9DE5-374265EE8FEA}">
  <dimension ref="A1:K103"/>
  <sheetViews>
    <sheetView tabSelected="1" topLeftCell="A43" workbookViewId="0">
      <selection activeCell="B7" sqref="B7"/>
    </sheetView>
  </sheetViews>
  <sheetFormatPr defaultRowHeight="18.75" x14ac:dyDescent="0.3"/>
  <cols>
    <col min="1" max="1" width="51.7109375" style="1" customWidth="1"/>
    <col min="2" max="2" width="12.42578125" style="1" customWidth="1"/>
    <col min="3" max="3" width="20.7109375" style="18" customWidth="1"/>
    <col min="4" max="4" width="11" style="1" customWidth="1"/>
    <col min="5" max="5" width="9.140625" style="1"/>
    <col min="6" max="6" width="14.85546875" style="1" customWidth="1"/>
    <col min="7" max="7" width="17.42578125" style="1" customWidth="1"/>
    <col min="8" max="8" width="10.28515625" style="1" customWidth="1"/>
    <col min="9" max="9" width="12.7109375" style="1" customWidth="1"/>
    <col min="10" max="16384" width="9.140625" style="1"/>
  </cols>
  <sheetData>
    <row r="1" spans="1:11" x14ac:dyDescent="0.3">
      <c r="A1" s="34" t="s">
        <v>0</v>
      </c>
      <c r="B1" s="34"/>
      <c r="C1" s="34"/>
      <c r="D1" s="30"/>
      <c r="E1" s="30"/>
      <c r="F1" s="30"/>
      <c r="G1" s="30"/>
      <c r="H1" s="30"/>
      <c r="I1" s="30"/>
      <c r="J1" s="30"/>
      <c r="K1" s="30"/>
    </row>
    <row r="2" spans="1:11" x14ac:dyDescent="0.3">
      <c r="A2" s="34" t="s">
        <v>1</v>
      </c>
      <c r="B2" s="34"/>
      <c r="C2" s="34"/>
      <c r="D2" s="30"/>
      <c r="E2" s="30"/>
      <c r="F2" s="30"/>
      <c r="G2" s="30"/>
      <c r="H2" s="30"/>
      <c r="I2" s="30"/>
      <c r="J2" s="30"/>
      <c r="K2" s="30"/>
    </row>
    <row r="4" spans="1:11" x14ac:dyDescent="0.3">
      <c r="A4" s="5" t="s">
        <v>90</v>
      </c>
    </row>
    <row r="5" spans="1:11" x14ac:dyDescent="0.3">
      <c r="A5" s="2" t="s">
        <v>2</v>
      </c>
      <c r="B5" s="3">
        <v>4</v>
      </c>
      <c r="C5" s="25"/>
    </row>
    <row r="6" spans="1:11" x14ac:dyDescent="0.3">
      <c r="A6" s="2" t="s">
        <v>3</v>
      </c>
      <c r="B6" s="3">
        <v>3</v>
      </c>
      <c r="C6" s="25"/>
    </row>
    <row r="7" spans="1:11" x14ac:dyDescent="0.3">
      <c r="K7" s="5"/>
    </row>
    <row r="8" spans="1:11" ht="51.75" customHeight="1" x14ac:dyDescent="0.3">
      <c r="A8" s="5" t="s">
        <v>4</v>
      </c>
      <c r="C8" s="26" t="s">
        <v>45</v>
      </c>
      <c r="E8" s="27" t="s">
        <v>9</v>
      </c>
      <c r="F8" s="32" t="s">
        <v>12</v>
      </c>
      <c r="G8" s="32"/>
      <c r="H8" s="36"/>
      <c r="I8" s="32" t="s">
        <v>18</v>
      </c>
      <c r="J8" s="32"/>
    </row>
    <row r="9" spans="1:11" x14ac:dyDescent="0.3">
      <c r="A9" s="1" t="s">
        <v>6</v>
      </c>
      <c r="B9" s="1">
        <v>7.5</v>
      </c>
      <c r="E9" s="6" t="s">
        <v>10</v>
      </c>
      <c r="F9" s="11" t="s">
        <v>96</v>
      </c>
      <c r="G9" s="6" t="s">
        <v>8</v>
      </c>
      <c r="H9" s="37"/>
      <c r="I9" s="6" t="s">
        <v>19</v>
      </c>
      <c r="J9" s="6" t="s">
        <v>20</v>
      </c>
    </row>
    <row r="10" spans="1:11" x14ac:dyDescent="0.3">
      <c r="A10" s="1" t="s">
        <v>7</v>
      </c>
      <c r="B10" s="1">
        <v>0.3</v>
      </c>
      <c r="E10" s="6">
        <v>0</v>
      </c>
      <c r="F10" s="6">
        <f>$B$10*E10</f>
        <v>0</v>
      </c>
      <c r="G10" s="6">
        <v>0.5</v>
      </c>
      <c r="H10" s="38"/>
      <c r="I10" s="6">
        <f>0.75 + E10*0.01</f>
        <v>0.75</v>
      </c>
      <c r="J10" s="6">
        <v>0.67400000000000004</v>
      </c>
    </row>
    <row r="11" spans="1:11" x14ac:dyDescent="0.3">
      <c r="A11" s="2" t="s">
        <v>5</v>
      </c>
      <c r="E11" s="6">
        <v>1</v>
      </c>
      <c r="F11" s="6">
        <f t="shared" ref="F11:F19" si="0">$B$10*E11</f>
        <v>0.3</v>
      </c>
      <c r="G11" s="6">
        <v>0.6179</v>
      </c>
      <c r="H11" s="38"/>
      <c r="I11" s="6">
        <f t="shared" ref="I11:I19" si="1">0.75 + E11*0.01</f>
        <v>0.76</v>
      </c>
      <c r="J11" s="6">
        <v>0.70599999999999996</v>
      </c>
    </row>
    <row r="12" spans="1:11" x14ac:dyDescent="0.3">
      <c r="A12" s="4" t="s">
        <v>97</v>
      </c>
      <c r="B12" s="1">
        <f>(B5+1)*B10</f>
        <v>1.5</v>
      </c>
      <c r="C12" s="20" t="s">
        <v>88</v>
      </c>
      <c r="E12" s="6">
        <v>2</v>
      </c>
      <c r="F12" s="6">
        <f t="shared" si="0"/>
        <v>0.6</v>
      </c>
      <c r="G12" s="6">
        <v>0.72570000000000001</v>
      </c>
      <c r="H12" s="38"/>
      <c r="I12" s="6">
        <f t="shared" si="1"/>
        <v>0.77</v>
      </c>
      <c r="J12" s="6">
        <v>0.73899999999999999</v>
      </c>
    </row>
    <row r="13" spans="1:11" ht="37.5" x14ac:dyDescent="0.3">
      <c r="A13" s="4" t="s">
        <v>95</v>
      </c>
      <c r="B13" s="2">
        <f>VLOOKUP(B12,F10:G20,2)</f>
        <v>0.93320000000000003</v>
      </c>
      <c r="C13" s="20" t="s">
        <v>88</v>
      </c>
      <c r="E13" s="6">
        <v>3</v>
      </c>
      <c r="F13" s="6">
        <f t="shared" si="0"/>
        <v>0.89999999999999991</v>
      </c>
      <c r="G13" s="6">
        <v>0.81589999999999996</v>
      </c>
      <c r="H13" s="38"/>
      <c r="I13" s="6">
        <f t="shared" si="1"/>
        <v>0.78</v>
      </c>
      <c r="J13" s="6">
        <v>0.77200000000000002</v>
      </c>
    </row>
    <row r="14" spans="1:11" x14ac:dyDescent="0.3">
      <c r="A14" s="3" t="s">
        <v>11</v>
      </c>
      <c r="B14" s="3">
        <f>B13</f>
        <v>0.93320000000000003</v>
      </c>
      <c r="C14" s="20" t="s">
        <v>88</v>
      </c>
      <c r="E14" s="6">
        <v>4</v>
      </c>
      <c r="F14" s="6">
        <f t="shared" si="0"/>
        <v>1.2</v>
      </c>
      <c r="G14" s="6">
        <v>0.88490000000000002</v>
      </c>
      <c r="H14" s="38"/>
      <c r="I14" s="6">
        <f t="shared" si="1"/>
        <v>0.79</v>
      </c>
      <c r="J14" s="6">
        <v>0.80600000000000005</v>
      </c>
    </row>
    <row r="15" spans="1:11" x14ac:dyDescent="0.3">
      <c r="E15" s="6">
        <v>5</v>
      </c>
      <c r="F15" s="6">
        <f t="shared" si="0"/>
        <v>1.5</v>
      </c>
      <c r="G15" s="6">
        <v>0.93320000000000003</v>
      </c>
      <c r="H15" s="38"/>
      <c r="I15" s="6">
        <f t="shared" si="1"/>
        <v>0.8</v>
      </c>
      <c r="J15" s="6">
        <v>0.84199999999999997</v>
      </c>
    </row>
    <row r="16" spans="1:11" x14ac:dyDescent="0.3">
      <c r="A16" s="2" t="s">
        <v>13</v>
      </c>
      <c r="E16" s="6">
        <v>6</v>
      </c>
      <c r="F16" s="6">
        <f t="shared" si="0"/>
        <v>1.7999999999999998</v>
      </c>
      <c r="G16" s="6">
        <v>0.96409999999999996</v>
      </c>
      <c r="H16" s="38"/>
      <c r="I16" s="6">
        <f t="shared" si="1"/>
        <v>0.81</v>
      </c>
      <c r="J16" s="6">
        <v>0.878</v>
      </c>
    </row>
    <row r="17" spans="1:10" ht="56.25" x14ac:dyDescent="0.3">
      <c r="A17" s="4" t="s">
        <v>14</v>
      </c>
      <c r="C17" s="20" t="s">
        <v>88</v>
      </c>
      <c r="E17" s="6">
        <v>7</v>
      </c>
      <c r="F17" s="6">
        <f t="shared" si="0"/>
        <v>2.1</v>
      </c>
      <c r="G17" s="6">
        <v>0.98209999999999997</v>
      </c>
      <c r="H17" s="38"/>
      <c r="I17" s="6">
        <f t="shared" si="1"/>
        <v>0.82000000000000006</v>
      </c>
      <c r="J17" s="6">
        <v>0.91500000000000004</v>
      </c>
    </row>
    <row r="18" spans="1:10" x14ac:dyDescent="0.3">
      <c r="A18" s="1" t="s">
        <v>15</v>
      </c>
      <c r="B18" s="1">
        <f>(50+2*B5)/100</f>
        <v>0.57999999999999996</v>
      </c>
      <c r="E18" s="6">
        <v>8</v>
      </c>
      <c r="F18" s="6">
        <f t="shared" si="0"/>
        <v>2.4</v>
      </c>
      <c r="G18" s="6">
        <v>0.99180000000000001</v>
      </c>
      <c r="H18" s="38"/>
      <c r="I18" s="6">
        <f t="shared" si="1"/>
        <v>0.83</v>
      </c>
      <c r="J18" s="6">
        <v>0.95399999999999996</v>
      </c>
    </row>
    <row r="19" spans="1:10" x14ac:dyDescent="0.3">
      <c r="A19" s="1" t="s">
        <v>16</v>
      </c>
      <c r="B19" s="1">
        <f>1+B18</f>
        <v>1.58</v>
      </c>
      <c r="E19" s="6">
        <v>9</v>
      </c>
      <c r="F19" s="6">
        <f t="shared" si="0"/>
        <v>2.6999999999999997</v>
      </c>
      <c r="G19" s="6">
        <v>0.99650000000000005</v>
      </c>
      <c r="H19" s="39"/>
      <c r="I19" s="6">
        <f t="shared" si="1"/>
        <v>0.84</v>
      </c>
      <c r="J19" s="6">
        <v>0.99399999999999999</v>
      </c>
    </row>
    <row r="20" spans="1:10" x14ac:dyDescent="0.3">
      <c r="A20" s="1" t="s">
        <v>17</v>
      </c>
      <c r="B20" s="1">
        <f>B19/2</f>
        <v>0.79</v>
      </c>
      <c r="C20" s="20" t="s">
        <v>88</v>
      </c>
      <c r="E20" s="6">
        <v>10</v>
      </c>
      <c r="F20" s="6">
        <v>3</v>
      </c>
      <c r="G20" s="6">
        <v>0.99870000000000003</v>
      </c>
    </row>
    <row r="21" spans="1:10" x14ac:dyDescent="0.3">
      <c r="A21" s="1" t="s">
        <v>21</v>
      </c>
      <c r="B21" s="3">
        <f>VLOOKUP(B20,I10:J19,2)</f>
        <v>0.80600000000000005</v>
      </c>
      <c r="C21" s="19"/>
      <c r="E21" s="6">
        <v>11</v>
      </c>
    </row>
    <row r="22" spans="1:10" x14ac:dyDescent="0.3">
      <c r="A22" s="1" t="s">
        <v>22</v>
      </c>
      <c r="B22" s="2">
        <f>ROUND(B21*B10-B6,3)</f>
        <v>-2.758</v>
      </c>
      <c r="C22" s="21"/>
      <c r="E22" s="6">
        <v>12</v>
      </c>
    </row>
    <row r="23" spans="1:10" x14ac:dyDescent="0.3">
      <c r="A23" s="8" t="s">
        <v>23</v>
      </c>
      <c r="B23" s="8">
        <f>B22</f>
        <v>-2.758</v>
      </c>
      <c r="C23" s="20" t="s">
        <v>88</v>
      </c>
      <c r="E23" s="6">
        <v>13</v>
      </c>
    </row>
    <row r="24" spans="1:10" x14ac:dyDescent="0.3">
      <c r="A24" s="28"/>
      <c r="B24" s="28"/>
      <c r="C24" s="29"/>
      <c r="E24" s="6">
        <v>14</v>
      </c>
    </row>
    <row r="25" spans="1:10" x14ac:dyDescent="0.3">
      <c r="A25" s="28"/>
      <c r="B25" s="28"/>
      <c r="C25" s="29"/>
      <c r="E25" s="6">
        <v>15</v>
      </c>
    </row>
    <row r="26" spans="1:10" x14ac:dyDescent="0.3">
      <c r="A26" s="28"/>
      <c r="B26" s="28"/>
      <c r="C26" s="29"/>
      <c r="E26" s="6">
        <v>16</v>
      </c>
    </row>
    <row r="27" spans="1:10" x14ac:dyDescent="0.3">
      <c r="A27" s="28"/>
      <c r="B27" s="28"/>
      <c r="C27" s="29"/>
      <c r="E27" s="6">
        <v>17</v>
      </c>
    </row>
    <row r="28" spans="1:10" x14ac:dyDescent="0.3">
      <c r="A28" s="9"/>
      <c r="B28" s="9"/>
      <c r="C28" s="25"/>
      <c r="E28" s="6">
        <v>18</v>
      </c>
    </row>
    <row r="29" spans="1:10" ht="61.5" customHeight="1" x14ac:dyDescent="0.3">
      <c r="A29" s="5" t="s">
        <v>24</v>
      </c>
      <c r="I29" s="32" t="s">
        <v>43</v>
      </c>
      <c r="J29" s="33"/>
    </row>
    <row r="30" spans="1:10" ht="60.75" customHeight="1" x14ac:dyDescent="0.3">
      <c r="A30" s="1" t="s">
        <v>25</v>
      </c>
      <c r="D30" s="6" t="s">
        <v>27</v>
      </c>
      <c r="E30" s="6" t="s">
        <v>26</v>
      </c>
      <c r="F30" s="6" t="s">
        <v>29</v>
      </c>
      <c r="G30" s="6" t="s">
        <v>42</v>
      </c>
      <c r="I30" s="13" t="s">
        <v>38</v>
      </c>
      <c r="J30" s="6" t="s">
        <v>37</v>
      </c>
    </row>
    <row r="31" spans="1:10" x14ac:dyDescent="0.3">
      <c r="D31" s="6">
        <v>3</v>
      </c>
      <c r="E31" s="6">
        <v>171</v>
      </c>
      <c r="F31" s="6">
        <f>D31*E31</f>
        <v>513</v>
      </c>
      <c r="G31" s="6">
        <f>ROUND(POWER((E31-$E$37),2)*D31,3)</f>
        <v>49.621000000000002</v>
      </c>
      <c r="I31" s="6">
        <f>22+E10</f>
        <v>22</v>
      </c>
      <c r="J31" s="6">
        <v>2.0699999999999998</v>
      </c>
    </row>
    <row r="32" spans="1:10" x14ac:dyDescent="0.3">
      <c r="D32" s="6">
        <v>5</v>
      </c>
      <c r="E32" s="6">
        <v>173</v>
      </c>
      <c r="F32" s="6">
        <f t="shared" ref="F32:F35" si="2">D32*E32</f>
        <v>865</v>
      </c>
      <c r="G32" s="6">
        <f t="shared" ref="G32:G35" si="3">ROUND(POWER((E32-$E$37),2)*D32,3)</f>
        <v>21.361999999999998</v>
      </c>
      <c r="I32" s="6">
        <f t="shared" ref="I32:I44" si="4">22+E11</f>
        <v>23</v>
      </c>
      <c r="J32" s="6">
        <f>(J31+J33)/2</f>
        <v>2.0649999999999999</v>
      </c>
    </row>
    <row r="33" spans="1:11" x14ac:dyDescent="0.3">
      <c r="D33" s="6">
        <f>8+B5</f>
        <v>12</v>
      </c>
      <c r="E33" s="6">
        <v>175</v>
      </c>
      <c r="F33" s="6">
        <f t="shared" si="2"/>
        <v>2100</v>
      </c>
      <c r="G33" s="6">
        <f>ROUND(POWER((E33-$E$37),2)*D33,3)</f>
        <v>5.3999999999999999E-2</v>
      </c>
      <c r="I33" s="6">
        <f t="shared" si="4"/>
        <v>24</v>
      </c>
      <c r="J33" s="6">
        <v>2.06</v>
      </c>
    </row>
    <row r="34" spans="1:11" x14ac:dyDescent="0.3">
      <c r="D34" s="6">
        <f>5+B6</f>
        <v>8</v>
      </c>
      <c r="E34" s="6">
        <v>177</v>
      </c>
      <c r="F34" s="6">
        <f t="shared" si="2"/>
        <v>1416</v>
      </c>
      <c r="G34" s="6">
        <f t="shared" si="3"/>
        <v>29.891999999999999</v>
      </c>
      <c r="I34" s="6">
        <f t="shared" si="4"/>
        <v>25</v>
      </c>
      <c r="J34" s="6">
        <v>2.06</v>
      </c>
    </row>
    <row r="35" spans="1:11" x14ac:dyDescent="0.3">
      <c r="D35" s="6">
        <v>2</v>
      </c>
      <c r="E35" s="6">
        <v>179</v>
      </c>
      <c r="F35" s="6">
        <f t="shared" si="2"/>
        <v>358</v>
      </c>
      <c r="G35" s="6">
        <f t="shared" si="3"/>
        <v>30.937000000000001</v>
      </c>
      <c r="I35" s="6">
        <f t="shared" si="4"/>
        <v>26</v>
      </c>
      <c r="J35" s="6">
        <v>2.06</v>
      </c>
    </row>
    <row r="36" spans="1:11" x14ac:dyDescent="0.3">
      <c r="C36" s="5"/>
      <c r="D36" s="2">
        <f>SUM(D31:D35)</f>
        <v>30</v>
      </c>
      <c r="E36" s="1">
        <f t="shared" ref="E36:F36" si="5">SUM(E31:E35)</f>
        <v>875</v>
      </c>
      <c r="F36" s="1">
        <f t="shared" si="5"/>
        <v>5252</v>
      </c>
      <c r="G36" s="1">
        <f>SUM(G31:G35)</f>
        <v>131.86600000000001</v>
      </c>
      <c r="H36" s="1" t="s">
        <v>28</v>
      </c>
      <c r="I36" s="6">
        <f t="shared" si="4"/>
        <v>27</v>
      </c>
      <c r="J36" s="6">
        <v>2.0550000000000002</v>
      </c>
    </row>
    <row r="37" spans="1:11" x14ac:dyDescent="0.3">
      <c r="D37" s="3" t="s">
        <v>30</v>
      </c>
      <c r="E37" s="12">
        <f>ROUND(F36/D36,3)</f>
        <v>175.06700000000001</v>
      </c>
      <c r="I37" s="6">
        <f t="shared" si="4"/>
        <v>28</v>
      </c>
      <c r="J37" s="6">
        <v>2.0499999999999998</v>
      </c>
    </row>
    <row r="38" spans="1:11" x14ac:dyDescent="0.3">
      <c r="D38" s="1" t="s">
        <v>31</v>
      </c>
      <c r="E38" s="10">
        <f>G36/(D36-1)</f>
        <v>4.5471034482758625</v>
      </c>
      <c r="F38" s="1" t="s">
        <v>32</v>
      </c>
      <c r="G38" s="2">
        <f>ROUND(POWER(E38,0.5),3)</f>
        <v>2.1320000000000001</v>
      </c>
      <c r="I38" s="6">
        <f t="shared" si="4"/>
        <v>29</v>
      </c>
      <c r="J38" s="6">
        <v>2.0449999999999999</v>
      </c>
    </row>
    <row r="39" spans="1:11" x14ac:dyDescent="0.3">
      <c r="A39" s="1" t="s">
        <v>33</v>
      </c>
      <c r="B39" s="1">
        <f>0.95</f>
        <v>0.95</v>
      </c>
      <c r="I39" s="6">
        <f t="shared" si="4"/>
        <v>30</v>
      </c>
      <c r="J39" s="6">
        <v>2.04</v>
      </c>
    </row>
    <row r="40" spans="1:11" ht="18.75" customHeight="1" x14ac:dyDescent="0.3">
      <c r="A40" s="1" t="s">
        <v>34</v>
      </c>
      <c r="B40" s="7">
        <f>(1-B39)/2</f>
        <v>2.5000000000000022E-2</v>
      </c>
      <c r="C40" s="22"/>
      <c r="I40" s="6">
        <f t="shared" si="4"/>
        <v>31</v>
      </c>
      <c r="J40" s="14">
        <v>2.0299999999999998</v>
      </c>
      <c r="K40" s="35" t="s">
        <v>44</v>
      </c>
    </row>
    <row r="41" spans="1:11" x14ac:dyDescent="0.3">
      <c r="A41" s="1" t="s">
        <v>35</v>
      </c>
      <c r="B41" s="2">
        <f>D36-1</f>
        <v>29</v>
      </c>
      <c r="C41" s="21"/>
      <c r="I41" s="6">
        <f t="shared" si="4"/>
        <v>32</v>
      </c>
      <c r="J41" s="14">
        <v>2.0299999999999998</v>
      </c>
      <c r="K41" s="35"/>
    </row>
    <row r="42" spans="1:11" x14ac:dyDescent="0.3">
      <c r="A42" s="1" t="s">
        <v>39</v>
      </c>
      <c r="B42" s="12">
        <f>1-B40</f>
        <v>0.97499999999999998</v>
      </c>
      <c r="C42" s="23"/>
      <c r="I42" s="6">
        <f t="shared" si="4"/>
        <v>33</v>
      </c>
      <c r="J42" s="14">
        <v>2.0299999999999998</v>
      </c>
      <c r="K42" s="35"/>
    </row>
    <row r="43" spans="1:11" x14ac:dyDescent="0.3">
      <c r="A43" s="1" t="s">
        <v>36</v>
      </c>
      <c r="B43" s="2">
        <f>VLOOKUP(B41,I31:J49,2)</f>
        <v>2.0449999999999999</v>
      </c>
      <c r="C43" s="20" t="s">
        <v>88</v>
      </c>
      <c r="I43" s="6">
        <f t="shared" si="4"/>
        <v>34</v>
      </c>
      <c r="J43" s="14">
        <v>2.0299999999999998</v>
      </c>
      <c r="K43" s="35"/>
    </row>
    <row r="44" spans="1:11" x14ac:dyDescent="0.3">
      <c r="A44" s="1" t="s">
        <v>40</v>
      </c>
      <c r="B44" s="2">
        <f>ROUND(B43*G38/POWER(D36,0.5),3)</f>
        <v>0.79600000000000004</v>
      </c>
      <c r="C44" s="20" t="s">
        <v>88</v>
      </c>
      <c r="I44" s="6">
        <f t="shared" si="4"/>
        <v>35</v>
      </c>
      <c r="J44" s="14">
        <v>2.0299999999999998</v>
      </c>
      <c r="K44" s="35"/>
    </row>
    <row r="45" spans="1:11" x14ac:dyDescent="0.3">
      <c r="A45" s="1" t="s">
        <v>47</v>
      </c>
      <c r="B45" s="3">
        <f>E37-B44</f>
        <v>174.27100000000002</v>
      </c>
      <c r="C45" s="20" t="s">
        <v>88</v>
      </c>
      <c r="I45" s="6">
        <f>22+E24</f>
        <v>36</v>
      </c>
      <c r="J45" s="14">
        <v>2.0299999999999998</v>
      </c>
      <c r="K45" s="35"/>
    </row>
    <row r="46" spans="1:11" x14ac:dyDescent="0.3">
      <c r="A46" s="1" t="s">
        <v>48</v>
      </c>
      <c r="B46" s="3">
        <f>E37+B44</f>
        <v>175.863</v>
      </c>
      <c r="I46" s="6">
        <f>22+E25</f>
        <v>37</v>
      </c>
      <c r="J46" s="14">
        <v>2.0299999999999998</v>
      </c>
      <c r="K46" s="35"/>
    </row>
    <row r="47" spans="1:11" x14ac:dyDescent="0.3">
      <c r="A47" s="3" t="s">
        <v>41</v>
      </c>
      <c r="B47" s="10"/>
      <c r="C47" s="20" t="s">
        <v>88</v>
      </c>
      <c r="D47" s="10"/>
      <c r="E47" s="9"/>
      <c r="I47" s="6">
        <f>22+E26</f>
        <v>38</v>
      </c>
      <c r="J47" s="14">
        <v>2.0299999999999998</v>
      </c>
      <c r="K47" s="35"/>
    </row>
    <row r="48" spans="1:11" x14ac:dyDescent="0.3">
      <c r="I48" s="6">
        <f>22+E27</f>
        <v>39</v>
      </c>
      <c r="J48" s="14">
        <v>2.0299999999999998</v>
      </c>
      <c r="K48" s="35"/>
    </row>
    <row r="49" spans="1:11" x14ac:dyDescent="0.3">
      <c r="I49" s="6">
        <f>22+E28</f>
        <v>40</v>
      </c>
      <c r="J49" s="6">
        <v>2.02</v>
      </c>
      <c r="K49" s="31"/>
    </row>
    <row r="50" spans="1:11" x14ac:dyDescent="0.3">
      <c r="K50" s="31"/>
    </row>
    <row r="53" spans="1:11" x14ac:dyDescent="0.3">
      <c r="A53" s="5" t="s">
        <v>46</v>
      </c>
    </row>
    <row r="54" spans="1:11" x14ac:dyDescent="0.3">
      <c r="A54" s="5" t="s">
        <v>49</v>
      </c>
      <c r="D54" s="1" t="s">
        <v>25</v>
      </c>
    </row>
    <row r="55" spans="1:11" x14ac:dyDescent="0.3">
      <c r="A55" s="1" t="s">
        <v>50</v>
      </c>
      <c r="E55" s="6" t="s">
        <v>54</v>
      </c>
    </row>
    <row r="56" spans="1:11" x14ac:dyDescent="0.3">
      <c r="A56" s="1" t="s">
        <v>51</v>
      </c>
      <c r="C56" s="20" t="s">
        <v>88</v>
      </c>
      <c r="E56" s="6">
        <v>3080</v>
      </c>
    </row>
    <row r="57" spans="1:11" x14ac:dyDescent="0.3">
      <c r="A57" s="1" t="s">
        <v>66</v>
      </c>
      <c r="B57" s="1">
        <v>5</v>
      </c>
      <c r="E57" s="6">
        <v>3100</v>
      </c>
    </row>
    <row r="58" spans="1:11" x14ac:dyDescent="0.3">
      <c r="A58" s="1" t="s">
        <v>52</v>
      </c>
      <c r="B58" s="1">
        <v>10</v>
      </c>
      <c r="E58" s="6">
        <f>3150+B5</f>
        <v>3154</v>
      </c>
    </row>
    <row r="59" spans="1:11" x14ac:dyDescent="0.3">
      <c r="A59" s="1" t="s">
        <v>53</v>
      </c>
      <c r="B59" s="1">
        <v>3150</v>
      </c>
      <c r="E59" s="6">
        <f>3180+B6</f>
        <v>3183</v>
      </c>
    </row>
    <row r="60" spans="1:11" ht="37.5" x14ac:dyDescent="0.3">
      <c r="A60" s="4" t="s">
        <v>56</v>
      </c>
      <c r="C60" s="20" t="s">
        <v>88</v>
      </c>
      <c r="E60" s="6">
        <v>3200</v>
      </c>
    </row>
    <row r="61" spans="1:11" x14ac:dyDescent="0.3">
      <c r="A61" s="1" t="s">
        <v>57</v>
      </c>
      <c r="B61" s="1">
        <v>0.01</v>
      </c>
      <c r="D61" s="5" t="s">
        <v>55</v>
      </c>
      <c r="E61" s="2">
        <f>ROUND(SUM(E56:E60)/B57,3)</f>
        <v>3143.4</v>
      </c>
    </row>
    <row r="62" spans="1:11" x14ac:dyDescent="0.3">
      <c r="A62" s="1" t="s">
        <v>58</v>
      </c>
      <c r="B62" s="1">
        <f>1-B61</f>
        <v>0.99</v>
      </c>
    </row>
    <row r="63" spans="1:11" x14ac:dyDescent="0.3">
      <c r="A63" s="1" t="s">
        <v>59</v>
      </c>
      <c r="B63" s="2">
        <v>2.3260000000000001</v>
      </c>
    </row>
    <row r="64" spans="1:11" x14ac:dyDescent="0.3">
      <c r="A64" s="1" t="s">
        <v>63</v>
      </c>
      <c r="B64" s="2">
        <f>-B63</f>
        <v>-2.3260000000000001</v>
      </c>
    </row>
    <row r="65" spans="1:9" ht="37.5" x14ac:dyDescent="0.3">
      <c r="A65" s="4" t="s">
        <v>60</v>
      </c>
      <c r="C65" s="20" t="s">
        <v>88</v>
      </c>
    </row>
    <row r="66" spans="1:9" x14ac:dyDescent="0.3">
      <c r="A66" s="1" t="s">
        <v>61</v>
      </c>
      <c r="B66" s="2">
        <f>(E61-B59)/(B58/POWER(B57,0.5))</f>
        <v>-1.4758048651498408</v>
      </c>
    </row>
    <row r="67" spans="1:9" x14ac:dyDescent="0.3">
      <c r="A67" s="3" t="s">
        <v>64</v>
      </c>
      <c r="B67" s="3" t="str">
        <f>IF(B66&lt;B64,"YES","NO")</f>
        <v>NO</v>
      </c>
      <c r="C67" s="20" t="s">
        <v>88</v>
      </c>
    </row>
    <row r="68" spans="1:9" x14ac:dyDescent="0.3">
      <c r="A68" s="12" t="s">
        <v>62</v>
      </c>
      <c r="B68" s="12" t="str">
        <f>IF(B67="YES","Bác bỏ H_0","Chấp nhận H_0")</f>
        <v>Chấp nhận H_0</v>
      </c>
      <c r="C68" s="24"/>
    </row>
    <row r="70" spans="1:9" x14ac:dyDescent="0.3">
      <c r="A70" s="5" t="s">
        <v>65</v>
      </c>
    </row>
    <row r="71" spans="1:9" x14ac:dyDescent="0.3">
      <c r="A71" s="1" t="s">
        <v>66</v>
      </c>
      <c r="B71" s="1">
        <v>5</v>
      </c>
      <c r="D71" s="16" t="s">
        <v>54</v>
      </c>
      <c r="E71" s="16" t="s">
        <v>26</v>
      </c>
      <c r="F71" s="16" t="s">
        <v>67</v>
      </c>
      <c r="G71" s="16" t="s">
        <v>68</v>
      </c>
      <c r="H71" s="16" t="s">
        <v>69</v>
      </c>
    </row>
    <row r="72" spans="1:9" x14ac:dyDescent="0.3">
      <c r="A72" s="1" t="s">
        <v>25</v>
      </c>
      <c r="D72" s="16">
        <v>1.5</v>
      </c>
      <c r="E72" s="16">
        <v>8.31</v>
      </c>
      <c r="F72" s="16">
        <f>D72*D72</f>
        <v>2.25</v>
      </c>
      <c r="G72" s="16">
        <f>E72*E72</f>
        <v>69.056100000000015</v>
      </c>
      <c r="H72" s="16">
        <f>D72*E72</f>
        <v>12.465</v>
      </c>
    </row>
    <row r="73" spans="1:9" x14ac:dyDescent="0.3">
      <c r="A73" s="1" t="s">
        <v>71</v>
      </c>
      <c r="B73" s="1">
        <f>D78</f>
        <v>4.2</v>
      </c>
      <c r="C73" s="20" t="s">
        <v>88</v>
      </c>
      <c r="D73" s="16">
        <v>2.5</v>
      </c>
      <c r="E73" s="16">
        <v>12.29</v>
      </c>
      <c r="F73" s="16">
        <f t="shared" ref="F73:F76" si="6">D73*D73</f>
        <v>6.25</v>
      </c>
      <c r="G73" s="16">
        <f t="shared" ref="G73:G76" si="7">E73*E73</f>
        <v>151.04409999999999</v>
      </c>
      <c r="H73" s="16">
        <f t="shared" ref="H73:H76" si="8">D73*E73</f>
        <v>30.724999999999998</v>
      </c>
    </row>
    <row r="74" spans="1:9" x14ac:dyDescent="0.3">
      <c r="A74" s="1" t="s">
        <v>70</v>
      </c>
      <c r="B74" s="1">
        <f>E78</f>
        <v>19.100000000000001</v>
      </c>
      <c r="D74" s="16">
        <v>3.5</v>
      </c>
      <c r="E74" s="16">
        <v>16.32</v>
      </c>
      <c r="F74" s="16">
        <f t="shared" si="6"/>
        <v>12.25</v>
      </c>
      <c r="G74" s="16">
        <f t="shared" si="7"/>
        <v>266.3424</v>
      </c>
      <c r="H74" s="16">
        <f t="shared" si="8"/>
        <v>57.120000000000005</v>
      </c>
    </row>
    <row r="75" spans="1:9" x14ac:dyDescent="0.3">
      <c r="A75" s="1" t="s">
        <v>74</v>
      </c>
      <c r="B75" s="1">
        <f>(F78-D78*D78)*B71/(B71-1)</f>
        <v>8.4499999999999975</v>
      </c>
      <c r="D75" s="16">
        <v>4.5</v>
      </c>
      <c r="E75" s="16">
        <v>20.28</v>
      </c>
      <c r="F75" s="16">
        <f t="shared" si="6"/>
        <v>20.25</v>
      </c>
      <c r="G75" s="16">
        <f t="shared" si="7"/>
        <v>411.27840000000003</v>
      </c>
      <c r="H75" s="16">
        <f t="shared" si="8"/>
        <v>91.26</v>
      </c>
    </row>
    <row r="76" spans="1:9" x14ac:dyDescent="0.3">
      <c r="A76" s="1" t="s">
        <v>73</v>
      </c>
      <c r="B76" s="1">
        <f>(G78-E78*E78)*B71/(B71-1)</f>
        <v>135.1402499999999</v>
      </c>
      <c r="C76" s="20" t="s">
        <v>88</v>
      </c>
      <c r="D76" s="16">
        <f>5+B5</f>
        <v>9</v>
      </c>
      <c r="E76" s="16">
        <f>22.3+4*B5</f>
        <v>38.299999999999997</v>
      </c>
      <c r="F76" s="16">
        <f t="shared" si="6"/>
        <v>81</v>
      </c>
      <c r="G76" s="16">
        <f t="shared" si="7"/>
        <v>1466.8899999999999</v>
      </c>
      <c r="H76" s="16">
        <f t="shared" si="8"/>
        <v>344.7</v>
      </c>
    </row>
    <row r="77" spans="1:9" x14ac:dyDescent="0.3">
      <c r="A77" s="1" t="s">
        <v>75</v>
      </c>
      <c r="B77" s="1">
        <f>(H78-D78*E78)*B71/(B71-1)</f>
        <v>33.792499999999976</v>
      </c>
      <c r="D77" s="2">
        <f>SUM(D72:D76)</f>
        <v>21</v>
      </c>
      <c r="E77" s="2">
        <f t="shared" ref="E77:H77" si="9">SUM(E72:E76)</f>
        <v>95.5</v>
      </c>
      <c r="F77" s="2">
        <f t="shared" si="9"/>
        <v>122</v>
      </c>
      <c r="G77" s="2">
        <f t="shared" si="9"/>
        <v>2364.6109999999999</v>
      </c>
      <c r="H77" s="2">
        <f t="shared" si="9"/>
        <v>536.27</v>
      </c>
      <c r="I77" s="1" t="s">
        <v>79</v>
      </c>
    </row>
    <row r="78" spans="1:9" x14ac:dyDescent="0.3">
      <c r="C78" s="19"/>
      <c r="D78" s="12">
        <f>D77/$B$71</f>
        <v>4.2</v>
      </c>
      <c r="E78" s="12">
        <f t="shared" ref="E78:H78" si="10">E77/$B$71</f>
        <v>19.100000000000001</v>
      </c>
      <c r="F78" s="12">
        <f t="shared" si="10"/>
        <v>24.4</v>
      </c>
      <c r="G78" s="12">
        <f t="shared" si="10"/>
        <v>472.92219999999998</v>
      </c>
      <c r="H78" s="12">
        <f t="shared" si="10"/>
        <v>107.25399999999999</v>
      </c>
      <c r="I78" s="1" t="s">
        <v>80</v>
      </c>
    </row>
    <row r="79" spans="1:9" x14ac:dyDescent="0.3">
      <c r="A79" s="1" t="s">
        <v>76</v>
      </c>
    </row>
    <row r="80" spans="1:9" x14ac:dyDescent="0.3">
      <c r="A80" s="1" t="s">
        <v>77</v>
      </c>
      <c r="B80" s="12">
        <f>ROUND(B77/B75,3)</f>
        <v>3.9990000000000001</v>
      </c>
      <c r="C80" s="20" t="s">
        <v>88</v>
      </c>
    </row>
    <row r="81" spans="1:9" x14ac:dyDescent="0.3">
      <c r="A81" s="1" t="s">
        <v>78</v>
      </c>
      <c r="B81" s="12">
        <f>ROUND(B74-B80*B73,3)</f>
        <v>2.3039999999999998</v>
      </c>
    </row>
    <row r="82" spans="1:9" ht="56.25" x14ac:dyDescent="0.3">
      <c r="A82" s="4" t="s">
        <v>81</v>
      </c>
    </row>
    <row r="83" spans="1:9" ht="37.5" x14ac:dyDescent="0.3">
      <c r="A83" s="17" t="s">
        <v>82</v>
      </c>
      <c r="B83" s="12">
        <f>B81+B80*3</f>
        <v>14.301</v>
      </c>
      <c r="C83" s="20" t="s">
        <v>88</v>
      </c>
    </row>
    <row r="85" spans="1:9" x14ac:dyDescent="0.3">
      <c r="A85" s="5" t="s">
        <v>83</v>
      </c>
      <c r="E85" s="1" t="s">
        <v>25</v>
      </c>
    </row>
    <row r="86" spans="1:9" x14ac:dyDescent="0.3">
      <c r="A86" s="1" t="s">
        <v>66</v>
      </c>
      <c r="B86" s="1">
        <v>6</v>
      </c>
      <c r="E86" s="6" t="s">
        <v>54</v>
      </c>
    </row>
    <row r="87" spans="1:9" ht="56.25" x14ac:dyDescent="0.3">
      <c r="A87" s="4" t="s">
        <v>98</v>
      </c>
      <c r="C87" s="20" t="s">
        <v>89</v>
      </c>
      <c r="E87" s="6">
        <v>1.5</v>
      </c>
    </row>
    <row r="88" spans="1:9" x14ac:dyDescent="0.3">
      <c r="E88" s="6">
        <f>2.5+B5</f>
        <v>6.5</v>
      </c>
    </row>
    <row r="89" spans="1:9" ht="56.25" x14ac:dyDescent="0.3">
      <c r="A89" s="4" t="s">
        <v>85</v>
      </c>
      <c r="C89" s="20" t="s">
        <v>89</v>
      </c>
      <c r="E89" s="6">
        <f>3.5+B6</f>
        <v>6.5</v>
      </c>
    </row>
    <row r="90" spans="1:9" x14ac:dyDescent="0.3">
      <c r="E90" s="6">
        <v>4</v>
      </c>
    </row>
    <row r="91" spans="1:9" ht="37.5" x14ac:dyDescent="0.3">
      <c r="A91" s="4" t="s">
        <v>86</v>
      </c>
      <c r="C91" s="20" t="s">
        <v>89</v>
      </c>
      <c r="E91" s="6">
        <v>5</v>
      </c>
    </row>
    <row r="92" spans="1:9" x14ac:dyDescent="0.3">
      <c r="E92" s="6">
        <v>6</v>
      </c>
    </row>
    <row r="93" spans="1:9" ht="56.25" x14ac:dyDescent="0.3">
      <c r="A93" s="4" t="s">
        <v>87</v>
      </c>
      <c r="E93" s="3">
        <f>SUM(E87:E92)</f>
        <v>29.5</v>
      </c>
      <c r="F93" s="3" t="s">
        <v>28</v>
      </c>
    </row>
    <row r="94" spans="1:9" x14ac:dyDescent="0.3">
      <c r="E94" s="12">
        <f>E93/B86</f>
        <v>4.916666666666667</v>
      </c>
      <c r="F94" s="3" t="s">
        <v>72</v>
      </c>
    </row>
    <row r="95" spans="1:9" x14ac:dyDescent="0.3">
      <c r="A95" s="3" t="s">
        <v>84</v>
      </c>
      <c r="B95" s="12">
        <f>ROUND(1/(2*(E94-1)),3)</f>
        <v>0.128</v>
      </c>
      <c r="C95" s="20" t="s">
        <v>89</v>
      </c>
      <c r="I95" s="1">
        <f>5/42</f>
        <v>0.11904761904761904</v>
      </c>
    </row>
    <row r="99" spans="1:3" x14ac:dyDescent="0.3">
      <c r="A99" s="15" t="s">
        <v>91</v>
      </c>
      <c r="C99" s="15" t="s">
        <v>93</v>
      </c>
    </row>
    <row r="100" spans="1:3" x14ac:dyDescent="0.3">
      <c r="A100" s="15"/>
      <c r="C100" s="15"/>
    </row>
    <row r="101" spans="1:3" x14ac:dyDescent="0.3">
      <c r="A101" s="15"/>
      <c r="C101" s="15"/>
    </row>
    <row r="102" spans="1:3" x14ac:dyDescent="0.3">
      <c r="A102" s="15"/>
      <c r="C102" s="15"/>
    </row>
    <row r="103" spans="1:3" x14ac:dyDescent="0.3">
      <c r="A103" s="15" t="s">
        <v>92</v>
      </c>
      <c r="C103" s="15" t="s">
        <v>94</v>
      </c>
    </row>
  </sheetData>
  <mergeCells count="7">
    <mergeCell ref="I29:J29"/>
    <mergeCell ref="A1:C1"/>
    <mergeCell ref="A2:C2"/>
    <mergeCell ref="K40:K48"/>
    <mergeCell ref="F8:G8"/>
    <mergeCell ref="I8:J8"/>
    <mergeCell ref="H8:H19"/>
  </mergeCells>
  <pageMargins left="0.5" right="0.5" top="0.25" bottom="0.2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nhu vu huu</dc:creator>
  <cp:lastModifiedBy>nhu vu huu</cp:lastModifiedBy>
  <cp:lastPrinted>2021-12-01T12:58:18Z</cp:lastPrinted>
  <dcterms:created xsi:type="dcterms:W3CDTF">2021-12-01T07:22:49Z</dcterms:created>
  <dcterms:modified xsi:type="dcterms:W3CDTF">2022-01-03T11:11:45Z</dcterms:modified>
</cp:coreProperties>
</file>