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charts/chart31.xml" ContentType="application/vnd.openxmlformats-officedocument.drawingml.chart+xml"/>
  <Override PartName="/xl/charts/chart3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autoCompressPictures="0"/>
  <mc:AlternateContent xmlns:mc="http://schemas.openxmlformats.org/markup-compatibility/2006">
    <mc:Choice Requires="x15">
      <x15ac:absPath xmlns:x15ac="http://schemas.microsoft.com/office/spreadsheetml/2010/11/ac" url="C:\Users\cawynn\cloudstor\Shared\SAZ\"/>
    </mc:Choice>
  </mc:AlternateContent>
  <xr:revisionPtr revIDLastSave="0" documentId="13_ncr:1_{7F06D912-0A27-442D-A5F5-598A579D390C}" xr6:coauthVersionLast="45" xr6:coauthVersionMax="45" xr10:uidLastSave="{00000000-0000-0000-0000-000000000000}"/>
  <bookViews>
    <workbookView xWindow="-24120" yWindow="-120" windowWidth="24240" windowHeight="17640" tabRatio="500" firstSheet="13" activeTab="18" xr2:uid="{00000000-000D-0000-FFFF-FFFF00000000}"/>
  </bookViews>
  <sheets>
    <sheet name="prep brines" sheetId="1" r:id="rId1"/>
    <sheet name="notes" sheetId="2" r:id="rId2"/>
    <sheet name="traps and logs" sheetId="3" r:id="rId3"/>
    <sheet name="PIC weights" sheetId="15" r:id="rId4"/>
    <sheet name="CHN weights" sheetId="14" r:id="rId5"/>
    <sheet name="PIC data" sheetId="17" r:id="rId6"/>
    <sheet name="CHN data" sheetId="16" r:id="rId7"/>
    <sheet name="BSi weights" sheetId="18" r:id="rId8"/>
    <sheet name="BSi raw results" sheetId="19" r:id="rId9"/>
    <sheet name="BSi_results and calculations" sheetId="20" r:id="rId10"/>
    <sheet name="pH_Sal" sheetId="12" r:id="rId11"/>
    <sheet name="sample processing comments" sheetId="8" r:id="rId12"/>
    <sheet name="depths" sheetId="5" r:id="rId13"/>
    <sheet name="photo labels" sheetId="6" r:id="rId14"/>
    <sheet name="mass filt" sheetId="9" r:id="rId15"/>
    <sheet name="report_47" sheetId="10" r:id="rId16"/>
    <sheet name="report_47_flagged" sheetId="22" r:id="rId17"/>
    <sheet name="netcdf_format" sheetId="23" r:id="rId18"/>
    <sheet name="main" sheetId="4" r:id="rId19"/>
    <sheet name="sample_archive" sheetId="13" r:id="rId20"/>
    <sheet name="quicklook plots" sheetId="11" r:id="rId21"/>
    <sheet name="sample jar labels" sheetId="7" r:id="rId22"/>
  </sheets>
  <definedNames>
    <definedName name="_xlnm.Print_Area" localSheetId="17">netcdf_format!$A$1:$AH$74</definedName>
    <definedName name="_xlnm.Print_Area" localSheetId="0">'prep brines'!$A$1:$I$43</definedName>
    <definedName name="_xlnm.Print_Titles" localSheetId="17">netcdf_format!$1:$1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23" l="1"/>
  <c r="AJ74" i="23" l="1"/>
  <c r="AG74" i="23"/>
  <c r="AD74" i="23"/>
  <c r="AA74" i="23"/>
  <c r="X74" i="23"/>
  <c r="U74" i="23"/>
  <c r="R74" i="23"/>
  <c r="O74" i="23"/>
  <c r="H74" i="23"/>
  <c r="C74" i="23"/>
  <c r="AJ73" i="23"/>
  <c r="AG73" i="23"/>
  <c r="AD73" i="23"/>
  <c r="AA73" i="23"/>
  <c r="X73" i="23"/>
  <c r="U73" i="23"/>
  <c r="R73" i="23"/>
  <c r="O73" i="23"/>
  <c r="H73" i="23"/>
  <c r="C73" i="23"/>
  <c r="AJ72" i="23"/>
  <c r="AG72" i="23"/>
  <c r="AD72" i="23"/>
  <c r="AA72" i="23"/>
  <c r="X72" i="23"/>
  <c r="U72" i="23"/>
  <c r="R72" i="23"/>
  <c r="O72" i="23"/>
  <c r="H72" i="23"/>
  <c r="C72" i="23"/>
  <c r="AJ71" i="23"/>
  <c r="AG71" i="23"/>
  <c r="AD71" i="23"/>
  <c r="AA71" i="23"/>
  <c r="X71" i="23"/>
  <c r="U71" i="23"/>
  <c r="R71" i="23"/>
  <c r="O71" i="23"/>
  <c r="H71" i="23"/>
  <c r="C71" i="23"/>
  <c r="AJ70" i="23"/>
  <c r="AG70" i="23"/>
  <c r="AD70" i="23"/>
  <c r="AA70" i="23"/>
  <c r="X70" i="23"/>
  <c r="U70" i="23"/>
  <c r="R70" i="23"/>
  <c r="O70" i="23"/>
  <c r="H70" i="23"/>
  <c r="C70" i="23"/>
  <c r="AJ69" i="23"/>
  <c r="AG69" i="23"/>
  <c r="AD69" i="23"/>
  <c r="AA69" i="23"/>
  <c r="X69" i="23"/>
  <c r="U69" i="23"/>
  <c r="R69" i="23"/>
  <c r="O69" i="23"/>
  <c r="H69" i="23"/>
  <c r="C69" i="23"/>
  <c r="AJ68" i="23"/>
  <c r="AG68" i="23"/>
  <c r="AD68" i="23"/>
  <c r="AA68" i="23"/>
  <c r="X68" i="23"/>
  <c r="U68" i="23"/>
  <c r="R68" i="23"/>
  <c r="O68" i="23"/>
  <c r="H68" i="23"/>
  <c r="C68" i="23"/>
  <c r="AJ67" i="23"/>
  <c r="AG67" i="23"/>
  <c r="AD67" i="23"/>
  <c r="AA67" i="23"/>
  <c r="X67" i="23"/>
  <c r="U67" i="23"/>
  <c r="R67" i="23"/>
  <c r="O67" i="23"/>
  <c r="H67" i="23"/>
  <c r="C67" i="23"/>
  <c r="AJ66" i="23"/>
  <c r="AG66" i="23"/>
  <c r="AD66" i="23"/>
  <c r="AA66" i="23"/>
  <c r="X66" i="23"/>
  <c r="U66" i="23"/>
  <c r="R66" i="23"/>
  <c r="O66" i="23"/>
  <c r="H66" i="23"/>
  <c r="C66" i="23"/>
  <c r="AJ65" i="23"/>
  <c r="AG65" i="23"/>
  <c r="AD65" i="23"/>
  <c r="AA65" i="23"/>
  <c r="X65" i="23"/>
  <c r="U65" i="23"/>
  <c r="R65" i="23"/>
  <c r="O65" i="23"/>
  <c r="H65" i="23"/>
  <c r="C65" i="23"/>
  <c r="AJ64" i="23"/>
  <c r="AG64" i="23"/>
  <c r="AD64" i="23"/>
  <c r="AA64" i="23"/>
  <c r="X64" i="23"/>
  <c r="U64" i="23"/>
  <c r="R64" i="23"/>
  <c r="O64" i="23"/>
  <c r="H64" i="23"/>
  <c r="C64" i="23"/>
  <c r="AJ63" i="23"/>
  <c r="AG63" i="23"/>
  <c r="AD63" i="23"/>
  <c r="AA63" i="23"/>
  <c r="X63" i="23"/>
  <c r="U63" i="23"/>
  <c r="R63" i="23"/>
  <c r="O63" i="23"/>
  <c r="H63" i="23"/>
  <c r="C63" i="23"/>
  <c r="AJ62" i="23"/>
  <c r="AG62" i="23"/>
  <c r="AD62" i="23"/>
  <c r="AA62" i="23"/>
  <c r="X62" i="23"/>
  <c r="U62" i="23"/>
  <c r="R62" i="23"/>
  <c r="O62" i="23"/>
  <c r="H62" i="23"/>
  <c r="C62" i="23"/>
  <c r="AJ61" i="23"/>
  <c r="AG61" i="23"/>
  <c r="AD61" i="23"/>
  <c r="AA61" i="23"/>
  <c r="X61" i="23"/>
  <c r="U61" i="23"/>
  <c r="R61" i="23"/>
  <c r="O61" i="23"/>
  <c r="H61" i="23"/>
  <c r="C61" i="23"/>
  <c r="AJ60" i="23"/>
  <c r="AG60" i="23"/>
  <c r="AD60" i="23"/>
  <c r="AA60" i="23"/>
  <c r="X60" i="23"/>
  <c r="U60" i="23"/>
  <c r="R60" i="23"/>
  <c r="O60" i="23"/>
  <c r="H60" i="23"/>
  <c r="C60" i="23"/>
  <c r="AJ59" i="23"/>
  <c r="AG59" i="23"/>
  <c r="AD59" i="23"/>
  <c r="AA59" i="23"/>
  <c r="X59" i="23"/>
  <c r="U59" i="23"/>
  <c r="R59" i="23"/>
  <c r="O59" i="23"/>
  <c r="H59" i="23"/>
  <c r="C59" i="23"/>
  <c r="AJ58" i="23"/>
  <c r="AG58" i="23"/>
  <c r="AD58" i="23"/>
  <c r="AA58" i="23"/>
  <c r="X58" i="23"/>
  <c r="U58" i="23"/>
  <c r="R58" i="23"/>
  <c r="O58" i="23"/>
  <c r="H58" i="23"/>
  <c r="C58" i="23"/>
  <c r="AJ57" i="23"/>
  <c r="AG57" i="23"/>
  <c r="AD57" i="23"/>
  <c r="AA57" i="23"/>
  <c r="X57" i="23"/>
  <c r="U57" i="23"/>
  <c r="R57" i="23"/>
  <c r="O57" i="23"/>
  <c r="H57" i="23"/>
  <c r="C57" i="23"/>
  <c r="AJ56" i="23"/>
  <c r="AG56" i="23"/>
  <c r="AD56" i="23"/>
  <c r="AA56" i="23"/>
  <c r="X56" i="23"/>
  <c r="U56" i="23"/>
  <c r="R56" i="23"/>
  <c r="O56" i="23"/>
  <c r="H56" i="23"/>
  <c r="C56" i="23"/>
  <c r="AJ55" i="23"/>
  <c r="AG55" i="23"/>
  <c r="AD55" i="23"/>
  <c r="AA55" i="23"/>
  <c r="X55" i="23"/>
  <c r="U55" i="23"/>
  <c r="R55" i="23"/>
  <c r="O55" i="23"/>
  <c r="H55" i="23"/>
  <c r="C55" i="23"/>
  <c r="AJ54" i="23"/>
  <c r="AG54" i="23"/>
  <c r="AD54" i="23"/>
  <c r="AA54" i="23"/>
  <c r="X54" i="23"/>
  <c r="U54" i="23"/>
  <c r="R54" i="23"/>
  <c r="O54" i="23"/>
  <c r="H54" i="23"/>
  <c r="G54" i="23"/>
  <c r="C54" i="23"/>
  <c r="AJ53" i="23"/>
  <c r="AG53" i="23"/>
  <c r="AD53" i="23"/>
  <c r="AA53" i="23"/>
  <c r="X53" i="23"/>
  <c r="U53" i="23"/>
  <c r="R53" i="23"/>
  <c r="O53" i="23"/>
  <c r="H53" i="23"/>
  <c r="C53" i="23"/>
  <c r="AJ52" i="23"/>
  <c r="AG52" i="23"/>
  <c r="AD52" i="23"/>
  <c r="AA52" i="23"/>
  <c r="X52" i="23"/>
  <c r="U52" i="23"/>
  <c r="R52" i="23"/>
  <c r="O52" i="23"/>
  <c r="H52" i="23"/>
  <c r="C52" i="23"/>
  <c r="AJ51" i="23"/>
  <c r="AG51" i="23"/>
  <c r="AD51" i="23"/>
  <c r="AA51" i="23"/>
  <c r="X51" i="23"/>
  <c r="U51" i="23"/>
  <c r="R51" i="23"/>
  <c r="O51" i="23"/>
  <c r="H51" i="23"/>
  <c r="C51" i="23"/>
  <c r="AJ50" i="23"/>
  <c r="AG50" i="23"/>
  <c r="AD50" i="23"/>
  <c r="AA50" i="23"/>
  <c r="X50" i="23"/>
  <c r="U50" i="23"/>
  <c r="R50" i="23"/>
  <c r="O50" i="23"/>
  <c r="H50" i="23"/>
  <c r="C50" i="23"/>
  <c r="AJ49" i="23"/>
  <c r="AG49" i="23"/>
  <c r="AD49" i="23"/>
  <c r="AA49" i="23"/>
  <c r="X49" i="23"/>
  <c r="U49" i="23"/>
  <c r="R49" i="23"/>
  <c r="O49" i="23"/>
  <c r="H49" i="23"/>
  <c r="C49" i="23"/>
  <c r="AJ48" i="23"/>
  <c r="AG48" i="23"/>
  <c r="AD48" i="23"/>
  <c r="AA48" i="23"/>
  <c r="X48" i="23"/>
  <c r="U48" i="23"/>
  <c r="R48" i="23"/>
  <c r="O48" i="23"/>
  <c r="H48" i="23"/>
  <c r="C48" i="23"/>
  <c r="AJ47" i="23"/>
  <c r="AG47" i="23"/>
  <c r="AD47" i="23"/>
  <c r="AA47" i="23"/>
  <c r="X47" i="23"/>
  <c r="U47" i="23"/>
  <c r="R47" i="23"/>
  <c r="O47" i="23"/>
  <c r="H47" i="23"/>
  <c r="C47" i="23"/>
  <c r="AJ46" i="23"/>
  <c r="AG46" i="23"/>
  <c r="AD46" i="23"/>
  <c r="AA46" i="23"/>
  <c r="X46" i="23"/>
  <c r="U46" i="23"/>
  <c r="R46" i="23"/>
  <c r="O46" i="23"/>
  <c r="H46" i="23"/>
  <c r="C46" i="23"/>
  <c r="AJ45" i="23"/>
  <c r="AG45" i="23"/>
  <c r="AD45" i="23"/>
  <c r="AA45" i="23"/>
  <c r="X45" i="23"/>
  <c r="U45" i="23"/>
  <c r="R45" i="23"/>
  <c r="O45" i="23"/>
  <c r="H45" i="23"/>
  <c r="C45" i="23"/>
  <c r="AJ44" i="23"/>
  <c r="AG44" i="23"/>
  <c r="AD44" i="23"/>
  <c r="AA44" i="23"/>
  <c r="X44" i="23"/>
  <c r="U44" i="23"/>
  <c r="R44" i="23"/>
  <c r="O44" i="23"/>
  <c r="H44" i="23"/>
  <c r="C44" i="23"/>
  <c r="AJ43" i="23"/>
  <c r="AG43" i="23"/>
  <c r="AD43" i="23"/>
  <c r="AA43" i="23"/>
  <c r="X43" i="23"/>
  <c r="U43" i="23"/>
  <c r="R43" i="23"/>
  <c r="O43" i="23"/>
  <c r="H43" i="23"/>
  <c r="C43" i="23"/>
  <c r="AJ42" i="23"/>
  <c r="AG42" i="23"/>
  <c r="AD42" i="23"/>
  <c r="AA42" i="23"/>
  <c r="X42" i="23"/>
  <c r="U42" i="23"/>
  <c r="R42" i="23"/>
  <c r="O42" i="23"/>
  <c r="H42" i="23"/>
  <c r="C42" i="23"/>
  <c r="AJ41" i="23"/>
  <c r="AG41" i="23"/>
  <c r="AD41" i="23"/>
  <c r="AA41" i="23"/>
  <c r="X41" i="23"/>
  <c r="U41" i="23"/>
  <c r="R41" i="23"/>
  <c r="O41" i="23"/>
  <c r="H41" i="23"/>
  <c r="C41" i="23"/>
  <c r="AJ40" i="23"/>
  <c r="AG40" i="23"/>
  <c r="AD40" i="23"/>
  <c r="AA40" i="23"/>
  <c r="X40" i="23"/>
  <c r="U40" i="23"/>
  <c r="R40" i="23"/>
  <c r="O40" i="23"/>
  <c r="H40" i="23"/>
  <c r="C40" i="23"/>
  <c r="AJ39" i="23"/>
  <c r="AG39" i="23"/>
  <c r="AD39" i="23"/>
  <c r="AA39" i="23"/>
  <c r="X39" i="23"/>
  <c r="U39" i="23"/>
  <c r="R39" i="23"/>
  <c r="O39" i="23"/>
  <c r="H39" i="23"/>
  <c r="C39" i="23"/>
  <c r="AJ38" i="23"/>
  <c r="AG38" i="23"/>
  <c r="AD38" i="23"/>
  <c r="AA38" i="23"/>
  <c r="X38" i="23"/>
  <c r="U38" i="23"/>
  <c r="R38" i="23"/>
  <c r="O38" i="23"/>
  <c r="H38" i="23"/>
  <c r="C38" i="23"/>
  <c r="AJ37" i="23"/>
  <c r="AG37" i="23"/>
  <c r="AD37" i="23"/>
  <c r="AA37" i="23"/>
  <c r="X37" i="23"/>
  <c r="U37" i="23"/>
  <c r="R37" i="23"/>
  <c r="O37" i="23"/>
  <c r="H37" i="23"/>
  <c r="C37" i="23"/>
  <c r="AJ36" i="23"/>
  <c r="AG36" i="23"/>
  <c r="AD36" i="23"/>
  <c r="AA36" i="23"/>
  <c r="X36" i="23"/>
  <c r="U36" i="23"/>
  <c r="R36" i="23"/>
  <c r="O36" i="23"/>
  <c r="H36" i="23"/>
  <c r="C36" i="23"/>
  <c r="AJ35" i="23"/>
  <c r="AG35" i="23"/>
  <c r="AD35" i="23"/>
  <c r="AA35" i="23"/>
  <c r="X35" i="23"/>
  <c r="U35" i="23"/>
  <c r="R35" i="23"/>
  <c r="O35" i="23"/>
  <c r="H35" i="23"/>
  <c r="C35" i="23"/>
  <c r="AJ34" i="23"/>
  <c r="AG34" i="23"/>
  <c r="AD34" i="23"/>
  <c r="AA34" i="23"/>
  <c r="X34" i="23"/>
  <c r="U34" i="23"/>
  <c r="R34" i="23"/>
  <c r="O34" i="23"/>
  <c r="H34" i="23"/>
  <c r="C34" i="23"/>
  <c r="AJ33" i="23"/>
  <c r="AG33" i="23"/>
  <c r="AD33" i="23"/>
  <c r="AA33" i="23"/>
  <c r="X33" i="23"/>
  <c r="U33" i="23"/>
  <c r="R33" i="23"/>
  <c r="O33" i="23"/>
  <c r="H33" i="23"/>
  <c r="G33" i="23"/>
  <c r="C33" i="23"/>
  <c r="AJ32" i="23"/>
  <c r="AG32" i="23"/>
  <c r="AD32" i="23"/>
  <c r="AA32" i="23"/>
  <c r="X32" i="23"/>
  <c r="U32" i="23"/>
  <c r="R32" i="23"/>
  <c r="O32" i="23"/>
  <c r="H32" i="23"/>
  <c r="C32" i="23"/>
  <c r="AJ31" i="23"/>
  <c r="AG31" i="23"/>
  <c r="AD31" i="23"/>
  <c r="AA31" i="23"/>
  <c r="X31" i="23"/>
  <c r="U31" i="23"/>
  <c r="R31" i="23"/>
  <c r="O31" i="23"/>
  <c r="H31" i="23"/>
  <c r="C31" i="23"/>
  <c r="AJ30" i="23"/>
  <c r="AG30" i="23"/>
  <c r="AD30" i="23"/>
  <c r="AA30" i="23"/>
  <c r="X30" i="23"/>
  <c r="U30" i="23"/>
  <c r="R30" i="23"/>
  <c r="O30" i="23"/>
  <c r="H30" i="23"/>
  <c r="C30" i="23"/>
  <c r="AJ29" i="23"/>
  <c r="AG29" i="23"/>
  <c r="AD29" i="23"/>
  <c r="AA29" i="23"/>
  <c r="X29" i="23"/>
  <c r="U29" i="23"/>
  <c r="R29" i="23"/>
  <c r="O29" i="23"/>
  <c r="H29" i="23"/>
  <c r="C29" i="23"/>
  <c r="AJ28" i="23"/>
  <c r="AG28" i="23"/>
  <c r="AD28" i="23"/>
  <c r="AA28" i="23"/>
  <c r="X28" i="23"/>
  <c r="U28" i="23"/>
  <c r="R28" i="23"/>
  <c r="O28" i="23"/>
  <c r="H28" i="23"/>
  <c r="C28" i="23"/>
  <c r="AJ27" i="23"/>
  <c r="AG27" i="23"/>
  <c r="AD27" i="23"/>
  <c r="AA27" i="23"/>
  <c r="X27" i="23"/>
  <c r="U27" i="23"/>
  <c r="R27" i="23"/>
  <c r="O27" i="23"/>
  <c r="H27" i="23"/>
  <c r="C27" i="23"/>
  <c r="AJ26" i="23"/>
  <c r="AG26" i="23"/>
  <c r="AD26" i="23"/>
  <c r="AA26" i="23"/>
  <c r="X26" i="23"/>
  <c r="U26" i="23"/>
  <c r="R26" i="23"/>
  <c r="O26" i="23"/>
  <c r="H26" i="23"/>
  <c r="C26" i="23"/>
  <c r="AJ25" i="23"/>
  <c r="AG25" i="23"/>
  <c r="AD25" i="23"/>
  <c r="AA25" i="23"/>
  <c r="X25" i="23"/>
  <c r="U25" i="23"/>
  <c r="R25" i="23"/>
  <c r="O25" i="23"/>
  <c r="H25" i="23"/>
  <c r="C25" i="23"/>
  <c r="AJ24" i="23"/>
  <c r="AG24" i="23"/>
  <c r="AD24" i="23"/>
  <c r="AA24" i="23"/>
  <c r="X24" i="23"/>
  <c r="U24" i="23"/>
  <c r="R24" i="23"/>
  <c r="O24" i="23"/>
  <c r="H24" i="23"/>
  <c r="C24" i="23"/>
  <c r="AJ23" i="23"/>
  <c r="AG23" i="23"/>
  <c r="AD23" i="23"/>
  <c r="AA23" i="23"/>
  <c r="X23" i="23"/>
  <c r="U23" i="23"/>
  <c r="R23" i="23"/>
  <c r="O23" i="23"/>
  <c r="H23" i="23"/>
  <c r="C23" i="23"/>
  <c r="AJ22" i="23"/>
  <c r="AG22" i="23"/>
  <c r="AD22" i="23"/>
  <c r="AA22" i="23"/>
  <c r="X22" i="23"/>
  <c r="U22" i="23"/>
  <c r="R22" i="23"/>
  <c r="O22" i="23"/>
  <c r="H22" i="23"/>
  <c r="C22" i="23"/>
  <c r="AJ21" i="23"/>
  <c r="AG21" i="23"/>
  <c r="AD21" i="23"/>
  <c r="AA21" i="23"/>
  <c r="X21" i="23"/>
  <c r="U21" i="23"/>
  <c r="R21" i="23"/>
  <c r="O21" i="23"/>
  <c r="H21" i="23"/>
  <c r="C21" i="23"/>
  <c r="AJ20" i="23"/>
  <c r="AG20" i="23"/>
  <c r="AD20" i="23"/>
  <c r="AA20" i="23"/>
  <c r="X20" i="23"/>
  <c r="U20" i="23"/>
  <c r="R20" i="23"/>
  <c r="O20" i="23"/>
  <c r="H20" i="23"/>
  <c r="C20" i="23"/>
  <c r="AJ19" i="23"/>
  <c r="AG19" i="23"/>
  <c r="AD19" i="23"/>
  <c r="AA19" i="23"/>
  <c r="X19" i="23"/>
  <c r="U19" i="23"/>
  <c r="O19" i="23"/>
  <c r="H19" i="23"/>
  <c r="C19" i="23"/>
  <c r="AJ18" i="23"/>
  <c r="AG18" i="23"/>
  <c r="AD18" i="23"/>
  <c r="AA18" i="23"/>
  <c r="X18" i="23"/>
  <c r="U18" i="23"/>
  <c r="R18" i="23"/>
  <c r="O18" i="23"/>
  <c r="H18" i="23"/>
  <c r="C18" i="23"/>
  <c r="AJ17" i="23"/>
  <c r="AG17" i="23"/>
  <c r="AD17" i="23"/>
  <c r="AA17" i="23"/>
  <c r="X17" i="23"/>
  <c r="U17" i="23"/>
  <c r="R17" i="23"/>
  <c r="O17" i="23"/>
  <c r="H17" i="23"/>
  <c r="C17" i="23"/>
  <c r="AJ16" i="23"/>
  <c r="AG16" i="23"/>
  <c r="AD16" i="23"/>
  <c r="AA16" i="23"/>
  <c r="X16" i="23"/>
  <c r="U16" i="23"/>
  <c r="R16" i="23"/>
  <c r="O16" i="23"/>
  <c r="H16" i="23"/>
  <c r="C16" i="23"/>
  <c r="AJ15" i="23"/>
  <c r="AG15" i="23"/>
  <c r="AD15" i="23"/>
  <c r="AA15" i="23"/>
  <c r="X15" i="23"/>
  <c r="U15" i="23"/>
  <c r="R15" i="23"/>
  <c r="O15" i="23"/>
  <c r="H15" i="23"/>
  <c r="C15" i="23"/>
  <c r="AJ14" i="23"/>
  <c r="AG14" i="23"/>
  <c r="AD14" i="23"/>
  <c r="AA14" i="23"/>
  <c r="X14" i="23"/>
  <c r="U14" i="23"/>
  <c r="R14" i="23"/>
  <c r="O14" i="23"/>
  <c r="H14" i="23"/>
  <c r="C14" i="23"/>
  <c r="AJ13" i="23"/>
  <c r="AG13" i="23"/>
  <c r="AD13" i="23"/>
  <c r="AA13" i="23"/>
  <c r="X13" i="23"/>
  <c r="U13" i="23"/>
  <c r="R13" i="23"/>
  <c r="O13" i="23"/>
  <c r="H13" i="23"/>
  <c r="C13" i="23"/>
  <c r="AJ12" i="23"/>
  <c r="AG12" i="23"/>
  <c r="AD12" i="23"/>
  <c r="AA12" i="23"/>
  <c r="X12" i="23"/>
  <c r="U12" i="23"/>
  <c r="R12" i="23"/>
  <c r="O12" i="23"/>
  <c r="H12" i="23"/>
  <c r="G12" i="23"/>
  <c r="C12" i="23"/>
  <c r="M27" i="7" l="1"/>
  <c r="K27" i="7"/>
  <c r="I27" i="7"/>
  <c r="G27" i="7"/>
  <c r="E27" i="7"/>
  <c r="C27" i="7"/>
  <c r="A27" i="7"/>
  <c r="M26" i="7"/>
  <c r="K26" i="7"/>
  <c r="I26" i="7"/>
  <c r="G26" i="7"/>
  <c r="E26" i="7"/>
  <c r="C26" i="7"/>
  <c r="A26" i="7"/>
  <c r="M25" i="7"/>
  <c r="K25" i="7"/>
  <c r="I25" i="7"/>
  <c r="G25" i="7"/>
  <c r="E25" i="7"/>
  <c r="C25" i="7"/>
  <c r="A25" i="7"/>
  <c r="M24" i="7"/>
  <c r="K24" i="7"/>
  <c r="I24" i="7"/>
  <c r="G24" i="7"/>
  <c r="E24" i="7"/>
  <c r="C24" i="7"/>
  <c r="A24" i="7"/>
  <c r="M23" i="7"/>
  <c r="K23" i="7"/>
  <c r="I23" i="7"/>
  <c r="G23" i="7"/>
  <c r="E23" i="7"/>
  <c r="C23" i="7"/>
  <c r="A23" i="7"/>
  <c r="M22" i="7"/>
  <c r="K22" i="7"/>
  <c r="I22" i="7"/>
  <c r="G22" i="7"/>
  <c r="E22" i="7"/>
  <c r="C22" i="7"/>
  <c r="A22" i="7"/>
  <c r="M21" i="7"/>
  <c r="K21" i="7"/>
  <c r="I21" i="7"/>
  <c r="G21" i="7"/>
  <c r="E21" i="7"/>
  <c r="C21" i="7"/>
  <c r="A21" i="7"/>
  <c r="M20" i="7"/>
  <c r="K20" i="7"/>
  <c r="I20" i="7"/>
  <c r="G20" i="7"/>
  <c r="E20" i="7"/>
  <c r="C20" i="7"/>
  <c r="A20" i="7"/>
  <c r="M19" i="7"/>
  <c r="K19" i="7"/>
  <c r="I19" i="7"/>
  <c r="G19" i="7"/>
  <c r="E19" i="7"/>
  <c r="C19" i="7"/>
  <c r="A19" i="7"/>
  <c r="M18" i="7"/>
  <c r="K18" i="7"/>
  <c r="I18" i="7"/>
  <c r="G18" i="7"/>
  <c r="E18" i="7"/>
  <c r="C18" i="7"/>
  <c r="A18" i="7"/>
  <c r="M17" i="7"/>
  <c r="K17" i="7"/>
  <c r="I17" i="7"/>
  <c r="G17" i="7"/>
  <c r="E17" i="7"/>
  <c r="C17" i="7"/>
  <c r="A17" i="7"/>
  <c r="M16" i="7"/>
  <c r="K16" i="7"/>
  <c r="I16" i="7"/>
  <c r="G16" i="7"/>
  <c r="E16" i="7"/>
  <c r="C16" i="7"/>
  <c r="A16" i="7"/>
  <c r="M15" i="7"/>
  <c r="K15" i="7"/>
  <c r="I15" i="7"/>
  <c r="G15" i="7"/>
  <c r="E15" i="7"/>
  <c r="C15" i="7"/>
  <c r="A15" i="7"/>
  <c r="M14" i="7"/>
  <c r="K14" i="7"/>
  <c r="I14" i="7"/>
  <c r="G14" i="7"/>
  <c r="E14" i="7"/>
  <c r="C14" i="7"/>
  <c r="A14" i="7"/>
  <c r="M13" i="7"/>
  <c r="K13" i="7"/>
  <c r="I13" i="7"/>
  <c r="G13" i="7"/>
  <c r="E13" i="7"/>
  <c r="C13" i="7"/>
  <c r="A13" i="7"/>
  <c r="M12" i="7"/>
  <c r="K12" i="7"/>
  <c r="I12" i="7"/>
  <c r="G12" i="7"/>
  <c r="E12" i="7"/>
  <c r="C12" i="7"/>
  <c r="A12" i="7"/>
  <c r="M11" i="7"/>
  <c r="K11" i="7"/>
  <c r="I11" i="7"/>
  <c r="G11" i="7"/>
  <c r="E11" i="7"/>
  <c r="C11" i="7"/>
  <c r="A11" i="7"/>
  <c r="M10" i="7"/>
  <c r="K10" i="7"/>
  <c r="I10" i="7"/>
  <c r="G10" i="7"/>
  <c r="E10" i="7"/>
  <c r="C10" i="7"/>
  <c r="A10" i="7"/>
  <c r="M9" i="7"/>
  <c r="K9" i="7"/>
  <c r="I9" i="7"/>
  <c r="G9" i="7"/>
  <c r="E9" i="7"/>
  <c r="C9" i="7"/>
  <c r="A9" i="7"/>
  <c r="M8" i="7"/>
  <c r="K8" i="7"/>
  <c r="I8" i="7"/>
  <c r="G8" i="7"/>
  <c r="E8" i="7"/>
  <c r="C8" i="7"/>
  <c r="A8" i="7"/>
  <c r="M7" i="7"/>
  <c r="K7" i="7"/>
  <c r="I7" i="7"/>
  <c r="G7" i="7"/>
  <c r="E7" i="7"/>
  <c r="C7" i="7"/>
  <c r="A7" i="7"/>
  <c r="M6" i="7"/>
  <c r="K6" i="7"/>
  <c r="I6" i="7"/>
  <c r="G6" i="7"/>
  <c r="E6" i="7"/>
  <c r="C6" i="7"/>
  <c r="A6" i="7"/>
  <c r="M5" i="7"/>
  <c r="K5" i="7"/>
  <c r="I5" i="7"/>
  <c r="G5" i="7"/>
  <c r="E5" i="7"/>
  <c r="C5" i="7"/>
  <c r="A5" i="7"/>
  <c r="M4" i="7"/>
  <c r="K4" i="7"/>
  <c r="I4" i="7"/>
  <c r="G4" i="7"/>
  <c r="E4" i="7"/>
  <c r="C4" i="7"/>
  <c r="A4" i="7"/>
  <c r="M3" i="7"/>
  <c r="K3" i="7"/>
  <c r="I3" i="7"/>
  <c r="G3" i="7"/>
  <c r="E3" i="7"/>
  <c r="C3" i="7"/>
  <c r="A3" i="7"/>
  <c r="M2" i="7"/>
  <c r="K2" i="7"/>
  <c r="I2" i="7"/>
  <c r="G2" i="7"/>
  <c r="E2" i="7"/>
  <c r="C2" i="7"/>
  <c r="A2" i="7"/>
  <c r="M1" i="7"/>
  <c r="K1" i="7"/>
  <c r="I1" i="7"/>
  <c r="G1" i="7"/>
  <c r="E1" i="7"/>
  <c r="C1" i="7"/>
  <c r="A1" i="7"/>
  <c r="J64" i="13"/>
  <c r="D64" i="13"/>
  <c r="C64" i="13"/>
  <c r="J63" i="13"/>
  <c r="D63" i="13"/>
  <c r="C63" i="13"/>
  <c r="J62" i="13"/>
  <c r="D62" i="13"/>
  <c r="C62" i="13"/>
  <c r="J61" i="13"/>
  <c r="D61" i="13"/>
  <c r="C61" i="13"/>
  <c r="J60" i="13"/>
  <c r="D60" i="13"/>
  <c r="C60" i="13"/>
  <c r="J59" i="13"/>
  <c r="D59" i="13"/>
  <c r="C59" i="13"/>
  <c r="J58" i="13"/>
  <c r="D58" i="13"/>
  <c r="C58" i="13"/>
  <c r="J57" i="13"/>
  <c r="D57" i="13"/>
  <c r="C57" i="13"/>
  <c r="J56" i="13"/>
  <c r="D56" i="13"/>
  <c r="C56" i="13"/>
  <c r="J55" i="13"/>
  <c r="D55" i="13"/>
  <c r="C55" i="13"/>
  <c r="J54" i="13"/>
  <c r="D54" i="13"/>
  <c r="C54" i="13"/>
  <c r="J53" i="13"/>
  <c r="D53" i="13"/>
  <c r="C53" i="13"/>
  <c r="J52" i="13"/>
  <c r="D52" i="13"/>
  <c r="C52" i="13"/>
  <c r="J51" i="13"/>
  <c r="D51" i="13"/>
  <c r="C51" i="13"/>
  <c r="J50" i="13"/>
  <c r="D50" i="13"/>
  <c r="C50" i="13"/>
  <c r="J49" i="13"/>
  <c r="D49" i="13"/>
  <c r="C49" i="13"/>
  <c r="J48" i="13"/>
  <c r="D48" i="13"/>
  <c r="C48" i="13"/>
  <c r="J47" i="13"/>
  <c r="D47" i="13"/>
  <c r="C47" i="13"/>
  <c r="J46" i="13"/>
  <c r="D46" i="13"/>
  <c r="C46" i="13"/>
  <c r="J45" i="13"/>
  <c r="D45" i="13"/>
  <c r="C45" i="13"/>
  <c r="J44" i="13"/>
  <c r="C44" i="13"/>
  <c r="J43" i="13"/>
  <c r="D43" i="13"/>
  <c r="C43" i="13"/>
  <c r="J42" i="13"/>
  <c r="D42" i="13"/>
  <c r="C42" i="13"/>
  <c r="J41" i="13"/>
  <c r="D41" i="13"/>
  <c r="C41" i="13"/>
  <c r="J40" i="13"/>
  <c r="D40" i="13"/>
  <c r="C40" i="13"/>
  <c r="J39" i="13"/>
  <c r="D39" i="13"/>
  <c r="C39" i="13"/>
  <c r="J38" i="13"/>
  <c r="D38" i="13"/>
  <c r="C38" i="13"/>
  <c r="J37" i="13"/>
  <c r="D37" i="13"/>
  <c r="C37" i="13"/>
  <c r="J36" i="13"/>
  <c r="D36" i="13"/>
  <c r="C36" i="13"/>
  <c r="J35" i="13"/>
  <c r="D35" i="13"/>
  <c r="C35" i="13"/>
  <c r="J34" i="13"/>
  <c r="D34" i="13"/>
  <c r="C34" i="13"/>
  <c r="J33" i="13"/>
  <c r="D33" i="13"/>
  <c r="C33" i="13"/>
  <c r="J32" i="13"/>
  <c r="D32" i="13"/>
  <c r="C32" i="13"/>
  <c r="J31" i="13"/>
  <c r="D31" i="13"/>
  <c r="C31" i="13"/>
  <c r="J30" i="13"/>
  <c r="D30" i="13"/>
  <c r="C30" i="13"/>
  <c r="J29" i="13"/>
  <c r="D29" i="13"/>
  <c r="C29" i="13"/>
  <c r="J28" i="13"/>
  <c r="D28" i="13"/>
  <c r="C28" i="13"/>
  <c r="J27" i="13"/>
  <c r="D27" i="13"/>
  <c r="C27" i="13"/>
  <c r="J26" i="13"/>
  <c r="D26" i="13"/>
  <c r="C26" i="13"/>
  <c r="J25" i="13"/>
  <c r="D25" i="13"/>
  <c r="C25" i="13"/>
  <c r="J24" i="13"/>
  <c r="D24" i="13"/>
  <c r="C24" i="13"/>
  <c r="J23" i="13"/>
  <c r="C23" i="13"/>
  <c r="J22" i="13"/>
  <c r="D22" i="13"/>
  <c r="C22" i="13"/>
  <c r="J21" i="13"/>
  <c r="D21" i="13"/>
  <c r="C21" i="13"/>
  <c r="J20" i="13"/>
  <c r="D20" i="13"/>
  <c r="C20" i="13"/>
  <c r="J19" i="13"/>
  <c r="D19" i="13"/>
  <c r="C19" i="13"/>
  <c r="J18" i="13"/>
  <c r="D18" i="13"/>
  <c r="C18" i="13"/>
  <c r="J17" i="13"/>
  <c r="D17" i="13"/>
  <c r="C17" i="13"/>
  <c r="J16" i="13"/>
  <c r="D16" i="13"/>
  <c r="C16" i="13"/>
  <c r="J15" i="13"/>
  <c r="D15" i="13"/>
  <c r="C15" i="13"/>
  <c r="J14" i="13"/>
  <c r="D14" i="13"/>
  <c r="C14" i="13"/>
  <c r="J13" i="13"/>
  <c r="D13" i="13"/>
  <c r="C13" i="13"/>
  <c r="J12" i="13"/>
  <c r="D12" i="13"/>
  <c r="C12" i="13"/>
  <c r="J11" i="13"/>
  <c r="D11" i="13"/>
  <c r="C11" i="13"/>
  <c r="J10" i="13"/>
  <c r="D10" i="13"/>
  <c r="C10" i="13"/>
  <c r="D9" i="13"/>
  <c r="C9" i="13"/>
  <c r="J8" i="13"/>
  <c r="D8" i="13"/>
  <c r="C8" i="13"/>
  <c r="J7" i="13"/>
  <c r="D7" i="13"/>
  <c r="C7" i="13"/>
  <c r="D6" i="13"/>
  <c r="C6" i="13"/>
  <c r="J5" i="13"/>
  <c r="D5" i="13"/>
  <c r="C5" i="13"/>
  <c r="J4" i="13"/>
  <c r="D4" i="13"/>
  <c r="C4" i="13"/>
  <c r="J3" i="13"/>
  <c r="D3" i="13"/>
  <c r="C3" i="13"/>
  <c r="J2" i="13"/>
  <c r="C2" i="13"/>
  <c r="AM68" i="22"/>
  <c r="D68" i="22"/>
  <c r="C68" i="22"/>
  <c r="B68" i="22"/>
  <c r="A68" i="22"/>
  <c r="AM67" i="22"/>
  <c r="D67" i="22"/>
  <c r="C67" i="22"/>
  <c r="B67" i="22"/>
  <c r="A67" i="22"/>
  <c r="AM66" i="22"/>
  <c r="D66" i="22"/>
  <c r="C66" i="22"/>
  <c r="B66" i="22"/>
  <c r="A66" i="22"/>
  <c r="AM65" i="22"/>
  <c r="D65" i="22"/>
  <c r="C65" i="22"/>
  <c r="B65" i="22"/>
  <c r="A65" i="22"/>
  <c r="AM64" i="22"/>
  <c r="D64" i="22"/>
  <c r="C64" i="22"/>
  <c r="B64" i="22"/>
  <c r="A64" i="22"/>
  <c r="AM63" i="22"/>
  <c r="D63" i="22"/>
  <c r="C63" i="22"/>
  <c r="B63" i="22"/>
  <c r="A63" i="22"/>
  <c r="AM62" i="22"/>
  <c r="D62" i="22"/>
  <c r="C62" i="22"/>
  <c r="B62" i="22"/>
  <c r="A62" i="22"/>
  <c r="AM61" i="22"/>
  <c r="D61" i="22"/>
  <c r="C61" i="22"/>
  <c r="B61" i="22"/>
  <c r="A61" i="22"/>
  <c r="AM60" i="22"/>
  <c r="D60" i="22"/>
  <c r="C60" i="22"/>
  <c r="B60" i="22"/>
  <c r="A60" i="22"/>
  <c r="AM59" i="22"/>
  <c r="D59" i="22"/>
  <c r="C59" i="22"/>
  <c r="B59" i="22"/>
  <c r="A59" i="22"/>
  <c r="AM58" i="22"/>
  <c r="D58" i="22"/>
  <c r="C58" i="22"/>
  <c r="B58" i="22"/>
  <c r="A58" i="22"/>
  <c r="AM57" i="22"/>
  <c r="D57" i="22"/>
  <c r="C57" i="22"/>
  <c r="B57" i="22"/>
  <c r="A57" i="22"/>
  <c r="AM56" i="22"/>
  <c r="D56" i="22"/>
  <c r="C56" i="22"/>
  <c r="B56" i="22"/>
  <c r="A56" i="22"/>
  <c r="AM55" i="22"/>
  <c r="D55" i="22"/>
  <c r="C55" i="22"/>
  <c r="B55" i="22"/>
  <c r="A55" i="22"/>
  <c r="AM54" i="22"/>
  <c r="D54" i="22"/>
  <c r="C54" i="22"/>
  <c r="B54" i="22"/>
  <c r="A54" i="22"/>
  <c r="AM53" i="22"/>
  <c r="D53" i="22"/>
  <c r="C53" i="22"/>
  <c r="B53" i="22"/>
  <c r="A53" i="22"/>
  <c r="AM52" i="22"/>
  <c r="D52" i="22"/>
  <c r="C52" i="22"/>
  <c r="B52" i="22"/>
  <c r="A52" i="22"/>
  <c r="AM51" i="22"/>
  <c r="D51" i="22"/>
  <c r="C51" i="22"/>
  <c r="B51" i="22"/>
  <c r="A51" i="22"/>
  <c r="AM50" i="22"/>
  <c r="D50" i="22"/>
  <c r="C50" i="22"/>
  <c r="B50" i="22"/>
  <c r="A50" i="22"/>
  <c r="AM49" i="22"/>
  <c r="D49" i="22"/>
  <c r="C49" i="22"/>
  <c r="B49" i="22"/>
  <c r="A49" i="22"/>
  <c r="AM48" i="22"/>
  <c r="D48" i="22"/>
  <c r="B48" i="22"/>
  <c r="A48" i="22"/>
  <c r="AM47" i="22"/>
  <c r="D47" i="22"/>
  <c r="C47" i="22"/>
  <c r="B47" i="22"/>
  <c r="A47" i="22"/>
  <c r="AM46" i="22"/>
  <c r="D46" i="22"/>
  <c r="C46" i="22"/>
  <c r="B46" i="22"/>
  <c r="A46" i="22"/>
  <c r="AM45" i="22"/>
  <c r="D45" i="22"/>
  <c r="C45" i="22"/>
  <c r="B45" i="22"/>
  <c r="A45" i="22"/>
  <c r="AM44" i="22"/>
  <c r="D44" i="22"/>
  <c r="C44" i="22"/>
  <c r="B44" i="22"/>
  <c r="A44" i="22"/>
  <c r="AM43" i="22"/>
  <c r="D43" i="22"/>
  <c r="C43" i="22"/>
  <c r="B43" i="22"/>
  <c r="A43" i="22"/>
  <c r="AM42" i="22"/>
  <c r="D42" i="22"/>
  <c r="C42" i="22"/>
  <c r="B42" i="22"/>
  <c r="A42" i="22"/>
  <c r="AM41" i="22"/>
  <c r="D41" i="22"/>
  <c r="C41" i="22"/>
  <c r="B41" i="22"/>
  <c r="A41" i="22"/>
  <c r="AM40" i="22"/>
  <c r="D40" i="22"/>
  <c r="C40" i="22"/>
  <c r="B40" i="22"/>
  <c r="A40" i="22"/>
  <c r="AM39" i="22"/>
  <c r="D39" i="22"/>
  <c r="C39" i="22"/>
  <c r="B39" i="22"/>
  <c r="A39" i="22"/>
  <c r="AM38" i="22"/>
  <c r="D38" i="22"/>
  <c r="C38" i="22"/>
  <c r="B38" i="22"/>
  <c r="A38" i="22"/>
  <c r="AM37" i="22"/>
  <c r="D37" i="22"/>
  <c r="C37" i="22"/>
  <c r="B37" i="22"/>
  <c r="A37" i="22"/>
  <c r="AM36" i="22"/>
  <c r="D36" i="22"/>
  <c r="C36" i="22"/>
  <c r="B36" i="22"/>
  <c r="A36" i="22"/>
  <c r="AM35" i="22"/>
  <c r="D35" i="22"/>
  <c r="C35" i="22"/>
  <c r="B35" i="22"/>
  <c r="A35" i="22"/>
  <c r="AM34" i="22"/>
  <c r="D34" i="22"/>
  <c r="C34" i="22"/>
  <c r="B34" i="22"/>
  <c r="A34" i="22"/>
  <c r="AM33" i="22"/>
  <c r="D33" i="22"/>
  <c r="C33" i="22"/>
  <c r="B33" i="22"/>
  <c r="A33" i="22"/>
  <c r="AM32" i="22"/>
  <c r="D32" i="22"/>
  <c r="C32" i="22"/>
  <c r="B32" i="22"/>
  <c r="A32" i="22"/>
  <c r="AM31" i="22"/>
  <c r="D31" i="22"/>
  <c r="C31" i="22"/>
  <c r="B31" i="22"/>
  <c r="A31" i="22"/>
  <c r="AM30" i="22"/>
  <c r="D30" i="22"/>
  <c r="C30" i="22"/>
  <c r="B30" i="22"/>
  <c r="A30" i="22"/>
  <c r="AM29" i="22"/>
  <c r="D29" i="22"/>
  <c r="C29" i="22"/>
  <c r="B29" i="22"/>
  <c r="A29" i="22"/>
  <c r="AM28" i="22"/>
  <c r="D28" i="22"/>
  <c r="C28" i="22"/>
  <c r="B28" i="22"/>
  <c r="A28" i="22"/>
  <c r="AM27" i="22"/>
  <c r="D27" i="22"/>
  <c r="B27" i="22"/>
  <c r="A27" i="22"/>
  <c r="AM26" i="22"/>
  <c r="D26" i="22"/>
  <c r="C26" i="22"/>
  <c r="B26" i="22"/>
  <c r="A26" i="22"/>
  <c r="AM25" i="22"/>
  <c r="D25" i="22"/>
  <c r="C25" i="22"/>
  <c r="B25" i="22"/>
  <c r="A25" i="22"/>
  <c r="AM24" i="22"/>
  <c r="D24" i="22"/>
  <c r="C24" i="22"/>
  <c r="B24" i="22"/>
  <c r="A24" i="22"/>
  <c r="AM23" i="22"/>
  <c r="D23" i="22"/>
  <c r="C23" i="22"/>
  <c r="B23" i="22"/>
  <c r="A23" i="22"/>
  <c r="AM22" i="22"/>
  <c r="D22" i="22"/>
  <c r="C22" i="22"/>
  <c r="B22" i="22"/>
  <c r="A22" i="22"/>
  <c r="AM21" i="22"/>
  <c r="D21" i="22"/>
  <c r="C21" i="22"/>
  <c r="B21" i="22"/>
  <c r="A21" i="22"/>
  <c r="AM20" i="22"/>
  <c r="D20" i="22"/>
  <c r="C20" i="22"/>
  <c r="B20" i="22"/>
  <c r="A20" i="22"/>
  <c r="AM19" i="22"/>
  <c r="D19" i="22"/>
  <c r="C19" i="22"/>
  <c r="B19" i="22"/>
  <c r="A19" i="22"/>
  <c r="AM18" i="22"/>
  <c r="D18" i="22"/>
  <c r="C18" i="22"/>
  <c r="B18" i="22"/>
  <c r="A18" i="22"/>
  <c r="AM17" i="22"/>
  <c r="D17" i="22"/>
  <c r="C17" i="22"/>
  <c r="B17" i="22"/>
  <c r="A17" i="22"/>
  <c r="AM16" i="22"/>
  <c r="D16" i="22"/>
  <c r="C16" i="22"/>
  <c r="B16" i="22"/>
  <c r="A16" i="22"/>
  <c r="AM15" i="22"/>
  <c r="D15" i="22"/>
  <c r="C15" i="22"/>
  <c r="B15" i="22"/>
  <c r="A15" i="22"/>
  <c r="AM14" i="22"/>
  <c r="D14" i="22"/>
  <c r="C14" i="22"/>
  <c r="B14" i="22"/>
  <c r="A14" i="22"/>
  <c r="AM13" i="22"/>
  <c r="V13" i="22"/>
  <c r="T13" i="22"/>
  <c r="R13" i="22"/>
  <c r="L13" i="22"/>
  <c r="D13" i="22"/>
  <c r="C13" i="22"/>
  <c r="B13" i="22"/>
  <c r="A13" i="22"/>
  <c r="AM12" i="22"/>
  <c r="D12" i="22"/>
  <c r="C12" i="22"/>
  <c r="B12" i="22"/>
  <c r="A12" i="22"/>
  <c r="AM11" i="22"/>
  <c r="D11" i="22"/>
  <c r="C11" i="22"/>
  <c r="B11" i="22"/>
  <c r="A11" i="22"/>
  <c r="AM10" i="22"/>
  <c r="V10" i="22"/>
  <c r="T10" i="22"/>
  <c r="R10" i="22"/>
  <c r="L10" i="22"/>
  <c r="D10" i="22"/>
  <c r="C10" i="22"/>
  <c r="B10" i="22"/>
  <c r="A10" i="22"/>
  <c r="AM9" i="22"/>
  <c r="D9" i="22"/>
  <c r="C9" i="22"/>
  <c r="B9" i="22"/>
  <c r="A9" i="22"/>
  <c r="AM8" i="22"/>
  <c r="D8" i="22"/>
  <c r="C8" i="22"/>
  <c r="B8" i="22"/>
  <c r="A8" i="22"/>
  <c r="AM7" i="22"/>
  <c r="D7" i="22"/>
  <c r="C7" i="22"/>
  <c r="B7" i="22"/>
  <c r="A7" i="22"/>
  <c r="AM6" i="22"/>
  <c r="D6" i="22"/>
  <c r="B6" i="22"/>
  <c r="A6" i="22"/>
  <c r="AF68" i="10"/>
  <c r="D74" i="23" s="1"/>
  <c r="D68" i="10"/>
  <c r="E74" i="23" s="1"/>
  <c r="C68" i="10"/>
  <c r="G74" i="23" s="1"/>
  <c r="B68" i="10"/>
  <c r="B74" i="23" s="1"/>
  <c r="A68" i="10"/>
  <c r="A74" i="23" s="1"/>
  <c r="AF67" i="10"/>
  <c r="D73" i="23" s="1"/>
  <c r="D67" i="10"/>
  <c r="E73" i="23" s="1"/>
  <c r="C67" i="10"/>
  <c r="G73" i="23" s="1"/>
  <c r="B67" i="10"/>
  <c r="B73" i="23" s="1"/>
  <c r="A67" i="10"/>
  <c r="A73" i="23" s="1"/>
  <c r="AF66" i="10"/>
  <c r="D72" i="23" s="1"/>
  <c r="D66" i="10"/>
  <c r="E72" i="23" s="1"/>
  <c r="C66" i="10"/>
  <c r="G72" i="23" s="1"/>
  <c r="B66" i="10"/>
  <c r="B72" i="23" s="1"/>
  <c r="A66" i="10"/>
  <c r="A72" i="23" s="1"/>
  <c r="AF65" i="10"/>
  <c r="D71" i="23" s="1"/>
  <c r="D65" i="10"/>
  <c r="E71" i="23" s="1"/>
  <c r="C65" i="10"/>
  <c r="G71" i="23" s="1"/>
  <c r="B65" i="10"/>
  <c r="B71" i="23" s="1"/>
  <c r="A65" i="10"/>
  <c r="A71" i="23" s="1"/>
  <c r="AF64" i="10"/>
  <c r="D70" i="23" s="1"/>
  <c r="D64" i="10"/>
  <c r="E70" i="23" s="1"/>
  <c r="C64" i="10"/>
  <c r="G70" i="23" s="1"/>
  <c r="B64" i="10"/>
  <c r="B70" i="23" s="1"/>
  <c r="A64" i="10"/>
  <c r="A70" i="23" s="1"/>
  <c r="AF63" i="10"/>
  <c r="D69" i="23" s="1"/>
  <c r="D63" i="10"/>
  <c r="E69" i="23" s="1"/>
  <c r="C63" i="10"/>
  <c r="G69" i="23" s="1"/>
  <c r="B63" i="10"/>
  <c r="B69" i="23" s="1"/>
  <c r="A63" i="10"/>
  <c r="A69" i="23" s="1"/>
  <c r="AF62" i="10"/>
  <c r="D68" i="23" s="1"/>
  <c r="D62" i="10"/>
  <c r="E68" i="23" s="1"/>
  <c r="C62" i="10"/>
  <c r="G68" i="23" s="1"/>
  <c r="B62" i="10"/>
  <c r="B68" i="23" s="1"/>
  <c r="A62" i="10"/>
  <c r="A68" i="23" s="1"/>
  <c r="AF61" i="10"/>
  <c r="D67" i="23" s="1"/>
  <c r="D61" i="10"/>
  <c r="E67" i="23" s="1"/>
  <c r="C61" i="10"/>
  <c r="G67" i="23" s="1"/>
  <c r="B61" i="10"/>
  <c r="B67" i="23" s="1"/>
  <c r="A61" i="10"/>
  <c r="A67" i="23" s="1"/>
  <c r="AF60" i="10"/>
  <c r="D66" i="23" s="1"/>
  <c r="D60" i="10"/>
  <c r="E66" i="23" s="1"/>
  <c r="C60" i="10"/>
  <c r="G66" i="23" s="1"/>
  <c r="B60" i="10"/>
  <c r="B66" i="23" s="1"/>
  <c r="A60" i="10"/>
  <c r="A66" i="23" s="1"/>
  <c r="AF59" i="10"/>
  <c r="D65" i="23" s="1"/>
  <c r="D59" i="10"/>
  <c r="E65" i="23" s="1"/>
  <c r="C59" i="10"/>
  <c r="G65" i="23" s="1"/>
  <c r="B59" i="10"/>
  <c r="B65" i="23" s="1"/>
  <c r="A59" i="10"/>
  <c r="A65" i="23" s="1"/>
  <c r="AF58" i="10"/>
  <c r="D64" i="23" s="1"/>
  <c r="D58" i="10"/>
  <c r="E64" i="23" s="1"/>
  <c r="C58" i="10"/>
  <c r="G64" i="23" s="1"/>
  <c r="B58" i="10"/>
  <c r="B64" i="23" s="1"/>
  <c r="A58" i="10"/>
  <c r="A64" i="23" s="1"/>
  <c r="AF57" i="10"/>
  <c r="D63" i="23" s="1"/>
  <c r="D57" i="10"/>
  <c r="E63" i="23" s="1"/>
  <c r="C57" i="10"/>
  <c r="G63" i="23" s="1"/>
  <c r="B57" i="10"/>
  <c r="B63" i="23" s="1"/>
  <c r="A57" i="10"/>
  <c r="A63" i="23" s="1"/>
  <c r="AF56" i="10"/>
  <c r="D62" i="23" s="1"/>
  <c r="D56" i="10"/>
  <c r="E62" i="23" s="1"/>
  <c r="C56" i="10"/>
  <c r="G62" i="23" s="1"/>
  <c r="B56" i="10"/>
  <c r="B62" i="23" s="1"/>
  <c r="A56" i="10"/>
  <c r="A62" i="23" s="1"/>
  <c r="AF55" i="10"/>
  <c r="D61" i="23" s="1"/>
  <c r="D55" i="10"/>
  <c r="E61" i="23" s="1"/>
  <c r="C55" i="10"/>
  <c r="G61" i="23" s="1"/>
  <c r="B55" i="10"/>
  <c r="B61" i="23" s="1"/>
  <c r="A55" i="10"/>
  <c r="A61" i="23" s="1"/>
  <c r="AF54" i="10"/>
  <c r="D60" i="23" s="1"/>
  <c r="D54" i="10"/>
  <c r="E60" i="23" s="1"/>
  <c r="C54" i="10"/>
  <c r="G60" i="23" s="1"/>
  <c r="B54" i="10"/>
  <c r="B60" i="23" s="1"/>
  <c r="A54" i="10"/>
  <c r="A60" i="23" s="1"/>
  <c r="AF53" i="10"/>
  <c r="D59" i="23" s="1"/>
  <c r="D53" i="10"/>
  <c r="E59" i="23" s="1"/>
  <c r="C53" i="10"/>
  <c r="G59" i="23" s="1"/>
  <c r="B53" i="10"/>
  <c r="B59" i="23" s="1"/>
  <c r="A53" i="10"/>
  <c r="A59" i="23" s="1"/>
  <c r="AF52" i="10"/>
  <c r="D58" i="23" s="1"/>
  <c r="D52" i="10"/>
  <c r="E58" i="23" s="1"/>
  <c r="C52" i="10"/>
  <c r="G58" i="23" s="1"/>
  <c r="B52" i="10"/>
  <c r="B58" i="23" s="1"/>
  <c r="A52" i="10"/>
  <c r="A58" i="23" s="1"/>
  <c r="AF51" i="10"/>
  <c r="D57" i="23" s="1"/>
  <c r="D51" i="10"/>
  <c r="E57" i="23" s="1"/>
  <c r="C51" i="10"/>
  <c r="G57" i="23" s="1"/>
  <c r="B51" i="10"/>
  <c r="B57" i="23" s="1"/>
  <c r="A51" i="10"/>
  <c r="A57" i="23" s="1"/>
  <c r="AF50" i="10"/>
  <c r="D56" i="23" s="1"/>
  <c r="D50" i="10"/>
  <c r="E56" i="23" s="1"/>
  <c r="C50" i="10"/>
  <c r="G56" i="23" s="1"/>
  <c r="B50" i="10"/>
  <c r="B56" i="23" s="1"/>
  <c r="A50" i="10"/>
  <c r="A56" i="23" s="1"/>
  <c r="AF49" i="10"/>
  <c r="D55" i="23" s="1"/>
  <c r="D49" i="10"/>
  <c r="E55" i="23" s="1"/>
  <c r="C49" i="10"/>
  <c r="G55" i="23" s="1"/>
  <c r="B49" i="10"/>
  <c r="B55" i="23" s="1"/>
  <c r="A49" i="10"/>
  <c r="A55" i="23" s="1"/>
  <c r="AF48" i="10"/>
  <c r="D54" i="23" s="1"/>
  <c r="D48" i="10"/>
  <c r="E54" i="23" s="1"/>
  <c r="B48" i="10"/>
  <c r="B54" i="23" s="1"/>
  <c r="A48" i="10"/>
  <c r="A54" i="23" s="1"/>
  <c r="AF47" i="10"/>
  <c r="D53" i="23" s="1"/>
  <c r="D47" i="10"/>
  <c r="E53" i="23" s="1"/>
  <c r="C47" i="10"/>
  <c r="G53" i="23" s="1"/>
  <c r="B47" i="10"/>
  <c r="B53" i="23" s="1"/>
  <c r="A47" i="10"/>
  <c r="A53" i="23" s="1"/>
  <c r="AF46" i="10"/>
  <c r="D52" i="23" s="1"/>
  <c r="D46" i="10"/>
  <c r="E52" i="23" s="1"/>
  <c r="C46" i="10"/>
  <c r="G52" i="23" s="1"/>
  <c r="B46" i="10"/>
  <c r="B52" i="23" s="1"/>
  <c r="A46" i="10"/>
  <c r="A52" i="23" s="1"/>
  <c r="AF45" i="10"/>
  <c r="D51" i="23" s="1"/>
  <c r="D45" i="10"/>
  <c r="E51" i="23" s="1"/>
  <c r="C45" i="10"/>
  <c r="G51" i="23" s="1"/>
  <c r="B45" i="10"/>
  <c r="B51" i="23" s="1"/>
  <c r="A45" i="10"/>
  <c r="A51" i="23" s="1"/>
  <c r="AF44" i="10"/>
  <c r="D50" i="23" s="1"/>
  <c r="D44" i="10"/>
  <c r="E50" i="23" s="1"/>
  <c r="C44" i="10"/>
  <c r="G50" i="23" s="1"/>
  <c r="B44" i="10"/>
  <c r="B50" i="23" s="1"/>
  <c r="A44" i="10"/>
  <c r="A50" i="23" s="1"/>
  <c r="AF43" i="10"/>
  <c r="D49" i="23" s="1"/>
  <c r="D43" i="10"/>
  <c r="E49" i="23" s="1"/>
  <c r="C43" i="10"/>
  <c r="G49" i="23" s="1"/>
  <c r="B43" i="10"/>
  <c r="B49" i="23" s="1"/>
  <c r="A43" i="10"/>
  <c r="A49" i="23" s="1"/>
  <c r="AF42" i="10"/>
  <c r="D48" i="23" s="1"/>
  <c r="D42" i="10"/>
  <c r="E48" i="23" s="1"/>
  <c r="C42" i="10"/>
  <c r="G48" i="23" s="1"/>
  <c r="B42" i="10"/>
  <c r="B48" i="23" s="1"/>
  <c r="A42" i="10"/>
  <c r="A48" i="23" s="1"/>
  <c r="AF41" i="10"/>
  <c r="D47" i="23" s="1"/>
  <c r="D41" i="10"/>
  <c r="E47" i="23" s="1"/>
  <c r="C41" i="10"/>
  <c r="G47" i="23" s="1"/>
  <c r="B41" i="10"/>
  <c r="B47" i="23" s="1"/>
  <c r="A41" i="10"/>
  <c r="A47" i="23" s="1"/>
  <c r="AF40" i="10"/>
  <c r="D46" i="23" s="1"/>
  <c r="D40" i="10"/>
  <c r="E46" i="23" s="1"/>
  <c r="C40" i="10"/>
  <c r="G46" i="23" s="1"/>
  <c r="B40" i="10"/>
  <c r="B46" i="23" s="1"/>
  <c r="A40" i="10"/>
  <c r="A46" i="23" s="1"/>
  <c r="AF39" i="10"/>
  <c r="D45" i="23" s="1"/>
  <c r="D39" i="10"/>
  <c r="E45" i="23" s="1"/>
  <c r="C39" i="10"/>
  <c r="G45" i="23" s="1"/>
  <c r="B39" i="10"/>
  <c r="B45" i="23" s="1"/>
  <c r="A39" i="10"/>
  <c r="A45" i="23" s="1"/>
  <c r="AF38" i="10"/>
  <c r="D44" i="23" s="1"/>
  <c r="D38" i="10"/>
  <c r="E44" i="23" s="1"/>
  <c r="C38" i="10"/>
  <c r="G44" i="23" s="1"/>
  <c r="B38" i="10"/>
  <c r="B44" i="23" s="1"/>
  <c r="A38" i="10"/>
  <c r="A44" i="23" s="1"/>
  <c r="AF37" i="10"/>
  <c r="D43" i="23" s="1"/>
  <c r="D37" i="10"/>
  <c r="E43" i="23" s="1"/>
  <c r="C37" i="10"/>
  <c r="G43" i="23" s="1"/>
  <c r="B37" i="10"/>
  <c r="B43" i="23" s="1"/>
  <c r="A37" i="10"/>
  <c r="A43" i="23" s="1"/>
  <c r="AF36" i="10"/>
  <c r="D42" i="23" s="1"/>
  <c r="D36" i="10"/>
  <c r="E42" i="23" s="1"/>
  <c r="C36" i="10"/>
  <c r="G42" i="23" s="1"/>
  <c r="B36" i="10"/>
  <c r="B42" i="23" s="1"/>
  <c r="A36" i="10"/>
  <c r="A42" i="23" s="1"/>
  <c r="AF35" i="10"/>
  <c r="D41" i="23" s="1"/>
  <c r="D35" i="10"/>
  <c r="E41" i="23" s="1"/>
  <c r="C35" i="10"/>
  <c r="G41" i="23" s="1"/>
  <c r="B35" i="10"/>
  <c r="B41" i="23" s="1"/>
  <c r="A35" i="10"/>
  <c r="A41" i="23" s="1"/>
  <c r="AF34" i="10"/>
  <c r="D40" i="23" s="1"/>
  <c r="D34" i="10"/>
  <c r="E40" i="23" s="1"/>
  <c r="C34" i="10"/>
  <c r="G40" i="23" s="1"/>
  <c r="B34" i="10"/>
  <c r="B40" i="23" s="1"/>
  <c r="A34" i="10"/>
  <c r="A40" i="23" s="1"/>
  <c r="AF33" i="10"/>
  <c r="D39" i="23" s="1"/>
  <c r="D33" i="10"/>
  <c r="E39" i="23" s="1"/>
  <c r="C33" i="10"/>
  <c r="G39" i="23" s="1"/>
  <c r="B33" i="10"/>
  <c r="B39" i="23" s="1"/>
  <c r="A33" i="10"/>
  <c r="A39" i="23" s="1"/>
  <c r="AF32" i="10"/>
  <c r="D38" i="23" s="1"/>
  <c r="D32" i="10"/>
  <c r="E38" i="23" s="1"/>
  <c r="C32" i="10"/>
  <c r="G38" i="23" s="1"/>
  <c r="B32" i="10"/>
  <c r="B38" i="23" s="1"/>
  <c r="A32" i="10"/>
  <c r="A38" i="23" s="1"/>
  <c r="AF31" i="10"/>
  <c r="D37" i="23" s="1"/>
  <c r="D31" i="10"/>
  <c r="E37" i="23" s="1"/>
  <c r="C31" i="10"/>
  <c r="G37" i="23" s="1"/>
  <c r="B31" i="10"/>
  <c r="B37" i="23" s="1"/>
  <c r="A31" i="10"/>
  <c r="A37" i="23" s="1"/>
  <c r="AF30" i="10"/>
  <c r="D36" i="23" s="1"/>
  <c r="D30" i="10"/>
  <c r="E36" i="23" s="1"/>
  <c r="C30" i="10"/>
  <c r="G36" i="23" s="1"/>
  <c r="B30" i="10"/>
  <c r="B36" i="23" s="1"/>
  <c r="A30" i="10"/>
  <c r="A36" i="23" s="1"/>
  <c r="AF29" i="10"/>
  <c r="D35" i="23" s="1"/>
  <c r="D29" i="10"/>
  <c r="E35" i="23" s="1"/>
  <c r="C29" i="10"/>
  <c r="G35" i="23" s="1"/>
  <c r="B29" i="10"/>
  <c r="B35" i="23" s="1"/>
  <c r="A29" i="10"/>
  <c r="A35" i="23" s="1"/>
  <c r="AF28" i="10"/>
  <c r="D34" i="23" s="1"/>
  <c r="D28" i="10"/>
  <c r="E34" i="23" s="1"/>
  <c r="C28" i="10"/>
  <c r="G34" i="23" s="1"/>
  <c r="B28" i="10"/>
  <c r="B34" i="23" s="1"/>
  <c r="A28" i="10"/>
  <c r="A34" i="23" s="1"/>
  <c r="AF27" i="10"/>
  <c r="D33" i="23" s="1"/>
  <c r="D27" i="10"/>
  <c r="E33" i="23" s="1"/>
  <c r="B27" i="10"/>
  <c r="B33" i="23" s="1"/>
  <c r="A27" i="10"/>
  <c r="A33" i="23" s="1"/>
  <c r="AF26" i="10"/>
  <c r="D32" i="23" s="1"/>
  <c r="D26" i="10"/>
  <c r="E32" i="23" s="1"/>
  <c r="C26" i="10"/>
  <c r="G32" i="23" s="1"/>
  <c r="B26" i="10"/>
  <c r="B32" i="23" s="1"/>
  <c r="A26" i="10"/>
  <c r="A32" i="23" s="1"/>
  <c r="AF25" i="10"/>
  <c r="D31" i="23" s="1"/>
  <c r="D25" i="10"/>
  <c r="E31" i="23" s="1"/>
  <c r="C25" i="10"/>
  <c r="G31" i="23" s="1"/>
  <c r="B25" i="10"/>
  <c r="B31" i="23" s="1"/>
  <c r="A25" i="10"/>
  <c r="A31" i="23" s="1"/>
  <c r="AF24" i="10"/>
  <c r="D30" i="23" s="1"/>
  <c r="D24" i="10"/>
  <c r="E30" i="23" s="1"/>
  <c r="C24" i="10"/>
  <c r="G30" i="23" s="1"/>
  <c r="B24" i="10"/>
  <c r="B30" i="23" s="1"/>
  <c r="A24" i="10"/>
  <c r="A30" i="23" s="1"/>
  <c r="AF23" i="10"/>
  <c r="D29" i="23" s="1"/>
  <c r="D23" i="10"/>
  <c r="E29" i="23" s="1"/>
  <c r="C23" i="10"/>
  <c r="G29" i="23" s="1"/>
  <c r="B23" i="10"/>
  <c r="B29" i="23" s="1"/>
  <c r="A23" i="10"/>
  <c r="A29" i="23" s="1"/>
  <c r="AF22" i="10"/>
  <c r="D28" i="23" s="1"/>
  <c r="D22" i="10"/>
  <c r="E28" i="23" s="1"/>
  <c r="C22" i="10"/>
  <c r="G28" i="23" s="1"/>
  <c r="B22" i="10"/>
  <c r="B28" i="23" s="1"/>
  <c r="A22" i="10"/>
  <c r="A28" i="23" s="1"/>
  <c r="AF21" i="10"/>
  <c r="D27" i="23" s="1"/>
  <c r="D21" i="10"/>
  <c r="E27" i="23" s="1"/>
  <c r="C21" i="10"/>
  <c r="G27" i="23" s="1"/>
  <c r="B21" i="10"/>
  <c r="B27" i="23" s="1"/>
  <c r="A21" i="10"/>
  <c r="A27" i="23" s="1"/>
  <c r="AF20" i="10"/>
  <c r="D26" i="23" s="1"/>
  <c r="D20" i="10"/>
  <c r="E26" i="23" s="1"/>
  <c r="C20" i="10"/>
  <c r="G26" i="23" s="1"/>
  <c r="B20" i="10"/>
  <c r="B26" i="23" s="1"/>
  <c r="A20" i="10"/>
  <c r="A26" i="23" s="1"/>
  <c r="AF19" i="10"/>
  <c r="D25" i="23" s="1"/>
  <c r="D19" i="10"/>
  <c r="E25" i="23" s="1"/>
  <c r="C19" i="10"/>
  <c r="G25" i="23" s="1"/>
  <c r="B19" i="10"/>
  <c r="B25" i="23" s="1"/>
  <c r="A19" i="10"/>
  <c r="A25" i="23" s="1"/>
  <c r="AF18" i="10"/>
  <c r="D24" i="23" s="1"/>
  <c r="D18" i="10"/>
  <c r="E24" i="23" s="1"/>
  <c r="C18" i="10"/>
  <c r="G24" i="23" s="1"/>
  <c r="B18" i="10"/>
  <c r="B24" i="23" s="1"/>
  <c r="A18" i="10"/>
  <c r="A24" i="23" s="1"/>
  <c r="AF17" i="10"/>
  <c r="D23" i="23" s="1"/>
  <c r="D17" i="10"/>
  <c r="E23" i="23" s="1"/>
  <c r="C17" i="10"/>
  <c r="G23" i="23" s="1"/>
  <c r="B17" i="10"/>
  <c r="B23" i="23" s="1"/>
  <c r="A17" i="10"/>
  <c r="A23" i="23" s="1"/>
  <c r="AF16" i="10"/>
  <c r="D22" i="23" s="1"/>
  <c r="D16" i="10"/>
  <c r="E22" i="23" s="1"/>
  <c r="C16" i="10"/>
  <c r="G22" i="23" s="1"/>
  <c r="B16" i="10"/>
  <c r="B22" i="23" s="1"/>
  <c r="A16" i="10"/>
  <c r="A22" i="23" s="1"/>
  <c r="AF15" i="10"/>
  <c r="D21" i="23" s="1"/>
  <c r="D15" i="10"/>
  <c r="E21" i="23" s="1"/>
  <c r="C15" i="10"/>
  <c r="G21" i="23" s="1"/>
  <c r="B15" i="10"/>
  <c r="B21" i="23" s="1"/>
  <c r="A15" i="10"/>
  <c r="A21" i="23" s="1"/>
  <c r="AF14" i="10"/>
  <c r="D20" i="23" s="1"/>
  <c r="D14" i="10"/>
  <c r="E20" i="23" s="1"/>
  <c r="C14" i="10"/>
  <c r="G20" i="23" s="1"/>
  <c r="B14" i="10"/>
  <c r="B20" i="23" s="1"/>
  <c r="A14" i="10"/>
  <c r="A20" i="23" s="1"/>
  <c r="AF13" i="10"/>
  <c r="D19" i="23" s="1"/>
  <c r="O13" i="10"/>
  <c r="N13" i="10"/>
  <c r="M13" i="10"/>
  <c r="J13" i="10"/>
  <c r="D13" i="10"/>
  <c r="E19" i="23" s="1"/>
  <c r="C13" i="10"/>
  <c r="G19" i="23" s="1"/>
  <c r="B13" i="10"/>
  <c r="B19" i="23" s="1"/>
  <c r="A13" i="10"/>
  <c r="A19" i="23" s="1"/>
  <c r="AF12" i="10"/>
  <c r="D18" i="23" s="1"/>
  <c r="D12" i="10"/>
  <c r="E18" i="23" s="1"/>
  <c r="C12" i="10"/>
  <c r="G18" i="23" s="1"/>
  <c r="B12" i="10"/>
  <c r="B18" i="23" s="1"/>
  <c r="A12" i="10"/>
  <c r="A18" i="23" s="1"/>
  <c r="AF11" i="10"/>
  <c r="D17" i="23" s="1"/>
  <c r="D11" i="10"/>
  <c r="E17" i="23" s="1"/>
  <c r="C11" i="10"/>
  <c r="G17" i="23" s="1"/>
  <c r="B11" i="10"/>
  <c r="B17" i="23" s="1"/>
  <c r="A11" i="10"/>
  <c r="A17" i="23" s="1"/>
  <c r="AF10" i="10"/>
  <c r="D16" i="23" s="1"/>
  <c r="O10" i="10"/>
  <c r="N10" i="10"/>
  <c r="M10" i="10"/>
  <c r="J10" i="10"/>
  <c r="D10" i="10"/>
  <c r="E16" i="23" s="1"/>
  <c r="C10" i="10"/>
  <c r="G16" i="23" s="1"/>
  <c r="B10" i="10"/>
  <c r="B16" i="23" s="1"/>
  <c r="A10" i="10"/>
  <c r="A16" i="23" s="1"/>
  <c r="AF9" i="10"/>
  <c r="D15" i="23" s="1"/>
  <c r="D9" i="10"/>
  <c r="E15" i="23" s="1"/>
  <c r="C9" i="10"/>
  <c r="G15" i="23" s="1"/>
  <c r="B9" i="10"/>
  <c r="B15" i="23" s="1"/>
  <c r="A9" i="10"/>
  <c r="A15" i="23" s="1"/>
  <c r="AF8" i="10"/>
  <c r="D14" i="23" s="1"/>
  <c r="D8" i="10"/>
  <c r="E14" i="23" s="1"/>
  <c r="C8" i="10"/>
  <c r="G14" i="23" s="1"/>
  <c r="B8" i="10"/>
  <c r="B14" i="23" s="1"/>
  <c r="A8" i="10"/>
  <c r="A14" i="23" s="1"/>
  <c r="AF7" i="10"/>
  <c r="D13" i="23" s="1"/>
  <c r="D7" i="10"/>
  <c r="E13" i="23" s="1"/>
  <c r="C7" i="10"/>
  <c r="G13" i="23" s="1"/>
  <c r="B7" i="10"/>
  <c r="B13" i="23" s="1"/>
  <c r="A7" i="10"/>
  <c r="A13" i="23" s="1"/>
  <c r="AF6" i="10"/>
  <c r="D12" i="23" s="1"/>
  <c r="D6" i="10"/>
  <c r="E12" i="23" s="1"/>
  <c r="B6" i="10"/>
  <c r="B12" i="23" s="1"/>
  <c r="A6" i="10"/>
  <c r="A12" i="23" s="1"/>
  <c r="F86" i="4"/>
  <c r="D86" i="4" s="1"/>
  <c r="D82" i="4"/>
  <c r="D81" i="4"/>
  <c r="D80" i="4"/>
  <c r="D84" i="4" s="1"/>
  <c r="U75" i="4"/>
  <c r="H75" i="4" s="1"/>
  <c r="T75" i="4"/>
  <c r="V75" i="4" s="1"/>
  <c r="AE68" i="22" s="1"/>
  <c r="S75" i="4"/>
  <c r="R75" i="4"/>
  <c r="U74" i="4"/>
  <c r="T74" i="4"/>
  <c r="S74" i="4"/>
  <c r="R74" i="4"/>
  <c r="T73" i="4"/>
  <c r="S73" i="4"/>
  <c r="R73" i="4"/>
  <c r="BA66" i="22" s="1"/>
  <c r="P72" i="23" s="1"/>
  <c r="Q72" i="23" s="1"/>
  <c r="T72" i="4"/>
  <c r="U71" i="4" s="1"/>
  <c r="AD64" i="22" s="1"/>
  <c r="S72" i="4"/>
  <c r="R72" i="4"/>
  <c r="BA65" i="22" s="1"/>
  <c r="P71" i="23" s="1"/>
  <c r="Q71" i="23" s="1"/>
  <c r="T71" i="4"/>
  <c r="S71" i="4"/>
  <c r="R71" i="4"/>
  <c r="T70" i="4"/>
  <c r="S70" i="4"/>
  <c r="R70" i="4"/>
  <c r="T69" i="4"/>
  <c r="U68" i="4" s="1"/>
  <c r="S69" i="4"/>
  <c r="R69" i="4"/>
  <c r="BA62" i="22" s="1"/>
  <c r="P68" i="23" s="1"/>
  <c r="Q68" i="23" s="1"/>
  <c r="T68" i="4"/>
  <c r="AC61" i="22" s="1"/>
  <c r="S68" i="4"/>
  <c r="R68" i="4"/>
  <c r="T67" i="4"/>
  <c r="AC60" i="22" s="1"/>
  <c r="S67" i="4"/>
  <c r="R67" i="4"/>
  <c r="T66" i="4"/>
  <c r="S66" i="4"/>
  <c r="R66" i="4"/>
  <c r="BA59" i="22" s="1"/>
  <c r="P65" i="23" s="1"/>
  <c r="Q65" i="23" s="1"/>
  <c r="T65" i="4"/>
  <c r="S65" i="4"/>
  <c r="R65" i="4"/>
  <c r="BA58" i="22" s="1"/>
  <c r="P64" i="23" s="1"/>
  <c r="Q64" i="23" s="1"/>
  <c r="U64" i="4"/>
  <c r="T64" i="4"/>
  <c r="AC57" i="22" s="1"/>
  <c r="S64" i="4"/>
  <c r="R64" i="4"/>
  <c r="BA57" i="22" s="1"/>
  <c r="P63" i="23" s="1"/>
  <c r="Q63" i="23" s="1"/>
  <c r="T63" i="4"/>
  <c r="AC56" i="22" s="1"/>
  <c r="S63" i="4"/>
  <c r="R63" i="4"/>
  <c r="T62" i="4"/>
  <c r="U61" i="4" s="1"/>
  <c r="S62" i="4"/>
  <c r="R62" i="4"/>
  <c r="T61" i="4"/>
  <c r="U60" i="4" s="1"/>
  <c r="S61" i="4"/>
  <c r="R61" i="4"/>
  <c r="BA54" i="22" s="1"/>
  <c r="P60" i="23" s="1"/>
  <c r="Q60" i="23" s="1"/>
  <c r="T60" i="4"/>
  <c r="AC53" i="22" s="1"/>
  <c r="S60" i="4"/>
  <c r="R60" i="4"/>
  <c r="T59" i="4"/>
  <c r="S59" i="4"/>
  <c r="R59" i="4"/>
  <c r="T58" i="4"/>
  <c r="V51" i="10" s="1"/>
  <c r="I57" i="23" s="1"/>
  <c r="S58" i="4"/>
  <c r="R58" i="4"/>
  <c r="BA51" i="22" s="1"/>
  <c r="P57" i="23" s="1"/>
  <c r="Q57" i="23" s="1"/>
  <c r="T57" i="4"/>
  <c r="S57" i="4"/>
  <c r="R57" i="4"/>
  <c r="BA50" i="22" s="1"/>
  <c r="P56" i="23" s="1"/>
  <c r="Q56" i="23" s="1"/>
  <c r="T56" i="4"/>
  <c r="AC49" i="22" s="1"/>
  <c r="S56" i="4"/>
  <c r="R56" i="4"/>
  <c r="BA49" i="22" s="1"/>
  <c r="P55" i="23" s="1"/>
  <c r="Q55" i="23" s="1"/>
  <c r="T55" i="4"/>
  <c r="AC48" i="22" s="1"/>
  <c r="S55" i="4"/>
  <c r="R55" i="4"/>
  <c r="U51" i="4"/>
  <c r="AD47" i="22" s="1"/>
  <c r="T51" i="4"/>
  <c r="AC47" i="22" s="1"/>
  <c r="S51" i="4"/>
  <c r="BC47" i="22" s="1"/>
  <c r="S53" i="23" s="1"/>
  <c r="T53" i="23" s="1"/>
  <c r="R51" i="4"/>
  <c r="T50" i="4"/>
  <c r="S50" i="4"/>
  <c r="R50" i="4"/>
  <c r="U49" i="4"/>
  <c r="T49" i="4"/>
  <c r="AC45" i="22" s="1"/>
  <c r="S49" i="4"/>
  <c r="BC45" i="22" s="1"/>
  <c r="S51" i="23" s="1"/>
  <c r="T51" i="23" s="1"/>
  <c r="R49" i="4"/>
  <c r="T48" i="4"/>
  <c r="S48" i="4"/>
  <c r="BC44" i="22" s="1"/>
  <c r="S50" i="23" s="1"/>
  <c r="T50" i="23" s="1"/>
  <c r="R48" i="4"/>
  <c r="BA44" i="22" s="1"/>
  <c r="P50" i="23" s="1"/>
  <c r="Q50" i="23" s="1"/>
  <c r="U47" i="4"/>
  <c r="T47" i="4"/>
  <c r="V43" i="10" s="1"/>
  <c r="I49" i="23" s="1"/>
  <c r="S47" i="4"/>
  <c r="BC43" i="22" s="1"/>
  <c r="S49" i="23" s="1"/>
  <c r="T49" i="23" s="1"/>
  <c r="R47" i="4"/>
  <c r="BA43" i="22" s="1"/>
  <c r="P49" i="23" s="1"/>
  <c r="Q49" i="23" s="1"/>
  <c r="T46" i="4"/>
  <c r="S46" i="4"/>
  <c r="R46" i="4"/>
  <c r="T45" i="4"/>
  <c r="AC41" i="22" s="1"/>
  <c r="S45" i="4"/>
  <c r="BC41" i="22" s="1"/>
  <c r="S47" i="23" s="1"/>
  <c r="T47" i="23" s="1"/>
  <c r="R45" i="4"/>
  <c r="T44" i="4"/>
  <c r="S44" i="4"/>
  <c r="BC40" i="22" s="1"/>
  <c r="S46" i="23" s="1"/>
  <c r="T46" i="23" s="1"/>
  <c r="R44" i="4"/>
  <c r="BA40" i="22" s="1"/>
  <c r="P46" i="23" s="1"/>
  <c r="Q46" i="23" s="1"/>
  <c r="T43" i="4"/>
  <c r="U42" i="4" s="1"/>
  <c r="S43" i="4"/>
  <c r="R43" i="4"/>
  <c r="BA39" i="22" s="1"/>
  <c r="P45" i="23" s="1"/>
  <c r="Q45" i="23" s="1"/>
  <c r="T42" i="4"/>
  <c r="AC38" i="22" s="1"/>
  <c r="S42" i="4"/>
  <c r="BC38" i="22" s="1"/>
  <c r="S44" i="23" s="1"/>
  <c r="T44" i="23" s="1"/>
  <c r="R42" i="4"/>
  <c r="U41" i="4"/>
  <c r="V41" i="4" s="1"/>
  <c r="T41" i="4"/>
  <c r="AC37" i="22" s="1"/>
  <c r="S41" i="4"/>
  <c r="BC37" i="22" s="1"/>
  <c r="S43" i="23" s="1"/>
  <c r="T43" i="23" s="1"/>
  <c r="R41" i="4"/>
  <c r="T40" i="4"/>
  <c r="S40" i="4"/>
  <c r="R40" i="4"/>
  <c r="BA36" i="22" s="1"/>
  <c r="P42" i="23" s="1"/>
  <c r="Q42" i="23" s="1"/>
  <c r="T39" i="4"/>
  <c r="V35" i="10" s="1"/>
  <c r="I41" i="23" s="1"/>
  <c r="S39" i="4"/>
  <c r="BC35" i="22" s="1"/>
  <c r="S41" i="23" s="1"/>
  <c r="T41" i="23" s="1"/>
  <c r="R39" i="4"/>
  <c r="BA35" i="22" s="1"/>
  <c r="P41" i="23" s="1"/>
  <c r="Q41" i="23" s="1"/>
  <c r="U38" i="4"/>
  <c r="T38" i="4"/>
  <c r="S38" i="4"/>
  <c r="R38" i="4"/>
  <c r="T37" i="4"/>
  <c r="AC33" i="22" s="1"/>
  <c r="S37" i="4"/>
  <c r="R37" i="4"/>
  <c r="T36" i="4"/>
  <c r="S36" i="4"/>
  <c r="BC32" i="22" s="1"/>
  <c r="S38" i="23" s="1"/>
  <c r="T38" i="23" s="1"/>
  <c r="R36" i="4"/>
  <c r="BA32" i="22" s="1"/>
  <c r="P38" i="23" s="1"/>
  <c r="Q38" i="23" s="1"/>
  <c r="T35" i="4"/>
  <c r="S35" i="4"/>
  <c r="BC31" i="22" s="1"/>
  <c r="S37" i="23" s="1"/>
  <c r="T37" i="23" s="1"/>
  <c r="R35" i="4"/>
  <c r="BA31" i="22" s="1"/>
  <c r="P37" i="23" s="1"/>
  <c r="Q37" i="23" s="1"/>
  <c r="T34" i="4"/>
  <c r="AC30" i="22" s="1"/>
  <c r="S34" i="4"/>
  <c r="BC30" i="22" s="1"/>
  <c r="S36" i="23" s="1"/>
  <c r="T36" i="23" s="1"/>
  <c r="R34" i="4"/>
  <c r="T33" i="4"/>
  <c r="AC29" i="22" s="1"/>
  <c r="S33" i="4"/>
  <c r="BC29" i="22" s="1"/>
  <c r="S35" i="23" s="1"/>
  <c r="T35" i="23" s="1"/>
  <c r="R33" i="4"/>
  <c r="U32" i="4"/>
  <c r="T32" i="4"/>
  <c r="S32" i="4"/>
  <c r="BC28" i="22" s="1"/>
  <c r="S34" i="23" s="1"/>
  <c r="T34" i="23" s="1"/>
  <c r="R32" i="4"/>
  <c r="AO28" i="10" s="1"/>
  <c r="T31" i="4"/>
  <c r="V27" i="10" s="1"/>
  <c r="I33" i="23" s="1"/>
  <c r="S31" i="4"/>
  <c r="BC27" i="22" s="1"/>
  <c r="S33" i="23" s="1"/>
  <c r="T33" i="23" s="1"/>
  <c r="R31" i="4"/>
  <c r="AO27" i="10" s="1"/>
  <c r="U27" i="4"/>
  <c r="T27" i="4"/>
  <c r="U26" i="4" s="1"/>
  <c r="S27" i="4"/>
  <c r="R27" i="4"/>
  <c r="BA26" i="22" s="1"/>
  <c r="P32" i="23" s="1"/>
  <c r="Q32" i="23" s="1"/>
  <c r="T26" i="4"/>
  <c r="V25" i="10" s="1"/>
  <c r="I31" i="23" s="1"/>
  <c r="S26" i="4"/>
  <c r="BC25" i="22" s="1"/>
  <c r="S31" i="23" s="1"/>
  <c r="T31" i="23" s="1"/>
  <c r="R26" i="4"/>
  <c r="BA25" i="22" s="1"/>
  <c r="P31" i="23" s="1"/>
  <c r="Q31" i="23" s="1"/>
  <c r="U25" i="4"/>
  <c r="AD24" i="22" s="1"/>
  <c r="T25" i="4"/>
  <c r="U24" i="4" s="1"/>
  <c r="S25" i="4"/>
  <c r="BC24" i="22" s="1"/>
  <c r="S30" i="23" s="1"/>
  <c r="T30" i="23" s="1"/>
  <c r="R25" i="4"/>
  <c r="BA24" i="22" s="1"/>
  <c r="P30" i="23" s="1"/>
  <c r="Q30" i="23" s="1"/>
  <c r="T24" i="4"/>
  <c r="U23" i="4" s="1"/>
  <c r="S24" i="4"/>
  <c r="BC23" i="22" s="1"/>
  <c r="S29" i="23" s="1"/>
  <c r="T29" i="23" s="1"/>
  <c r="R24" i="4"/>
  <c r="BA23" i="22" s="1"/>
  <c r="P29" i="23" s="1"/>
  <c r="Q29" i="23" s="1"/>
  <c r="T23" i="4"/>
  <c r="U22" i="4" s="1"/>
  <c r="S23" i="4"/>
  <c r="BC22" i="22" s="1"/>
  <c r="S28" i="23" s="1"/>
  <c r="T28" i="23" s="1"/>
  <c r="R23" i="4"/>
  <c r="T22" i="4"/>
  <c r="V21" i="10" s="1"/>
  <c r="I27" i="23" s="1"/>
  <c r="S22" i="4"/>
  <c r="R22" i="4"/>
  <c r="BA21" i="22" s="1"/>
  <c r="P27" i="23" s="1"/>
  <c r="Q27" i="23" s="1"/>
  <c r="T21" i="4"/>
  <c r="S21" i="4"/>
  <c r="R21" i="4"/>
  <c r="BA20" i="22" s="1"/>
  <c r="P26" i="23" s="1"/>
  <c r="Q26" i="23" s="1"/>
  <c r="T20" i="4"/>
  <c r="S20" i="4"/>
  <c r="BC19" i="22" s="1"/>
  <c r="S25" i="23" s="1"/>
  <c r="T25" i="23" s="1"/>
  <c r="R20" i="4"/>
  <c r="BA19" i="22" s="1"/>
  <c r="P25" i="23" s="1"/>
  <c r="Q25" i="23" s="1"/>
  <c r="T19" i="4"/>
  <c r="U18" i="4" s="1"/>
  <c r="S19" i="4"/>
  <c r="R19" i="4"/>
  <c r="T18" i="4"/>
  <c r="V17" i="10" s="1"/>
  <c r="I23" i="23" s="1"/>
  <c r="S18" i="4"/>
  <c r="R18" i="4"/>
  <c r="U17" i="4"/>
  <c r="W16" i="10" s="1"/>
  <c r="J22" i="23" s="1"/>
  <c r="T17" i="4"/>
  <c r="S17" i="4"/>
  <c r="BC16" i="22" s="1"/>
  <c r="S22" i="23" s="1"/>
  <c r="T22" i="23" s="1"/>
  <c r="R17" i="4"/>
  <c r="BA16" i="22" s="1"/>
  <c r="P22" i="23" s="1"/>
  <c r="Q22" i="23" s="1"/>
  <c r="T16" i="4"/>
  <c r="S16" i="4"/>
  <c r="R16" i="4"/>
  <c r="BA15" i="22" s="1"/>
  <c r="P21" i="23" s="1"/>
  <c r="Q21" i="23" s="1"/>
  <c r="T15" i="4"/>
  <c r="S15" i="4"/>
  <c r="BC14" i="22" s="1"/>
  <c r="S20" i="23" s="1"/>
  <c r="T20" i="23" s="1"/>
  <c r="R15" i="4"/>
  <c r="BA14" i="22" s="1"/>
  <c r="P20" i="23" s="1"/>
  <c r="Q20" i="23" s="1"/>
  <c r="AF14" i="4"/>
  <c r="T14" i="4"/>
  <c r="S14" i="4"/>
  <c r="BC13" i="22" s="1"/>
  <c r="S19" i="23" s="1"/>
  <c r="T19" i="23" s="1"/>
  <c r="R14" i="4"/>
  <c r="O14" i="4"/>
  <c r="N14" i="4"/>
  <c r="M14" i="4"/>
  <c r="T13" i="4"/>
  <c r="AC12" i="22" s="1"/>
  <c r="S13" i="4"/>
  <c r="BC12" i="22" s="1"/>
  <c r="S18" i="23" s="1"/>
  <c r="T18" i="23" s="1"/>
  <c r="R13" i="4"/>
  <c r="T12" i="4"/>
  <c r="AC11" i="22" s="1"/>
  <c r="S12" i="4"/>
  <c r="BC11" i="22" s="1"/>
  <c r="S17" i="23" s="1"/>
  <c r="T17" i="23" s="1"/>
  <c r="R12" i="4"/>
  <c r="AF11" i="4"/>
  <c r="I10" i="10" s="1"/>
  <c r="U11" i="4"/>
  <c r="T11" i="4"/>
  <c r="V11" i="4" s="1"/>
  <c r="S11" i="4"/>
  <c r="BC10" i="22" s="1"/>
  <c r="S16" i="23" s="1"/>
  <c r="T16" i="23" s="1"/>
  <c r="R11" i="4"/>
  <c r="O11" i="4"/>
  <c r="N11" i="4"/>
  <c r="M11" i="4"/>
  <c r="N10" i="22" s="1"/>
  <c r="T10" i="4"/>
  <c r="AC9" i="22" s="1"/>
  <c r="S10" i="4"/>
  <c r="R10" i="4"/>
  <c r="AO9" i="10" s="1"/>
  <c r="T9" i="4"/>
  <c r="S9" i="4"/>
  <c r="R9" i="4"/>
  <c r="T8" i="4"/>
  <c r="S8" i="4"/>
  <c r="R8" i="4"/>
  <c r="BA7" i="22" s="1"/>
  <c r="P13" i="23" s="1"/>
  <c r="Q13" i="23" s="1"/>
  <c r="T7" i="4"/>
  <c r="S7" i="4"/>
  <c r="AP6" i="10" s="1"/>
  <c r="R7" i="4"/>
  <c r="BA6" i="22" s="1"/>
  <c r="P12" i="23" s="1"/>
  <c r="Q12" i="23" s="1"/>
  <c r="U78" i="9"/>
  <c r="C78" i="9"/>
  <c r="B78" i="9"/>
  <c r="A78" i="9"/>
  <c r="U77" i="9"/>
  <c r="V77" i="9" s="1"/>
  <c r="E74" i="4" s="1"/>
  <c r="E74" i="8" s="1"/>
  <c r="C77" i="9"/>
  <c r="B77" i="9"/>
  <c r="A77" i="9"/>
  <c r="U76" i="9"/>
  <c r="W76" i="9" s="1"/>
  <c r="C76" i="9"/>
  <c r="B76" i="9"/>
  <c r="A76" i="9"/>
  <c r="U75" i="9"/>
  <c r="W75" i="9" s="1"/>
  <c r="C75" i="9"/>
  <c r="B75" i="9"/>
  <c r="A75" i="9"/>
  <c r="V74" i="9"/>
  <c r="E71" i="4" s="1"/>
  <c r="U74" i="9"/>
  <c r="W74" i="9" s="1"/>
  <c r="C74" i="9"/>
  <c r="B74" i="9"/>
  <c r="A74" i="9"/>
  <c r="U73" i="9"/>
  <c r="W73" i="9" s="1"/>
  <c r="C73" i="9"/>
  <c r="B73" i="9"/>
  <c r="A73" i="9"/>
  <c r="U72" i="9"/>
  <c r="W72" i="9" s="1"/>
  <c r="C72" i="9"/>
  <c r="B72" i="9"/>
  <c r="A72" i="9"/>
  <c r="W71" i="9"/>
  <c r="U71" i="9"/>
  <c r="V71" i="9" s="1"/>
  <c r="E68" i="4" s="1"/>
  <c r="E68" i="8" s="1"/>
  <c r="C71" i="9"/>
  <c r="B71" i="9"/>
  <c r="A71" i="9"/>
  <c r="U70" i="9"/>
  <c r="C70" i="9"/>
  <c r="B70" i="9"/>
  <c r="A70" i="9"/>
  <c r="U69" i="9"/>
  <c r="C69" i="9"/>
  <c r="B69" i="9"/>
  <c r="A69" i="9"/>
  <c r="U68" i="9"/>
  <c r="W68" i="9" s="1"/>
  <c r="C68" i="9"/>
  <c r="B68" i="9"/>
  <c r="A68" i="9"/>
  <c r="W67" i="9"/>
  <c r="U67" i="9"/>
  <c r="V67" i="9" s="1"/>
  <c r="E64" i="4" s="1"/>
  <c r="C67" i="9"/>
  <c r="B67" i="9"/>
  <c r="A67" i="9"/>
  <c r="U66" i="9"/>
  <c r="W66" i="9" s="1"/>
  <c r="C66" i="9"/>
  <c r="B66" i="9"/>
  <c r="A66" i="9"/>
  <c r="U65" i="9"/>
  <c r="V65" i="9" s="1"/>
  <c r="E62" i="4" s="1"/>
  <c r="C65" i="9"/>
  <c r="B65" i="9"/>
  <c r="A65" i="9"/>
  <c r="U64" i="9"/>
  <c r="W64" i="9" s="1"/>
  <c r="C64" i="9"/>
  <c r="B64" i="9"/>
  <c r="A64" i="9"/>
  <c r="U63" i="9"/>
  <c r="V63" i="9" s="1"/>
  <c r="E60" i="4" s="1"/>
  <c r="E60" i="8" s="1"/>
  <c r="C63" i="9"/>
  <c r="B63" i="9"/>
  <c r="A63" i="9"/>
  <c r="U62" i="9"/>
  <c r="C62" i="9"/>
  <c r="B62" i="9"/>
  <c r="A62" i="9"/>
  <c r="U61" i="9"/>
  <c r="W61" i="9" s="1"/>
  <c r="C61" i="9"/>
  <c r="B61" i="9"/>
  <c r="A61" i="9"/>
  <c r="G60" i="9"/>
  <c r="U60" i="9" s="1"/>
  <c r="W60" i="9" s="1"/>
  <c r="B60" i="9"/>
  <c r="A60" i="9"/>
  <c r="U59" i="9"/>
  <c r="B59" i="9"/>
  <c r="A59" i="9"/>
  <c r="U58" i="9"/>
  <c r="V58" i="9" s="1"/>
  <c r="E56" i="4" s="1"/>
  <c r="C58" i="9"/>
  <c r="B58" i="9"/>
  <c r="A58" i="9"/>
  <c r="U57" i="9"/>
  <c r="W57" i="9" s="1"/>
  <c r="B57" i="9"/>
  <c r="A57" i="9"/>
  <c r="B56" i="9"/>
  <c r="A56" i="9"/>
  <c r="U54" i="9"/>
  <c r="C54" i="9"/>
  <c r="B54" i="9"/>
  <c r="A54" i="9"/>
  <c r="U53" i="9"/>
  <c r="C53" i="9"/>
  <c r="B53" i="9"/>
  <c r="A53" i="9"/>
  <c r="U52" i="9"/>
  <c r="C52" i="9"/>
  <c r="B52" i="9"/>
  <c r="A52" i="9"/>
  <c r="U51" i="9"/>
  <c r="V51" i="9" s="1"/>
  <c r="E48" i="4" s="1"/>
  <c r="C51" i="9"/>
  <c r="B51" i="9"/>
  <c r="A51" i="9"/>
  <c r="U50" i="9"/>
  <c r="V50" i="9" s="1"/>
  <c r="E47" i="4" s="1"/>
  <c r="C50" i="9"/>
  <c r="B50" i="9"/>
  <c r="A50" i="9"/>
  <c r="U49" i="9"/>
  <c r="C49" i="9"/>
  <c r="B49" i="9"/>
  <c r="A49" i="9"/>
  <c r="W48" i="9"/>
  <c r="U48" i="9"/>
  <c r="V48" i="9" s="1"/>
  <c r="E45" i="4" s="1"/>
  <c r="C48" i="9"/>
  <c r="B48" i="9"/>
  <c r="A48" i="9"/>
  <c r="U47" i="9"/>
  <c r="V47" i="9" s="1"/>
  <c r="E44" i="4" s="1"/>
  <c r="C47" i="9"/>
  <c r="B47" i="9"/>
  <c r="A47" i="9"/>
  <c r="U46" i="9"/>
  <c r="W46" i="9" s="1"/>
  <c r="C46" i="9"/>
  <c r="B46" i="9"/>
  <c r="A46" i="9"/>
  <c r="U45" i="9"/>
  <c r="V45" i="9" s="1"/>
  <c r="E42" i="4" s="1"/>
  <c r="F38" i="10" s="1"/>
  <c r="C45" i="9"/>
  <c r="B45" i="9"/>
  <c r="A45" i="9"/>
  <c r="U44" i="9"/>
  <c r="C44" i="9"/>
  <c r="B44" i="9"/>
  <c r="A44" i="9"/>
  <c r="U43" i="9"/>
  <c r="V43" i="9" s="1"/>
  <c r="E40" i="4" s="1"/>
  <c r="C43" i="9"/>
  <c r="B43" i="9"/>
  <c r="A43" i="9"/>
  <c r="W42" i="9"/>
  <c r="U42" i="9"/>
  <c r="V42" i="9" s="1"/>
  <c r="E39" i="4" s="1"/>
  <c r="F35" i="10" s="1"/>
  <c r="C42" i="9"/>
  <c r="B42" i="9"/>
  <c r="A42" i="9"/>
  <c r="U41" i="9"/>
  <c r="C41" i="9"/>
  <c r="B41" i="9"/>
  <c r="A41" i="9"/>
  <c r="U40" i="9"/>
  <c r="C40" i="9"/>
  <c r="B40" i="9"/>
  <c r="A40" i="9"/>
  <c r="U39" i="9"/>
  <c r="V39" i="9" s="1"/>
  <c r="E36" i="4" s="1"/>
  <c r="C39" i="9"/>
  <c r="B39" i="9"/>
  <c r="A39" i="9"/>
  <c r="U38" i="9"/>
  <c r="W38" i="9" s="1"/>
  <c r="C38" i="9"/>
  <c r="B38" i="9"/>
  <c r="A38" i="9"/>
  <c r="AF37" i="9"/>
  <c r="AG37" i="9" s="1"/>
  <c r="U37" i="9"/>
  <c r="W37" i="9" s="1"/>
  <c r="C37" i="9"/>
  <c r="B37" i="9"/>
  <c r="A37" i="9"/>
  <c r="W36" i="9"/>
  <c r="U36" i="9"/>
  <c r="V36" i="9" s="1"/>
  <c r="E33" i="4" s="1"/>
  <c r="C36" i="9"/>
  <c r="B36" i="9"/>
  <c r="A36" i="9"/>
  <c r="U35" i="9"/>
  <c r="W35" i="9" s="1"/>
  <c r="B35" i="9"/>
  <c r="A35" i="9"/>
  <c r="U34" i="9"/>
  <c r="B34" i="9"/>
  <c r="A34" i="9"/>
  <c r="AF33" i="9"/>
  <c r="AG33" i="9" s="1"/>
  <c r="U33" i="9"/>
  <c r="W33" i="9" s="1"/>
  <c r="C33" i="9"/>
  <c r="B33" i="9"/>
  <c r="A33" i="9"/>
  <c r="B32" i="9"/>
  <c r="A32" i="9"/>
  <c r="U30" i="9"/>
  <c r="W30" i="9" s="1"/>
  <c r="C30" i="9"/>
  <c r="B30" i="9"/>
  <c r="A30" i="9"/>
  <c r="U29" i="9"/>
  <c r="W29" i="9" s="1"/>
  <c r="C29" i="9"/>
  <c r="B29" i="9"/>
  <c r="A29" i="9"/>
  <c r="U28" i="9"/>
  <c r="C28" i="9"/>
  <c r="B28" i="9"/>
  <c r="A28" i="9"/>
  <c r="U27" i="9"/>
  <c r="V27" i="9" s="1"/>
  <c r="E24" i="4" s="1"/>
  <c r="C27" i="9"/>
  <c r="B27" i="9"/>
  <c r="A27" i="9"/>
  <c r="Z26" i="9"/>
  <c r="AA26" i="9" s="1"/>
  <c r="U26" i="9"/>
  <c r="W26" i="9" s="1"/>
  <c r="C26" i="9"/>
  <c r="B26" i="9"/>
  <c r="A26" i="9"/>
  <c r="U25" i="9"/>
  <c r="W25" i="9" s="1"/>
  <c r="C25" i="9"/>
  <c r="B25" i="9"/>
  <c r="A25" i="9"/>
  <c r="AF24" i="9"/>
  <c r="U24" i="9"/>
  <c r="W24" i="9" s="1"/>
  <c r="C24" i="9"/>
  <c r="B24" i="9"/>
  <c r="A24" i="9"/>
  <c r="Z23" i="9"/>
  <c r="AA23" i="9" s="1"/>
  <c r="U23" i="9"/>
  <c r="C23" i="9"/>
  <c r="B23" i="9"/>
  <c r="A23" i="9"/>
  <c r="V22" i="9"/>
  <c r="E19" i="4" s="1"/>
  <c r="E19" i="8" s="1"/>
  <c r="U22" i="9"/>
  <c r="W22" i="9" s="1"/>
  <c r="C22" i="9"/>
  <c r="B22" i="9"/>
  <c r="A22" i="9"/>
  <c r="Z21" i="9"/>
  <c r="U21" i="9"/>
  <c r="W21" i="9" s="1"/>
  <c r="C21" i="9"/>
  <c r="B21" i="9"/>
  <c r="A21" i="9"/>
  <c r="AF20" i="9"/>
  <c r="U20" i="9"/>
  <c r="C20" i="9"/>
  <c r="B20" i="9"/>
  <c r="A20" i="9"/>
  <c r="AF19" i="9"/>
  <c r="U19" i="9"/>
  <c r="V19" i="9" s="1"/>
  <c r="E16" i="4" s="1"/>
  <c r="C19" i="9"/>
  <c r="B19" i="9"/>
  <c r="A19" i="9"/>
  <c r="U18" i="9"/>
  <c r="C18" i="9"/>
  <c r="B18" i="9"/>
  <c r="A18" i="9"/>
  <c r="U17" i="9"/>
  <c r="W17" i="9" s="1"/>
  <c r="B17" i="9"/>
  <c r="A17" i="9"/>
  <c r="U16" i="9"/>
  <c r="W16" i="9" s="1"/>
  <c r="C16" i="9"/>
  <c r="B16" i="9"/>
  <c r="A16" i="9"/>
  <c r="AF15" i="9"/>
  <c r="W15" i="9"/>
  <c r="U15" i="9"/>
  <c r="V15" i="9" s="1"/>
  <c r="E13" i="4" s="1"/>
  <c r="E13" i="8" s="1"/>
  <c r="C15" i="9"/>
  <c r="B15" i="9"/>
  <c r="A15" i="9"/>
  <c r="U14" i="9"/>
  <c r="C14" i="9"/>
  <c r="B14" i="9"/>
  <c r="A14" i="9"/>
  <c r="U13" i="9"/>
  <c r="W13" i="9" s="1"/>
  <c r="B13" i="9"/>
  <c r="A13" i="9"/>
  <c r="U12" i="9"/>
  <c r="W12" i="9" s="1"/>
  <c r="C12" i="9"/>
  <c r="B12" i="9"/>
  <c r="A12" i="9"/>
  <c r="V11" i="9"/>
  <c r="E10" i="4" s="1"/>
  <c r="U11" i="9"/>
  <c r="W11" i="9" s="1"/>
  <c r="C11" i="9"/>
  <c r="B11" i="9"/>
  <c r="A11" i="9"/>
  <c r="U10" i="9"/>
  <c r="W10" i="9" s="1"/>
  <c r="C10" i="9"/>
  <c r="B10" i="9"/>
  <c r="A10" i="9"/>
  <c r="U9" i="9"/>
  <c r="B9" i="9"/>
  <c r="A9" i="9"/>
  <c r="AF8" i="9"/>
  <c r="W8" i="9"/>
  <c r="U8" i="9"/>
  <c r="C8" i="9"/>
  <c r="B8" i="9"/>
  <c r="A8" i="9"/>
  <c r="AF7" i="9"/>
  <c r="U7" i="9"/>
  <c r="W7" i="9" s="1"/>
  <c r="B7" i="9"/>
  <c r="A7" i="9"/>
  <c r="AF6" i="9"/>
  <c r="U6" i="9"/>
  <c r="W6" i="9" s="1"/>
  <c r="C6" i="9"/>
  <c r="B6" i="9"/>
  <c r="A6" i="9"/>
  <c r="B5" i="9"/>
  <c r="A5" i="9"/>
  <c r="D75" i="8"/>
  <c r="D74" i="8"/>
  <c r="D73" i="8"/>
  <c r="D72" i="8"/>
  <c r="D71" i="8"/>
  <c r="D70" i="8"/>
  <c r="D69" i="8"/>
  <c r="D68" i="8"/>
  <c r="D67" i="8"/>
  <c r="D66" i="8"/>
  <c r="D65" i="8"/>
  <c r="D64" i="8"/>
  <c r="D63" i="8"/>
  <c r="D62" i="8"/>
  <c r="D61" i="8"/>
  <c r="D60" i="8"/>
  <c r="D59" i="8"/>
  <c r="D58" i="8"/>
  <c r="D57" i="8"/>
  <c r="D56" i="8"/>
  <c r="D55" i="8"/>
  <c r="D51" i="8"/>
  <c r="D50" i="8"/>
  <c r="D49" i="8"/>
  <c r="D48" i="8"/>
  <c r="D47" i="8"/>
  <c r="D46" i="8"/>
  <c r="D45" i="8"/>
  <c r="D44" i="8"/>
  <c r="D43" i="8"/>
  <c r="D42" i="8"/>
  <c r="D41" i="8"/>
  <c r="D40" i="8"/>
  <c r="D39" i="8"/>
  <c r="D38" i="8"/>
  <c r="D37" i="8"/>
  <c r="D36" i="8"/>
  <c r="D35" i="8"/>
  <c r="D34" i="8"/>
  <c r="D33" i="8"/>
  <c r="D32" i="8"/>
  <c r="D31" i="8"/>
  <c r="D26" i="8"/>
  <c r="D25" i="8"/>
  <c r="D24" i="8"/>
  <c r="D23" i="8"/>
  <c r="D22" i="8"/>
  <c r="D21" i="8"/>
  <c r="D20" i="8"/>
  <c r="D19" i="8"/>
  <c r="D18" i="8"/>
  <c r="D17" i="8"/>
  <c r="D16" i="8"/>
  <c r="D15" i="8"/>
  <c r="D14" i="8"/>
  <c r="D13" i="8"/>
  <c r="D12" i="8"/>
  <c r="D11" i="8"/>
  <c r="D10" i="8"/>
  <c r="D9" i="8"/>
  <c r="D8" i="8"/>
  <c r="D7" i="8"/>
  <c r="F87" i="12"/>
  <c r="D87" i="12"/>
  <c r="G87" i="12" s="1"/>
  <c r="F86" i="12"/>
  <c r="H86" i="12" s="1"/>
  <c r="D86" i="12"/>
  <c r="F85" i="12"/>
  <c r="D85" i="12"/>
  <c r="F84" i="12"/>
  <c r="D84" i="12"/>
  <c r="G84" i="12" s="1"/>
  <c r="F83" i="12"/>
  <c r="H83" i="12" s="1"/>
  <c r="D83" i="12"/>
  <c r="F82" i="12"/>
  <c r="D82" i="12"/>
  <c r="F75" i="12"/>
  <c r="D75" i="12"/>
  <c r="G75" i="12" s="1"/>
  <c r="F74" i="12"/>
  <c r="H74" i="12" s="1"/>
  <c r="I74" i="12" s="1"/>
  <c r="D74" i="12"/>
  <c r="G74" i="12" s="1"/>
  <c r="F73" i="12"/>
  <c r="D73" i="12"/>
  <c r="G73" i="12" s="1"/>
  <c r="H72" i="12"/>
  <c r="F72" i="12"/>
  <c r="D72" i="12"/>
  <c r="F71" i="12"/>
  <c r="D71" i="12"/>
  <c r="F70" i="12"/>
  <c r="D70" i="12"/>
  <c r="P61" i="12"/>
  <c r="O61" i="12"/>
  <c r="P49" i="12"/>
  <c r="O49" i="12"/>
  <c r="P40" i="12"/>
  <c r="O40" i="12"/>
  <c r="P28" i="12"/>
  <c r="O28" i="12"/>
  <c r="Y25" i="12"/>
  <c r="Y24" i="12"/>
  <c r="Y23" i="12"/>
  <c r="Y22" i="12"/>
  <c r="Y20" i="12"/>
  <c r="P19" i="12"/>
  <c r="O19" i="12"/>
  <c r="Y15" i="12"/>
  <c r="Y14" i="12"/>
  <c r="Y13" i="12"/>
  <c r="Y12" i="12"/>
  <c r="Y11" i="12"/>
  <c r="Y9" i="12"/>
  <c r="Y8" i="12"/>
  <c r="Y7" i="12"/>
  <c r="P7" i="12"/>
  <c r="O7" i="12"/>
  <c r="Y6" i="12"/>
  <c r="C125" i="20"/>
  <c r="C124" i="20"/>
  <c r="C123" i="20"/>
  <c r="C121" i="20"/>
  <c r="C120" i="20"/>
  <c r="C119" i="20"/>
  <c r="C117" i="20"/>
  <c r="C116" i="20"/>
  <c r="C115" i="20"/>
  <c r="C113" i="20"/>
  <c r="C112" i="20"/>
  <c r="C111" i="20"/>
  <c r="C109" i="20"/>
  <c r="C108" i="20"/>
  <c r="C107" i="20"/>
  <c r="C105" i="20"/>
  <c r="C104" i="20"/>
  <c r="C103" i="20"/>
  <c r="D99" i="20"/>
  <c r="C99" i="20"/>
  <c r="D98" i="20"/>
  <c r="C98" i="20"/>
  <c r="D97" i="20"/>
  <c r="I96" i="20" s="1"/>
  <c r="C97" i="20"/>
  <c r="D96" i="20"/>
  <c r="C96" i="20"/>
  <c r="C94" i="20"/>
  <c r="C93" i="20"/>
  <c r="C92" i="20"/>
  <c r="C91" i="20"/>
  <c r="C90" i="20"/>
  <c r="E86" i="20"/>
  <c r="D94" i="20" s="1"/>
  <c r="E85" i="20"/>
  <c r="D93" i="20" s="1"/>
  <c r="G84" i="20"/>
  <c r="H84" i="20" s="1"/>
  <c r="E83" i="20"/>
  <c r="E82" i="20"/>
  <c r="E81" i="20"/>
  <c r="E80" i="20"/>
  <c r="E79" i="20"/>
  <c r="E78" i="20"/>
  <c r="E77" i="20"/>
  <c r="E76" i="20"/>
  <c r="E75" i="20"/>
  <c r="E74" i="20"/>
  <c r="E73" i="20"/>
  <c r="E72" i="20"/>
  <c r="E71" i="20"/>
  <c r="E70" i="20"/>
  <c r="D125" i="20" s="1"/>
  <c r="E69" i="20"/>
  <c r="D124" i="20" s="1"/>
  <c r="E68" i="20"/>
  <c r="D123" i="20" s="1"/>
  <c r="E67" i="20"/>
  <c r="E66" i="20"/>
  <c r="E65" i="20"/>
  <c r="E64" i="20"/>
  <c r="D92" i="20" s="1"/>
  <c r="G63" i="20"/>
  <c r="H63" i="20" s="1"/>
  <c r="I63" i="20" s="1"/>
  <c r="K63" i="20" s="1"/>
  <c r="E62" i="20"/>
  <c r="E61" i="20"/>
  <c r="D121" i="20" s="1"/>
  <c r="E60" i="20"/>
  <c r="D120" i="20" s="1"/>
  <c r="E59" i="20"/>
  <c r="D119" i="20" s="1"/>
  <c r="E58" i="20"/>
  <c r="E57" i="20"/>
  <c r="E56" i="20"/>
  <c r="E55" i="20"/>
  <c r="E54" i="20"/>
  <c r="E53" i="20"/>
  <c r="E52" i="20"/>
  <c r="D91" i="20" s="1"/>
  <c r="G51" i="20"/>
  <c r="H51" i="20" s="1"/>
  <c r="I51" i="20" s="1"/>
  <c r="K51" i="20" s="1"/>
  <c r="E50" i="20"/>
  <c r="D117" i="20" s="1"/>
  <c r="E49" i="20"/>
  <c r="D116" i="20" s="1"/>
  <c r="E48" i="20"/>
  <c r="D115" i="20" s="1"/>
  <c r="E47" i="20"/>
  <c r="E46" i="20"/>
  <c r="E45" i="20"/>
  <c r="E44" i="20"/>
  <c r="E43" i="20"/>
  <c r="E42" i="20"/>
  <c r="E41" i="20"/>
  <c r="E40" i="20"/>
  <c r="E39" i="20"/>
  <c r="E38" i="20"/>
  <c r="E37" i="20"/>
  <c r="E36" i="20"/>
  <c r="E35" i="20"/>
  <c r="E34" i="20"/>
  <c r="D113" i="20" s="1"/>
  <c r="E33" i="20"/>
  <c r="D112" i="20" s="1"/>
  <c r="E32" i="20"/>
  <c r="D111" i="20" s="1"/>
  <c r="E31" i="20"/>
  <c r="F30" i="20"/>
  <c r="G30" i="20" s="1"/>
  <c r="H30" i="20" s="1"/>
  <c r="J30" i="20" s="1"/>
  <c r="E30" i="20"/>
  <c r="E29" i="20"/>
  <c r="E28" i="20"/>
  <c r="E27" i="20"/>
  <c r="E26" i="20"/>
  <c r="F25" i="20"/>
  <c r="G25" i="20" s="1"/>
  <c r="H25" i="20" s="1"/>
  <c r="J25" i="20" s="1"/>
  <c r="L25" i="20" s="1"/>
  <c r="AC23" i="4" s="1"/>
  <c r="E25" i="20"/>
  <c r="E24" i="20"/>
  <c r="E23" i="20"/>
  <c r="E22" i="20"/>
  <c r="D109" i="20" s="1"/>
  <c r="F21" i="20"/>
  <c r="G21" i="20" s="1"/>
  <c r="H21" i="20" s="1"/>
  <c r="J21" i="20" s="1"/>
  <c r="L21" i="20" s="1"/>
  <c r="E21" i="20"/>
  <c r="D108" i="20" s="1"/>
  <c r="E20" i="20"/>
  <c r="D107" i="20" s="1"/>
  <c r="E19" i="20"/>
  <c r="E18" i="20"/>
  <c r="E17" i="20"/>
  <c r="E16" i="20"/>
  <c r="D90" i="20" s="1"/>
  <c r="G15" i="20"/>
  <c r="H15" i="20" s="1"/>
  <c r="E14" i="20"/>
  <c r="E13" i="20"/>
  <c r="D105" i="20" s="1"/>
  <c r="E12" i="20"/>
  <c r="D104" i="20" s="1"/>
  <c r="E11" i="20"/>
  <c r="D103" i="20" s="1"/>
  <c r="E10" i="20"/>
  <c r="E9" i="20"/>
  <c r="E8" i="20"/>
  <c r="E7" i="20"/>
  <c r="E6" i="20"/>
  <c r="E5" i="20"/>
  <c r="L2" i="20"/>
  <c r="F86" i="20" s="1"/>
  <c r="G86" i="20" s="1"/>
  <c r="H86" i="20" s="1"/>
  <c r="N33" i="19"/>
  <c r="N32" i="19"/>
  <c r="N29" i="19"/>
  <c r="N28" i="19"/>
  <c r="S37" i="18"/>
  <c r="Q37" i="18"/>
  <c r="S36" i="18"/>
  <c r="Q36" i="18"/>
  <c r="S35" i="18"/>
  <c r="Q35" i="18"/>
  <c r="S34" i="18"/>
  <c r="Q34" i="18"/>
  <c r="S33" i="18"/>
  <c r="Q33" i="18"/>
  <c r="S27" i="18"/>
  <c r="Q27" i="18"/>
  <c r="S26" i="18"/>
  <c r="Q26" i="18"/>
  <c r="S25" i="18"/>
  <c r="Q25" i="18"/>
  <c r="S24" i="18"/>
  <c r="Q24" i="18"/>
  <c r="S23" i="18"/>
  <c r="Q23" i="18"/>
  <c r="Q17" i="18"/>
  <c r="S16" i="18"/>
  <c r="Q16" i="18"/>
  <c r="S15" i="18"/>
  <c r="Q15" i="18"/>
  <c r="S14" i="18"/>
  <c r="Q14" i="18"/>
  <c r="S13" i="18"/>
  <c r="Q13" i="18"/>
  <c r="M169" i="16"/>
  <c r="M168" i="16"/>
  <c r="M167" i="16"/>
  <c r="M166" i="16"/>
  <c r="M165" i="16"/>
  <c r="M164" i="16"/>
  <c r="X163" i="16"/>
  <c r="W163" i="16"/>
  <c r="V163" i="16"/>
  <c r="M163" i="16"/>
  <c r="X162" i="16"/>
  <c r="X161" i="16"/>
  <c r="W161" i="16"/>
  <c r="V161" i="16"/>
  <c r="M161" i="16"/>
  <c r="X160" i="16"/>
  <c r="M160" i="16"/>
  <c r="X159" i="16"/>
  <c r="W159" i="16"/>
  <c r="V159" i="16"/>
  <c r="M159" i="16"/>
  <c r="M158" i="16"/>
  <c r="M157" i="16"/>
  <c r="W156" i="16"/>
  <c r="V156" i="16"/>
  <c r="U156" i="16"/>
  <c r="T156" i="16"/>
  <c r="S156" i="16"/>
  <c r="R156" i="16"/>
  <c r="M156" i="16"/>
  <c r="W155" i="16"/>
  <c r="V155" i="16"/>
  <c r="U155" i="16"/>
  <c r="T155" i="16"/>
  <c r="S155" i="16"/>
  <c r="R155" i="16"/>
  <c r="M154" i="16"/>
  <c r="W153" i="16"/>
  <c r="V153" i="16"/>
  <c r="U153" i="16"/>
  <c r="T153" i="16"/>
  <c r="S153" i="16"/>
  <c r="R153" i="16"/>
  <c r="M153" i="16"/>
  <c r="W152" i="16"/>
  <c r="V152" i="16"/>
  <c r="U152" i="16"/>
  <c r="T152" i="16"/>
  <c r="S152" i="16"/>
  <c r="R152" i="16"/>
  <c r="M152" i="16"/>
  <c r="W151" i="16"/>
  <c r="V151" i="16"/>
  <c r="U151" i="16"/>
  <c r="T151" i="16"/>
  <c r="S151" i="16"/>
  <c r="R151" i="16"/>
  <c r="M151" i="16"/>
  <c r="M150" i="16"/>
  <c r="T127" i="16"/>
  <c r="M127" i="16"/>
  <c r="T126" i="16"/>
  <c r="M126" i="16"/>
  <c r="T125" i="16"/>
  <c r="M125" i="16"/>
  <c r="L124" i="16"/>
  <c r="K124" i="16"/>
  <c r="H124" i="16"/>
  <c r="G124" i="16"/>
  <c r="F124" i="16"/>
  <c r="M124" i="16" s="1"/>
  <c r="E124" i="16"/>
  <c r="T124" i="16" s="1"/>
  <c r="D124" i="16"/>
  <c r="C124" i="16"/>
  <c r="B124" i="16"/>
  <c r="L123" i="16"/>
  <c r="K123" i="16"/>
  <c r="H123" i="16"/>
  <c r="G123" i="16"/>
  <c r="F123" i="16"/>
  <c r="M123" i="16" s="1"/>
  <c r="E123" i="16"/>
  <c r="T123" i="16" s="1"/>
  <c r="D123" i="16"/>
  <c r="C123" i="16"/>
  <c r="B123" i="16"/>
  <c r="L122" i="16"/>
  <c r="K122" i="16"/>
  <c r="H122" i="16"/>
  <c r="G122" i="16"/>
  <c r="F122" i="16"/>
  <c r="M122" i="16" s="1"/>
  <c r="E122" i="16"/>
  <c r="D122" i="16"/>
  <c r="C122" i="16"/>
  <c r="B122" i="16"/>
  <c r="L117" i="16"/>
  <c r="K117" i="16"/>
  <c r="H117" i="16"/>
  <c r="G117" i="16"/>
  <c r="F117" i="16"/>
  <c r="E117" i="16"/>
  <c r="D117" i="16"/>
  <c r="C117" i="16"/>
  <c r="B117" i="16"/>
  <c r="L116" i="16"/>
  <c r="K116" i="16"/>
  <c r="H116" i="16"/>
  <c r="G116" i="16"/>
  <c r="F116" i="16"/>
  <c r="E116" i="16"/>
  <c r="D116" i="16"/>
  <c r="C116" i="16"/>
  <c r="B116" i="16"/>
  <c r="L115" i="16"/>
  <c r="K115" i="16"/>
  <c r="H115" i="16"/>
  <c r="G115" i="16"/>
  <c r="F115" i="16"/>
  <c r="E115" i="16"/>
  <c r="D115" i="16"/>
  <c r="C115" i="16"/>
  <c r="B115" i="16"/>
  <c r="L114" i="16"/>
  <c r="K114" i="16"/>
  <c r="H114" i="16"/>
  <c r="G114" i="16"/>
  <c r="F114" i="16"/>
  <c r="E114" i="16"/>
  <c r="D114" i="16"/>
  <c r="C114" i="16"/>
  <c r="B114" i="16"/>
  <c r="T109" i="16"/>
  <c r="V109" i="16" s="1"/>
  <c r="M109" i="16"/>
  <c r="O109" i="16" s="1"/>
  <c r="L108" i="16"/>
  <c r="K108" i="16"/>
  <c r="J108" i="16"/>
  <c r="I108" i="16"/>
  <c r="H108" i="16"/>
  <c r="G108" i="16"/>
  <c r="F108" i="16"/>
  <c r="E108" i="16"/>
  <c r="D108" i="16"/>
  <c r="C108" i="16"/>
  <c r="B108" i="16"/>
  <c r="L107" i="16"/>
  <c r="K107" i="16"/>
  <c r="J107" i="16"/>
  <c r="I107" i="16"/>
  <c r="H107" i="16"/>
  <c r="G107" i="16"/>
  <c r="F107" i="16"/>
  <c r="E107" i="16"/>
  <c r="T107" i="16" s="1"/>
  <c r="V107" i="16" s="1"/>
  <c r="D107" i="16"/>
  <c r="C107" i="16"/>
  <c r="B107" i="16"/>
  <c r="L106" i="16"/>
  <c r="K106" i="16"/>
  <c r="J106" i="16"/>
  <c r="I106" i="16"/>
  <c r="H106" i="16"/>
  <c r="G106" i="16"/>
  <c r="F106" i="16"/>
  <c r="E106" i="16"/>
  <c r="D106" i="16"/>
  <c r="C106" i="16"/>
  <c r="B106" i="16"/>
  <c r="L105" i="16"/>
  <c r="K105" i="16"/>
  <c r="J105" i="16"/>
  <c r="I105" i="16"/>
  <c r="H105" i="16"/>
  <c r="G105" i="16"/>
  <c r="F105" i="16"/>
  <c r="E105" i="16"/>
  <c r="T105" i="16" s="1"/>
  <c r="V105" i="16" s="1"/>
  <c r="D105" i="16"/>
  <c r="C105" i="16"/>
  <c r="B105" i="16"/>
  <c r="L104" i="16"/>
  <c r="K104" i="16"/>
  <c r="J104" i="16"/>
  <c r="I104" i="16"/>
  <c r="H104" i="16"/>
  <c r="G104" i="16"/>
  <c r="F104" i="16"/>
  <c r="M103" i="16" s="1"/>
  <c r="O103" i="16" s="1"/>
  <c r="E104" i="16"/>
  <c r="D104" i="16"/>
  <c r="C104" i="16"/>
  <c r="B104" i="16"/>
  <c r="L103" i="16"/>
  <c r="K103" i="16"/>
  <c r="J103" i="16"/>
  <c r="I103" i="16"/>
  <c r="H103" i="16"/>
  <c r="G103" i="16"/>
  <c r="F103" i="16"/>
  <c r="E103" i="16"/>
  <c r="D103" i="16"/>
  <c r="C103" i="16"/>
  <c r="B103" i="16"/>
  <c r="L102" i="16"/>
  <c r="K102" i="16"/>
  <c r="J102" i="16"/>
  <c r="I102" i="16"/>
  <c r="H102" i="16"/>
  <c r="G102" i="16"/>
  <c r="F102" i="16"/>
  <c r="E102" i="16"/>
  <c r="D102" i="16"/>
  <c r="C102" i="16"/>
  <c r="B102" i="16"/>
  <c r="L101" i="16"/>
  <c r="K101" i="16"/>
  <c r="J101" i="16"/>
  <c r="I101" i="16"/>
  <c r="H101" i="16"/>
  <c r="G101" i="16"/>
  <c r="F101" i="16"/>
  <c r="E101" i="16"/>
  <c r="D101" i="16"/>
  <c r="C101" i="16"/>
  <c r="B101" i="16"/>
  <c r="L100" i="16"/>
  <c r="K100" i="16"/>
  <c r="J100" i="16"/>
  <c r="I100" i="16"/>
  <c r="H100" i="16"/>
  <c r="G100" i="16"/>
  <c r="F100" i="16"/>
  <c r="E100" i="16"/>
  <c r="D100" i="16"/>
  <c r="C100" i="16"/>
  <c r="B100" i="16"/>
  <c r="L99" i="16"/>
  <c r="K99" i="16"/>
  <c r="J99" i="16"/>
  <c r="I99" i="16"/>
  <c r="H99" i="16"/>
  <c r="G99" i="16"/>
  <c r="F99" i="16"/>
  <c r="E99" i="16"/>
  <c r="D99" i="16"/>
  <c r="C99" i="16"/>
  <c r="B99" i="16"/>
  <c r="L98" i="16"/>
  <c r="K98" i="16"/>
  <c r="J98" i="16"/>
  <c r="I98" i="16"/>
  <c r="H98" i="16"/>
  <c r="G98" i="16"/>
  <c r="F98" i="16"/>
  <c r="E98" i="16"/>
  <c r="D98" i="16"/>
  <c r="C98" i="16"/>
  <c r="B98" i="16"/>
  <c r="L97" i="16"/>
  <c r="K97" i="16"/>
  <c r="J97" i="16"/>
  <c r="I97" i="16"/>
  <c r="H97" i="16"/>
  <c r="G97" i="16"/>
  <c r="F97" i="16"/>
  <c r="M97" i="16" s="1"/>
  <c r="O97" i="16" s="1"/>
  <c r="E97" i="16"/>
  <c r="D97" i="16"/>
  <c r="C97" i="16"/>
  <c r="B97" i="16"/>
  <c r="M85" i="16"/>
  <c r="P84" i="16"/>
  <c r="O84" i="16"/>
  <c r="M84" i="16"/>
  <c r="M83" i="16"/>
  <c r="M82" i="16"/>
  <c r="M80" i="16"/>
  <c r="M79" i="16"/>
  <c r="M78" i="16"/>
  <c r="M77" i="16"/>
  <c r="M76" i="16"/>
  <c r="M75" i="16"/>
  <c r="M74" i="16"/>
  <c r="M73" i="16"/>
  <c r="P72" i="16"/>
  <c r="O72" i="16"/>
  <c r="M72" i="16"/>
  <c r="M71" i="16"/>
  <c r="M70" i="16"/>
  <c r="M69" i="16"/>
  <c r="M67" i="16"/>
  <c r="AJ66" i="16"/>
  <c r="N75" i="4" s="1"/>
  <c r="AI66" i="16"/>
  <c r="M75" i="4" s="1"/>
  <c r="AH66" i="16"/>
  <c r="O75" i="4" s="1"/>
  <c r="M66" i="16"/>
  <c r="AJ65" i="16"/>
  <c r="N74" i="4" s="1"/>
  <c r="AI65" i="16"/>
  <c r="M74" i="4" s="1"/>
  <c r="AH65" i="16"/>
  <c r="O74" i="4" s="1"/>
  <c r="P65" i="16"/>
  <c r="O65" i="16"/>
  <c r="M65" i="16"/>
  <c r="AJ64" i="16"/>
  <c r="N73" i="4" s="1"/>
  <c r="AI64" i="16"/>
  <c r="M73" i="4" s="1"/>
  <c r="AH64" i="16"/>
  <c r="O73" i="4" s="1"/>
  <c r="P64" i="16"/>
  <c r="O64" i="16"/>
  <c r="M64" i="16"/>
  <c r="AJ63" i="16"/>
  <c r="N72" i="4" s="1"/>
  <c r="AI63" i="16"/>
  <c r="M72" i="4" s="1"/>
  <c r="AH63" i="16"/>
  <c r="O72" i="4" s="1"/>
  <c r="M63" i="16"/>
  <c r="AJ62" i="16"/>
  <c r="N71" i="4" s="1"/>
  <c r="AI62" i="16"/>
  <c r="M71" i="4" s="1"/>
  <c r="AH62" i="16"/>
  <c r="O71" i="4" s="1"/>
  <c r="M62" i="16"/>
  <c r="AJ61" i="16"/>
  <c r="N70" i="4" s="1"/>
  <c r="AI61" i="16"/>
  <c r="M70" i="4" s="1"/>
  <c r="AH61" i="16"/>
  <c r="O70" i="4" s="1"/>
  <c r="V61" i="16"/>
  <c r="U61" i="16"/>
  <c r="M61" i="16"/>
  <c r="AJ60" i="16"/>
  <c r="N69" i="4" s="1"/>
  <c r="AI60" i="16"/>
  <c r="M69" i="4" s="1"/>
  <c r="AH60" i="16"/>
  <c r="O69" i="4" s="1"/>
  <c r="M60" i="16"/>
  <c r="AJ59" i="16"/>
  <c r="N68" i="4" s="1"/>
  <c r="AI59" i="16"/>
  <c r="M68" i="4" s="1"/>
  <c r="AH59" i="16"/>
  <c r="O68" i="4" s="1"/>
  <c r="P59" i="16"/>
  <c r="O59" i="16"/>
  <c r="M59" i="16"/>
  <c r="AJ58" i="16"/>
  <c r="N67" i="4" s="1"/>
  <c r="AI58" i="16"/>
  <c r="M67" i="4" s="1"/>
  <c r="AH58" i="16"/>
  <c r="O67" i="4" s="1"/>
  <c r="L60" i="10" s="1"/>
  <c r="P58" i="16"/>
  <c r="O58" i="16"/>
  <c r="M58" i="16"/>
  <c r="S59" i="16" s="1"/>
  <c r="AJ57" i="16"/>
  <c r="N66" i="4" s="1"/>
  <c r="AI57" i="16"/>
  <c r="M66" i="4" s="1"/>
  <c r="AH57" i="16"/>
  <c r="O66" i="4" s="1"/>
  <c r="M57" i="16"/>
  <c r="AJ56" i="16"/>
  <c r="N65" i="4" s="1"/>
  <c r="AI56" i="16"/>
  <c r="M65" i="4" s="1"/>
  <c r="AH56" i="16"/>
  <c r="O65" i="4" s="1"/>
  <c r="M56" i="16"/>
  <c r="AJ55" i="16"/>
  <c r="N64" i="4" s="1"/>
  <c r="AI55" i="16"/>
  <c r="M64" i="4" s="1"/>
  <c r="AH55" i="16"/>
  <c r="O64" i="4" s="1"/>
  <c r="AJ54" i="16"/>
  <c r="N63" i="4" s="1"/>
  <c r="AI54" i="16"/>
  <c r="M63" i="4" s="1"/>
  <c r="K56" i="10" s="1"/>
  <c r="AH54" i="16"/>
  <c r="O63" i="4" s="1"/>
  <c r="M54" i="16"/>
  <c r="AJ53" i="16"/>
  <c r="N62" i="4" s="1"/>
  <c r="AI53" i="16"/>
  <c r="M62" i="4" s="1"/>
  <c r="AH53" i="16"/>
  <c r="O62" i="4" s="1"/>
  <c r="P53" i="16"/>
  <c r="O53" i="16"/>
  <c r="M53" i="16"/>
  <c r="AJ52" i="16"/>
  <c r="N61" i="4" s="1"/>
  <c r="AI52" i="16"/>
  <c r="M61" i="4" s="1"/>
  <c r="AH52" i="16"/>
  <c r="O61" i="4" s="1"/>
  <c r="M52" i="16"/>
  <c r="AJ51" i="16"/>
  <c r="N60" i="4" s="1"/>
  <c r="AI51" i="16"/>
  <c r="M60" i="4" s="1"/>
  <c r="AH51" i="16"/>
  <c r="O60" i="4" s="1"/>
  <c r="M51" i="16"/>
  <c r="AJ50" i="16"/>
  <c r="N59" i="4" s="1"/>
  <c r="AI50" i="16"/>
  <c r="M59" i="4" s="1"/>
  <c r="AH50" i="16"/>
  <c r="O59" i="4" s="1"/>
  <c r="P50" i="16"/>
  <c r="O50" i="16"/>
  <c r="M50" i="16"/>
  <c r="AJ49" i="16"/>
  <c r="N58" i="4" s="1"/>
  <c r="AI49" i="16"/>
  <c r="M58" i="4" s="1"/>
  <c r="AH49" i="16"/>
  <c r="O58" i="4" s="1"/>
  <c r="P49" i="16"/>
  <c r="O49" i="16"/>
  <c r="M49" i="16"/>
  <c r="AJ48" i="16"/>
  <c r="N57" i="4" s="1"/>
  <c r="AI48" i="16"/>
  <c r="M57" i="4" s="1"/>
  <c r="AH48" i="16"/>
  <c r="O57" i="4" s="1"/>
  <c r="M48" i="16"/>
  <c r="AJ47" i="16"/>
  <c r="N56" i="4" s="1"/>
  <c r="AI47" i="16"/>
  <c r="M56" i="4" s="1"/>
  <c r="AH47" i="16"/>
  <c r="O56" i="4" s="1"/>
  <c r="M47" i="16"/>
  <c r="AJ46" i="16"/>
  <c r="N55" i="4" s="1"/>
  <c r="AI46" i="16"/>
  <c r="M55" i="4" s="1"/>
  <c r="AH46" i="16"/>
  <c r="O55" i="4" s="1"/>
  <c r="AF46" i="16"/>
  <c r="M46" i="16"/>
  <c r="AJ45" i="16"/>
  <c r="N51" i="4" s="1"/>
  <c r="AI45" i="16"/>
  <c r="M51" i="4" s="1"/>
  <c r="AH45" i="16"/>
  <c r="O51" i="4" s="1"/>
  <c r="M45" i="16"/>
  <c r="AJ44" i="16"/>
  <c r="N50" i="4" s="1"/>
  <c r="AI44" i="16"/>
  <c r="M50" i="4" s="1"/>
  <c r="AH44" i="16"/>
  <c r="O50" i="4" s="1"/>
  <c r="M44" i="16"/>
  <c r="AJ43" i="16"/>
  <c r="N49" i="4" s="1"/>
  <c r="AI43" i="16"/>
  <c r="M49" i="4" s="1"/>
  <c r="AH43" i="16"/>
  <c r="O49" i="4" s="1"/>
  <c r="M43" i="16"/>
  <c r="AJ42" i="16"/>
  <c r="N48" i="4" s="1"/>
  <c r="AI42" i="16"/>
  <c r="M48" i="4" s="1"/>
  <c r="AH42" i="16"/>
  <c r="O48" i="4" s="1"/>
  <c r="AJ41" i="16"/>
  <c r="N47" i="4" s="1"/>
  <c r="AI41" i="16"/>
  <c r="M47" i="4" s="1"/>
  <c r="AH41" i="16"/>
  <c r="O47" i="4" s="1"/>
  <c r="M41" i="16"/>
  <c r="AJ40" i="16"/>
  <c r="N46" i="4" s="1"/>
  <c r="AI40" i="16"/>
  <c r="M46" i="4" s="1"/>
  <c r="AH40" i="16"/>
  <c r="O46" i="4" s="1"/>
  <c r="M40" i="16"/>
  <c r="AJ39" i="16"/>
  <c r="N45" i="4" s="1"/>
  <c r="AI39" i="16"/>
  <c r="M45" i="4" s="1"/>
  <c r="AH39" i="16"/>
  <c r="O45" i="4" s="1"/>
  <c r="M39" i="16"/>
  <c r="AJ38" i="16"/>
  <c r="N44" i="4" s="1"/>
  <c r="AI38" i="16"/>
  <c r="M44" i="4" s="1"/>
  <c r="AH38" i="16"/>
  <c r="O44" i="4" s="1"/>
  <c r="M38" i="16"/>
  <c r="AJ37" i="16"/>
  <c r="N43" i="4" s="1"/>
  <c r="AI37" i="16"/>
  <c r="M43" i="4" s="1"/>
  <c r="AH37" i="16"/>
  <c r="O43" i="4" s="1"/>
  <c r="AC37" i="16"/>
  <c r="M37" i="16"/>
  <c r="AJ36" i="16"/>
  <c r="N42" i="4" s="1"/>
  <c r="AI36" i="16"/>
  <c r="M42" i="4" s="1"/>
  <c r="AH36" i="16"/>
  <c r="O42" i="4" s="1"/>
  <c r="AC36" i="16"/>
  <c r="M36" i="16"/>
  <c r="AJ35" i="16"/>
  <c r="N41" i="4" s="1"/>
  <c r="AI35" i="16"/>
  <c r="M41" i="4" s="1"/>
  <c r="AH35" i="16"/>
  <c r="O41" i="4" s="1"/>
  <c r="AC35" i="16"/>
  <c r="Z35" i="16"/>
  <c r="Y35" i="16"/>
  <c r="AB36" i="16" s="1"/>
  <c r="X35" i="16"/>
  <c r="W35" i="16"/>
  <c r="P35" i="16"/>
  <c r="O35" i="16"/>
  <c r="M35" i="16"/>
  <c r="AJ34" i="16"/>
  <c r="N40" i="4" s="1"/>
  <c r="AI34" i="16"/>
  <c r="M40" i="4" s="1"/>
  <c r="AH34" i="16"/>
  <c r="O40" i="4" s="1"/>
  <c r="AC34" i="16"/>
  <c r="M34" i="16"/>
  <c r="AJ33" i="16"/>
  <c r="N39" i="4" s="1"/>
  <c r="AI33" i="16"/>
  <c r="M39" i="4" s="1"/>
  <c r="AH33" i="16"/>
  <c r="O39" i="4" s="1"/>
  <c r="M33" i="16"/>
  <c r="AJ32" i="16"/>
  <c r="N38" i="4" s="1"/>
  <c r="AI32" i="16"/>
  <c r="M38" i="4" s="1"/>
  <c r="AH32" i="16"/>
  <c r="O38" i="4" s="1"/>
  <c r="P32" i="16"/>
  <c r="O32" i="16"/>
  <c r="M32" i="16"/>
  <c r="AJ31" i="16"/>
  <c r="N37" i="4" s="1"/>
  <c r="AI31" i="16"/>
  <c r="M37" i="4" s="1"/>
  <c r="AH31" i="16"/>
  <c r="O37" i="4" s="1"/>
  <c r="P31" i="16"/>
  <c r="O31" i="16"/>
  <c r="M31" i="16"/>
  <c r="AJ30" i="16"/>
  <c r="N36" i="4" s="1"/>
  <c r="AI30" i="16"/>
  <c r="M36" i="4" s="1"/>
  <c r="AH30" i="16"/>
  <c r="O36" i="4" s="1"/>
  <c r="AC30" i="16"/>
  <c r="M30" i="16"/>
  <c r="AJ29" i="16"/>
  <c r="N35" i="4" s="1"/>
  <c r="AI29" i="16"/>
  <c r="M35" i="4" s="1"/>
  <c r="AH29" i="16"/>
  <c r="O35" i="4" s="1"/>
  <c r="AC29" i="16"/>
  <c r="AJ28" i="16"/>
  <c r="N34" i="4" s="1"/>
  <c r="AI28" i="16"/>
  <c r="M34" i="4" s="1"/>
  <c r="K30" i="10" s="1"/>
  <c r="AH28" i="16"/>
  <c r="O34" i="4" s="1"/>
  <c r="AC28" i="16"/>
  <c r="AA28" i="16"/>
  <c r="M28" i="16"/>
  <c r="AJ27" i="16"/>
  <c r="N33" i="4" s="1"/>
  <c r="AI27" i="16"/>
  <c r="M33" i="4" s="1"/>
  <c r="AH27" i="16"/>
  <c r="O33" i="4" s="1"/>
  <c r="AC27" i="16"/>
  <c r="Z27" i="16"/>
  <c r="Y27" i="16"/>
  <c r="AB28" i="16" s="1"/>
  <c r="X27" i="16"/>
  <c r="W27" i="16"/>
  <c r="AA30" i="16" s="1"/>
  <c r="M27" i="16"/>
  <c r="AJ26" i="16"/>
  <c r="N32" i="4" s="1"/>
  <c r="AI26" i="16"/>
  <c r="M32" i="4" s="1"/>
  <c r="AH26" i="16"/>
  <c r="O32" i="4" s="1"/>
  <c r="M26" i="16"/>
  <c r="AJ25" i="16"/>
  <c r="N31" i="4" s="1"/>
  <c r="AI25" i="16"/>
  <c r="M31" i="4" s="1"/>
  <c r="AH25" i="16"/>
  <c r="O31" i="4" s="1"/>
  <c r="AF25" i="16"/>
  <c r="M25" i="16"/>
  <c r="AJ24" i="16"/>
  <c r="N27" i="4" s="1"/>
  <c r="AI24" i="16"/>
  <c r="M27" i="4" s="1"/>
  <c r="AH24" i="16"/>
  <c r="O27" i="4" s="1"/>
  <c r="M24" i="16"/>
  <c r="AJ23" i="16"/>
  <c r="N26" i="4" s="1"/>
  <c r="AI23" i="16"/>
  <c r="M26" i="4" s="1"/>
  <c r="AH23" i="16"/>
  <c r="O26" i="4" s="1"/>
  <c r="P25" i="22" s="1"/>
  <c r="M23" i="16"/>
  <c r="AJ22" i="16"/>
  <c r="N25" i="4" s="1"/>
  <c r="AI22" i="16"/>
  <c r="M25" i="4" s="1"/>
  <c r="AH22" i="16"/>
  <c r="O25" i="4" s="1"/>
  <c r="P24" i="22" s="1"/>
  <c r="P22" i="16"/>
  <c r="O22" i="16"/>
  <c r="M22" i="16"/>
  <c r="AJ21" i="16"/>
  <c r="N24" i="4" s="1"/>
  <c r="AI21" i="16"/>
  <c r="M24" i="4" s="1"/>
  <c r="AH21" i="16"/>
  <c r="O24" i="4" s="1"/>
  <c r="M21" i="16"/>
  <c r="AJ20" i="16"/>
  <c r="N23" i="4" s="1"/>
  <c r="AI20" i="16"/>
  <c r="M23" i="4" s="1"/>
  <c r="AH20" i="16"/>
  <c r="O23" i="4" s="1"/>
  <c r="AJ19" i="16"/>
  <c r="N22" i="4" s="1"/>
  <c r="AI19" i="16"/>
  <c r="M22" i="4" s="1"/>
  <c r="AH19" i="16"/>
  <c r="O22" i="4" s="1"/>
  <c r="P19" i="16"/>
  <c r="O19" i="16"/>
  <c r="M19" i="16"/>
  <c r="AJ18" i="16"/>
  <c r="N21" i="4" s="1"/>
  <c r="AI18" i="16"/>
  <c r="M21" i="4" s="1"/>
  <c r="AH18" i="16"/>
  <c r="O21" i="4" s="1"/>
  <c r="P20" i="22" s="1"/>
  <c r="P18" i="16"/>
  <c r="O18" i="16"/>
  <c r="M18" i="16"/>
  <c r="AJ17" i="16"/>
  <c r="N20" i="4" s="1"/>
  <c r="AI17" i="16"/>
  <c r="M20" i="4" s="1"/>
  <c r="N19" i="22" s="1"/>
  <c r="AH17" i="16"/>
  <c r="O20" i="4" s="1"/>
  <c r="M17" i="16"/>
  <c r="AJ16" i="16"/>
  <c r="N19" i="4" s="1"/>
  <c r="AI16" i="16"/>
  <c r="M19" i="4" s="1"/>
  <c r="AH16" i="16"/>
  <c r="O19" i="4" s="1"/>
  <c r="AJ15" i="16"/>
  <c r="N18" i="4" s="1"/>
  <c r="AI15" i="16"/>
  <c r="M18" i="4" s="1"/>
  <c r="AH15" i="16"/>
  <c r="O18" i="4" s="1"/>
  <c r="M15" i="16"/>
  <c r="AJ14" i="16"/>
  <c r="N17" i="4" s="1"/>
  <c r="AI14" i="16"/>
  <c r="M17" i="4" s="1"/>
  <c r="AH14" i="16"/>
  <c r="O17" i="4" s="1"/>
  <c r="M14" i="16"/>
  <c r="AJ13" i="16"/>
  <c r="N16" i="4" s="1"/>
  <c r="AI13" i="16"/>
  <c r="M16" i="4" s="1"/>
  <c r="AH13" i="16"/>
  <c r="O16" i="4" s="1"/>
  <c r="M13" i="16"/>
  <c r="AJ12" i="16"/>
  <c r="N15" i="4" s="1"/>
  <c r="AI12" i="16"/>
  <c r="M15" i="4" s="1"/>
  <c r="AH12" i="16"/>
  <c r="O15" i="4" s="1"/>
  <c r="P12" i="16"/>
  <c r="O12" i="16"/>
  <c r="M12" i="16"/>
  <c r="P11" i="16"/>
  <c r="O11" i="16"/>
  <c r="M11" i="16"/>
  <c r="AJ10" i="16"/>
  <c r="N13" i="4" s="1"/>
  <c r="AI10" i="16"/>
  <c r="M13" i="4" s="1"/>
  <c r="AH10" i="16"/>
  <c r="O13" i="4" s="1"/>
  <c r="M10" i="16"/>
  <c r="AJ9" i="16"/>
  <c r="N12" i="4" s="1"/>
  <c r="AI9" i="16"/>
  <c r="M12" i="4" s="1"/>
  <c r="AH9" i="16"/>
  <c r="O12" i="4" s="1"/>
  <c r="L11" i="10" s="1"/>
  <c r="M9" i="16"/>
  <c r="M8" i="16"/>
  <c r="AJ7" i="16"/>
  <c r="N10" i="4" s="1"/>
  <c r="AI7" i="16"/>
  <c r="M10" i="4" s="1"/>
  <c r="AH7" i="16"/>
  <c r="O10" i="4" s="1"/>
  <c r="P7" i="16"/>
  <c r="O7" i="16"/>
  <c r="M7" i="16"/>
  <c r="AJ6" i="16"/>
  <c r="N9" i="4" s="1"/>
  <c r="AI6" i="16"/>
  <c r="M9" i="4" s="1"/>
  <c r="AH6" i="16"/>
  <c r="O9" i="4" s="1"/>
  <c r="M6" i="16"/>
  <c r="AJ5" i="16"/>
  <c r="N8" i="4" s="1"/>
  <c r="AI5" i="16"/>
  <c r="M8" i="4" s="1"/>
  <c r="AH5" i="16"/>
  <c r="O8" i="4" s="1"/>
  <c r="M5" i="16"/>
  <c r="AJ4" i="16"/>
  <c r="N7" i="4" s="1"/>
  <c r="AI4" i="16"/>
  <c r="M7" i="4" s="1"/>
  <c r="AH4" i="16"/>
  <c r="O7" i="4" s="1"/>
  <c r="AF4" i="16"/>
  <c r="N414" i="17"/>
  <c r="M414" i="17"/>
  <c r="L414" i="17"/>
  <c r="K414" i="17"/>
  <c r="J414" i="17"/>
  <c r="I414" i="17"/>
  <c r="H414" i="17"/>
  <c r="G414" i="17"/>
  <c r="P414" i="17" s="1"/>
  <c r="F414" i="17"/>
  <c r="E414" i="17"/>
  <c r="D414" i="17"/>
  <c r="C414" i="17"/>
  <c r="B414" i="17"/>
  <c r="A414" i="17"/>
  <c r="N413" i="17"/>
  <c r="M413" i="17"/>
  <c r="L413" i="17"/>
  <c r="K413" i="17"/>
  <c r="J413" i="17"/>
  <c r="I413" i="17"/>
  <c r="H413" i="17"/>
  <c r="G413" i="17"/>
  <c r="F413" i="17"/>
  <c r="E413" i="17"/>
  <c r="D413" i="17"/>
  <c r="C413" i="17"/>
  <c r="B413" i="17"/>
  <c r="A413" i="17"/>
  <c r="N412" i="17"/>
  <c r="M412" i="17"/>
  <c r="L412" i="17"/>
  <c r="K412" i="17"/>
  <c r="J412" i="17"/>
  <c r="I412" i="17"/>
  <c r="H412" i="17"/>
  <c r="G412" i="17"/>
  <c r="F412" i="17"/>
  <c r="E412" i="17"/>
  <c r="D412" i="17"/>
  <c r="C412" i="17"/>
  <c r="B412" i="17"/>
  <c r="A412" i="17"/>
  <c r="N411" i="17"/>
  <c r="M411" i="17"/>
  <c r="L411" i="17"/>
  <c r="K411" i="17"/>
  <c r="J411" i="17"/>
  <c r="I411" i="17"/>
  <c r="H411" i="17"/>
  <c r="G411" i="17"/>
  <c r="F411" i="17"/>
  <c r="E411" i="17"/>
  <c r="D411" i="17"/>
  <c r="C411" i="17"/>
  <c r="B411" i="17"/>
  <c r="A411" i="17"/>
  <c r="N410" i="17"/>
  <c r="M410" i="17"/>
  <c r="L410" i="17"/>
  <c r="K410" i="17"/>
  <c r="J410" i="17"/>
  <c r="I410" i="17"/>
  <c r="H410" i="17"/>
  <c r="G410" i="17"/>
  <c r="P410" i="17" s="1"/>
  <c r="F410" i="17"/>
  <c r="E410" i="17"/>
  <c r="D410" i="17"/>
  <c r="C410" i="17"/>
  <c r="B410" i="17"/>
  <c r="A410" i="17"/>
  <c r="N409" i="17"/>
  <c r="M409" i="17"/>
  <c r="L409" i="17"/>
  <c r="K409" i="17"/>
  <c r="J409" i="17"/>
  <c r="I409" i="17"/>
  <c r="H409" i="17"/>
  <c r="G409" i="17"/>
  <c r="F409" i="17"/>
  <c r="E409" i="17"/>
  <c r="D409" i="17"/>
  <c r="C409" i="17"/>
  <c r="B409" i="17"/>
  <c r="A409" i="17"/>
  <c r="N408" i="17"/>
  <c r="M408" i="17"/>
  <c r="L408" i="17"/>
  <c r="K408" i="17"/>
  <c r="J408" i="17"/>
  <c r="I408" i="17"/>
  <c r="H408" i="17"/>
  <c r="G408" i="17"/>
  <c r="F408" i="17"/>
  <c r="E408" i="17"/>
  <c r="D408" i="17"/>
  <c r="C408" i="17"/>
  <c r="B408" i="17"/>
  <c r="A408" i="17"/>
  <c r="N407" i="17"/>
  <c r="M407" i="17"/>
  <c r="L407" i="17"/>
  <c r="K407" i="17"/>
  <c r="J407" i="17"/>
  <c r="I407" i="17"/>
  <c r="H407" i="17"/>
  <c r="G407" i="17"/>
  <c r="F407" i="17"/>
  <c r="E407" i="17"/>
  <c r="D407" i="17"/>
  <c r="C407" i="17"/>
  <c r="B407" i="17"/>
  <c r="A407" i="17"/>
  <c r="N406" i="17"/>
  <c r="M406" i="17"/>
  <c r="L406" i="17"/>
  <c r="K406" i="17"/>
  <c r="J406" i="17"/>
  <c r="I406" i="17"/>
  <c r="H406" i="17"/>
  <c r="G406" i="17"/>
  <c r="P406" i="17" s="1"/>
  <c r="F406" i="17"/>
  <c r="E406" i="17"/>
  <c r="D406" i="17"/>
  <c r="C406" i="17"/>
  <c r="B406" i="17"/>
  <c r="A406" i="17"/>
  <c r="N405" i="17"/>
  <c r="M405" i="17"/>
  <c r="L405" i="17"/>
  <c r="K405" i="17"/>
  <c r="J405" i="17"/>
  <c r="I405" i="17"/>
  <c r="H405" i="17"/>
  <c r="G405" i="17"/>
  <c r="F405" i="17"/>
  <c r="E405" i="17"/>
  <c r="D405" i="17"/>
  <c r="C405" i="17"/>
  <c r="B405" i="17"/>
  <c r="A405" i="17"/>
  <c r="N404" i="17"/>
  <c r="M404" i="17"/>
  <c r="L404" i="17"/>
  <c r="K404" i="17"/>
  <c r="J404" i="17"/>
  <c r="I404" i="17"/>
  <c r="H404" i="17"/>
  <c r="G404" i="17"/>
  <c r="F404" i="17"/>
  <c r="E404" i="17"/>
  <c r="D404" i="17"/>
  <c r="C404" i="17"/>
  <c r="B404" i="17"/>
  <c r="A404" i="17"/>
  <c r="N403" i="17"/>
  <c r="M403" i="17"/>
  <c r="L403" i="17"/>
  <c r="K403" i="17"/>
  <c r="J403" i="17"/>
  <c r="I403" i="17"/>
  <c r="H403" i="17"/>
  <c r="G403" i="17"/>
  <c r="F403" i="17"/>
  <c r="E403" i="17"/>
  <c r="D403" i="17"/>
  <c r="C403" i="17"/>
  <c r="B403" i="17"/>
  <c r="A403" i="17"/>
  <c r="N402" i="17"/>
  <c r="M402" i="17"/>
  <c r="L402" i="17"/>
  <c r="K402" i="17"/>
  <c r="J402" i="17"/>
  <c r="I402" i="17"/>
  <c r="H402" i="17"/>
  <c r="G402" i="17"/>
  <c r="P402" i="17" s="1"/>
  <c r="F402" i="17"/>
  <c r="E402" i="17"/>
  <c r="D402" i="17"/>
  <c r="C402" i="17"/>
  <c r="B402" i="17"/>
  <c r="A402" i="17"/>
  <c r="N401" i="17"/>
  <c r="M401" i="17"/>
  <c r="L401" i="17"/>
  <c r="K401" i="17"/>
  <c r="J401" i="17"/>
  <c r="I401" i="17"/>
  <c r="H401" i="17"/>
  <c r="G401" i="17"/>
  <c r="F401" i="17"/>
  <c r="E401" i="17"/>
  <c r="D401" i="17"/>
  <c r="C401" i="17"/>
  <c r="B401" i="17"/>
  <c r="A401" i="17"/>
  <c r="N400" i="17"/>
  <c r="M400" i="17"/>
  <c r="L400" i="17"/>
  <c r="K400" i="17"/>
  <c r="J400" i="17"/>
  <c r="I400" i="17"/>
  <c r="H400" i="17"/>
  <c r="G400" i="17"/>
  <c r="F400" i="17"/>
  <c r="E400" i="17"/>
  <c r="D400" i="17"/>
  <c r="C400" i="17"/>
  <c r="B400" i="17"/>
  <c r="A400" i="17"/>
  <c r="N399" i="17"/>
  <c r="M399" i="17"/>
  <c r="L399" i="17"/>
  <c r="K399" i="17"/>
  <c r="J399" i="17"/>
  <c r="I399" i="17"/>
  <c r="H399" i="17"/>
  <c r="G399" i="17"/>
  <c r="F399" i="17"/>
  <c r="E399" i="17"/>
  <c r="D399" i="17"/>
  <c r="C399" i="17"/>
  <c r="B399" i="17"/>
  <c r="A399" i="17"/>
  <c r="N398" i="17"/>
  <c r="M398" i="17"/>
  <c r="L398" i="17"/>
  <c r="K398" i="17"/>
  <c r="J398" i="17"/>
  <c r="I398" i="17"/>
  <c r="H398" i="17"/>
  <c r="G398" i="17"/>
  <c r="P398" i="17" s="1"/>
  <c r="F398" i="17"/>
  <c r="E398" i="17"/>
  <c r="D398" i="17"/>
  <c r="C398" i="17"/>
  <c r="B398" i="17"/>
  <c r="A398" i="17"/>
  <c r="N397" i="17"/>
  <c r="M397" i="17"/>
  <c r="L397" i="17"/>
  <c r="K397" i="17"/>
  <c r="J397" i="17"/>
  <c r="I397" i="17"/>
  <c r="H397" i="17"/>
  <c r="G397" i="17"/>
  <c r="F397" i="17"/>
  <c r="E397" i="17"/>
  <c r="D397" i="17"/>
  <c r="C397" i="17"/>
  <c r="B397" i="17"/>
  <c r="A397" i="17"/>
  <c r="N396" i="17"/>
  <c r="M396" i="17"/>
  <c r="L396" i="17"/>
  <c r="K396" i="17"/>
  <c r="J396" i="17"/>
  <c r="I396" i="17"/>
  <c r="H396" i="17"/>
  <c r="G396" i="17"/>
  <c r="F396" i="17"/>
  <c r="E396" i="17"/>
  <c r="D396" i="17"/>
  <c r="C396" i="17"/>
  <c r="B396" i="17"/>
  <c r="A396" i="17"/>
  <c r="N395" i="17"/>
  <c r="M395" i="17"/>
  <c r="L395" i="17"/>
  <c r="K395" i="17"/>
  <c r="J395" i="17"/>
  <c r="I395" i="17"/>
  <c r="H395" i="17"/>
  <c r="G395" i="17"/>
  <c r="F395" i="17"/>
  <c r="E395" i="17"/>
  <c r="D395" i="17"/>
  <c r="C395" i="17"/>
  <c r="B395" i="17"/>
  <c r="A395" i="17"/>
  <c r="N394" i="17"/>
  <c r="M394" i="17"/>
  <c r="L394" i="17"/>
  <c r="K394" i="17"/>
  <c r="J394" i="17"/>
  <c r="I394" i="17"/>
  <c r="H394" i="17"/>
  <c r="G394" i="17"/>
  <c r="P394" i="17" s="1"/>
  <c r="F394" i="17"/>
  <c r="E394" i="17"/>
  <c r="D394" i="17"/>
  <c r="C394" i="17"/>
  <c r="B394" i="17"/>
  <c r="A394" i="17"/>
  <c r="N393" i="17"/>
  <c r="M393" i="17"/>
  <c r="L393" i="17"/>
  <c r="K393" i="17"/>
  <c r="J393" i="17"/>
  <c r="I393" i="17"/>
  <c r="H393" i="17"/>
  <c r="G393" i="17"/>
  <c r="F393" i="17"/>
  <c r="E393" i="17"/>
  <c r="D393" i="17"/>
  <c r="C393" i="17"/>
  <c r="B393" i="17"/>
  <c r="A393" i="17"/>
  <c r="N392" i="17"/>
  <c r="M392" i="17"/>
  <c r="L392" i="17"/>
  <c r="K392" i="17"/>
  <c r="J392" i="17"/>
  <c r="I392" i="17"/>
  <c r="H392" i="17"/>
  <c r="G392" i="17"/>
  <c r="F392" i="17"/>
  <c r="E392" i="17"/>
  <c r="D392" i="17"/>
  <c r="C392" i="17"/>
  <c r="B392" i="17"/>
  <c r="A392" i="17"/>
  <c r="N391" i="17"/>
  <c r="M391" i="17"/>
  <c r="L391" i="17"/>
  <c r="K391" i="17"/>
  <c r="J391" i="17"/>
  <c r="I391" i="17"/>
  <c r="H391" i="17"/>
  <c r="G391" i="17"/>
  <c r="F391" i="17"/>
  <c r="E391" i="17"/>
  <c r="D391" i="17"/>
  <c r="C391" i="17"/>
  <c r="B391" i="17"/>
  <c r="A391" i="17"/>
  <c r="N390" i="17"/>
  <c r="M390" i="17"/>
  <c r="L390" i="17"/>
  <c r="K390" i="17"/>
  <c r="J390" i="17"/>
  <c r="I390" i="17"/>
  <c r="H390" i="17"/>
  <c r="G390" i="17"/>
  <c r="P390" i="17" s="1"/>
  <c r="F390" i="17"/>
  <c r="E390" i="17"/>
  <c r="D390" i="17"/>
  <c r="C390" i="17"/>
  <c r="B390" i="17"/>
  <c r="A390" i="17"/>
  <c r="N389" i="17"/>
  <c r="M389" i="17"/>
  <c r="L389" i="17"/>
  <c r="K389" i="17"/>
  <c r="J389" i="17"/>
  <c r="I389" i="17"/>
  <c r="H389" i="17"/>
  <c r="G389" i="17"/>
  <c r="F389" i="17"/>
  <c r="E389" i="17"/>
  <c r="D389" i="17"/>
  <c r="C389" i="17"/>
  <c r="B389" i="17"/>
  <c r="A389" i="17"/>
  <c r="N388" i="17"/>
  <c r="M388" i="17"/>
  <c r="L388" i="17"/>
  <c r="K388" i="17"/>
  <c r="J388" i="17"/>
  <c r="I388" i="17"/>
  <c r="H388" i="17"/>
  <c r="G388" i="17"/>
  <c r="F388" i="17"/>
  <c r="E388" i="17"/>
  <c r="D388" i="17"/>
  <c r="C388" i="17"/>
  <c r="B388" i="17"/>
  <c r="A388" i="17"/>
  <c r="N387" i="17"/>
  <c r="M387" i="17"/>
  <c r="L387" i="17"/>
  <c r="K387" i="17"/>
  <c r="J387" i="17"/>
  <c r="I387" i="17"/>
  <c r="H387" i="17"/>
  <c r="G387" i="17"/>
  <c r="F387" i="17"/>
  <c r="E387" i="17"/>
  <c r="D387" i="17"/>
  <c r="C387" i="17"/>
  <c r="B387" i="17"/>
  <c r="A387" i="17"/>
  <c r="N386" i="17"/>
  <c r="M386" i="17"/>
  <c r="L386" i="17"/>
  <c r="K386" i="17"/>
  <c r="J386" i="17"/>
  <c r="I386" i="17"/>
  <c r="H386" i="17"/>
  <c r="G386" i="17"/>
  <c r="P386" i="17" s="1"/>
  <c r="F386" i="17"/>
  <c r="E386" i="17"/>
  <c r="D386" i="17"/>
  <c r="C386" i="17"/>
  <c r="B386" i="17"/>
  <c r="A386" i="17"/>
  <c r="N385" i="17"/>
  <c r="M385" i="17"/>
  <c r="L385" i="17"/>
  <c r="K385" i="17"/>
  <c r="J385" i="17"/>
  <c r="I385" i="17"/>
  <c r="H385" i="17"/>
  <c r="G385" i="17"/>
  <c r="F385" i="17"/>
  <c r="E385" i="17"/>
  <c r="D385" i="17"/>
  <c r="C385" i="17"/>
  <c r="B385" i="17"/>
  <c r="A385" i="17"/>
  <c r="N384" i="17"/>
  <c r="M384" i="17"/>
  <c r="L384" i="17"/>
  <c r="K384" i="17"/>
  <c r="J384" i="17"/>
  <c r="I384" i="17"/>
  <c r="H384" i="17"/>
  <c r="G384" i="17"/>
  <c r="F384" i="17"/>
  <c r="E384" i="17"/>
  <c r="D384" i="17"/>
  <c r="C384" i="17"/>
  <c r="B384" i="17"/>
  <c r="A384" i="17"/>
  <c r="N383" i="17"/>
  <c r="M383" i="17"/>
  <c r="L383" i="17"/>
  <c r="K383" i="17"/>
  <c r="J383" i="17"/>
  <c r="I383" i="17"/>
  <c r="H383" i="17"/>
  <c r="G383" i="17"/>
  <c r="F383" i="17"/>
  <c r="E383" i="17"/>
  <c r="D383" i="17"/>
  <c r="C383" i="17"/>
  <c r="B383" i="17"/>
  <c r="A383" i="17"/>
  <c r="N382" i="17"/>
  <c r="M382" i="17"/>
  <c r="L382" i="17"/>
  <c r="K382" i="17"/>
  <c r="J382" i="17"/>
  <c r="I382" i="17"/>
  <c r="H382" i="17"/>
  <c r="G382" i="17"/>
  <c r="P382" i="17" s="1"/>
  <c r="F382" i="17"/>
  <c r="E382" i="17"/>
  <c r="D382" i="17"/>
  <c r="C382" i="17"/>
  <c r="B382" i="17"/>
  <c r="A382" i="17"/>
  <c r="N381" i="17"/>
  <c r="M381" i="17"/>
  <c r="L381" i="17"/>
  <c r="K381" i="17"/>
  <c r="J381" i="17"/>
  <c r="I381" i="17"/>
  <c r="H381" i="17"/>
  <c r="G381" i="17"/>
  <c r="F381" i="17"/>
  <c r="E381" i="17"/>
  <c r="D381" i="17"/>
  <c r="C381" i="17"/>
  <c r="B381" i="17"/>
  <c r="A381" i="17"/>
  <c r="N380" i="17"/>
  <c r="M380" i="17"/>
  <c r="L380" i="17"/>
  <c r="K380" i="17"/>
  <c r="J380" i="17"/>
  <c r="I380" i="17"/>
  <c r="H380" i="17"/>
  <c r="G380" i="17"/>
  <c r="F380" i="17"/>
  <c r="E380" i="17"/>
  <c r="D380" i="17"/>
  <c r="C380" i="17"/>
  <c r="B380" i="17"/>
  <c r="A380" i="17"/>
  <c r="N379" i="17"/>
  <c r="M379" i="17"/>
  <c r="L379" i="17"/>
  <c r="K379" i="17"/>
  <c r="J379" i="17"/>
  <c r="I379" i="17"/>
  <c r="H379" i="17"/>
  <c r="G379" i="17"/>
  <c r="F379" i="17"/>
  <c r="E379" i="17"/>
  <c r="D379" i="17"/>
  <c r="C379" i="17"/>
  <c r="B379" i="17"/>
  <c r="A379" i="17"/>
  <c r="N378" i="17"/>
  <c r="M378" i="17"/>
  <c r="L378" i="17"/>
  <c r="K378" i="17"/>
  <c r="J378" i="17"/>
  <c r="I378" i="17"/>
  <c r="H378" i="17"/>
  <c r="G378" i="17"/>
  <c r="P378" i="17" s="1"/>
  <c r="F378" i="17"/>
  <c r="E378" i="17"/>
  <c r="D378" i="17"/>
  <c r="C378" i="17"/>
  <c r="B378" i="17"/>
  <c r="A378" i="17"/>
  <c r="N377" i="17"/>
  <c r="M377" i="17"/>
  <c r="L377" i="17"/>
  <c r="K377" i="17"/>
  <c r="J377" i="17"/>
  <c r="I377" i="17"/>
  <c r="H377" i="17"/>
  <c r="G377" i="17"/>
  <c r="F377" i="17"/>
  <c r="E377" i="17"/>
  <c r="D377" i="17"/>
  <c r="C377" i="17"/>
  <c r="B377" i="17"/>
  <c r="A377" i="17"/>
  <c r="N376" i="17"/>
  <c r="M376" i="17"/>
  <c r="L376" i="17"/>
  <c r="K376" i="17"/>
  <c r="J376" i="17"/>
  <c r="I376" i="17"/>
  <c r="H376" i="17"/>
  <c r="G376" i="17"/>
  <c r="F376" i="17"/>
  <c r="E376" i="17"/>
  <c r="D376" i="17"/>
  <c r="C376" i="17"/>
  <c r="B376" i="17"/>
  <c r="A376" i="17"/>
  <c r="N375" i="17"/>
  <c r="M375" i="17"/>
  <c r="L375" i="17"/>
  <c r="K375" i="17"/>
  <c r="J375" i="17"/>
  <c r="I375" i="17"/>
  <c r="H375" i="17"/>
  <c r="G375" i="17"/>
  <c r="F375" i="17"/>
  <c r="E375" i="17"/>
  <c r="D375" i="17"/>
  <c r="C375" i="17"/>
  <c r="B375" i="17"/>
  <c r="A375" i="17"/>
  <c r="N374" i="17"/>
  <c r="M374" i="17"/>
  <c r="L374" i="17"/>
  <c r="K374" i="17"/>
  <c r="J374" i="17"/>
  <c r="I374" i="17"/>
  <c r="H374" i="17"/>
  <c r="G374" i="17"/>
  <c r="P374" i="17" s="1"/>
  <c r="F374" i="17"/>
  <c r="E374" i="17"/>
  <c r="D374" i="17"/>
  <c r="C374" i="17"/>
  <c r="B374" i="17"/>
  <c r="A374" i="17"/>
  <c r="N373" i="17"/>
  <c r="M373" i="17"/>
  <c r="L373" i="17"/>
  <c r="K373" i="17"/>
  <c r="J373" i="17"/>
  <c r="I373" i="17"/>
  <c r="H373" i="17"/>
  <c r="G373" i="17"/>
  <c r="F373" i="17"/>
  <c r="E373" i="17"/>
  <c r="D373" i="17"/>
  <c r="C373" i="17"/>
  <c r="B373" i="17"/>
  <c r="A373" i="17"/>
  <c r="N372" i="17"/>
  <c r="M372" i="17"/>
  <c r="L372" i="17"/>
  <c r="K372" i="17"/>
  <c r="J372" i="17"/>
  <c r="I372" i="17"/>
  <c r="H372" i="17"/>
  <c r="G372" i="17"/>
  <c r="F372" i="17"/>
  <c r="E372" i="17"/>
  <c r="D372" i="17"/>
  <c r="C372" i="17"/>
  <c r="B372" i="17"/>
  <c r="A372" i="17"/>
  <c r="N371" i="17"/>
  <c r="M371" i="17"/>
  <c r="L371" i="17"/>
  <c r="K371" i="17"/>
  <c r="J371" i="17"/>
  <c r="I371" i="17"/>
  <c r="H371" i="17"/>
  <c r="G371" i="17"/>
  <c r="F371" i="17"/>
  <c r="E371" i="17"/>
  <c r="D371" i="17"/>
  <c r="C371" i="17"/>
  <c r="B371" i="17"/>
  <c r="A371" i="17"/>
  <c r="N370" i="17"/>
  <c r="M370" i="17"/>
  <c r="L370" i="17"/>
  <c r="K370" i="17"/>
  <c r="J370" i="17"/>
  <c r="I370" i="17"/>
  <c r="H370" i="17"/>
  <c r="G370" i="17"/>
  <c r="O370" i="17" s="1"/>
  <c r="F370" i="17"/>
  <c r="E370" i="17"/>
  <c r="D370" i="17"/>
  <c r="C370" i="17"/>
  <c r="B370" i="17"/>
  <c r="A370" i="17"/>
  <c r="N369" i="17"/>
  <c r="M369" i="17"/>
  <c r="L369" i="17"/>
  <c r="K369" i="17"/>
  <c r="J369" i="17"/>
  <c r="I369" i="17"/>
  <c r="H369" i="17"/>
  <c r="G369" i="17"/>
  <c r="F369" i="17"/>
  <c r="E369" i="17"/>
  <c r="D369" i="17"/>
  <c r="C369" i="17"/>
  <c r="B369" i="17"/>
  <c r="A369" i="17"/>
  <c r="N368" i="17"/>
  <c r="M368" i="17"/>
  <c r="L368" i="17"/>
  <c r="K368" i="17"/>
  <c r="J368" i="17"/>
  <c r="I368" i="17"/>
  <c r="H368" i="17"/>
  <c r="G368" i="17"/>
  <c r="F368" i="17"/>
  <c r="E368" i="17"/>
  <c r="D368" i="17"/>
  <c r="C368" i="17"/>
  <c r="B368" i="17"/>
  <c r="A368" i="17"/>
  <c r="N367" i="17"/>
  <c r="M367" i="17"/>
  <c r="L367" i="17"/>
  <c r="K367" i="17"/>
  <c r="J367" i="17"/>
  <c r="I367" i="17"/>
  <c r="H367" i="17"/>
  <c r="G367" i="17"/>
  <c r="F367" i="17"/>
  <c r="E367" i="17"/>
  <c r="D367" i="17"/>
  <c r="C367" i="17"/>
  <c r="B367" i="17"/>
  <c r="A367" i="17"/>
  <c r="N364" i="17"/>
  <c r="M364" i="17"/>
  <c r="L364" i="17"/>
  <c r="K364" i="17"/>
  <c r="J364" i="17"/>
  <c r="I364" i="17"/>
  <c r="H364" i="17"/>
  <c r="G364" i="17"/>
  <c r="F364" i="17"/>
  <c r="E364" i="17"/>
  <c r="D364" i="17"/>
  <c r="C364" i="17"/>
  <c r="B364" i="17"/>
  <c r="A364" i="17"/>
  <c r="N363" i="17"/>
  <c r="M363" i="17"/>
  <c r="L363" i="17"/>
  <c r="K363" i="17"/>
  <c r="J363" i="17"/>
  <c r="I363" i="17"/>
  <c r="H363" i="17"/>
  <c r="G363" i="17"/>
  <c r="F363" i="17"/>
  <c r="E363" i="17"/>
  <c r="D363" i="17"/>
  <c r="C363" i="17"/>
  <c r="B363" i="17"/>
  <c r="A363" i="17"/>
  <c r="N362" i="17"/>
  <c r="M362" i="17"/>
  <c r="L362" i="17"/>
  <c r="K362" i="17"/>
  <c r="J362" i="17"/>
  <c r="I362" i="17"/>
  <c r="H362" i="17"/>
  <c r="G362" i="17"/>
  <c r="F362" i="17"/>
  <c r="E362" i="17"/>
  <c r="D362" i="17"/>
  <c r="C362" i="17"/>
  <c r="B362" i="17"/>
  <c r="A362" i="17"/>
  <c r="N361" i="17"/>
  <c r="M361" i="17"/>
  <c r="L361" i="17"/>
  <c r="K361" i="17"/>
  <c r="J361" i="17"/>
  <c r="I361" i="17"/>
  <c r="H361" i="17"/>
  <c r="G361" i="17"/>
  <c r="F361" i="17"/>
  <c r="E361" i="17"/>
  <c r="D361" i="17"/>
  <c r="C361" i="17"/>
  <c r="B361" i="17"/>
  <c r="A361" i="17"/>
  <c r="N360" i="17"/>
  <c r="M360" i="17"/>
  <c r="L360" i="17"/>
  <c r="K360" i="17"/>
  <c r="J360" i="17"/>
  <c r="I360" i="17"/>
  <c r="H360" i="17"/>
  <c r="G360" i="17"/>
  <c r="F360" i="17"/>
  <c r="E360" i="17"/>
  <c r="D360" i="17"/>
  <c r="C360" i="17"/>
  <c r="B360" i="17"/>
  <c r="A360" i="17"/>
  <c r="N359" i="17"/>
  <c r="M359" i="17"/>
  <c r="L359" i="17"/>
  <c r="O359" i="17" s="1"/>
  <c r="K359" i="17"/>
  <c r="J359" i="17"/>
  <c r="I359" i="17"/>
  <c r="H359" i="17"/>
  <c r="G359" i="17"/>
  <c r="F359" i="17"/>
  <c r="E359" i="17"/>
  <c r="D359" i="17"/>
  <c r="C359" i="17"/>
  <c r="B359" i="17"/>
  <c r="A359" i="17"/>
  <c r="N358" i="17"/>
  <c r="M358" i="17"/>
  <c r="L358" i="17"/>
  <c r="K358" i="17"/>
  <c r="J358" i="17"/>
  <c r="I358" i="17"/>
  <c r="H358" i="17"/>
  <c r="G358" i="17"/>
  <c r="F358" i="17"/>
  <c r="E358" i="17"/>
  <c r="D358" i="17"/>
  <c r="C358" i="17"/>
  <c r="B358" i="17"/>
  <c r="A358" i="17"/>
  <c r="N357" i="17"/>
  <c r="M357" i="17"/>
  <c r="L357" i="17"/>
  <c r="K357" i="17"/>
  <c r="J357" i="17"/>
  <c r="I357" i="17"/>
  <c r="H357" i="17"/>
  <c r="G357" i="17"/>
  <c r="F357" i="17"/>
  <c r="E357" i="17"/>
  <c r="D357" i="17"/>
  <c r="C357" i="17"/>
  <c r="B357" i="17"/>
  <c r="A357" i="17"/>
  <c r="AG356" i="17"/>
  <c r="N356" i="17"/>
  <c r="M356" i="17"/>
  <c r="L356" i="17"/>
  <c r="K356" i="17"/>
  <c r="J356" i="17"/>
  <c r="I356" i="17"/>
  <c r="H356" i="17"/>
  <c r="G356" i="17"/>
  <c r="F356" i="17"/>
  <c r="E356" i="17"/>
  <c r="D356" i="17"/>
  <c r="C356" i="17"/>
  <c r="B356" i="17"/>
  <c r="A356" i="17"/>
  <c r="N355" i="17"/>
  <c r="M355" i="17"/>
  <c r="L355" i="17"/>
  <c r="K355" i="17"/>
  <c r="J355" i="17"/>
  <c r="I355" i="17"/>
  <c r="H355" i="17"/>
  <c r="G355" i="17"/>
  <c r="F355" i="17"/>
  <c r="E355" i="17"/>
  <c r="D355" i="17"/>
  <c r="C355" i="17"/>
  <c r="B355" i="17"/>
  <c r="A355" i="17"/>
  <c r="N352" i="17"/>
  <c r="M352" i="17"/>
  <c r="L352" i="17"/>
  <c r="K352" i="17"/>
  <c r="J352" i="17"/>
  <c r="I352" i="17"/>
  <c r="H352" i="17"/>
  <c r="G352" i="17"/>
  <c r="F352" i="17"/>
  <c r="E352" i="17"/>
  <c r="D352" i="17"/>
  <c r="C352" i="17"/>
  <c r="B352" i="17"/>
  <c r="A352" i="17"/>
  <c r="N351" i="17"/>
  <c r="M351" i="17"/>
  <c r="L351" i="17"/>
  <c r="K351" i="17"/>
  <c r="J351" i="17"/>
  <c r="I351" i="17"/>
  <c r="H351" i="17"/>
  <c r="G351" i="17"/>
  <c r="F351" i="17"/>
  <c r="E351" i="17"/>
  <c r="D351" i="17"/>
  <c r="C351" i="17"/>
  <c r="B351" i="17"/>
  <c r="A351" i="17"/>
  <c r="N350" i="17"/>
  <c r="M350" i="17"/>
  <c r="L350" i="17"/>
  <c r="K350" i="17"/>
  <c r="J350" i="17"/>
  <c r="I350" i="17"/>
  <c r="H350" i="17"/>
  <c r="G350" i="17"/>
  <c r="F350" i="17"/>
  <c r="E350" i="17"/>
  <c r="D350" i="17"/>
  <c r="C350" i="17"/>
  <c r="B350" i="17"/>
  <c r="A350" i="17"/>
  <c r="N349" i="17"/>
  <c r="M349" i="17"/>
  <c r="L349" i="17"/>
  <c r="O349" i="17" s="1"/>
  <c r="K349" i="17"/>
  <c r="J349" i="17"/>
  <c r="I349" i="17"/>
  <c r="H349" i="17"/>
  <c r="G349" i="17"/>
  <c r="F349" i="17"/>
  <c r="E349" i="17"/>
  <c r="D349" i="17"/>
  <c r="C349" i="17"/>
  <c r="B349" i="17"/>
  <c r="A349" i="17"/>
  <c r="N348" i="17"/>
  <c r="M348" i="17"/>
  <c r="L348" i="17"/>
  <c r="K348" i="17"/>
  <c r="J348" i="17"/>
  <c r="I348" i="17"/>
  <c r="H348" i="17"/>
  <c r="G348" i="17"/>
  <c r="F348" i="17"/>
  <c r="E348" i="17"/>
  <c r="D348" i="17"/>
  <c r="C348" i="17"/>
  <c r="B348" i="17"/>
  <c r="A348" i="17"/>
  <c r="N347" i="17"/>
  <c r="M347" i="17"/>
  <c r="L347" i="17"/>
  <c r="K347" i="17"/>
  <c r="J347" i="17"/>
  <c r="I347" i="17"/>
  <c r="H347" i="17"/>
  <c r="G347" i="17"/>
  <c r="F347" i="17"/>
  <c r="E347" i="17"/>
  <c r="D347" i="17"/>
  <c r="C347" i="17"/>
  <c r="B347" i="17"/>
  <c r="A347" i="17"/>
  <c r="N346" i="17"/>
  <c r="M346" i="17"/>
  <c r="L346" i="17"/>
  <c r="K346" i="17"/>
  <c r="J346" i="17"/>
  <c r="I346" i="17"/>
  <c r="H346" i="17"/>
  <c r="G346" i="17"/>
  <c r="F346" i="17"/>
  <c r="E346" i="17"/>
  <c r="D346" i="17"/>
  <c r="C346" i="17"/>
  <c r="B346" i="17"/>
  <c r="A346" i="17"/>
  <c r="N345" i="17"/>
  <c r="M345" i="17"/>
  <c r="L345" i="17"/>
  <c r="K345" i="17"/>
  <c r="J345" i="17"/>
  <c r="I345" i="17"/>
  <c r="H345" i="17"/>
  <c r="G345" i="17"/>
  <c r="F345" i="17"/>
  <c r="E345" i="17"/>
  <c r="D345" i="17"/>
  <c r="C345" i="17"/>
  <c r="B345" i="17"/>
  <c r="A345" i="17"/>
  <c r="N344" i="17"/>
  <c r="M344" i="17"/>
  <c r="L344" i="17"/>
  <c r="K344" i="17"/>
  <c r="J344" i="17"/>
  <c r="I344" i="17"/>
  <c r="H344" i="17"/>
  <c r="G344" i="17"/>
  <c r="F344" i="17"/>
  <c r="E344" i="17"/>
  <c r="D344" i="17"/>
  <c r="C344" i="17"/>
  <c r="B344" i="17"/>
  <c r="A344" i="17"/>
  <c r="N343" i="17"/>
  <c r="M343" i="17"/>
  <c r="L343" i="17"/>
  <c r="K343" i="17"/>
  <c r="J343" i="17"/>
  <c r="I343" i="17"/>
  <c r="H343" i="17"/>
  <c r="G343" i="17"/>
  <c r="F343" i="17"/>
  <c r="E343" i="17"/>
  <c r="D343" i="17"/>
  <c r="C343" i="17"/>
  <c r="B343" i="17"/>
  <c r="A343" i="17"/>
  <c r="N342" i="17"/>
  <c r="M342" i="17"/>
  <c r="L342" i="17"/>
  <c r="K342" i="17"/>
  <c r="J342" i="17"/>
  <c r="I342" i="17"/>
  <c r="H342" i="17"/>
  <c r="G342" i="17"/>
  <c r="F342" i="17"/>
  <c r="E342" i="17"/>
  <c r="D342" i="17"/>
  <c r="C342" i="17"/>
  <c r="B342" i="17"/>
  <c r="A342" i="17"/>
  <c r="N341" i="17"/>
  <c r="M341" i="17"/>
  <c r="L341" i="17"/>
  <c r="O341" i="17" s="1"/>
  <c r="K341" i="17"/>
  <c r="J341" i="17"/>
  <c r="I341" i="17"/>
  <c r="H341" i="17"/>
  <c r="G341" i="17"/>
  <c r="F341" i="17"/>
  <c r="E341" i="17"/>
  <c r="D341" i="17"/>
  <c r="C341" i="17"/>
  <c r="B341" i="17"/>
  <c r="A341" i="17"/>
  <c r="N340" i="17"/>
  <c r="M340" i="17"/>
  <c r="L340" i="17"/>
  <c r="K340" i="17"/>
  <c r="J340" i="17"/>
  <c r="I340" i="17"/>
  <c r="H340" i="17"/>
  <c r="G340" i="17"/>
  <c r="F340" i="17"/>
  <c r="E340" i="17"/>
  <c r="D340" i="17"/>
  <c r="C340" i="17"/>
  <c r="B340" i="17"/>
  <c r="A340" i="17"/>
  <c r="N339" i="17"/>
  <c r="M339" i="17"/>
  <c r="L339" i="17"/>
  <c r="O339" i="17" s="1"/>
  <c r="K339" i="17"/>
  <c r="J339" i="17"/>
  <c r="I339" i="17"/>
  <c r="H339" i="17"/>
  <c r="G339" i="17"/>
  <c r="F339" i="17"/>
  <c r="E339" i="17"/>
  <c r="D339" i="17"/>
  <c r="C339" i="17"/>
  <c r="B339" i="17"/>
  <c r="A339" i="17"/>
  <c r="N338" i="17"/>
  <c r="M338" i="17"/>
  <c r="L338" i="17"/>
  <c r="K338" i="17"/>
  <c r="J338" i="17"/>
  <c r="I338" i="17"/>
  <c r="H338" i="17"/>
  <c r="G338" i="17"/>
  <c r="F338" i="17"/>
  <c r="E338" i="17"/>
  <c r="D338" i="17"/>
  <c r="C338" i="17"/>
  <c r="B338" i="17"/>
  <c r="A338" i="17"/>
  <c r="N337" i="17"/>
  <c r="M337" i="17"/>
  <c r="L337" i="17"/>
  <c r="K337" i="17"/>
  <c r="J337" i="17"/>
  <c r="I337" i="17"/>
  <c r="H337" i="17"/>
  <c r="G337" i="17"/>
  <c r="F337" i="17"/>
  <c r="E337" i="17"/>
  <c r="D337" i="17"/>
  <c r="C337" i="17"/>
  <c r="B337" i="17"/>
  <c r="A337" i="17"/>
  <c r="E333" i="17"/>
  <c r="D333" i="17"/>
  <c r="E332" i="17" s="1"/>
  <c r="AJ57" i="17" s="1"/>
  <c r="I332" i="17"/>
  <c r="H332" i="17"/>
  <c r="D332" i="17"/>
  <c r="C332" i="17"/>
  <c r="D329" i="17"/>
  <c r="J328" i="17"/>
  <c r="I328" i="17"/>
  <c r="E328" i="17"/>
  <c r="G328" i="17" s="1"/>
  <c r="D328" i="17"/>
  <c r="C328" i="17"/>
  <c r="X306" i="17"/>
  <c r="Y306" i="17" s="1"/>
  <c r="X305" i="17"/>
  <c r="Y305" i="17" s="1"/>
  <c r="X304" i="17"/>
  <c r="Y304" i="17" s="1"/>
  <c r="X303" i="17"/>
  <c r="Y303" i="17" s="1"/>
  <c r="X302" i="17"/>
  <c r="Y302" i="17" s="1"/>
  <c r="X301" i="17"/>
  <c r="Y301" i="17" s="1"/>
  <c r="X300" i="17"/>
  <c r="I292" i="17"/>
  <c r="H292" i="17"/>
  <c r="E292" i="17"/>
  <c r="D292" i="17"/>
  <c r="E293" i="17" s="1"/>
  <c r="C292" i="17"/>
  <c r="X270" i="17"/>
  <c r="Y270" i="17" s="1"/>
  <c r="X269" i="17"/>
  <c r="Y269" i="17" s="1"/>
  <c r="X268" i="17"/>
  <c r="Y268" i="17" s="1"/>
  <c r="X267" i="17"/>
  <c r="Y267" i="17" s="1"/>
  <c r="X266" i="17"/>
  <c r="Y266" i="17" s="1"/>
  <c r="X265" i="17"/>
  <c r="Y265" i="17" s="1"/>
  <c r="X264" i="17"/>
  <c r="U252" i="17"/>
  <c r="W252" i="17" s="1"/>
  <c r="U250" i="17"/>
  <c r="W250" i="17" s="1"/>
  <c r="U249" i="17"/>
  <c r="V249" i="17" s="1"/>
  <c r="V248" i="17"/>
  <c r="U248" i="17"/>
  <c r="W248" i="17" s="1"/>
  <c r="W246" i="17"/>
  <c r="U246" i="17"/>
  <c r="V246" i="17" s="1"/>
  <c r="U245" i="17"/>
  <c r="W245" i="17" s="1"/>
  <c r="U244" i="17"/>
  <c r="V244" i="17" s="1"/>
  <c r="U243" i="17"/>
  <c r="W243" i="17" s="1"/>
  <c r="U241" i="17"/>
  <c r="W241" i="17" s="1"/>
  <c r="U240" i="17"/>
  <c r="W240" i="17" s="1"/>
  <c r="X236" i="17"/>
  <c r="Y236" i="17" s="1"/>
  <c r="U236" i="17"/>
  <c r="W236" i="17" s="1"/>
  <c r="X235" i="17"/>
  <c r="Y235" i="17" s="1"/>
  <c r="U235" i="17"/>
  <c r="W235" i="17" s="1"/>
  <c r="X234" i="17"/>
  <c r="Y234" i="17" s="1"/>
  <c r="U234" i="17"/>
  <c r="W234" i="17" s="1"/>
  <c r="X233" i="17"/>
  <c r="Y233" i="17" s="1"/>
  <c r="U233" i="17"/>
  <c r="V233" i="17" s="1"/>
  <c r="X232" i="17"/>
  <c r="Y232" i="17" s="1"/>
  <c r="U232" i="17"/>
  <c r="W232" i="17" s="1"/>
  <c r="X231" i="17"/>
  <c r="Y231" i="17" s="1"/>
  <c r="X230" i="17"/>
  <c r="W218" i="17"/>
  <c r="V218" i="17"/>
  <c r="U218" i="17"/>
  <c r="U216" i="17"/>
  <c r="V216" i="17" s="1"/>
  <c r="U215" i="17"/>
  <c r="W215" i="17" s="1"/>
  <c r="U214" i="17"/>
  <c r="V214" i="17" s="1"/>
  <c r="W213" i="17"/>
  <c r="U213" i="17"/>
  <c r="V213" i="17" s="1"/>
  <c r="U212" i="17"/>
  <c r="W212" i="17" s="1"/>
  <c r="U210" i="17"/>
  <c r="W210" i="17" s="1"/>
  <c r="U209" i="17"/>
  <c r="V209" i="17" s="1"/>
  <c r="U208" i="17"/>
  <c r="V208" i="17" s="1"/>
  <c r="W207" i="17"/>
  <c r="U207" i="17"/>
  <c r="V207" i="17" s="1"/>
  <c r="U206" i="17"/>
  <c r="W206" i="17" s="1"/>
  <c r="U204" i="17"/>
  <c r="V204" i="17" s="1"/>
  <c r="V203" i="17"/>
  <c r="U203" i="17"/>
  <c r="W203" i="17" s="1"/>
  <c r="U199" i="17"/>
  <c r="W199" i="17" s="1"/>
  <c r="X198" i="17"/>
  <c r="Y198" i="17" s="1"/>
  <c r="U198" i="17"/>
  <c r="W198" i="17" s="1"/>
  <c r="X197" i="17"/>
  <c r="Y197" i="17" s="1"/>
  <c r="V197" i="17"/>
  <c r="U197" i="17"/>
  <c r="W197" i="17" s="1"/>
  <c r="X196" i="17"/>
  <c r="Y196" i="17" s="1"/>
  <c r="U196" i="17"/>
  <c r="V196" i="17" s="1"/>
  <c r="X195" i="17"/>
  <c r="Y195" i="17" s="1"/>
  <c r="U195" i="17"/>
  <c r="W195" i="17" s="1"/>
  <c r="X194" i="17"/>
  <c r="Y194" i="17" s="1"/>
  <c r="X193" i="17"/>
  <c r="Y193" i="17" s="1"/>
  <c r="X192" i="17"/>
  <c r="U180" i="17"/>
  <c r="W180" i="17" s="1"/>
  <c r="U178" i="17"/>
  <c r="V178" i="17" s="1"/>
  <c r="U177" i="17"/>
  <c r="U176" i="17"/>
  <c r="U175" i="17"/>
  <c r="W175" i="17" s="1"/>
  <c r="U174" i="17"/>
  <c r="V174" i="17" s="1"/>
  <c r="W172" i="17"/>
  <c r="U172" i="17"/>
  <c r="V172" i="17" s="1"/>
  <c r="U171" i="17"/>
  <c r="V171" i="17" s="1"/>
  <c r="U170" i="17"/>
  <c r="W170" i="17" s="1"/>
  <c r="U169" i="17"/>
  <c r="V169" i="17" s="1"/>
  <c r="V168" i="17"/>
  <c r="U168" i="17"/>
  <c r="W168" i="17" s="1"/>
  <c r="U166" i="17"/>
  <c r="V166" i="17" s="1"/>
  <c r="U165" i="17"/>
  <c r="W165" i="17" s="1"/>
  <c r="U161" i="17"/>
  <c r="W161" i="17" s="1"/>
  <c r="X160" i="17"/>
  <c r="Y160" i="17" s="1"/>
  <c r="U160" i="17"/>
  <c r="V160" i="17" s="1"/>
  <c r="X159" i="17"/>
  <c r="Y159" i="17" s="1"/>
  <c r="U159" i="17"/>
  <c r="W159" i="17" s="1"/>
  <c r="X158" i="17"/>
  <c r="Y158" i="17" s="1"/>
  <c r="U158" i="17"/>
  <c r="V158" i="17" s="1"/>
  <c r="X157" i="17"/>
  <c r="Y157" i="17" s="1"/>
  <c r="V157" i="17"/>
  <c r="U157" i="17"/>
  <c r="W157" i="17" s="1"/>
  <c r="X156" i="17"/>
  <c r="Y156" i="17" s="1"/>
  <c r="X155" i="17"/>
  <c r="Y155" i="17" s="1"/>
  <c r="X154" i="17"/>
  <c r="U142" i="17"/>
  <c r="U140" i="17"/>
  <c r="W140" i="17" s="1"/>
  <c r="U139" i="17"/>
  <c r="W139" i="17" s="1"/>
  <c r="U138" i="17"/>
  <c r="V138" i="17" s="1"/>
  <c r="V137" i="17"/>
  <c r="U137" i="17"/>
  <c r="W137" i="17" s="1"/>
  <c r="U136" i="17"/>
  <c r="W136" i="17" s="1"/>
  <c r="U134" i="17"/>
  <c r="W134" i="17" s="1"/>
  <c r="U133" i="17"/>
  <c r="V133" i="17" s="1"/>
  <c r="U132" i="17"/>
  <c r="V131" i="17"/>
  <c r="U131" i="17"/>
  <c r="W131" i="17" s="1"/>
  <c r="U130" i="17"/>
  <c r="W130" i="17" s="1"/>
  <c r="U128" i="17"/>
  <c r="V128" i="17" s="1"/>
  <c r="U127" i="17"/>
  <c r="W127" i="17" s="1"/>
  <c r="U123" i="17"/>
  <c r="W123" i="17" s="1"/>
  <c r="X122" i="17"/>
  <c r="Y122" i="17" s="1"/>
  <c r="U122" i="17"/>
  <c r="V122" i="17" s="1"/>
  <c r="X121" i="17"/>
  <c r="Y121" i="17" s="1"/>
  <c r="U121" i="17"/>
  <c r="W121" i="17" s="1"/>
  <c r="X120" i="17"/>
  <c r="Y120" i="17" s="1"/>
  <c r="U120" i="17"/>
  <c r="W120" i="17" s="1"/>
  <c r="X119" i="17"/>
  <c r="Y119" i="17" s="1"/>
  <c r="U119" i="17"/>
  <c r="X118" i="17"/>
  <c r="Y118" i="17" s="1"/>
  <c r="X117" i="17"/>
  <c r="Y117" i="17" s="1"/>
  <c r="X116" i="17"/>
  <c r="U106" i="17"/>
  <c r="W106" i="17" s="1"/>
  <c r="U104" i="17"/>
  <c r="V104" i="17" s="1"/>
  <c r="U103" i="17"/>
  <c r="W103" i="17" s="1"/>
  <c r="U102" i="17"/>
  <c r="V102" i="17" s="1"/>
  <c r="U101" i="17"/>
  <c r="V101" i="17" s="1"/>
  <c r="U100" i="17"/>
  <c r="W100" i="17" s="1"/>
  <c r="U98" i="17"/>
  <c r="W98" i="17" s="1"/>
  <c r="U97" i="17"/>
  <c r="W96" i="17"/>
  <c r="U96" i="17"/>
  <c r="V96" i="17" s="1"/>
  <c r="U95" i="17"/>
  <c r="W95" i="17" s="1"/>
  <c r="U94" i="17"/>
  <c r="W94" i="17" s="1"/>
  <c r="U92" i="17"/>
  <c r="V92" i="17" s="1"/>
  <c r="U91" i="17"/>
  <c r="V91" i="17" s="1"/>
  <c r="W87" i="17"/>
  <c r="V87" i="17"/>
  <c r="U87" i="17"/>
  <c r="W86" i="17"/>
  <c r="U86" i="17"/>
  <c r="V86" i="17" s="1"/>
  <c r="X85" i="17"/>
  <c r="Y85" i="17" s="1"/>
  <c r="U85" i="17"/>
  <c r="W85" i="17" s="1"/>
  <c r="Y84" i="17"/>
  <c r="X84" i="17"/>
  <c r="U84" i="17"/>
  <c r="W84" i="17" s="1"/>
  <c r="X83" i="17"/>
  <c r="Y83" i="17" s="1"/>
  <c r="W83" i="17"/>
  <c r="U83" i="17"/>
  <c r="V83" i="17" s="1"/>
  <c r="X82" i="17"/>
  <c r="Y82" i="17" s="1"/>
  <c r="X81" i="17"/>
  <c r="Y81" i="17" s="1"/>
  <c r="X80" i="17"/>
  <c r="Y80" i="17" s="1"/>
  <c r="X79" i="17"/>
  <c r="V75" i="17"/>
  <c r="V74" i="17"/>
  <c r="V73" i="17"/>
  <c r="V72" i="17"/>
  <c r="V71" i="17"/>
  <c r="AF70" i="17"/>
  <c r="AF75" i="4" s="1"/>
  <c r="U70" i="17"/>
  <c r="V70" i="17" s="1"/>
  <c r="AF69" i="17"/>
  <c r="AF74" i="4" s="1"/>
  <c r="V69" i="17"/>
  <c r="AF68" i="17"/>
  <c r="AF73" i="4" s="1"/>
  <c r="AG73" i="4" s="1"/>
  <c r="U68" i="17"/>
  <c r="V68" i="17" s="1"/>
  <c r="AJ67" i="17"/>
  <c r="AH67" i="17"/>
  <c r="AF67" i="17"/>
  <c r="AF72" i="4" s="1"/>
  <c r="U67" i="17"/>
  <c r="V67" i="17" s="1"/>
  <c r="AJ66" i="17"/>
  <c r="AH66" i="17"/>
  <c r="AF66" i="17"/>
  <c r="AF71" i="4" s="1"/>
  <c r="U66" i="17"/>
  <c r="V66" i="17" s="1"/>
  <c r="AJ65" i="17"/>
  <c r="AH65" i="17"/>
  <c r="AF65" i="17"/>
  <c r="AF70" i="4" s="1"/>
  <c r="U65" i="17"/>
  <c r="V65" i="17" s="1"/>
  <c r="AH64" i="17"/>
  <c r="AF64" i="17"/>
  <c r="AF69" i="4" s="1"/>
  <c r="U64" i="17"/>
  <c r="V64" i="17" s="1"/>
  <c r="AJ63" i="17"/>
  <c r="AH63" i="17"/>
  <c r="AF63" i="17"/>
  <c r="AF68" i="4" s="1"/>
  <c r="V63" i="17"/>
  <c r="AJ62" i="17"/>
  <c r="AH62" i="17"/>
  <c r="AF62" i="17"/>
  <c r="AF67" i="4" s="1"/>
  <c r="U62" i="17"/>
  <c r="W62" i="17" s="1"/>
  <c r="AJ61" i="17"/>
  <c r="AH61" i="17"/>
  <c r="AF61" i="17"/>
  <c r="AF66" i="4" s="1"/>
  <c r="U61" i="17"/>
  <c r="V61" i="17" s="1"/>
  <c r="AJ60" i="17"/>
  <c r="AH60" i="17"/>
  <c r="AF60" i="17"/>
  <c r="AF65" i="4" s="1"/>
  <c r="U60" i="17"/>
  <c r="V60" i="17" s="1"/>
  <c r="AF59" i="17"/>
  <c r="AF64" i="4" s="1"/>
  <c r="U59" i="17"/>
  <c r="W59" i="17" s="1"/>
  <c r="AF58" i="17"/>
  <c r="AF63" i="4" s="1"/>
  <c r="U58" i="17"/>
  <c r="V58" i="17" s="1"/>
  <c r="AH57" i="17"/>
  <c r="AF57" i="17"/>
  <c r="AF62" i="4" s="1"/>
  <c r="AG62" i="4" s="1"/>
  <c r="V57" i="17"/>
  <c r="AF56" i="17"/>
  <c r="AF61" i="4" s="1"/>
  <c r="U56" i="17"/>
  <c r="V56" i="17" s="1"/>
  <c r="AF55" i="17"/>
  <c r="AF60" i="4" s="1"/>
  <c r="U55" i="17"/>
  <c r="V55" i="17" s="1"/>
  <c r="AF54" i="17"/>
  <c r="AF59" i="4" s="1"/>
  <c r="V54" i="17"/>
  <c r="AF53" i="17"/>
  <c r="AF58" i="4" s="1"/>
  <c r="V53" i="17"/>
  <c r="AF52" i="17"/>
  <c r="AF57" i="4" s="1"/>
  <c r="AG57" i="4" s="1"/>
  <c r="X52" i="17"/>
  <c r="Y52" i="17" s="1"/>
  <c r="V52" i="17"/>
  <c r="AF51" i="17"/>
  <c r="AF56" i="4" s="1"/>
  <c r="X51" i="17"/>
  <c r="Y51" i="17" s="1"/>
  <c r="U51" i="17"/>
  <c r="W51" i="17" s="1"/>
  <c r="AF50" i="17"/>
  <c r="AF55" i="4" s="1"/>
  <c r="X50" i="17"/>
  <c r="Y50" i="17" s="1"/>
  <c r="U50" i="17"/>
  <c r="W50" i="17" s="1"/>
  <c r="AF49" i="17"/>
  <c r="AF51" i="4" s="1"/>
  <c r="X49" i="17"/>
  <c r="Y49" i="17" s="1"/>
  <c r="U49" i="17"/>
  <c r="W49" i="17" s="1"/>
  <c r="AF48" i="17"/>
  <c r="AF50" i="4" s="1"/>
  <c r="X48" i="17"/>
  <c r="Y48" i="17" s="1"/>
  <c r="U48" i="17"/>
  <c r="W48" i="17" s="1"/>
  <c r="AF47" i="17"/>
  <c r="AF49" i="4" s="1"/>
  <c r="X47" i="17"/>
  <c r="Y47" i="17" s="1"/>
  <c r="U47" i="17"/>
  <c r="W47" i="17" s="1"/>
  <c r="AF46" i="17"/>
  <c r="AF48" i="4" s="1"/>
  <c r="AG48" i="4" s="1"/>
  <c r="AH45" i="17"/>
  <c r="AF45" i="17"/>
  <c r="AF47" i="4" s="1"/>
  <c r="AF44" i="17"/>
  <c r="AF46" i="4" s="1"/>
  <c r="AF43" i="17"/>
  <c r="AF45" i="4" s="1"/>
  <c r="AF42" i="17"/>
  <c r="AF44" i="4" s="1"/>
  <c r="AF41" i="17"/>
  <c r="AF43" i="4" s="1"/>
  <c r="AG43" i="4" s="1"/>
  <c r="AF40" i="17"/>
  <c r="AF42" i="4" s="1"/>
  <c r="AF39" i="17"/>
  <c r="AF41" i="4" s="1"/>
  <c r="AF38" i="17"/>
  <c r="AF40" i="4" s="1"/>
  <c r="AF37" i="17"/>
  <c r="AF39" i="4" s="1"/>
  <c r="AF36" i="17"/>
  <c r="AF38" i="4" s="1"/>
  <c r="AF35" i="17"/>
  <c r="AF37" i="4" s="1"/>
  <c r="U35" i="17"/>
  <c r="W35" i="17" s="1"/>
  <c r="AF34" i="17"/>
  <c r="AF36" i="4" s="1"/>
  <c r="I32" i="10" s="1"/>
  <c r="AF33" i="17"/>
  <c r="AF35" i="4" s="1"/>
  <c r="U33" i="17"/>
  <c r="AF32" i="17"/>
  <c r="AF34" i="4" s="1"/>
  <c r="W32" i="17"/>
  <c r="U32" i="17"/>
  <c r="V32" i="17" s="1"/>
  <c r="AH31" i="17"/>
  <c r="AF31" i="17"/>
  <c r="AF33" i="4" s="1"/>
  <c r="U31" i="17"/>
  <c r="W31" i="17" s="1"/>
  <c r="AF30" i="17"/>
  <c r="AF32" i="4" s="1"/>
  <c r="U30" i="17"/>
  <c r="W30" i="17" s="1"/>
  <c r="AF29" i="17"/>
  <c r="AF31" i="4" s="1"/>
  <c r="U29" i="17"/>
  <c r="W29" i="17" s="1"/>
  <c r="AJ28" i="17"/>
  <c r="AH28" i="17"/>
  <c r="AF28" i="17"/>
  <c r="AF27" i="4" s="1"/>
  <c r="AH27" i="17"/>
  <c r="AF27" i="17"/>
  <c r="AF26" i="4" s="1"/>
  <c r="U27" i="17"/>
  <c r="W27" i="17" s="1"/>
  <c r="AH26" i="17"/>
  <c r="AF26" i="17"/>
  <c r="AF25" i="4" s="1"/>
  <c r="I24" i="10" s="1"/>
  <c r="U26" i="17"/>
  <c r="W26" i="17" s="1"/>
  <c r="AH25" i="17"/>
  <c r="AF25" i="17"/>
  <c r="AF24" i="4" s="1"/>
  <c r="U25" i="17"/>
  <c r="AH24" i="17"/>
  <c r="AF24" i="17"/>
  <c r="AF23" i="4" s="1"/>
  <c r="U24" i="17"/>
  <c r="V24" i="17" s="1"/>
  <c r="AH23" i="17"/>
  <c r="AF23" i="17"/>
  <c r="AF22" i="4" s="1"/>
  <c r="U23" i="17"/>
  <c r="W23" i="17" s="1"/>
  <c r="AF22" i="17"/>
  <c r="AF21" i="4" s="1"/>
  <c r="AG21" i="4" s="1"/>
  <c r="AH21" i="17"/>
  <c r="AF21" i="17"/>
  <c r="AF20" i="4" s="1"/>
  <c r="U21" i="17"/>
  <c r="W21" i="17" s="1"/>
  <c r="AF20" i="17"/>
  <c r="AF19" i="4" s="1"/>
  <c r="U20" i="17"/>
  <c r="W20" i="17" s="1"/>
  <c r="AF19" i="17"/>
  <c r="AF18" i="4" s="1"/>
  <c r="AF18" i="17"/>
  <c r="AF17" i="4" s="1"/>
  <c r="K16" i="22" s="1"/>
  <c r="AK17" i="17"/>
  <c r="AF17" i="17"/>
  <c r="AF16" i="4" s="1"/>
  <c r="AK16" i="17"/>
  <c r="AH16" i="17"/>
  <c r="AF16" i="17"/>
  <c r="AF15" i="4" s="1"/>
  <c r="U16" i="17"/>
  <c r="V16" i="17" s="1"/>
  <c r="AK15" i="17"/>
  <c r="U15" i="17"/>
  <c r="V15" i="17" s="1"/>
  <c r="AF14" i="17"/>
  <c r="AF13" i="4" s="1"/>
  <c r="U14" i="17"/>
  <c r="V14" i="17" s="1"/>
  <c r="AF13" i="17"/>
  <c r="AF12" i="4" s="1"/>
  <c r="X13" i="17"/>
  <c r="Y13" i="17" s="1"/>
  <c r="U13" i="17"/>
  <c r="V13" i="17" s="1"/>
  <c r="X12" i="17"/>
  <c r="Y12" i="17" s="1"/>
  <c r="U12" i="17"/>
  <c r="V12" i="17" s="1"/>
  <c r="AF11" i="17"/>
  <c r="AF10" i="4" s="1"/>
  <c r="X11" i="17"/>
  <c r="Y11" i="17" s="1"/>
  <c r="AF10" i="17"/>
  <c r="AF9" i="4" s="1"/>
  <c r="X10" i="17"/>
  <c r="Y10" i="17" s="1"/>
  <c r="AK9" i="17"/>
  <c r="AF9" i="17"/>
  <c r="AF8" i="4" s="1"/>
  <c r="X9" i="17"/>
  <c r="Y9" i="17" s="1"/>
  <c r="AK8" i="17"/>
  <c r="AF8" i="17"/>
  <c r="AG8" i="17" s="1"/>
  <c r="X8" i="17"/>
  <c r="Y8" i="17" s="1"/>
  <c r="AK7" i="17"/>
  <c r="AM7" i="17" s="1"/>
  <c r="X7" i="17"/>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AA68" i="3"/>
  <c r="Q68" i="3"/>
  <c r="AA67" i="3"/>
  <c r="Q67" i="3"/>
  <c r="AA66" i="3"/>
  <c r="Q66" i="3"/>
  <c r="AA65" i="3"/>
  <c r="Q65" i="3"/>
  <c r="AA64" i="3"/>
  <c r="Q64" i="3"/>
  <c r="AA63" i="3"/>
  <c r="Q63" i="3"/>
  <c r="AA62" i="3"/>
  <c r="Q62" i="3"/>
  <c r="AA61" i="3"/>
  <c r="Q61" i="3"/>
  <c r="AA60" i="3"/>
  <c r="Q60" i="3"/>
  <c r="AA59" i="3"/>
  <c r="Q59" i="3"/>
  <c r="AA58" i="3"/>
  <c r="Q58" i="3"/>
  <c r="AA57" i="3"/>
  <c r="Q57" i="3"/>
  <c r="AA56" i="3"/>
  <c r="Q56" i="3"/>
  <c r="AA55" i="3"/>
  <c r="Q55" i="3"/>
  <c r="AA54" i="3"/>
  <c r="Q54" i="3"/>
  <c r="AA53" i="3"/>
  <c r="Q53" i="3"/>
  <c r="AA52" i="3"/>
  <c r="Q52" i="3"/>
  <c r="AA51" i="3"/>
  <c r="Q51" i="3"/>
  <c r="AA50" i="3"/>
  <c r="Q50" i="3"/>
  <c r="AA49" i="3"/>
  <c r="Q49" i="3"/>
  <c r="AA48" i="3"/>
  <c r="Q48" i="3"/>
  <c r="AA47" i="3"/>
  <c r="Q47" i="3"/>
  <c r="B16" i="1"/>
  <c r="C15" i="1"/>
  <c r="B15" i="1"/>
  <c r="C14" i="1"/>
  <c r="E11" i="1"/>
  <c r="F11" i="1" s="1"/>
  <c r="D11" i="1"/>
  <c r="C10" i="1"/>
  <c r="E10" i="1" s="1"/>
  <c r="F10" i="1" s="1"/>
  <c r="C9" i="1"/>
  <c r="E9" i="1" s="1"/>
  <c r="F9" i="1" s="1"/>
  <c r="C8" i="1"/>
  <c r="D8" i="1" s="1"/>
  <c r="V20" i="17" l="1"/>
  <c r="V35" i="17"/>
  <c r="V47" i="17"/>
  <c r="V49" i="17"/>
  <c r="V51" i="17"/>
  <c r="W64" i="17"/>
  <c r="W66" i="17"/>
  <c r="W92" i="17"/>
  <c r="V106" i="17"/>
  <c r="U13" i="18"/>
  <c r="W13" i="18" s="1"/>
  <c r="Z13" i="18" s="1"/>
  <c r="F56" i="20"/>
  <c r="G56" i="20" s="1"/>
  <c r="H56" i="20" s="1"/>
  <c r="J63" i="20"/>
  <c r="L63" i="20" s="1"/>
  <c r="G72" i="12"/>
  <c r="V60" i="4"/>
  <c r="V234" i="17"/>
  <c r="O355" i="17"/>
  <c r="F29" i="20"/>
  <c r="G29" i="20" s="1"/>
  <c r="H29" i="20" s="1"/>
  <c r="J29" i="20" s="1"/>
  <c r="L29" i="20" s="1"/>
  <c r="AC27" i="4" s="1"/>
  <c r="U9" i="4"/>
  <c r="W101" i="17"/>
  <c r="V123" i="17"/>
  <c r="G86" i="12"/>
  <c r="I86" i="12" s="1"/>
  <c r="V25" i="4"/>
  <c r="AE24" i="22" s="1"/>
  <c r="V21" i="17"/>
  <c r="W61" i="17"/>
  <c r="W158" i="17"/>
  <c r="V161" i="17"/>
  <c r="W208" i="17"/>
  <c r="AG15" i="9"/>
  <c r="W19" i="9"/>
  <c r="W77" i="9"/>
  <c r="V23" i="4"/>
  <c r="W102" i="17"/>
  <c r="V127" i="17"/>
  <c r="V134" i="17"/>
  <c r="W216" i="17"/>
  <c r="V232" i="17"/>
  <c r="V235" i="17"/>
  <c r="S367" i="17"/>
  <c r="U367" i="17" s="1"/>
  <c r="S65" i="16"/>
  <c r="F26" i="20"/>
  <c r="G26" i="20" s="1"/>
  <c r="H26" i="20" s="1"/>
  <c r="J26" i="20" s="1"/>
  <c r="U59" i="4"/>
  <c r="AD52" i="22" s="1"/>
  <c r="AA29" i="16"/>
  <c r="S50" i="16"/>
  <c r="T99" i="16"/>
  <c r="V99" i="16" s="1"/>
  <c r="F22" i="20"/>
  <c r="G22" i="20" s="1"/>
  <c r="H22" i="20" s="1"/>
  <c r="J22" i="20" s="1"/>
  <c r="F31" i="20"/>
  <c r="G31" i="20" s="1"/>
  <c r="H31" i="20" s="1"/>
  <c r="J31" i="20" s="1"/>
  <c r="L31" i="20" s="1"/>
  <c r="AC32" i="4" s="1"/>
  <c r="F54" i="20"/>
  <c r="G54" i="20" s="1"/>
  <c r="H54" i="20" s="1"/>
  <c r="AG8" i="9"/>
  <c r="V29" i="9"/>
  <c r="E26" i="4" s="1"/>
  <c r="W63" i="9"/>
  <c r="U66" i="4"/>
  <c r="H66" i="4" s="1"/>
  <c r="F426" i="3"/>
  <c r="W91" i="17"/>
  <c r="W122" i="17"/>
  <c r="V159" i="17"/>
  <c r="W166" i="17"/>
  <c r="T103" i="16"/>
  <c r="V103" i="16" s="1"/>
  <c r="F27" i="20"/>
  <c r="G27" i="20" s="1"/>
  <c r="H27" i="20" s="1"/>
  <c r="J27" i="20" s="1"/>
  <c r="L27" i="20" s="1"/>
  <c r="AC25" i="4" s="1"/>
  <c r="V12" i="9"/>
  <c r="E11" i="4" s="1"/>
  <c r="E11" i="8" s="1"/>
  <c r="V21" i="9"/>
  <c r="E18" i="4" s="1"/>
  <c r="V57" i="9"/>
  <c r="E55" i="4" s="1"/>
  <c r="U33" i="4"/>
  <c r="V33" i="4" s="1"/>
  <c r="U46" i="4"/>
  <c r="U50" i="4"/>
  <c r="AD46" i="22" s="1"/>
  <c r="E329" i="17"/>
  <c r="AJ64" i="17" s="1"/>
  <c r="O369" i="17"/>
  <c r="P373" i="17"/>
  <c r="P377" i="17"/>
  <c r="P381" i="17"/>
  <c r="P385" i="17"/>
  <c r="P389" i="17"/>
  <c r="P393" i="17"/>
  <c r="P397" i="17"/>
  <c r="P401" i="17"/>
  <c r="P405" i="17"/>
  <c r="P409" i="17"/>
  <c r="P413" i="17"/>
  <c r="F23" i="20"/>
  <c r="G23" i="20" s="1"/>
  <c r="H23" i="20" s="1"/>
  <c r="J23" i="20" s="1"/>
  <c r="L23" i="20" s="1"/>
  <c r="AC21" i="4" s="1"/>
  <c r="Z20" i="12"/>
  <c r="AA20" i="12" s="1"/>
  <c r="AB20" i="12" s="1"/>
  <c r="U44" i="4"/>
  <c r="AD40" i="22" s="1"/>
  <c r="H51" i="4"/>
  <c r="AF47" i="22" s="1"/>
  <c r="U55" i="4"/>
  <c r="U62" i="4"/>
  <c r="H62" i="4" s="1"/>
  <c r="W14" i="9"/>
  <c r="V14" i="9"/>
  <c r="E12" i="4" s="1"/>
  <c r="BC18" i="22"/>
  <c r="S24" i="23" s="1"/>
  <c r="T24" i="23" s="1"/>
  <c r="AP18" i="10"/>
  <c r="BC26" i="22"/>
  <c r="S32" i="23" s="1"/>
  <c r="T32" i="23" s="1"/>
  <c r="AP26" i="10"/>
  <c r="BC39" i="22"/>
  <c r="S45" i="23" s="1"/>
  <c r="T45" i="23" s="1"/>
  <c r="AP39" i="10"/>
  <c r="BA55" i="22"/>
  <c r="P61" i="23" s="1"/>
  <c r="Q61" i="23" s="1"/>
  <c r="AO55" i="10"/>
  <c r="W24" i="17"/>
  <c r="V132" i="17"/>
  <c r="W132" i="17"/>
  <c r="G10" i="22"/>
  <c r="W40" i="9"/>
  <c r="V40" i="9"/>
  <c r="E37" i="4" s="1"/>
  <c r="AC8" i="22"/>
  <c r="V8" i="10"/>
  <c r="I14" i="23" s="1"/>
  <c r="V9" i="4"/>
  <c r="U8" i="4"/>
  <c r="AD37" i="22"/>
  <c r="H41" i="4"/>
  <c r="V33" i="17"/>
  <c r="W33" i="17"/>
  <c r="Y199" i="17"/>
  <c r="O351" i="17"/>
  <c r="J51" i="20"/>
  <c r="L51" i="20" s="1"/>
  <c r="H75" i="12"/>
  <c r="I75" i="12" s="1"/>
  <c r="V75" i="9"/>
  <c r="E72" i="4" s="1"/>
  <c r="AD8" i="22"/>
  <c r="W8" i="10"/>
  <c r="J14" i="23" s="1"/>
  <c r="H9" i="4"/>
  <c r="BC33" i="22"/>
  <c r="S39" i="23" s="1"/>
  <c r="T39" i="23" s="1"/>
  <c r="AP33" i="10"/>
  <c r="V140" i="17"/>
  <c r="V243" i="17"/>
  <c r="S12" i="16"/>
  <c r="N49" i="22"/>
  <c r="K49" i="10"/>
  <c r="L30" i="20"/>
  <c r="AC31" i="4" s="1"/>
  <c r="W9" i="9"/>
  <c r="V8" i="9"/>
  <c r="E8" i="4" s="1"/>
  <c r="W20" i="9"/>
  <c r="V20" i="9"/>
  <c r="E17" i="4" s="1"/>
  <c r="E17" i="8" s="1"/>
  <c r="V61" i="9"/>
  <c r="E58" i="4" s="1"/>
  <c r="E58" i="8" s="1"/>
  <c r="BA13" i="22"/>
  <c r="P19" i="23" s="1"/>
  <c r="Q19" i="23" s="1"/>
  <c r="AO13" i="10"/>
  <c r="AC64" i="22"/>
  <c r="U70" i="4"/>
  <c r="V71" i="4"/>
  <c r="Y123" i="17"/>
  <c r="AB37" i="16"/>
  <c r="AB35" i="16"/>
  <c r="AB34" i="16"/>
  <c r="L26" i="20"/>
  <c r="AC24" i="4" s="1"/>
  <c r="I72" i="12"/>
  <c r="U34" i="4"/>
  <c r="V31" i="10"/>
  <c r="I37" i="23" s="1"/>
  <c r="BC42" i="22"/>
  <c r="S48" i="23" s="1"/>
  <c r="T48" i="23" s="1"/>
  <c r="AP42" i="10"/>
  <c r="V25" i="17"/>
  <c r="W25" i="17"/>
  <c r="V142" i="17"/>
  <c r="W142" i="17"/>
  <c r="V176" i="17"/>
  <c r="W176" i="17"/>
  <c r="W233" i="17"/>
  <c r="O337" i="17"/>
  <c r="T101" i="16"/>
  <c r="V101" i="16" s="1"/>
  <c r="L22" i="20"/>
  <c r="F43" i="10"/>
  <c r="E47" i="8"/>
  <c r="AD29" i="22"/>
  <c r="H33" i="4"/>
  <c r="BC34" i="22"/>
  <c r="S40" i="23" s="1"/>
  <c r="T40" i="23" s="1"/>
  <c r="AP34" i="10"/>
  <c r="AC42" i="22"/>
  <c r="V42" i="10"/>
  <c r="I48" i="23" s="1"/>
  <c r="U45" i="4"/>
  <c r="V46" i="4"/>
  <c r="AC52" i="22"/>
  <c r="U58" i="4"/>
  <c r="V52" i="10"/>
  <c r="I58" i="23" s="1"/>
  <c r="V59" i="4"/>
  <c r="V97" i="17"/>
  <c r="W97" i="17"/>
  <c r="V119" i="17"/>
  <c r="W119" i="17"/>
  <c r="V177" i="17"/>
  <c r="W177" i="17"/>
  <c r="P371" i="17"/>
  <c r="P375" i="17"/>
  <c r="P379" i="17"/>
  <c r="P383" i="17"/>
  <c r="P387" i="17"/>
  <c r="P391" i="17"/>
  <c r="P395" i="17"/>
  <c r="P399" i="17"/>
  <c r="P403" i="17"/>
  <c r="P407" i="17"/>
  <c r="P411" i="17"/>
  <c r="W50" i="9"/>
  <c r="W69" i="9"/>
  <c r="V69" i="9"/>
  <c r="E66" i="4" s="1"/>
  <c r="V7" i="10"/>
  <c r="I13" i="23" s="1"/>
  <c r="U7" i="4"/>
  <c r="U10" i="4"/>
  <c r="BC20" i="22"/>
  <c r="S26" i="23" s="1"/>
  <c r="T26" i="23" s="1"/>
  <c r="AP20" i="10"/>
  <c r="AC34" i="22"/>
  <c r="U37" i="4"/>
  <c r="V34" i="10"/>
  <c r="I40" i="23" s="1"/>
  <c r="W68" i="17"/>
  <c r="S19" i="16"/>
  <c r="I83" i="12"/>
  <c r="H87" i="12"/>
  <c r="I87" i="12" s="1"/>
  <c r="V25" i="9"/>
  <c r="E22" i="4" s="1"/>
  <c r="W45" i="9"/>
  <c r="H11" i="4"/>
  <c r="J11" i="4" s="1"/>
  <c r="Y271" i="17"/>
  <c r="O367" i="17"/>
  <c r="P367" i="17"/>
  <c r="O368" i="17"/>
  <c r="P372" i="17"/>
  <c r="P376" i="17"/>
  <c r="P380" i="17"/>
  <c r="P384" i="17"/>
  <c r="P388" i="17"/>
  <c r="P392" i="17"/>
  <c r="P396" i="17"/>
  <c r="P400" i="17"/>
  <c r="P404" i="17"/>
  <c r="P408" i="17"/>
  <c r="P412" i="17"/>
  <c r="S32" i="16"/>
  <c r="M107" i="16"/>
  <c r="O107" i="16" s="1"/>
  <c r="F24" i="20"/>
  <c r="G24" i="20" s="1"/>
  <c r="H24" i="20" s="1"/>
  <c r="J24" i="20" s="1"/>
  <c r="L24" i="20" s="1"/>
  <c r="AC22" i="4" s="1"/>
  <c r="F28" i="20"/>
  <c r="G28" i="20" s="1"/>
  <c r="H28" i="20" s="1"/>
  <c r="J28" i="20" s="1"/>
  <c r="L28" i="20" s="1"/>
  <c r="AC26" i="4" s="1"/>
  <c r="F32" i="20"/>
  <c r="G32" i="20" s="1"/>
  <c r="H32" i="20" s="1"/>
  <c r="J32" i="20" s="1"/>
  <c r="L32" i="20" s="1"/>
  <c r="F64" i="20"/>
  <c r="G64" i="20" s="1"/>
  <c r="H64" i="20" s="1"/>
  <c r="H96" i="20"/>
  <c r="J96" i="20" s="1"/>
  <c r="V10" i="9"/>
  <c r="E9" i="4" s="1"/>
  <c r="E9" i="8" s="1"/>
  <c r="V16" i="9"/>
  <c r="E14" i="4" s="1"/>
  <c r="V26" i="9"/>
  <c r="E23" i="4" s="1"/>
  <c r="W27" i="9"/>
  <c r="V46" i="9"/>
  <c r="E43" i="4" s="1"/>
  <c r="F39" i="10" s="1"/>
  <c r="W51" i="9"/>
  <c r="W58" i="9"/>
  <c r="W65" i="9"/>
  <c r="V73" i="9"/>
  <c r="E70" i="4" s="1"/>
  <c r="U36" i="4"/>
  <c r="U48" i="4"/>
  <c r="H59" i="4"/>
  <c r="U67" i="4"/>
  <c r="H71" i="4"/>
  <c r="AP10" i="10"/>
  <c r="V41" i="10"/>
  <c r="I47" i="23" s="1"/>
  <c r="AP44" i="10"/>
  <c r="AC17" i="22"/>
  <c r="AG20" i="9"/>
  <c r="W128" i="17"/>
  <c r="W138" i="17"/>
  <c r="W160" i="17"/>
  <c r="G292" i="17"/>
  <c r="E128" i="16"/>
  <c r="U124" i="16" s="1"/>
  <c r="U23" i="18"/>
  <c r="W23" i="18" s="1"/>
  <c r="Z23" i="18" s="1"/>
  <c r="G83" i="12"/>
  <c r="AG7" i="9"/>
  <c r="U12" i="4"/>
  <c r="V12" i="4" s="1"/>
  <c r="V18" i="4"/>
  <c r="AP24" i="10"/>
  <c r="V33" i="10"/>
  <c r="I39" i="23" s="1"/>
  <c r="AP43" i="10"/>
  <c r="W47" i="10"/>
  <c r="J53" i="23" s="1"/>
  <c r="AO62" i="10"/>
  <c r="P60" i="22"/>
  <c r="AO19" i="10"/>
  <c r="AO23" i="10"/>
  <c r="AP35" i="10"/>
  <c r="V61" i="10"/>
  <c r="I67" i="23" s="1"/>
  <c r="K10" i="22"/>
  <c r="AD16" i="22"/>
  <c r="AC25" i="22"/>
  <c r="K10" i="10"/>
  <c r="AP40" i="10"/>
  <c r="W46" i="10"/>
  <c r="J52" i="23" s="1"/>
  <c r="AO54" i="10"/>
  <c r="V60" i="10"/>
  <c r="I66" i="23" s="1"/>
  <c r="V9" i="10"/>
  <c r="I15" i="23" s="1"/>
  <c r="V12" i="10"/>
  <c r="I18" i="23" s="1"/>
  <c r="AO15" i="10"/>
  <c r="AP22" i="10"/>
  <c r="V29" i="10"/>
  <c r="I35" i="23" s="1"/>
  <c r="V30" i="10"/>
  <c r="I36" i="23" s="1"/>
  <c r="V37" i="10"/>
  <c r="I43" i="23" s="1"/>
  <c r="V53" i="10"/>
  <c r="I59" i="23" s="1"/>
  <c r="W64" i="10"/>
  <c r="J70" i="23" s="1"/>
  <c r="P11" i="22"/>
  <c r="O357" i="17"/>
  <c r="O361" i="17"/>
  <c r="T97" i="16"/>
  <c r="V97" i="16" s="1"/>
  <c r="X97" i="16" s="1"/>
  <c r="X99" i="16" s="1"/>
  <c r="M105" i="16"/>
  <c r="O105" i="16" s="1"/>
  <c r="Z6" i="12"/>
  <c r="AA6" i="12" s="1"/>
  <c r="G71" i="12"/>
  <c r="G85" i="12"/>
  <c r="AA21" i="9"/>
  <c r="V33" i="9"/>
  <c r="E31" i="4" s="1"/>
  <c r="E31" i="8" s="1"/>
  <c r="V66" i="9"/>
  <c r="E63" i="4" s="1"/>
  <c r="U21" i="4"/>
  <c r="AD20" i="22" s="1"/>
  <c r="H25" i="4"/>
  <c r="U40" i="4"/>
  <c r="U63" i="4"/>
  <c r="D83" i="4"/>
  <c r="V11" i="10"/>
  <c r="I17" i="23" s="1"/>
  <c r="AP31" i="10"/>
  <c r="V38" i="10"/>
  <c r="I44" i="23" s="1"/>
  <c r="V45" i="10"/>
  <c r="I51" i="23" s="1"/>
  <c r="BA9" i="22"/>
  <c r="P15" i="23" s="1"/>
  <c r="Q15" i="23" s="1"/>
  <c r="AC21" i="22"/>
  <c r="BA27" i="22"/>
  <c r="P33" i="23" s="1"/>
  <c r="Q33" i="23" s="1"/>
  <c r="AP12" i="10"/>
  <c r="AP14" i="10"/>
  <c r="AO21" i="10"/>
  <c r="AP30" i="10"/>
  <c r="W52" i="10"/>
  <c r="J58" i="23" s="1"/>
  <c r="Q349" i="17"/>
  <c r="M101" i="16"/>
  <c r="O101" i="16" s="1"/>
  <c r="T122" i="16"/>
  <c r="U122" i="16" s="1"/>
  <c r="F46" i="20"/>
  <c r="G46" i="20" s="1"/>
  <c r="H46" i="20" s="1"/>
  <c r="I46" i="20" s="1"/>
  <c r="K46" i="20" s="1"/>
  <c r="AB45" i="4" s="1"/>
  <c r="AG19" i="9"/>
  <c r="V51" i="4"/>
  <c r="AP11" i="10"/>
  <c r="AO25" i="10"/>
  <c r="AP29" i="10"/>
  <c r="AP37" i="10"/>
  <c r="AP38" i="10"/>
  <c r="N67" i="22"/>
  <c r="K67" i="10"/>
  <c r="J86" i="20"/>
  <c r="L86" i="20" s="1"/>
  <c r="I86" i="20"/>
  <c r="K86" i="20" s="1"/>
  <c r="G94" i="20" s="1"/>
  <c r="K11" i="22"/>
  <c r="AG12" i="4"/>
  <c r="I11" i="10"/>
  <c r="K17" i="22"/>
  <c r="AG18" i="4"/>
  <c r="I17" i="10"/>
  <c r="K40" i="22"/>
  <c r="AG44" i="4"/>
  <c r="I40" i="10"/>
  <c r="Y86" i="17"/>
  <c r="Y124" i="17"/>
  <c r="AA123" i="17"/>
  <c r="Y161" i="17"/>
  <c r="Y200" i="17"/>
  <c r="AA199" i="17"/>
  <c r="Y272" i="17"/>
  <c r="AA271" i="17"/>
  <c r="N33" i="22"/>
  <c r="K33" i="10"/>
  <c r="V21" i="22"/>
  <c r="O21" i="10"/>
  <c r="V23" i="22"/>
  <c r="O23" i="10"/>
  <c r="V25" i="22"/>
  <c r="O25" i="10"/>
  <c r="V27" i="22"/>
  <c r="O27" i="10"/>
  <c r="J64" i="20"/>
  <c r="L64" i="20" s="1"/>
  <c r="I64" i="20"/>
  <c r="K64" i="20" s="1"/>
  <c r="G92" i="20" s="1"/>
  <c r="G13" i="22"/>
  <c r="E14" i="8"/>
  <c r="F13" i="10"/>
  <c r="G59" i="22"/>
  <c r="F59" i="10"/>
  <c r="J66" i="4"/>
  <c r="I66" i="4"/>
  <c r="E66" i="8"/>
  <c r="I51" i="10"/>
  <c r="K51" i="22"/>
  <c r="AG58" i="4"/>
  <c r="J15" i="20"/>
  <c r="L15" i="20" s="1"/>
  <c r="I15" i="20"/>
  <c r="K15" i="20" s="1"/>
  <c r="Y14" i="17"/>
  <c r="K8" i="22"/>
  <c r="I8" i="10"/>
  <c r="AG9" i="4"/>
  <c r="Y53" i="17"/>
  <c r="L50" i="22"/>
  <c r="J50" i="10"/>
  <c r="AH57" i="4"/>
  <c r="L66" i="22"/>
  <c r="J66" i="10"/>
  <c r="AH73" i="4"/>
  <c r="Y237" i="17"/>
  <c r="P6" i="22"/>
  <c r="L6" i="10"/>
  <c r="P7" i="22"/>
  <c r="L7" i="10"/>
  <c r="P18" i="22"/>
  <c r="L18" i="10"/>
  <c r="P23" i="22"/>
  <c r="L23" i="10"/>
  <c r="N51" i="22"/>
  <c r="K51" i="10"/>
  <c r="AH58" i="4"/>
  <c r="J56" i="20"/>
  <c r="L56" i="20" s="1"/>
  <c r="AC51" i="4" s="1"/>
  <c r="I56" i="20"/>
  <c r="K56" i="20" s="1"/>
  <c r="AB51" i="4" s="1"/>
  <c r="L39" i="22"/>
  <c r="J39" i="10"/>
  <c r="AH43" i="4"/>
  <c r="K7" i="22"/>
  <c r="I7" i="10"/>
  <c r="AG8" i="4"/>
  <c r="P14" i="22"/>
  <c r="L14" i="10"/>
  <c r="P48" i="22"/>
  <c r="L48" i="10"/>
  <c r="P49" i="22"/>
  <c r="L49" i="10"/>
  <c r="V20" i="22"/>
  <c r="O20" i="10"/>
  <c r="V22" i="22"/>
  <c r="O22" i="10"/>
  <c r="V24" i="22"/>
  <c r="O24" i="10"/>
  <c r="V26" i="22"/>
  <c r="O26" i="10"/>
  <c r="V28" i="22"/>
  <c r="O28" i="10"/>
  <c r="J54" i="20"/>
  <c r="L54" i="20" s="1"/>
  <c r="AC49" i="4" s="1"/>
  <c r="I54" i="20"/>
  <c r="K54" i="20" s="1"/>
  <c r="AB49" i="4" s="1"/>
  <c r="G9" i="22"/>
  <c r="E10" i="8"/>
  <c r="F9" i="10"/>
  <c r="G64" i="22"/>
  <c r="F64" i="10"/>
  <c r="I71" i="4"/>
  <c r="E71" i="8"/>
  <c r="J71" i="4"/>
  <c r="L20" i="22"/>
  <c r="J20" i="10"/>
  <c r="K25" i="22"/>
  <c r="AG26" i="4"/>
  <c r="I25" i="10"/>
  <c r="K28" i="22"/>
  <c r="K35" i="22"/>
  <c r="I35" i="10"/>
  <c r="AG39" i="4"/>
  <c r="K43" i="22"/>
  <c r="AG47" i="4"/>
  <c r="I43" i="10"/>
  <c r="K45" i="22"/>
  <c r="AG49" i="4"/>
  <c r="I45" i="10"/>
  <c r="Q341" i="17"/>
  <c r="Q357" i="17"/>
  <c r="O388" i="17"/>
  <c r="N12" i="22"/>
  <c r="K12" i="10"/>
  <c r="P19" i="22"/>
  <c r="L19" i="10"/>
  <c r="P22" i="22"/>
  <c r="L22" i="10"/>
  <c r="N34" i="22"/>
  <c r="K34" i="10"/>
  <c r="P44" i="22"/>
  <c r="L44" i="10"/>
  <c r="W78" i="9"/>
  <c r="V78" i="9"/>
  <c r="E75" i="4" s="1"/>
  <c r="BA10" i="22"/>
  <c r="P16" i="23" s="1"/>
  <c r="Q16" i="23" s="1"/>
  <c r="AO10" i="10"/>
  <c r="K13" i="22"/>
  <c r="I13" i="10"/>
  <c r="AC15" i="22"/>
  <c r="V15" i="10"/>
  <c r="I21" i="23" s="1"/>
  <c r="AC20" i="22"/>
  <c r="V20" i="10"/>
  <c r="I26" i="23" s="1"/>
  <c r="V21" i="4"/>
  <c r="H21" i="4"/>
  <c r="U20" i="4"/>
  <c r="AD38" i="22"/>
  <c r="H42" i="4"/>
  <c r="W38" i="10"/>
  <c r="J44" i="23" s="1"/>
  <c r="V42" i="4"/>
  <c r="P43" i="22"/>
  <c r="L43" i="10"/>
  <c r="AC50" i="22"/>
  <c r="V50" i="10"/>
  <c r="I56" i="23" s="1"/>
  <c r="L55" i="22"/>
  <c r="J55" i="10"/>
  <c r="I67" i="10"/>
  <c r="K67" i="22"/>
  <c r="AG74" i="4"/>
  <c r="AH74" i="4" s="1"/>
  <c r="AP41" i="10"/>
  <c r="K47" i="22"/>
  <c r="AG51" i="4"/>
  <c r="I49" i="10"/>
  <c r="K49" i="22"/>
  <c r="AG56" i="4"/>
  <c r="O376" i="17"/>
  <c r="O384" i="17"/>
  <c r="O392" i="17"/>
  <c r="O400" i="17"/>
  <c r="O404" i="17"/>
  <c r="L8" i="10"/>
  <c r="P8" i="22"/>
  <c r="N32" i="22"/>
  <c r="K32" i="10"/>
  <c r="P46" i="22"/>
  <c r="L46" i="10"/>
  <c r="G7" i="22"/>
  <c r="E8" i="8"/>
  <c r="F7" i="10"/>
  <c r="F22" i="10"/>
  <c r="G22" i="22"/>
  <c r="G39" i="22"/>
  <c r="E43" i="8"/>
  <c r="Y52" i="9"/>
  <c r="Z52" i="9" s="1"/>
  <c r="AA52" i="9" s="1"/>
  <c r="Y53" i="9"/>
  <c r="Z53" i="9" s="1"/>
  <c r="AA53" i="9" s="1"/>
  <c r="W52" i="9"/>
  <c r="V52" i="9"/>
  <c r="E49" i="4" s="1"/>
  <c r="W62" i="9"/>
  <c r="V62" i="9"/>
  <c r="E59" i="4" s="1"/>
  <c r="AE8" i="22"/>
  <c r="X8" i="10"/>
  <c r="K14" i="23" s="1"/>
  <c r="AD23" i="22"/>
  <c r="W23" i="10"/>
  <c r="J29" i="23" s="1"/>
  <c r="P38" i="22"/>
  <c r="L38" i="10"/>
  <c r="D9" i="1"/>
  <c r="V26" i="17"/>
  <c r="K36" i="22"/>
  <c r="AG40" i="4"/>
  <c r="V120" i="17"/>
  <c r="V236" i="17"/>
  <c r="V241" i="17"/>
  <c r="V245" i="17"/>
  <c r="W249" i="17"/>
  <c r="V252" i="17"/>
  <c r="Y307" i="17"/>
  <c r="O347" i="17"/>
  <c r="Q347" i="17" s="1"/>
  <c r="P370" i="17"/>
  <c r="O372" i="17"/>
  <c r="O374" i="17"/>
  <c r="O375" i="17"/>
  <c r="O379" i="17"/>
  <c r="O391" i="17"/>
  <c r="O407" i="17"/>
  <c r="N6" i="22"/>
  <c r="K6" i="10"/>
  <c r="N8" i="22"/>
  <c r="AH9" i="4"/>
  <c r="P16" i="22"/>
  <c r="L16" i="10"/>
  <c r="N18" i="22"/>
  <c r="K18" i="10"/>
  <c r="P21" i="22"/>
  <c r="L21" i="10"/>
  <c r="K23" i="10"/>
  <c r="N23" i="22"/>
  <c r="P33" i="22"/>
  <c r="L33" i="10"/>
  <c r="P40" i="22"/>
  <c r="L40" i="10"/>
  <c r="N45" i="22"/>
  <c r="K45" i="10"/>
  <c r="AH49" i="4"/>
  <c r="N46" i="22"/>
  <c r="K46" i="10"/>
  <c r="P67" i="22"/>
  <c r="L67" i="10"/>
  <c r="U127" i="16"/>
  <c r="I21" i="20"/>
  <c r="K21" i="20" s="1"/>
  <c r="E108" i="20" s="1"/>
  <c r="I23" i="20"/>
  <c r="K23" i="20" s="1"/>
  <c r="AB21" i="4" s="1"/>
  <c r="I25" i="20"/>
  <c r="K25" i="20" s="1"/>
  <c r="AB23" i="4" s="1"/>
  <c r="I27" i="20"/>
  <c r="K27" i="20" s="1"/>
  <c r="AB25" i="4" s="1"/>
  <c r="I29" i="20"/>
  <c r="K29" i="20" s="1"/>
  <c r="AB27" i="4" s="1"/>
  <c r="I31" i="20"/>
  <c r="K31" i="20" s="1"/>
  <c r="AB32" i="4" s="1"/>
  <c r="H85" i="12"/>
  <c r="I85" i="12" s="1"/>
  <c r="F18" i="10"/>
  <c r="G18" i="22"/>
  <c r="G29" i="22"/>
  <c r="I33" i="4"/>
  <c r="F29" i="10"/>
  <c r="G41" i="22"/>
  <c r="F41" i="10"/>
  <c r="E45" i="8"/>
  <c r="G65" i="22"/>
  <c r="F65" i="10"/>
  <c r="E72" i="8"/>
  <c r="G8" i="22"/>
  <c r="I9" i="4"/>
  <c r="J9" i="4"/>
  <c r="F8" i="10"/>
  <c r="N9" i="22"/>
  <c r="K9" i="10"/>
  <c r="AO11" i="10"/>
  <c r="BA11" i="22"/>
  <c r="P17" i="23" s="1"/>
  <c r="Q17" i="23" s="1"/>
  <c r="AC16" i="22"/>
  <c r="V16" i="10"/>
  <c r="I22" i="23" s="1"/>
  <c r="V17" i="4"/>
  <c r="H17" i="4"/>
  <c r="U16" i="4"/>
  <c r="V16" i="4" s="1"/>
  <c r="AG17" i="4"/>
  <c r="BA17" i="22"/>
  <c r="P23" i="23" s="1"/>
  <c r="Q23" i="23" s="1"/>
  <c r="AO17" i="10"/>
  <c r="AE17" i="22"/>
  <c r="X17" i="10"/>
  <c r="K23" i="23" s="1"/>
  <c r="N20" i="22"/>
  <c r="K20" i="10"/>
  <c r="AH21" i="4"/>
  <c r="BA22" i="22"/>
  <c r="P28" i="23" s="1"/>
  <c r="Q28" i="23" s="1"/>
  <c r="AO22" i="10"/>
  <c r="AE22" i="22"/>
  <c r="X22" i="10"/>
  <c r="K28" i="23" s="1"/>
  <c r="K23" i="22"/>
  <c r="I23" i="10"/>
  <c r="AG24" i="4"/>
  <c r="N25" i="22"/>
  <c r="K25" i="10"/>
  <c r="AH26" i="4"/>
  <c r="G32" i="22"/>
  <c r="E36" i="8"/>
  <c r="F32" i="10"/>
  <c r="AC39" i="22"/>
  <c r="BC46" i="22"/>
  <c r="S52" i="23" s="1"/>
  <c r="T52" i="23" s="1"/>
  <c r="AP46" i="10"/>
  <c r="AD48" i="22"/>
  <c r="W48" i="10"/>
  <c r="J54" i="23" s="1"/>
  <c r="H55" i="4"/>
  <c r="V55" i="4"/>
  <c r="BA53" i="22"/>
  <c r="P59" i="23" s="1"/>
  <c r="Q59" i="23" s="1"/>
  <c r="AO53" i="10"/>
  <c r="AE53" i="22"/>
  <c r="X53" i="10"/>
  <c r="K59" i="23" s="1"/>
  <c r="BA64" i="22"/>
  <c r="P70" i="23" s="1"/>
  <c r="Q70" i="23" s="1"/>
  <c r="AO64" i="10"/>
  <c r="AE64" i="22"/>
  <c r="X64" i="10"/>
  <c r="K70" i="23" s="1"/>
  <c r="K8" i="10"/>
  <c r="I28" i="10"/>
  <c r="I47" i="10"/>
  <c r="I50" i="10"/>
  <c r="K50" i="22"/>
  <c r="Q361" i="17"/>
  <c r="O380" i="17"/>
  <c r="O396" i="17"/>
  <c r="O412" i="17"/>
  <c r="N28" i="22"/>
  <c r="K28" i="10"/>
  <c r="P45" i="22"/>
  <c r="L45" i="10"/>
  <c r="N152" i="16"/>
  <c r="W28" i="9"/>
  <c r="V28" i="9"/>
  <c r="E25" i="4" s="1"/>
  <c r="G35" i="22"/>
  <c r="AE10" i="22"/>
  <c r="X10" i="10"/>
  <c r="K16" i="23" s="1"/>
  <c r="BA12" i="22"/>
  <c r="P18" i="23" s="1"/>
  <c r="Q18" i="23" s="1"/>
  <c r="AO12" i="10"/>
  <c r="K15" i="10"/>
  <c r="N15" i="22"/>
  <c r="AI26" i="4"/>
  <c r="L44" i="22"/>
  <c r="J44" i="10"/>
  <c r="AC66" i="22"/>
  <c r="V66" i="10"/>
  <c r="I72" i="23" s="1"/>
  <c r="D10" i="1"/>
  <c r="K12" i="22"/>
  <c r="I12" i="10"/>
  <c r="K22" i="22"/>
  <c r="K31" i="22"/>
  <c r="AG35" i="4"/>
  <c r="I31" i="10"/>
  <c r="I55" i="10"/>
  <c r="K55" i="22"/>
  <c r="V59" i="17"/>
  <c r="I59" i="10"/>
  <c r="K59" i="22"/>
  <c r="AG66" i="4"/>
  <c r="AH66" i="4" s="1"/>
  <c r="V62" i="17"/>
  <c r="V84" i="17"/>
  <c r="V95" i="17"/>
  <c r="V100" i="17"/>
  <c r="V206" i="17"/>
  <c r="W209" i="17"/>
  <c r="V212" i="17"/>
  <c r="V215" i="17"/>
  <c r="P368" i="17"/>
  <c r="P369" i="17"/>
  <c r="O371" i="17"/>
  <c r="O373" i="17"/>
  <c r="O383" i="17"/>
  <c r="O387" i="17"/>
  <c r="O395" i="17"/>
  <c r="O399" i="17"/>
  <c r="O403" i="17"/>
  <c r="O411" i="17"/>
  <c r="N7" i="22"/>
  <c r="AH8" i="4"/>
  <c r="K7" i="10"/>
  <c r="P15" i="22"/>
  <c r="L15" i="10"/>
  <c r="P17" i="22"/>
  <c r="L17" i="10"/>
  <c r="K19" i="10"/>
  <c r="N22" i="22"/>
  <c r="K22" i="10"/>
  <c r="P31" i="22"/>
  <c r="L31" i="10"/>
  <c r="AB30" i="16"/>
  <c r="P39" i="22"/>
  <c r="L39" i="10"/>
  <c r="P41" i="22"/>
  <c r="L41" i="10"/>
  <c r="P42" i="22"/>
  <c r="L42" i="10"/>
  <c r="N44" i="22"/>
  <c r="K44" i="10"/>
  <c r="AH48" i="4"/>
  <c r="N47" i="22"/>
  <c r="K47" i="10"/>
  <c r="AH51" i="4"/>
  <c r="P50" i="22"/>
  <c r="L50" i="10"/>
  <c r="P53" i="22"/>
  <c r="L53" i="10"/>
  <c r="P68" i="22"/>
  <c r="L68" i="10"/>
  <c r="U123" i="16"/>
  <c r="N151" i="16"/>
  <c r="O151" i="16" s="1"/>
  <c r="I22" i="20"/>
  <c r="K22" i="20" s="1"/>
  <c r="E109" i="20" s="1"/>
  <c r="I24" i="20"/>
  <c r="K24" i="20" s="1"/>
  <c r="AB22" i="4" s="1"/>
  <c r="I26" i="20"/>
  <c r="K26" i="20" s="1"/>
  <c r="AB24" i="4" s="1"/>
  <c r="I28" i="20"/>
  <c r="K28" i="20" s="1"/>
  <c r="AB26" i="4" s="1"/>
  <c r="I30" i="20"/>
  <c r="K30" i="20" s="1"/>
  <c r="AB31" i="4" s="1"/>
  <c r="I32" i="20"/>
  <c r="K32" i="20" s="1"/>
  <c r="V24" i="9"/>
  <c r="E21" i="4" s="1"/>
  <c r="G36" i="22"/>
  <c r="E40" i="8"/>
  <c r="F36" i="10"/>
  <c r="V72" i="9"/>
  <c r="E69" i="4" s="1"/>
  <c r="AD7" i="22"/>
  <c r="W7" i="10"/>
  <c r="J13" i="23" s="1"/>
  <c r="X11" i="10"/>
  <c r="K17" i="23" s="1"/>
  <c r="AE11" i="22"/>
  <c r="E8" i="1"/>
  <c r="F8" i="1" s="1"/>
  <c r="K18" i="22"/>
  <c r="AG19" i="4"/>
  <c r="K19" i="22"/>
  <c r="I19" i="10"/>
  <c r="AG20" i="4"/>
  <c r="AH20" i="4" s="1"/>
  <c r="V23" i="17"/>
  <c r="V27" i="17"/>
  <c r="K26" i="22"/>
  <c r="AG27" i="4"/>
  <c r="V29" i="17"/>
  <c r="V30" i="17"/>
  <c r="V31" i="17"/>
  <c r="K32" i="22"/>
  <c r="AG36" i="4"/>
  <c r="K37" i="22"/>
  <c r="AG41" i="4"/>
  <c r="I37" i="10"/>
  <c r="K41" i="22"/>
  <c r="AG45" i="4"/>
  <c r="I41" i="10"/>
  <c r="K44" i="22"/>
  <c r="V48" i="17"/>
  <c r="K46" i="22"/>
  <c r="AG50" i="4"/>
  <c r="I46" i="10"/>
  <c r="V50" i="17"/>
  <c r="I48" i="10"/>
  <c r="K48" i="22"/>
  <c r="AG55" i="4"/>
  <c r="W55" i="17"/>
  <c r="W56" i="17"/>
  <c r="W58" i="17"/>
  <c r="W60" i="17"/>
  <c r="W65" i="17"/>
  <c r="W67" i="17"/>
  <c r="I68" i="10"/>
  <c r="K68" i="22"/>
  <c r="AG75" i="4"/>
  <c r="AH75" i="4" s="1"/>
  <c r="V85" i="17"/>
  <c r="V94" i="17"/>
  <c r="V98" i="17"/>
  <c r="V103" i="17"/>
  <c r="W104" i="17"/>
  <c r="V121" i="17"/>
  <c r="V130" i="17"/>
  <c r="W133" i="17"/>
  <c r="V136" i="17"/>
  <c r="V139" i="17"/>
  <c r="W171" i="17"/>
  <c r="V195" i="17"/>
  <c r="W196" i="17"/>
  <c r="V198" i="17"/>
  <c r="Q339" i="17"/>
  <c r="O343" i="17"/>
  <c r="Q343" i="17" s="1"/>
  <c r="O345" i="17"/>
  <c r="Q345" i="17" s="1"/>
  <c r="Q359" i="17"/>
  <c r="O363" i="17"/>
  <c r="Q363" i="17" s="1"/>
  <c r="O378" i="17"/>
  <c r="O382" i="17"/>
  <c r="O386" i="17"/>
  <c r="O390" i="17"/>
  <c r="O394" i="17"/>
  <c r="O398" i="17"/>
  <c r="O402" i="17"/>
  <c r="O406" i="17"/>
  <c r="O410" i="17"/>
  <c r="O414" i="17"/>
  <c r="N17" i="22"/>
  <c r="K17" i="10"/>
  <c r="P26" i="22"/>
  <c r="L26" i="10"/>
  <c r="N31" i="22"/>
  <c r="K31" i="10"/>
  <c r="AH35" i="4"/>
  <c r="N41" i="22"/>
  <c r="K41" i="10"/>
  <c r="S49" i="16"/>
  <c r="N52" i="22"/>
  <c r="K52" i="10"/>
  <c r="N53" i="22"/>
  <c r="K53" i="10"/>
  <c r="N54" i="22"/>
  <c r="K54" i="10"/>
  <c r="P57" i="22"/>
  <c r="L57" i="10"/>
  <c r="P58" i="22"/>
  <c r="L58" i="10"/>
  <c r="P59" i="22"/>
  <c r="L59" i="10"/>
  <c r="N63" i="22"/>
  <c r="N64" i="22"/>
  <c r="K64" i="10"/>
  <c r="N65" i="22"/>
  <c r="K65" i="10"/>
  <c r="N68" i="22"/>
  <c r="K68" i="10"/>
  <c r="M99" i="16"/>
  <c r="O99" i="16" s="1"/>
  <c r="Q97" i="16" s="1"/>
  <c r="U126" i="16"/>
  <c r="F128" i="16"/>
  <c r="N122" i="16" s="1"/>
  <c r="F83" i="20"/>
  <c r="G83" i="20" s="1"/>
  <c r="H83" i="20" s="1"/>
  <c r="F82" i="20"/>
  <c r="G82" i="20" s="1"/>
  <c r="H82" i="20" s="1"/>
  <c r="F81" i="20"/>
  <c r="G81" i="20" s="1"/>
  <c r="H81" i="20" s="1"/>
  <c r="F80" i="20"/>
  <c r="G80" i="20" s="1"/>
  <c r="H80" i="20" s="1"/>
  <c r="F79" i="20"/>
  <c r="G79" i="20" s="1"/>
  <c r="H79" i="20" s="1"/>
  <c r="F78" i="20"/>
  <c r="G78" i="20" s="1"/>
  <c r="H78" i="20" s="1"/>
  <c r="F77" i="20"/>
  <c r="G77" i="20" s="1"/>
  <c r="H77" i="20" s="1"/>
  <c r="F76" i="20"/>
  <c r="G76" i="20" s="1"/>
  <c r="H76" i="20" s="1"/>
  <c r="F75" i="20"/>
  <c r="G75" i="20" s="1"/>
  <c r="H75" i="20" s="1"/>
  <c r="F74" i="20"/>
  <c r="G74" i="20" s="1"/>
  <c r="H74" i="20" s="1"/>
  <c r="F73" i="20"/>
  <c r="G73" i="20" s="1"/>
  <c r="H73" i="20" s="1"/>
  <c r="F72" i="20"/>
  <c r="G72" i="20" s="1"/>
  <c r="H72" i="20" s="1"/>
  <c r="F71" i="20"/>
  <c r="G71" i="20" s="1"/>
  <c r="H71" i="20" s="1"/>
  <c r="F70" i="20"/>
  <c r="G70" i="20" s="1"/>
  <c r="H70" i="20" s="1"/>
  <c r="F69" i="20"/>
  <c r="G69" i="20" s="1"/>
  <c r="H69" i="20" s="1"/>
  <c r="F62" i="20"/>
  <c r="G62" i="20" s="1"/>
  <c r="H62" i="20" s="1"/>
  <c r="F61" i="20"/>
  <c r="G61" i="20" s="1"/>
  <c r="H61" i="20" s="1"/>
  <c r="F60" i="20"/>
  <c r="G60" i="20" s="1"/>
  <c r="H60" i="20" s="1"/>
  <c r="F50" i="20"/>
  <c r="G50" i="20" s="1"/>
  <c r="H50" i="20" s="1"/>
  <c r="F49" i="20"/>
  <c r="G49" i="20" s="1"/>
  <c r="H49" i="20" s="1"/>
  <c r="F44" i="20"/>
  <c r="G44" i="20" s="1"/>
  <c r="H44" i="20" s="1"/>
  <c r="F43" i="20"/>
  <c r="G43" i="20" s="1"/>
  <c r="H43" i="20" s="1"/>
  <c r="F42" i="20"/>
  <c r="G42" i="20" s="1"/>
  <c r="H42" i="20" s="1"/>
  <c r="F41" i="20"/>
  <c r="G41" i="20" s="1"/>
  <c r="H41" i="20" s="1"/>
  <c r="F40" i="20"/>
  <c r="G40" i="20" s="1"/>
  <c r="H40" i="20" s="1"/>
  <c r="F39" i="20"/>
  <c r="G39" i="20" s="1"/>
  <c r="H39" i="20" s="1"/>
  <c r="F38" i="20"/>
  <c r="G38" i="20" s="1"/>
  <c r="H38" i="20" s="1"/>
  <c r="F37" i="20"/>
  <c r="G37" i="20" s="1"/>
  <c r="H37" i="20" s="1"/>
  <c r="F36" i="20"/>
  <c r="G36" i="20" s="1"/>
  <c r="H36" i="20" s="1"/>
  <c r="F35" i="20"/>
  <c r="G35" i="20" s="1"/>
  <c r="H35" i="20" s="1"/>
  <c r="F34" i="20"/>
  <c r="G34" i="20" s="1"/>
  <c r="H34" i="20" s="1"/>
  <c r="F33" i="20"/>
  <c r="G33" i="20" s="1"/>
  <c r="H33" i="20" s="1"/>
  <c r="F20" i="20"/>
  <c r="G20" i="20" s="1"/>
  <c r="H20" i="20" s="1"/>
  <c r="F19" i="20"/>
  <c r="G19" i="20" s="1"/>
  <c r="H19" i="20" s="1"/>
  <c r="F18" i="20"/>
  <c r="G18" i="20" s="1"/>
  <c r="H18" i="20" s="1"/>
  <c r="F17" i="20"/>
  <c r="G17" i="20" s="1"/>
  <c r="H17" i="20" s="1"/>
  <c r="F16" i="20"/>
  <c r="G16" i="20" s="1"/>
  <c r="H16" i="20" s="1"/>
  <c r="F11" i="20"/>
  <c r="G11" i="20" s="1"/>
  <c r="H11" i="20" s="1"/>
  <c r="F10" i="20"/>
  <c r="G10" i="20" s="1"/>
  <c r="H10" i="20" s="1"/>
  <c r="F9" i="20"/>
  <c r="G9" i="20" s="1"/>
  <c r="H9" i="20" s="1"/>
  <c r="F8" i="20"/>
  <c r="G8" i="20" s="1"/>
  <c r="H8" i="20" s="1"/>
  <c r="F7" i="20"/>
  <c r="G7" i="20" s="1"/>
  <c r="H7" i="20" s="1"/>
  <c r="F6" i="20"/>
  <c r="G6" i="20" s="1"/>
  <c r="H6" i="20" s="1"/>
  <c r="F5" i="20"/>
  <c r="G5" i="20" s="1"/>
  <c r="H5" i="20" s="1"/>
  <c r="F85" i="20"/>
  <c r="G85" i="20" s="1"/>
  <c r="H85" i="20" s="1"/>
  <c r="F67" i="20"/>
  <c r="G67" i="20" s="1"/>
  <c r="H67" i="20" s="1"/>
  <c r="F65" i="20"/>
  <c r="G65" i="20" s="1"/>
  <c r="H65" i="20" s="1"/>
  <c r="F59" i="20"/>
  <c r="G59" i="20" s="1"/>
  <c r="H59" i="20" s="1"/>
  <c r="F57" i="20"/>
  <c r="G57" i="20" s="1"/>
  <c r="H57" i="20" s="1"/>
  <c r="F55" i="20"/>
  <c r="G55" i="20" s="1"/>
  <c r="H55" i="20" s="1"/>
  <c r="F53" i="20"/>
  <c r="G53" i="20" s="1"/>
  <c r="H53" i="20" s="1"/>
  <c r="F47" i="20"/>
  <c r="G47" i="20" s="1"/>
  <c r="H47" i="20" s="1"/>
  <c r="F45" i="20"/>
  <c r="G45" i="20" s="1"/>
  <c r="H45" i="20" s="1"/>
  <c r="F52" i="20"/>
  <c r="G52" i="20" s="1"/>
  <c r="H52" i="20" s="1"/>
  <c r="F68" i="20"/>
  <c r="G68" i="20" s="1"/>
  <c r="H68" i="20" s="1"/>
  <c r="G70" i="12"/>
  <c r="D77" i="12"/>
  <c r="E23" i="8"/>
  <c r="E39" i="8"/>
  <c r="V6" i="9"/>
  <c r="E7" i="4" s="1"/>
  <c r="G11" i="22"/>
  <c r="E12" i="8"/>
  <c r="F11" i="10"/>
  <c r="G17" i="22"/>
  <c r="F17" i="10"/>
  <c r="E18" i="8"/>
  <c r="W23" i="9"/>
  <c r="V23" i="9"/>
  <c r="E20" i="4" s="1"/>
  <c r="AG24" i="9"/>
  <c r="G27" i="22"/>
  <c r="W34" i="9"/>
  <c r="V34" i="9"/>
  <c r="E32" i="4" s="1"/>
  <c r="V38" i="9"/>
  <c r="E35" i="4" s="1"/>
  <c r="W43" i="9"/>
  <c r="W44" i="9"/>
  <c r="V44" i="9"/>
  <c r="E41" i="4" s="1"/>
  <c r="I42" i="4"/>
  <c r="V49" i="9"/>
  <c r="E46" i="4" s="1"/>
  <c r="W49" i="9"/>
  <c r="G43" i="22"/>
  <c r="W53" i="9"/>
  <c r="V53" i="9"/>
  <c r="E50" i="4" s="1"/>
  <c r="G48" i="22"/>
  <c r="E55" i="8"/>
  <c r="J55" i="4"/>
  <c r="F48" i="10"/>
  <c r="G56" i="22"/>
  <c r="E63" i="8"/>
  <c r="F56" i="10"/>
  <c r="W70" i="9"/>
  <c r="V70" i="9"/>
  <c r="E67" i="4" s="1"/>
  <c r="G63" i="22"/>
  <c r="F63" i="10"/>
  <c r="E70" i="8"/>
  <c r="Y8" i="10"/>
  <c r="L14" i="23" s="1"/>
  <c r="AF8" i="22"/>
  <c r="P9" i="22"/>
  <c r="L9" i="10"/>
  <c r="AD9" i="22"/>
  <c r="H10" i="4"/>
  <c r="I10" i="4" s="1"/>
  <c r="V10" i="4"/>
  <c r="W9" i="10"/>
  <c r="J15" i="23" s="1"/>
  <c r="AG13" i="4"/>
  <c r="AH13" i="4" s="1"/>
  <c r="AC13" i="22"/>
  <c r="V13" i="10"/>
  <c r="I19" i="23" s="1"/>
  <c r="AC14" i="22"/>
  <c r="V14" i="10"/>
  <c r="I20" i="23" s="1"/>
  <c r="N16" i="22"/>
  <c r="K16" i="10"/>
  <c r="BC17" i="22"/>
  <c r="S23" i="23" s="1"/>
  <c r="T23" i="23" s="1"/>
  <c r="AP17" i="10"/>
  <c r="AC19" i="22"/>
  <c r="V20" i="4"/>
  <c r="V19" i="10"/>
  <c r="I25" i="23" s="1"/>
  <c r="AG23" i="4"/>
  <c r="J33" i="4"/>
  <c r="BA37" i="22"/>
  <c r="P43" i="23" s="1"/>
  <c r="Q43" i="23" s="1"/>
  <c r="AO37" i="10"/>
  <c r="AE37" i="22"/>
  <c r="X37" i="10"/>
  <c r="K43" i="23" s="1"/>
  <c r="BA42" i="22"/>
  <c r="P48" i="23" s="1"/>
  <c r="Q48" i="23" s="1"/>
  <c r="AO42" i="10"/>
  <c r="AE42" i="22"/>
  <c r="X42" i="10"/>
  <c r="K48" i="23" s="1"/>
  <c r="AC51" i="22"/>
  <c r="V58" i="4"/>
  <c r="H58" i="4"/>
  <c r="U57" i="4"/>
  <c r="N60" i="22"/>
  <c r="K60" i="10"/>
  <c r="AC67" i="22"/>
  <c r="V67" i="10"/>
  <c r="I73" i="23" s="1"/>
  <c r="V74" i="4"/>
  <c r="H74" i="4"/>
  <c r="U73" i="4"/>
  <c r="V73" i="4" s="1"/>
  <c r="I18" i="10"/>
  <c r="I20" i="10"/>
  <c r="I22" i="10"/>
  <c r="I26" i="10"/>
  <c r="V39" i="10"/>
  <c r="I45" i="23" s="1"/>
  <c r="K14" i="22"/>
  <c r="AG15" i="4"/>
  <c r="K21" i="22"/>
  <c r="AG22" i="4"/>
  <c r="I21" i="10"/>
  <c r="K27" i="22"/>
  <c r="AG31" i="4"/>
  <c r="I27" i="10"/>
  <c r="K29" i="22"/>
  <c r="AG33" i="4"/>
  <c r="I29" i="10"/>
  <c r="K39" i="22"/>
  <c r="I39" i="10"/>
  <c r="Q355" i="17"/>
  <c r="S355" i="17" s="1"/>
  <c r="S358" i="17" s="1"/>
  <c r="O408" i="17"/>
  <c r="K11" i="10"/>
  <c r="N11" i="22"/>
  <c r="N27" i="22"/>
  <c r="K27" i="10"/>
  <c r="N35" i="22"/>
  <c r="K35" i="10"/>
  <c r="AH39" i="4"/>
  <c r="L47" i="10"/>
  <c r="P47" i="22"/>
  <c r="N55" i="22"/>
  <c r="AH62" i="4"/>
  <c r="K55" i="10"/>
  <c r="V41" i="9"/>
  <c r="E38" i="4" s="1"/>
  <c r="W41" i="9"/>
  <c r="G40" i="22"/>
  <c r="E44" i="8"/>
  <c r="F40" i="10"/>
  <c r="V54" i="9"/>
  <c r="E51" i="4" s="1"/>
  <c r="W54" i="9"/>
  <c r="BA8" i="22"/>
  <c r="P14" i="23" s="1"/>
  <c r="Q14" i="23" s="1"/>
  <c r="AO8" i="10"/>
  <c r="AH12" i="4"/>
  <c r="BA18" i="22"/>
  <c r="P24" i="23" s="1"/>
  <c r="Q24" i="23" s="1"/>
  <c r="AO18" i="10"/>
  <c r="AG32" i="4"/>
  <c r="AH32" i="4" s="1"/>
  <c r="K33" i="22"/>
  <c r="AG37" i="4"/>
  <c r="I33" i="10"/>
  <c r="BC36" i="22"/>
  <c r="S42" i="23" s="1"/>
  <c r="T42" i="23" s="1"/>
  <c r="AP36" i="10"/>
  <c r="AD43" i="22"/>
  <c r="W43" i="10"/>
  <c r="J49" i="23" s="1"/>
  <c r="H47" i="4"/>
  <c r="J47" i="4" s="1"/>
  <c r="AI51" i="4"/>
  <c r="I60" i="10"/>
  <c r="K60" i="22"/>
  <c r="AG67" i="4"/>
  <c r="AH67" i="4" s="1"/>
  <c r="AP16" i="10"/>
  <c r="K30" i="22"/>
  <c r="AG34" i="4"/>
  <c r="I30" i="10"/>
  <c r="I62" i="10"/>
  <c r="K62" i="22"/>
  <c r="AG69" i="4"/>
  <c r="I64" i="10"/>
  <c r="K64" i="22"/>
  <c r="AG71" i="4"/>
  <c r="I66" i="10"/>
  <c r="K66" i="22"/>
  <c r="V165" i="17"/>
  <c r="W169" i="17"/>
  <c r="V175" i="17"/>
  <c r="W178" i="17"/>
  <c r="AF7" i="4"/>
  <c r="AC354" i="17"/>
  <c r="K9" i="22"/>
  <c r="I9" i="10"/>
  <c r="AG10" i="4"/>
  <c r="AH10" i="4" s="1"/>
  <c r="AG16" i="4"/>
  <c r="AH16" i="4" s="1"/>
  <c r="I15" i="10"/>
  <c r="K15" i="22"/>
  <c r="K24" i="22"/>
  <c r="AG25" i="4"/>
  <c r="K34" i="22"/>
  <c r="AG38" i="4"/>
  <c r="AH38" i="4" s="1"/>
  <c r="I34" i="10"/>
  <c r="K38" i="22"/>
  <c r="AG42" i="4"/>
  <c r="I38" i="10"/>
  <c r="K42" i="22"/>
  <c r="AG46" i="4"/>
  <c r="AH46" i="4" s="1"/>
  <c r="I42" i="10"/>
  <c r="I52" i="10"/>
  <c r="K52" i="22"/>
  <c r="AG59" i="4"/>
  <c r="I53" i="10"/>
  <c r="K53" i="22"/>
  <c r="AG60" i="4"/>
  <c r="I54" i="10"/>
  <c r="K54" i="22"/>
  <c r="AG61" i="4"/>
  <c r="I56" i="10"/>
  <c r="K56" i="22"/>
  <c r="AG63" i="4"/>
  <c r="I57" i="10"/>
  <c r="K57" i="22"/>
  <c r="AG64" i="4"/>
  <c r="I58" i="10"/>
  <c r="K58" i="22"/>
  <c r="AG65" i="4"/>
  <c r="I61" i="10"/>
  <c r="K61" i="22"/>
  <c r="AG68" i="4"/>
  <c r="I63" i="10"/>
  <c r="K63" i="22"/>
  <c r="AG70" i="4"/>
  <c r="I65" i="10"/>
  <c r="K65" i="22"/>
  <c r="AG72" i="4"/>
  <c r="V170" i="17"/>
  <c r="W174" i="17"/>
  <c r="V180" i="17"/>
  <c r="V199" i="17"/>
  <c r="W204" i="17"/>
  <c r="V210" i="17"/>
  <c r="W214" i="17"/>
  <c r="V240" i="17"/>
  <c r="W244" i="17"/>
  <c r="V250" i="17"/>
  <c r="Q337" i="17"/>
  <c r="Q351" i="17"/>
  <c r="Q367" i="17"/>
  <c r="Q370" i="17" s="1"/>
  <c r="AB353" i="17" s="1"/>
  <c r="O377" i="17"/>
  <c r="O381" i="17"/>
  <c r="O385" i="17"/>
  <c r="O389" i="17"/>
  <c r="O393" i="17"/>
  <c r="O397" i="17"/>
  <c r="O401" i="17"/>
  <c r="O405" i="17"/>
  <c r="O409" i="17"/>
  <c r="O413" i="17"/>
  <c r="N24" i="22"/>
  <c r="K24" i="10"/>
  <c r="AH25" i="4"/>
  <c r="AI25" i="4" s="1"/>
  <c r="P27" i="22"/>
  <c r="L27" i="10"/>
  <c r="P28" i="22"/>
  <c r="L28" i="10"/>
  <c r="AB27" i="16"/>
  <c r="P30" i="22"/>
  <c r="L30" i="10"/>
  <c r="AB29" i="16"/>
  <c r="P35" i="22"/>
  <c r="L35" i="10"/>
  <c r="AA36" i="16"/>
  <c r="AA34" i="16"/>
  <c r="AA37" i="16"/>
  <c r="AA35" i="16"/>
  <c r="N37" i="22"/>
  <c r="AH41" i="4"/>
  <c r="K37" i="10"/>
  <c r="P51" i="22"/>
  <c r="L51" i="10"/>
  <c r="P55" i="22"/>
  <c r="L55" i="10"/>
  <c r="P56" i="22"/>
  <c r="L56" i="10"/>
  <c r="N57" i="22"/>
  <c r="K57" i="10"/>
  <c r="AH64" i="4"/>
  <c r="N58" i="22"/>
  <c r="K58" i="10"/>
  <c r="AH65" i="4"/>
  <c r="N59" i="22"/>
  <c r="K59" i="10"/>
  <c r="P61" i="22"/>
  <c r="L61" i="10"/>
  <c r="P62" i="22"/>
  <c r="L62" i="10"/>
  <c r="L66" i="10"/>
  <c r="P66" i="22"/>
  <c r="U125" i="16"/>
  <c r="N150" i="16"/>
  <c r="U33" i="18"/>
  <c r="W33" i="18" s="1"/>
  <c r="Z33" i="18" s="1"/>
  <c r="F12" i="20"/>
  <c r="G12" i="20" s="1"/>
  <c r="H12" i="20" s="1"/>
  <c r="F13" i="20"/>
  <c r="G13" i="20" s="1"/>
  <c r="H13" i="20" s="1"/>
  <c r="F14" i="20"/>
  <c r="G14" i="20" s="1"/>
  <c r="H14" i="20" s="1"/>
  <c r="F48" i="20"/>
  <c r="G48" i="20" s="1"/>
  <c r="H48" i="20" s="1"/>
  <c r="F58" i="20"/>
  <c r="G58" i="20" s="1"/>
  <c r="H58" i="20" s="1"/>
  <c r="F66" i="20"/>
  <c r="G66" i="20" s="1"/>
  <c r="H66" i="20" s="1"/>
  <c r="J84" i="20"/>
  <c r="L84" i="20" s="1"/>
  <c r="I84" i="20"/>
  <c r="K84" i="20" s="1"/>
  <c r="H70" i="12"/>
  <c r="H71" i="12"/>
  <c r="I71" i="12" s="1"/>
  <c r="D89" i="12"/>
  <c r="H82" i="12"/>
  <c r="G82" i="12"/>
  <c r="E33" i="8"/>
  <c r="AG6" i="9"/>
  <c r="G12" i="22"/>
  <c r="F12" i="10"/>
  <c r="W18" i="9"/>
  <c r="V18" i="9"/>
  <c r="E15" i="4" s="1"/>
  <c r="G16" i="22"/>
  <c r="I17" i="4"/>
  <c r="F16" i="10"/>
  <c r="G21" i="22"/>
  <c r="F21" i="10"/>
  <c r="E22" i="8"/>
  <c r="G23" i="22"/>
  <c r="F23" i="10"/>
  <c r="E24" i="8"/>
  <c r="V30" i="9"/>
  <c r="E27" i="4" s="1"/>
  <c r="V37" i="9"/>
  <c r="E34" i="4" s="1"/>
  <c r="G33" i="22"/>
  <c r="F33" i="10"/>
  <c r="E37" i="8"/>
  <c r="G44" i="22"/>
  <c r="E48" i="8"/>
  <c r="F44" i="10"/>
  <c r="G49" i="22"/>
  <c r="F49" i="10"/>
  <c r="E56" i="8"/>
  <c r="W59" i="9"/>
  <c r="V59" i="9"/>
  <c r="E57" i="4" s="1"/>
  <c r="G51" i="22"/>
  <c r="F51" i="10"/>
  <c r="J58" i="4"/>
  <c r="I58" i="4"/>
  <c r="V64" i="9"/>
  <c r="E61" i="4" s="1"/>
  <c r="G57" i="22"/>
  <c r="E64" i="8"/>
  <c r="F57" i="10"/>
  <c r="G67" i="22"/>
  <c r="J74" i="4"/>
  <c r="F67" i="10"/>
  <c r="H8" i="4"/>
  <c r="P12" i="22"/>
  <c r="L12" i="10"/>
  <c r="U13" i="4"/>
  <c r="P13" i="22"/>
  <c r="L13" i="10"/>
  <c r="U14" i="4"/>
  <c r="V14" i="4" s="1"/>
  <c r="U15" i="4"/>
  <c r="G15" i="22"/>
  <c r="F15" i="10"/>
  <c r="E16" i="8"/>
  <c r="BC15" i="22"/>
  <c r="S21" i="23" s="1"/>
  <c r="T21" i="23" s="1"/>
  <c r="AP15" i="10"/>
  <c r="U19" i="4"/>
  <c r="AI21" i="4"/>
  <c r="BC21" i="22"/>
  <c r="S27" i="23" s="1"/>
  <c r="T27" i="23" s="1"/>
  <c r="AP21" i="10"/>
  <c r="H24" i="4"/>
  <c r="I24" i="4" s="1"/>
  <c r="N40" i="22"/>
  <c r="K40" i="10"/>
  <c r="AH44" i="4"/>
  <c r="AC40" i="22"/>
  <c r="V44" i="4"/>
  <c r="V40" i="10"/>
  <c r="I46" i="23" s="1"/>
  <c r="H44" i="4"/>
  <c r="J44" i="4" s="1"/>
  <c r="U43" i="4"/>
  <c r="V43" i="4" s="1"/>
  <c r="BA47" i="22"/>
  <c r="P53" i="23" s="1"/>
  <c r="Q53" i="23" s="1"/>
  <c r="AO47" i="10"/>
  <c r="AE47" i="22"/>
  <c r="X47" i="10"/>
  <c r="K53" i="23" s="1"/>
  <c r="U56" i="4"/>
  <c r="AP52" i="10"/>
  <c r="BC52" i="22"/>
  <c r="S58" i="23" s="1"/>
  <c r="T58" i="23" s="1"/>
  <c r="P54" i="22"/>
  <c r="L54" i="10"/>
  <c r="AD54" i="22"/>
  <c r="W54" i="10"/>
  <c r="J60" i="23" s="1"/>
  <c r="H61" i="4"/>
  <c r="AP63" i="10"/>
  <c r="BC63" i="22"/>
  <c r="S69" i="23" s="1"/>
  <c r="T69" i="23" s="1"/>
  <c r="P65" i="22"/>
  <c r="L65" i="10"/>
  <c r="U72" i="4"/>
  <c r="AP68" i="10"/>
  <c r="BC68" i="22"/>
  <c r="S74" i="23" s="1"/>
  <c r="T74" i="23" s="1"/>
  <c r="I14" i="10"/>
  <c r="I16" i="10"/>
  <c r="F27" i="10"/>
  <c r="I36" i="10"/>
  <c r="I44" i="10"/>
  <c r="K63" i="10"/>
  <c r="K20" i="22"/>
  <c r="N21" i="22"/>
  <c r="K21" i="10"/>
  <c r="G25" i="22"/>
  <c r="F25" i="10"/>
  <c r="AD25" i="22"/>
  <c r="W25" i="10"/>
  <c r="J31" i="23" s="1"/>
  <c r="H26" i="4"/>
  <c r="J26" i="4" s="1"/>
  <c r="AC26" i="22"/>
  <c r="V26" i="10"/>
  <c r="I32" i="23" s="1"/>
  <c r="N29" i="22"/>
  <c r="AH33" i="4"/>
  <c r="K29" i="10"/>
  <c r="BA33" i="22"/>
  <c r="P39" i="23" s="1"/>
  <c r="Q39" i="23" s="1"/>
  <c r="AO33" i="10"/>
  <c r="P34" i="22"/>
  <c r="L34" i="10"/>
  <c r="AD34" i="22"/>
  <c r="H38" i="4"/>
  <c r="W34" i="10"/>
  <c r="J40" i="23" s="1"/>
  <c r="AC35" i="22"/>
  <c r="N36" i="22"/>
  <c r="K36" i="10"/>
  <c r="AC36" i="22"/>
  <c r="V40" i="4"/>
  <c r="BA38" i="22"/>
  <c r="P44" i="23" s="1"/>
  <c r="Q44" i="23" s="1"/>
  <c r="AO38" i="10"/>
  <c r="AD45" i="22"/>
  <c r="W45" i="10"/>
  <c r="J51" i="23" s="1"/>
  <c r="H49" i="4"/>
  <c r="AC46" i="22"/>
  <c r="V46" i="10"/>
  <c r="I52" i="23" s="1"/>
  <c r="V50" i="4"/>
  <c r="BA48" i="22"/>
  <c r="P54" i="23" s="1"/>
  <c r="Q54" i="23" s="1"/>
  <c r="AO48" i="10"/>
  <c r="G55" i="22"/>
  <c r="J62" i="4"/>
  <c r="I62" i="4"/>
  <c r="N56" i="22"/>
  <c r="AH63" i="4"/>
  <c r="Y59" i="10"/>
  <c r="L65" i="23" s="1"/>
  <c r="AF59" i="22"/>
  <c r="AP59" i="10"/>
  <c r="BC59" i="22"/>
  <c r="S65" i="23" s="1"/>
  <c r="T65" i="23" s="1"/>
  <c r="BA60" i="22"/>
  <c r="P66" i="23" s="1"/>
  <c r="Q66" i="23" s="1"/>
  <c r="AO60" i="10"/>
  <c r="AD61" i="22"/>
  <c r="H68" i="4"/>
  <c r="I68" i="4" s="1"/>
  <c r="AC62" i="22"/>
  <c r="V62" i="10"/>
  <c r="I68" i="23" s="1"/>
  <c r="AC63" i="22"/>
  <c r="V70" i="4"/>
  <c r="AP64" i="10"/>
  <c r="BC64" i="22"/>
  <c r="S70" i="23" s="1"/>
  <c r="T70" i="23" s="1"/>
  <c r="L20" i="10"/>
  <c r="L24" i="10"/>
  <c r="AP28" i="10"/>
  <c r="AP32" i="10"/>
  <c r="AP47" i="10"/>
  <c r="AO49" i="10"/>
  <c r="F55" i="10"/>
  <c r="W61" i="10"/>
  <c r="J67" i="23" s="1"/>
  <c r="N30" i="22"/>
  <c r="N14" i="22"/>
  <c r="K14" i="10"/>
  <c r="P29" i="22"/>
  <c r="L29" i="10"/>
  <c r="P32" i="22"/>
  <c r="L32" i="10"/>
  <c r="P36" i="22"/>
  <c r="L36" i="10"/>
  <c r="N39" i="22"/>
  <c r="K39" i="10"/>
  <c r="N42" i="22"/>
  <c r="K42" i="10"/>
  <c r="N43" i="22"/>
  <c r="K43" i="10"/>
  <c r="N48" i="22"/>
  <c r="AH55" i="4"/>
  <c r="N50" i="22"/>
  <c r="K50" i="10"/>
  <c r="N61" i="22"/>
  <c r="K61" i="10"/>
  <c r="N62" i="22"/>
  <c r="K62" i="10"/>
  <c r="N66" i="22"/>
  <c r="K66" i="10"/>
  <c r="H84" i="12"/>
  <c r="I84" i="12" s="1"/>
  <c r="BC7" i="22"/>
  <c r="S13" i="23" s="1"/>
  <c r="T13" i="23" s="1"/>
  <c r="AP7" i="10"/>
  <c r="BC8" i="22"/>
  <c r="S14" i="23" s="1"/>
  <c r="T14" i="23" s="1"/>
  <c r="AP8" i="10"/>
  <c r="AF10" i="22"/>
  <c r="AC10" i="22"/>
  <c r="V10" i="10"/>
  <c r="I16" i="23" s="1"/>
  <c r="AD21" i="22"/>
  <c r="W21" i="10"/>
  <c r="J27" i="23" s="1"/>
  <c r="H22" i="4"/>
  <c r="I22" i="4" s="1"/>
  <c r="AC22" i="22"/>
  <c r="V22" i="10"/>
  <c r="I28" i="23" s="1"/>
  <c r="I26" i="4"/>
  <c r="V26" i="4"/>
  <c r="H27" i="4"/>
  <c r="AD26" i="22"/>
  <c r="W26" i="10"/>
  <c r="J32" i="23" s="1"/>
  <c r="AC27" i="22"/>
  <c r="AC28" i="22"/>
  <c r="V32" i="4"/>
  <c r="BA29" i="22"/>
  <c r="P35" i="23" s="1"/>
  <c r="Q35" i="23" s="1"/>
  <c r="AO29" i="10"/>
  <c r="AE29" i="22"/>
  <c r="X29" i="10"/>
  <c r="K35" i="23" s="1"/>
  <c r="AD30" i="22"/>
  <c r="H34" i="4"/>
  <c r="W30" i="10"/>
  <c r="J36" i="23" s="1"/>
  <c r="AH34" i="4"/>
  <c r="AC31" i="22"/>
  <c r="AC32" i="22"/>
  <c r="V36" i="4"/>
  <c r="BA34" i="22"/>
  <c r="P40" i="23" s="1"/>
  <c r="Q40" i="23" s="1"/>
  <c r="AO34" i="10"/>
  <c r="V38" i="4"/>
  <c r="U39" i="4"/>
  <c r="BA45" i="22"/>
  <c r="P51" i="23" s="1"/>
  <c r="Q51" i="23" s="1"/>
  <c r="AO45" i="10"/>
  <c r="V49" i="4"/>
  <c r="Y55" i="10"/>
  <c r="L61" i="23" s="1"/>
  <c r="AF55" i="22"/>
  <c r="AP55" i="10"/>
  <c r="BC55" i="22"/>
  <c r="S61" i="23" s="1"/>
  <c r="T61" i="23" s="1"/>
  <c r="BA56" i="22"/>
  <c r="P62" i="23" s="1"/>
  <c r="Q62" i="23" s="1"/>
  <c r="AO56" i="10"/>
  <c r="AD57" i="22"/>
  <c r="W57" i="10"/>
  <c r="J63" i="23" s="1"/>
  <c r="H64" i="4"/>
  <c r="J64" i="4" s="1"/>
  <c r="AC58" i="22"/>
  <c r="V58" i="10"/>
  <c r="I64" i="23" s="1"/>
  <c r="AC59" i="22"/>
  <c r="V66" i="4"/>
  <c r="AP60" i="10"/>
  <c r="BC60" i="22"/>
  <c r="S66" i="23" s="1"/>
  <c r="T66" i="23" s="1"/>
  <c r="BA61" i="22"/>
  <c r="P67" i="23" s="1"/>
  <c r="Q67" i="23" s="1"/>
  <c r="AO61" i="10"/>
  <c r="V68" i="4"/>
  <c r="U69" i="4"/>
  <c r="V69" i="4" s="1"/>
  <c r="AP13" i="10"/>
  <c r="AP19" i="10"/>
  <c r="AP23" i="10"/>
  <c r="AP25" i="10"/>
  <c r="AP27" i="10"/>
  <c r="K48" i="10"/>
  <c r="V59" i="10"/>
  <c r="I65" i="23" s="1"/>
  <c r="V63" i="10"/>
  <c r="I69" i="23" s="1"/>
  <c r="AO65" i="10"/>
  <c r="BC6" i="22"/>
  <c r="S12" i="23" s="1"/>
  <c r="T12" i="23" s="1"/>
  <c r="N26" i="22"/>
  <c r="K26" i="10"/>
  <c r="AA27" i="16"/>
  <c r="P37" i="22"/>
  <c r="L37" i="10"/>
  <c r="N38" i="22"/>
  <c r="K38" i="10"/>
  <c r="P52" i="22"/>
  <c r="L52" i="10"/>
  <c r="P63" i="22"/>
  <c r="L63" i="10"/>
  <c r="L64" i="10"/>
  <c r="P64" i="22"/>
  <c r="H73" i="12"/>
  <c r="I73" i="12" s="1"/>
  <c r="E26" i="8"/>
  <c r="E62" i="8"/>
  <c r="W39" i="9"/>
  <c r="G38" i="22"/>
  <c r="E42" i="8"/>
  <c r="W47" i="9"/>
  <c r="G53" i="22"/>
  <c r="F53" i="10"/>
  <c r="V68" i="9"/>
  <c r="E65" i="4" s="1"/>
  <c r="G61" i="22"/>
  <c r="F61" i="10"/>
  <c r="V76" i="9"/>
  <c r="E73" i="4" s="1"/>
  <c r="AC6" i="22"/>
  <c r="V7" i="4"/>
  <c r="AC7" i="22"/>
  <c r="V8" i="4"/>
  <c r="BC9" i="22"/>
  <c r="S15" i="23" s="1"/>
  <c r="T15" i="23" s="1"/>
  <c r="AP9" i="10"/>
  <c r="I11" i="4"/>
  <c r="P10" i="22"/>
  <c r="L10" i="10"/>
  <c r="AD10" i="22"/>
  <c r="W10" i="10"/>
  <c r="J16" i="23" s="1"/>
  <c r="AD11" i="22"/>
  <c r="H12" i="4"/>
  <c r="I12" i="4" s="1"/>
  <c r="W11" i="10"/>
  <c r="J17" i="23" s="1"/>
  <c r="N13" i="22"/>
  <c r="K13" i="10"/>
  <c r="AH15" i="4"/>
  <c r="AD17" i="22"/>
  <c r="W17" i="10"/>
  <c r="J23" i="23" s="1"/>
  <c r="H18" i="4"/>
  <c r="I18" i="4" s="1"/>
  <c r="AC18" i="22"/>
  <c r="V18" i="10"/>
  <c r="I24" i="23" s="1"/>
  <c r="V22" i="4"/>
  <c r="H23" i="4"/>
  <c r="I23" i="4" s="1"/>
  <c r="AD22" i="22"/>
  <c r="W22" i="10"/>
  <c r="J28" i="23" s="1"/>
  <c r="AC23" i="22"/>
  <c r="V24" i="4"/>
  <c r="V23" i="10"/>
  <c r="I29" i="23" s="1"/>
  <c r="AC24" i="22"/>
  <c r="V24" i="10"/>
  <c r="I30" i="23" s="1"/>
  <c r="V27" i="4"/>
  <c r="U31" i="4"/>
  <c r="V31" i="4" s="1"/>
  <c r="H32" i="4"/>
  <c r="AD28" i="22"/>
  <c r="W28" i="10"/>
  <c r="J34" i="23" s="1"/>
  <c r="BA30" i="22"/>
  <c r="P36" i="23" s="1"/>
  <c r="Q36" i="23" s="1"/>
  <c r="AO30" i="10"/>
  <c r="V34" i="4"/>
  <c r="U35" i="4"/>
  <c r="V35" i="4" s="1"/>
  <c r="J42" i="4"/>
  <c r="BA41" i="22"/>
  <c r="P47" i="23" s="1"/>
  <c r="Q47" i="23" s="1"/>
  <c r="AO41" i="10"/>
  <c r="AD42" i="22"/>
  <c r="H46" i="4"/>
  <c r="W42" i="10"/>
  <c r="J48" i="23" s="1"/>
  <c r="AC43" i="22"/>
  <c r="V47" i="4"/>
  <c r="AC44" i="22"/>
  <c r="V48" i="4"/>
  <c r="H50" i="4"/>
  <c r="AP51" i="10"/>
  <c r="BC51" i="22"/>
  <c r="S57" i="23" s="1"/>
  <c r="T57" i="23" s="1"/>
  <c r="BA52" i="22"/>
  <c r="P58" i="23" s="1"/>
  <c r="Q58" i="23" s="1"/>
  <c r="AO52" i="10"/>
  <c r="AE52" i="22"/>
  <c r="X52" i="10"/>
  <c r="K58" i="23" s="1"/>
  <c r="AD53" i="22"/>
  <c r="H60" i="4"/>
  <c r="AC54" i="22"/>
  <c r="V54" i="10"/>
  <c r="I60" i="23" s="1"/>
  <c r="V61" i="4"/>
  <c r="AC55" i="22"/>
  <c r="V62" i="4"/>
  <c r="V55" i="10"/>
  <c r="I61" i="23" s="1"/>
  <c r="AP56" i="10"/>
  <c r="BC56" i="22"/>
  <c r="S62" i="23" s="1"/>
  <c r="T62" i="23" s="1"/>
  <c r="V64" i="4"/>
  <c r="U65" i="4"/>
  <c r="V65" i="4" s="1"/>
  <c r="AP67" i="10"/>
  <c r="BC67" i="22"/>
  <c r="S73" i="23" s="1"/>
  <c r="T73" i="23" s="1"/>
  <c r="BA68" i="22"/>
  <c r="P74" i="23" s="1"/>
  <c r="Q74" i="23" s="1"/>
  <c r="AO68" i="10"/>
  <c r="V6" i="10"/>
  <c r="I12" i="23" s="1"/>
  <c r="F10" i="10"/>
  <c r="Y10" i="10"/>
  <c r="L16" i="23" s="1"/>
  <c r="AO14" i="10"/>
  <c r="AO16" i="10"/>
  <c r="AO20" i="10"/>
  <c r="X24" i="10"/>
  <c r="K30" i="23" s="1"/>
  <c r="AO24" i="10"/>
  <c r="L25" i="10"/>
  <c r="AO26" i="10"/>
  <c r="V28" i="10"/>
  <c r="I34" i="23" s="1"/>
  <c r="V32" i="10"/>
  <c r="I38" i="23" s="1"/>
  <c r="V36" i="10"/>
  <c r="I42" i="23" s="1"/>
  <c r="V44" i="10"/>
  <c r="I50" i="23" s="1"/>
  <c r="W53" i="10"/>
  <c r="J59" i="23" s="1"/>
  <c r="AO57" i="10"/>
  <c r="X68" i="10"/>
  <c r="K74" i="23" s="1"/>
  <c r="AP48" i="10"/>
  <c r="BC48" i="22"/>
  <c r="S54" i="23" s="1"/>
  <c r="T54" i="23" s="1"/>
  <c r="AP49" i="10"/>
  <c r="BC49" i="22"/>
  <c r="S55" i="23" s="1"/>
  <c r="T55" i="23" s="1"/>
  <c r="AD51" i="22"/>
  <c r="W51" i="10"/>
  <c r="J57" i="23" s="1"/>
  <c r="Y52" i="10"/>
  <c r="L58" i="23" s="1"/>
  <c r="AF52" i="22"/>
  <c r="AP53" i="10"/>
  <c r="BC53" i="22"/>
  <c r="S59" i="23" s="1"/>
  <c r="T59" i="23" s="1"/>
  <c r="AD55" i="22"/>
  <c r="W55" i="10"/>
  <c r="J61" i="23" s="1"/>
  <c r="AP57" i="10"/>
  <c r="BC57" i="22"/>
  <c r="S63" i="23" s="1"/>
  <c r="T63" i="23" s="1"/>
  <c r="AD59" i="22"/>
  <c r="W59" i="10"/>
  <c r="J65" i="23" s="1"/>
  <c r="AP61" i="10"/>
  <c r="BC61" i="22"/>
  <c r="S67" i="23" s="1"/>
  <c r="T67" i="23" s="1"/>
  <c r="Y64" i="10"/>
  <c r="L70" i="23" s="1"/>
  <c r="AF64" i="22"/>
  <c r="AP65" i="10"/>
  <c r="BC65" i="22"/>
  <c r="S71" i="23" s="1"/>
  <c r="T71" i="23" s="1"/>
  <c r="AD67" i="22"/>
  <c r="W67" i="10"/>
  <c r="J73" i="23" s="1"/>
  <c r="Y68" i="10"/>
  <c r="L74" i="23" s="1"/>
  <c r="AF68" i="22"/>
  <c r="AC68" i="22"/>
  <c r="V68" i="10"/>
  <c r="I74" i="23" s="1"/>
  <c r="AO6" i="10"/>
  <c r="AO7" i="10"/>
  <c r="W29" i="10"/>
  <c r="J35" i="23" s="1"/>
  <c r="W32" i="10"/>
  <c r="J38" i="23" s="1"/>
  <c r="W33" i="10"/>
  <c r="J39" i="23" s="1"/>
  <c r="W36" i="10"/>
  <c r="J42" i="23" s="1"/>
  <c r="W37" i="10"/>
  <c r="J43" i="23" s="1"/>
  <c r="W40" i="10"/>
  <c r="J46" i="23" s="1"/>
  <c r="W41" i="10"/>
  <c r="J47" i="23" s="1"/>
  <c r="W44" i="10"/>
  <c r="J50" i="23" s="1"/>
  <c r="AP45" i="10"/>
  <c r="V48" i="10"/>
  <c r="I54" i="23" s="1"/>
  <c r="V49" i="10"/>
  <c r="I55" i="23" s="1"/>
  <c r="AO50" i="10"/>
  <c r="AO51" i="10"/>
  <c r="V56" i="10"/>
  <c r="I62" i="23" s="1"/>
  <c r="V57" i="10"/>
  <c r="I63" i="23" s="1"/>
  <c r="AO58" i="10"/>
  <c r="AO59" i="10"/>
  <c r="BA28" i="22"/>
  <c r="P34" i="23" s="1"/>
  <c r="Q34" i="23" s="1"/>
  <c r="AO46" i="10"/>
  <c r="BA46" i="22"/>
  <c r="P52" i="23" s="1"/>
  <c r="Q52" i="23" s="1"/>
  <c r="AP50" i="10"/>
  <c r="BC50" i="22"/>
  <c r="S56" i="23" s="1"/>
  <c r="T56" i="23" s="1"/>
  <c r="AP54" i="10"/>
  <c r="BC54" i="22"/>
  <c r="S60" i="23" s="1"/>
  <c r="T60" i="23" s="1"/>
  <c r="AP58" i="10"/>
  <c r="BC58" i="22"/>
  <c r="S64" i="23" s="1"/>
  <c r="T64" i="23" s="1"/>
  <c r="AP62" i="10"/>
  <c r="BC62" i="22"/>
  <c r="S68" i="23" s="1"/>
  <c r="T68" i="23" s="1"/>
  <c r="BA63" i="22"/>
  <c r="P69" i="23" s="1"/>
  <c r="Q69" i="23" s="1"/>
  <c r="AO63" i="10"/>
  <c r="AC65" i="22"/>
  <c r="V65" i="10"/>
  <c r="I71" i="23" s="1"/>
  <c r="AP66" i="10"/>
  <c r="BC66" i="22"/>
  <c r="S72" i="23" s="1"/>
  <c r="T72" i="23" s="1"/>
  <c r="AO67" i="10"/>
  <c r="BA67" i="22"/>
  <c r="P73" i="23" s="1"/>
  <c r="Q73" i="23" s="1"/>
  <c r="AD68" i="22"/>
  <c r="W68" i="10"/>
  <c r="J74" i="23" s="1"/>
  <c r="W20" i="10"/>
  <c r="J26" i="23" s="1"/>
  <c r="W24" i="10"/>
  <c r="J30" i="23" s="1"/>
  <c r="AO31" i="10"/>
  <c r="AO32" i="10"/>
  <c r="AO35" i="10"/>
  <c r="AO36" i="10"/>
  <c r="AO39" i="10"/>
  <c r="AO40" i="10"/>
  <c r="AO43" i="10"/>
  <c r="AO44" i="10"/>
  <c r="V47" i="10"/>
  <c r="I53" i="23" s="1"/>
  <c r="W56" i="10"/>
  <c r="J62" i="23" s="1"/>
  <c r="V64" i="10"/>
  <c r="I70" i="23" s="1"/>
  <c r="AO66" i="10"/>
  <c r="Y67" i="23" l="1"/>
  <c r="Z67" i="23" s="1"/>
  <c r="I44" i="4"/>
  <c r="J46" i="20"/>
  <c r="L46" i="20" s="1"/>
  <c r="AC45" i="4" s="1"/>
  <c r="Y47" i="10"/>
  <c r="L53" i="23" s="1"/>
  <c r="I10" i="22"/>
  <c r="H10" i="10"/>
  <c r="N124" i="16"/>
  <c r="AD32" i="22"/>
  <c r="H36" i="4"/>
  <c r="AD33" i="22"/>
  <c r="H37" i="4"/>
  <c r="V37" i="4"/>
  <c r="AD41" i="22"/>
  <c r="H45" i="4"/>
  <c r="Y162" i="16"/>
  <c r="AD63" i="22"/>
  <c r="W63" i="10"/>
  <c r="J69" i="23" s="1"/>
  <c r="H70" i="4"/>
  <c r="AD56" i="22"/>
  <c r="H63" i="4"/>
  <c r="V63" i="4"/>
  <c r="E91" i="4"/>
  <c r="O164" i="16"/>
  <c r="AD36" i="22"/>
  <c r="H40" i="4"/>
  <c r="AF24" i="22"/>
  <c r="Y24" i="10"/>
  <c r="L30" i="23" s="1"/>
  <c r="AD60" i="22"/>
  <c r="W60" i="10"/>
  <c r="J66" i="23" s="1"/>
  <c r="V67" i="4"/>
  <c r="H67" i="4"/>
  <c r="AF37" i="22"/>
  <c r="Y37" i="10"/>
  <c r="L43" i="23" s="1"/>
  <c r="I82" i="12"/>
  <c r="V122" i="16"/>
  <c r="M134" i="16" s="1"/>
  <c r="J23" i="4"/>
  <c r="AD6" i="22"/>
  <c r="W6" i="10"/>
  <c r="J12" i="23" s="1"/>
  <c r="H7" i="4"/>
  <c r="AF29" i="22"/>
  <c r="Y29" i="10"/>
  <c r="L35" i="23" s="1"/>
  <c r="AD44" i="22"/>
  <c r="H48" i="4"/>
  <c r="V45" i="4"/>
  <c r="I40" i="22"/>
  <c r="H40" i="10"/>
  <c r="R15" i="22"/>
  <c r="AK16" i="4"/>
  <c r="M15" i="10"/>
  <c r="H23" i="22"/>
  <c r="M29" i="23" s="1"/>
  <c r="N29" i="23" s="1"/>
  <c r="G23" i="10"/>
  <c r="AE66" i="22"/>
  <c r="X66" i="10"/>
  <c r="K72" i="23" s="1"/>
  <c r="H22" i="22"/>
  <c r="M28" i="23" s="1"/>
  <c r="N28" i="23" s="1"/>
  <c r="G22" i="10"/>
  <c r="H61" i="22"/>
  <c r="M67" i="23" s="1"/>
  <c r="N67" i="23" s="1"/>
  <c r="G61" i="10"/>
  <c r="R34" i="22"/>
  <c r="AK38" i="4"/>
  <c r="M34" i="10"/>
  <c r="R12" i="22"/>
  <c r="AK13" i="4"/>
  <c r="M12" i="10"/>
  <c r="I57" i="22"/>
  <c r="H57" i="10"/>
  <c r="AE39" i="22"/>
  <c r="X39" i="10"/>
  <c r="K45" i="23" s="1"/>
  <c r="R42" i="22"/>
  <c r="AK46" i="4"/>
  <c r="M42" i="10"/>
  <c r="R19" i="22"/>
  <c r="M19" i="10"/>
  <c r="AK20" i="4"/>
  <c r="M59" i="10"/>
  <c r="R59" i="22"/>
  <c r="AK66" i="4"/>
  <c r="AE62" i="22"/>
  <c r="X62" i="10"/>
  <c r="K68" i="23" s="1"/>
  <c r="M60" i="10"/>
  <c r="R60" i="22"/>
  <c r="AK67" i="4"/>
  <c r="I43" i="22"/>
  <c r="Z43" i="22" s="1"/>
  <c r="AI43" i="22" s="1"/>
  <c r="AQ43" i="22" s="1"/>
  <c r="H43" i="10"/>
  <c r="R28" i="22"/>
  <c r="M28" i="10"/>
  <c r="AK32" i="4"/>
  <c r="AI32" i="4"/>
  <c r="Q99" i="16"/>
  <c r="H10" i="22"/>
  <c r="M16" i="23" s="1"/>
  <c r="N16" i="23" s="1"/>
  <c r="G10" i="10"/>
  <c r="M48" i="10"/>
  <c r="R48" i="22"/>
  <c r="AK55" i="4"/>
  <c r="AD65" i="22"/>
  <c r="W65" i="10"/>
  <c r="J71" i="23" s="1"/>
  <c r="H72" i="4"/>
  <c r="V72" i="4"/>
  <c r="H17" i="22"/>
  <c r="M23" i="23" s="1"/>
  <c r="N23" i="23" s="1"/>
  <c r="G17" i="10"/>
  <c r="H67" i="10"/>
  <c r="I67" i="22"/>
  <c r="O167" i="16"/>
  <c r="O165" i="16"/>
  <c r="M58" i="10"/>
  <c r="R58" i="22"/>
  <c r="AK65" i="4"/>
  <c r="L63" i="22"/>
  <c r="J63" i="10"/>
  <c r="L58" i="22"/>
  <c r="J58" i="10"/>
  <c r="L54" i="22"/>
  <c r="J54" i="10"/>
  <c r="AH61" i="4"/>
  <c r="L52" i="22"/>
  <c r="J52" i="10"/>
  <c r="L38" i="22"/>
  <c r="J38" i="10"/>
  <c r="AH42" i="4"/>
  <c r="R11" i="22"/>
  <c r="AK12" i="4"/>
  <c r="M11" i="10"/>
  <c r="M55" i="10"/>
  <c r="R55" i="22"/>
  <c r="AK62" i="4"/>
  <c r="AD50" i="22"/>
  <c r="W50" i="10"/>
  <c r="J56" i="23" s="1"/>
  <c r="H57" i="4"/>
  <c r="AE13" i="22"/>
  <c r="X13" i="10"/>
  <c r="K19" i="23" s="1"/>
  <c r="G19" i="22"/>
  <c r="F19" i="10"/>
  <c r="E20" i="8"/>
  <c r="J47" i="20"/>
  <c r="L47" i="20" s="1"/>
  <c r="AC46" i="4" s="1"/>
  <c r="I47" i="20"/>
  <c r="K47" i="20" s="1"/>
  <c r="AB46" i="4" s="1"/>
  <c r="I59" i="20"/>
  <c r="K59" i="20" s="1"/>
  <c r="J59" i="20"/>
  <c r="L59" i="20" s="1"/>
  <c r="J17" i="20"/>
  <c r="L17" i="20" s="1"/>
  <c r="AC17" i="4" s="1"/>
  <c r="I17" i="20"/>
  <c r="K17" i="20" s="1"/>
  <c r="AB17" i="4" s="1"/>
  <c r="J37" i="20"/>
  <c r="L37" i="20" s="1"/>
  <c r="AC36" i="4" s="1"/>
  <c r="I37" i="20"/>
  <c r="K37" i="20" s="1"/>
  <c r="AB36" i="4" s="1"/>
  <c r="J62" i="20"/>
  <c r="L62" i="20" s="1"/>
  <c r="AC58" i="4" s="1"/>
  <c r="I62" i="20"/>
  <c r="K62" i="20" s="1"/>
  <c r="AB58" i="4" s="1"/>
  <c r="J80" i="20"/>
  <c r="L80" i="20" s="1"/>
  <c r="AC72" i="4" s="1"/>
  <c r="I80" i="20"/>
  <c r="K80" i="20" s="1"/>
  <c r="AB72" i="4" s="1"/>
  <c r="L46" i="22"/>
  <c r="J46" i="10"/>
  <c r="L26" i="22"/>
  <c r="J26" i="10"/>
  <c r="AH27" i="4"/>
  <c r="L18" i="22"/>
  <c r="J18" i="10"/>
  <c r="O160" i="16"/>
  <c r="Y163" i="16"/>
  <c r="Y48" i="10"/>
  <c r="L54" i="23" s="1"/>
  <c r="AF48" i="22"/>
  <c r="W55" i="4"/>
  <c r="I8" i="22"/>
  <c r="H8" i="10"/>
  <c r="T20" i="22"/>
  <c r="N20" i="10"/>
  <c r="Z67" i="22"/>
  <c r="AI67" i="22" s="1"/>
  <c r="AQ67" i="22" s="1"/>
  <c r="Z40" i="22"/>
  <c r="AI40" i="22" s="1"/>
  <c r="AQ40" i="22" s="1"/>
  <c r="Z8" i="22"/>
  <c r="AI8" i="22" s="1"/>
  <c r="AQ8" i="22" s="1"/>
  <c r="L49" i="22"/>
  <c r="J49" i="10"/>
  <c r="AH56" i="4"/>
  <c r="W67" i="22"/>
  <c r="AE15" i="22"/>
  <c r="X15" i="10"/>
  <c r="K21" i="23" s="1"/>
  <c r="H64" i="22"/>
  <c r="M70" i="23" s="1"/>
  <c r="N70" i="23" s="1"/>
  <c r="G64" i="10"/>
  <c r="H9" i="22"/>
  <c r="M15" i="23" s="1"/>
  <c r="N15" i="23" s="1"/>
  <c r="G9" i="10"/>
  <c r="M51" i="10"/>
  <c r="R51" i="22"/>
  <c r="AK58" i="4"/>
  <c r="AA53" i="17"/>
  <c r="Y54" i="17"/>
  <c r="W40" i="22"/>
  <c r="M67" i="10"/>
  <c r="R67" i="22"/>
  <c r="AK74" i="4"/>
  <c r="AE54" i="22"/>
  <c r="X54" i="10"/>
  <c r="K60" i="23" s="1"/>
  <c r="AE44" i="22"/>
  <c r="X44" i="10"/>
  <c r="K50" i="23" s="1"/>
  <c r="I38" i="22"/>
  <c r="H38" i="10"/>
  <c r="AD27" i="22"/>
  <c r="W27" i="10"/>
  <c r="J33" i="23" s="1"/>
  <c r="H31" i="4"/>
  <c r="AE6" i="22"/>
  <c r="X6" i="10"/>
  <c r="K12" i="23" s="1"/>
  <c r="AE61" i="22"/>
  <c r="X61" i="10"/>
  <c r="K67" i="23" s="1"/>
  <c r="AD35" i="22"/>
  <c r="W35" i="10"/>
  <c r="J41" i="23" s="1"/>
  <c r="H39" i="4"/>
  <c r="AE32" i="22"/>
  <c r="X32" i="10"/>
  <c r="K38" i="23" s="1"/>
  <c r="R30" i="22"/>
  <c r="AK34" i="4"/>
  <c r="M30" i="10"/>
  <c r="AE28" i="22"/>
  <c r="X28" i="10"/>
  <c r="K34" i="23" s="1"/>
  <c r="H25" i="22"/>
  <c r="Y31" i="23" s="1"/>
  <c r="Z31" i="23" s="1"/>
  <c r="G25" i="10"/>
  <c r="AF21" i="22"/>
  <c r="Y21" i="10"/>
  <c r="L27" i="23" s="1"/>
  <c r="J22" i="4"/>
  <c r="I55" i="22"/>
  <c r="Z55" i="22" s="1"/>
  <c r="AI55" i="22" s="1"/>
  <c r="AQ55" i="22" s="1"/>
  <c r="H55" i="10"/>
  <c r="X46" i="10"/>
  <c r="K52" i="23" s="1"/>
  <c r="AE46" i="22"/>
  <c r="AE36" i="22"/>
  <c r="X36" i="10"/>
  <c r="K42" i="23" s="1"/>
  <c r="AF34" i="22"/>
  <c r="Y34" i="10"/>
  <c r="L40" i="23" s="1"/>
  <c r="Y54" i="10"/>
  <c r="L60" i="23" s="1"/>
  <c r="AF54" i="22"/>
  <c r="AE40" i="22"/>
  <c r="X40" i="10"/>
  <c r="K46" i="23" s="1"/>
  <c r="Y40" i="22"/>
  <c r="AH40" i="22" s="1"/>
  <c r="AO40" i="22" s="1"/>
  <c r="AD14" i="22"/>
  <c r="W14" i="10"/>
  <c r="J20" i="23" s="1"/>
  <c r="H15" i="4"/>
  <c r="AD12" i="22"/>
  <c r="W12" i="10"/>
  <c r="J18" i="23" s="1"/>
  <c r="H13" i="4"/>
  <c r="V13" i="4"/>
  <c r="AF7" i="22"/>
  <c r="Y7" i="10"/>
  <c r="L13" i="23" s="1"/>
  <c r="X8" i="4"/>
  <c r="X9" i="4" s="1"/>
  <c r="X10" i="4" s="1"/>
  <c r="X11" i="4" s="1"/>
  <c r="X12" i="4" s="1"/>
  <c r="X13" i="4" s="1"/>
  <c r="E27" i="8"/>
  <c r="F26" i="10"/>
  <c r="I27" i="4"/>
  <c r="G26" i="22"/>
  <c r="J27" i="4"/>
  <c r="J24" i="4"/>
  <c r="I70" i="12"/>
  <c r="I76" i="12" s="1"/>
  <c r="I77" i="12" s="1"/>
  <c r="J58" i="20"/>
  <c r="L58" i="20" s="1"/>
  <c r="AC56" i="4" s="1"/>
  <c r="I58" i="20"/>
  <c r="K58" i="20" s="1"/>
  <c r="AB56" i="4" s="1"/>
  <c r="J12" i="20"/>
  <c r="L12" i="20" s="1"/>
  <c r="I12" i="20"/>
  <c r="K12" i="20" s="1"/>
  <c r="E104" i="20" s="1"/>
  <c r="O150" i="16"/>
  <c r="Y57" i="22"/>
  <c r="AH57" i="22" s="1"/>
  <c r="AO57" i="22" s="1"/>
  <c r="R37" i="22"/>
  <c r="M37" i="10"/>
  <c r="AK41" i="4"/>
  <c r="R24" i="22"/>
  <c r="M24" i="10"/>
  <c r="AK25" i="4"/>
  <c r="S337" i="17"/>
  <c r="S340" i="17" s="1"/>
  <c r="L65" i="22"/>
  <c r="J65" i="10"/>
  <c r="AH72" i="4"/>
  <c r="L61" i="22"/>
  <c r="AE67" i="23" s="1"/>
  <c r="AF67" i="23" s="1"/>
  <c r="J61" i="10"/>
  <c r="AH68" i="4"/>
  <c r="L57" i="22"/>
  <c r="J57" i="10"/>
  <c r="Q57" i="10" s="1"/>
  <c r="AD57" i="10" s="1"/>
  <c r="AK57" i="10" s="1"/>
  <c r="L56" i="22"/>
  <c r="J56" i="10"/>
  <c r="W38" i="22"/>
  <c r="L9" i="22"/>
  <c r="AE15" i="23" s="1"/>
  <c r="AF15" i="23" s="1"/>
  <c r="J9" i="10"/>
  <c r="K6" i="22"/>
  <c r="I6" i="10"/>
  <c r="AG7" i="4"/>
  <c r="L64" i="22"/>
  <c r="AE70" i="23" s="1"/>
  <c r="AF70" i="23" s="1"/>
  <c r="J64" i="10"/>
  <c r="G34" i="22"/>
  <c r="E38" i="8"/>
  <c r="I38" i="4"/>
  <c r="F34" i="10"/>
  <c r="J38" i="4"/>
  <c r="L14" i="22"/>
  <c r="J14" i="10"/>
  <c r="X67" i="10"/>
  <c r="K73" i="23" s="1"/>
  <c r="AE67" i="22"/>
  <c r="Y51" i="10"/>
  <c r="L57" i="23" s="1"/>
  <c r="AF51" i="22"/>
  <c r="I29" i="22"/>
  <c r="H29" i="10"/>
  <c r="R29" i="10" s="1"/>
  <c r="AA29" i="10" s="1"/>
  <c r="AH29" i="10" s="1"/>
  <c r="V15" i="4"/>
  <c r="AE9" i="22"/>
  <c r="X9" i="10"/>
  <c r="K15" i="23" s="1"/>
  <c r="I47" i="4"/>
  <c r="G42" i="22"/>
  <c r="E46" i="8"/>
  <c r="J46" i="4"/>
  <c r="F42" i="10"/>
  <c r="I46" i="4"/>
  <c r="J68" i="20"/>
  <c r="L68" i="20" s="1"/>
  <c r="I68" i="20"/>
  <c r="K68" i="20" s="1"/>
  <c r="J53" i="20"/>
  <c r="L53" i="20" s="1"/>
  <c r="AC48" i="4" s="1"/>
  <c r="I53" i="20"/>
  <c r="K53" i="20" s="1"/>
  <c r="AB48" i="4" s="1"/>
  <c r="I65" i="20"/>
  <c r="K65" i="20" s="1"/>
  <c r="AB59" i="4" s="1"/>
  <c r="J65" i="20"/>
  <c r="L65" i="20" s="1"/>
  <c r="AC59" i="4" s="1"/>
  <c r="J6" i="20"/>
  <c r="L6" i="20" s="1"/>
  <c r="AC8" i="4" s="1"/>
  <c r="I6" i="20"/>
  <c r="K6" i="20" s="1"/>
  <c r="AB8" i="4" s="1"/>
  <c r="J10" i="20"/>
  <c r="L10" i="20" s="1"/>
  <c r="AC13" i="4" s="1"/>
  <c r="I10" i="20"/>
  <c r="K10" i="20" s="1"/>
  <c r="AB13" i="4" s="1"/>
  <c r="J18" i="20"/>
  <c r="L18" i="20" s="1"/>
  <c r="AC18" i="4" s="1"/>
  <c r="I18" i="20"/>
  <c r="K18" i="20" s="1"/>
  <c r="AB18" i="4" s="1"/>
  <c r="J34" i="20"/>
  <c r="L34" i="20" s="1"/>
  <c r="I34" i="20"/>
  <c r="K34" i="20" s="1"/>
  <c r="E113" i="20" s="1"/>
  <c r="J38" i="20"/>
  <c r="L38" i="20" s="1"/>
  <c r="AC37" i="4" s="1"/>
  <c r="I38" i="20"/>
  <c r="K38" i="20" s="1"/>
  <c r="AB37" i="4" s="1"/>
  <c r="J42" i="20"/>
  <c r="L42" i="20" s="1"/>
  <c r="AC41" i="4" s="1"/>
  <c r="I42" i="20"/>
  <c r="K42" i="20" s="1"/>
  <c r="AB41" i="4" s="1"/>
  <c r="J50" i="20"/>
  <c r="L50" i="20" s="1"/>
  <c r="I50" i="20"/>
  <c r="K50" i="20" s="1"/>
  <c r="E117" i="20" s="1"/>
  <c r="J69" i="20"/>
  <c r="L69" i="20" s="1"/>
  <c r="I69" i="20"/>
  <c r="K69" i="20" s="1"/>
  <c r="E124" i="20" s="1"/>
  <c r="J73" i="20"/>
  <c r="L73" i="20" s="1"/>
  <c r="AC65" i="4" s="1"/>
  <c r="I73" i="20"/>
  <c r="K73" i="20" s="1"/>
  <c r="AB65" i="4" s="1"/>
  <c r="J77" i="20"/>
  <c r="L77" i="20" s="1"/>
  <c r="AC69" i="4" s="1"/>
  <c r="I77" i="20"/>
  <c r="K77" i="20" s="1"/>
  <c r="AB69" i="4" s="1"/>
  <c r="J81" i="20"/>
  <c r="L81" i="20" s="1"/>
  <c r="AC73" i="4" s="1"/>
  <c r="I81" i="20"/>
  <c r="K81" i="20" s="1"/>
  <c r="AB73" i="4" s="1"/>
  <c r="O159" i="16"/>
  <c r="AH70" i="4"/>
  <c r="R31" i="22"/>
  <c r="AK35" i="4"/>
  <c r="M31" i="10"/>
  <c r="L32" i="22"/>
  <c r="J32" i="10"/>
  <c r="N25" i="10"/>
  <c r="T25" i="22"/>
  <c r="AH31" i="23" s="1"/>
  <c r="AI31" i="23" s="1"/>
  <c r="O166" i="16"/>
  <c r="J31" i="10"/>
  <c r="L31" i="22"/>
  <c r="O152" i="16"/>
  <c r="L23" i="22"/>
  <c r="AE29" i="23" s="1"/>
  <c r="AF29" i="23" s="1"/>
  <c r="J23" i="10"/>
  <c r="R20" i="22"/>
  <c r="M20" i="10"/>
  <c r="AK21" i="4"/>
  <c r="W15" i="10"/>
  <c r="J21" i="23" s="1"/>
  <c r="AD15" i="22"/>
  <c r="H16" i="4"/>
  <c r="G8" i="10"/>
  <c r="H8" i="22"/>
  <c r="M14" i="23" s="1"/>
  <c r="N14" i="23" s="1"/>
  <c r="T26" i="22"/>
  <c r="N26" i="10"/>
  <c r="AH50" i="4"/>
  <c r="M8" i="10"/>
  <c r="T8" i="10" s="1"/>
  <c r="AC8" i="10" s="1"/>
  <c r="AJ8" i="10" s="1"/>
  <c r="R8" i="22"/>
  <c r="AK9" i="4"/>
  <c r="AA307" i="17"/>
  <c r="Y308" i="17"/>
  <c r="I8" i="4"/>
  <c r="J8" i="4"/>
  <c r="AH36" i="4"/>
  <c r="S8" i="10"/>
  <c r="AB8" i="10" s="1"/>
  <c r="AI8" i="10" s="1"/>
  <c r="P67" i="10"/>
  <c r="AE38" i="22"/>
  <c r="X38" i="10"/>
  <c r="K44" i="23" s="1"/>
  <c r="L45" i="22"/>
  <c r="J45" i="10"/>
  <c r="V45" i="22"/>
  <c r="O45" i="10"/>
  <c r="L7" i="22"/>
  <c r="J7" i="10"/>
  <c r="T41" i="22"/>
  <c r="N41" i="10"/>
  <c r="R39" i="22"/>
  <c r="AK43" i="4"/>
  <c r="M39" i="10"/>
  <c r="T47" i="22"/>
  <c r="N47" i="10"/>
  <c r="AA237" i="17"/>
  <c r="Y238" i="17"/>
  <c r="M50" i="10"/>
  <c r="R50" i="22"/>
  <c r="AK57" i="4"/>
  <c r="L8" i="22"/>
  <c r="J8" i="10"/>
  <c r="Q8" i="10" s="1"/>
  <c r="AD8" i="10" s="1"/>
  <c r="AK8" i="10" s="1"/>
  <c r="AN8" i="10" s="1"/>
  <c r="AA5" i="17"/>
  <c r="AA6" i="17" s="1"/>
  <c r="AA14" i="17"/>
  <c r="Y15" i="17"/>
  <c r="Z5" i="17"/>
  <c r="H59" i="22"/>
  <c r="M65" i="23" s="1"/>
  <c r="N65" i="23" s="1"/>
  <c r="G59" i="10"/>
  <c r="P40" i="10"/>
  <c r="R67" i="10"/>
  <c r="AA67" i="10" s="1"/>
  <c r="AH67" i="10" s="1"/>
  <c r="Y53" i="10"/>
  <c r="L59" i="23" s="1"/>
  <c r="AF53" i="22"/>
  <c r="I60" i="4"/>
  <c r="AF28" i="22"/>
  <c r="X32" i="4"/>
  <c r="X33" i="4" s="1"/>
  <c r="X34" i="4" s="1"/>
  <c r="Y28" i="10"/>
  <c r="L34" i="23" s="1"/>
  <c r="AE21" i="22"/>
  <c r="X21" i="10"/>
  <c r="K27" i="23" s="1"/>
  <c r="AD62" i="22"/>
  <c r="H69" i="4"/>
  <c r="W62" i="10"/>
  <c r="J68" i="23" s="1"/>
  <c r="AE25" i="22"/>
  <c r="X25" i="10"/>
  <c r="K31" i="23" s="1"/>
  <c r="Y61" i="10"/>
  <c r="L67" i="23" s="1"/>
  <c r="AF61" i="22"/>
  <c r="J68" i="4"/>
  <c r="G30" i="22"/>
  <c r="E34" i="8"/>
  <c r="F30" i="10"/>
  <c r="J34" i="4"/>
  <c r="I34" i="4"/>
  <c r="H21" i="22"/>
  <c r="M27" i="23" s="1"/>
  <c r="N27" i="23" s="1"/>
  <c r="G21" i="10"/>
  <c r="I13" i="20"/>
  <c r="K13" i="20" s="1"/>
  <c r="E105" i="20" s="1"/>
  <c r="J13" i="20"/>
  <c r="L13" i="20" s="1"/>
  <c r="R57" i="10"/>
  <c r="AA57" i="10" s="1"/>
  <c r="AH57" i="10" s="1"/>
  <c r="L62" i="22"/>
  <c r="J62" i="10"/>
  <c r="L28" i="22"/>
  <c r="J28" i="10"/>
  <c r="H40" i="22"/>
  <c r="M46" i="23" s="1"/>
  <c r="N46" i="23" s="1"/>
  <c r="G40" i="10"/>
  <c r="R35" i="22"/>
  <c r="AK39" i="4"/>
  <c r="M35" i="10"/>
  <c r="Y67" i="10"/>
  <c r="L73" i="23" s="1"/>
  <c r="AF67" i="22"/>
  <c r="AE19" i="22"/>
  <c r="X19" i="10"/>
  <c r="K25" i="23" s="1"/>
  <c r="G6" i="22"/>
  <c r="J7" i="4"/>
  <c r="F6" i="10"/>
  <c r="E90" i="4"/>
  <c r="I7" i="4"/>
  <c r="E7" i="8"/>
  <c r="J5" i="20"/>
  <c r="L5" i="20" s="1"/>
  <c r="AC7" i="4" s="1"/>
  <c r="I5" i="20"/>
  <c r="K5" i="20" s="1"/>
  <c r="J33" i="20"/>
  <c r="L33" i="20" s="1"/>
  <c r="AC33" i="4" s="1"/>
  <c r="I33" i="20"/>
  <c r="K33" i="20" s="1"/>
  <c r="E112" i="20" s="1"/>
  <c r="J41" i="20"/>
  <c r="L41" i="20" s="1"/>
  <c r="AC40" i="4" s="1"/>
  <c r="I41" i="20"/>
  <c r="K41" i="20" s="1"/>
  <c r="AB40" i="4" s="1"/>
  <c r="J72" i="20"/>
  <c r="L72" i="20" s="1"/>
  <c r="AC64" i="4" s="1"/>
  <c r="I72" i="20"/>
  <c r="K72" i="20" s="1"/>
  <c r="AB64" i="4" s="1"/>
  <c r="Z57" i="22"/>
  <c r="AI57" i="22" s="1"/>
  <c r="AQ57" i="22" s="1"/>
  <c r="J60" i="4"/>
  <c r="R7" i="22"/>
  <c r="M7" i="10"/>
  <c r="AK8" i="4"/>
  <c r="L59" i="22"/>
  <c r="J59" i="10"/>
  <c r="L16" i="22"/>
  <c r="J16" i="10"/>
  <c r="R9" i="22"/>
  <c r="AB15" i="23" s="1"/>
  <c r="AC15" i="23" s="1"/>
  <c r="M9" i="10"/>
  <c r="AK10" i="4"/>
  <c r="T28" i="22"/>
  <c r="N28" i="10"/>
  <c r="R45" i="22"/>
  <c r="AK49" i="4"/>
  <c r="M45" i="10"/>
  <c r="AH19" i="4"/>
  <c r="L36" i="22"/>
  <c r="J36" i="10"/>
  <c r="G45" i="22"/>
  <c r="I49" i="4"/>
  <c r="J49" i="4"/>
  <c r="F45" i="10"/>
  <c r="E49" i="8"/>
  <c r="I22" i="22"/>
  <c r="H22" i="10"/>
  <c r="S22" i="10" s="1"/>
  <c r="AB22" i="10" s="1"/>
  <c r="AI22" i="10" s="1"/>
  <c r="V57" i="4"/>
  <c r="AE20" i="22"/>
  <c r="X20" i="10"/>
  <c r="K26" i="23" s="1"/>
  <c r="L43" i="22"/>
  <c r="J43" i="10"/>
  <c r="Q43" i="10" s="1"/>
  <c r="AD43" i="10" s="1"/>
  <c r="AK43" i="10" s="1"/>
  <c r="AH47" i="4"/>
  <c r="T45" i="22"/>
  <c r="N45" i="10"/>
  <c r="AF353" i="17"/>
  <c r="AC353" i="17"/>
  <c r="W8" i="22"/>
  <c r="L51" i="22"/>
  <c r="J51" i="10"/>
  <c r="AA161" i="17"/>
  <c r="Y162" i="17"/>
  <c r="L17" i="22"/>
  <c r="AE23" i="23" s="1"/>
  <c r="AF23" i="23" s="1"/>
  <c r="J17" i="10"/>
  <c r="AH18" i="4"/>
  <c r="L11" i="22"/>
  <c r="J11" i="10"/>
  <c r="AD58" i="22"/>
  <c r="W58" i="10"/>
  <c r="J64" i="23" s="1"/>
  <c r="H65" i="4"/>
  <c r="J65" i="4" s="1"/>
  <c r="AD31" i="22"/>
  <c r="W31" i="10"/>
  <c r="J37" i="23" s="1"/>
  <c r="H35" i="4"/>
  <c r="AE26" i="22"/>
  <c r="X26" i="10"/>
  <c r="K32" i="23" s="1"/>
  <c r="AK15" i="4"/>
  <c r="M14" i="10"/>
  <c r="R14" i="22"/>
  <c r="AF11" i="22"/>
  <c r="Y11" i="10"/>
  <c r="L17" i="23" s="1"/>
  <c r="J12" i="4"/>
  <c r="G58" i="22"/>
  <c r="F58" i="10"/>
  <c r="E65" i="8"/>
  <c r="I65" i="4"/>
  <c r="R38" i="10"/>
  <c r="AA38" i="10" s="1"/>
  <c r="AH38" i="10" s="1"/>
  <c r="AE59" i="22"/>
  <c r="X59" i="10"/>
  <c r="K65" i="23" s="1"/>
  <c r="AE45" i="22"/>
  <c r="X45" i="10"/>
  <c r="K51" i="23" s="1"/>
  <c r="AE34" i="22"/>
  <c r="X34" i="10"/>
  <c r="K40" i="23" s="1"/>
  <c r="R43" i="10"/>
  <c r="AA43" i="10" s="1"/>
  <c r="AH43" i="10" s="1"/>
  <c r="M56" i="10"/>
  <c r="R56" i="22"/>
  <c r="AK63" i="4"/>
  <c r="V39" i="4"/>
  <c r="R29" i="22"/>
  <c r="AK33" i="4"/>
  <c r="M29" i="10"/>
  <c r="T29" i="10" s="1"/>
  <c r="AC29" i="10" s="1"/>
  <c r="AJ29" i="10" s="1"/>
  <c r="AF25" i="22"/>
  <c r="Y25" i="10"/>
  <c r="L31" i="23" s="1"/>
  <c r="AD39" i="22"/>
  <c r="W39" i="10"/>
  <c r="J45" i="23" s="1"/>
  <c r="H43" i="4"/>
  <c r="AD13" i="22"/>
  <c r="W13" i="10"/>
  <c r="J19" i="23" s="1"/>
  <c r="H14" i="4"/>
  <c r="G54" i="22"/>
  <c r="F54" i="10"/>
  <c r="E61" i="8"/>
  <c r="J61" i="4"/>
  <c r="I61" i="4"/>
  <c r="G14" i="22"/>
  <c r="F14" i="10"/>
  <c r="J15" i="4"/>
  <c r="I15" i="4"/>
  <c r="E15" i="8"/>
  <c r="I88" i="12"/>
  <c r="I89" i="12" s="1"/>
  <c r="J48" i="20"/>
  <c r="L48" i="20" s="1"/>
  <c r="I48" i="20"/>
  <c r="K48" i="20" s="1"/>
  <c r="W57" i="22"/>
  <c r="L24" i="22"/>
  <c r="J24" i="10"/>
  <c r="L30" i="22"/>
  <c r="J30" i="10"/>
  <c r="L33" i="22"/>
  <c r="J33" i="10"/>
  <c r="G47" i="22"/>
  <c r="F47" i="10"/>
  <c r="I51" i="4"/>
  <c r="E51" i="8"/>
  <c r="J51" i="4"/>
  <c r="Y160" i="16"/>
  <c r="P29" i="10"/>
  <c r="AE51" i="22"/>
  <c r="X51" i="10"/>
  <c r="K57" i="23" s="1"/>
  <c r="L22" i="22"/>
  <c r="AE28" i="23" s="1"/>
  <c r="AF28" i="23" s="1"/>
  <c r="J22" i="10"/>
  <c r="AH17" i="4"/>
  <c r="Y9" i="10"/>
  <c r="L15" i="23" s="1"/>
  <c r="AF9" i="22"/>
  <c r="I55" i="4"/>
  <c r="G38" i="10"/>
  <c r="H38" i="22"/>
  <c r="M44" i="23" s="1"/>
  <c r="N44" i="23" s="1"/>
  <c r="G31" i="22"/>
  <c r="J35" i="4"/>
  <c r="E35" i="8"/>
  <c r="I35" i="4"/>
  <c r="F31" i="10"/>
  <c r="J52" i="20"/>
  <c r="L52" i="20" s="1"/>
  <c r="I52" i="20"/>
  <c r="K52" i="20" s="1"/>
  <c r="G91" i="20" s="1"/>
  <c r="J55" i="20"/>
  <c r="L55" i="20" s="1"/>
  <c r="AC50" i="4" s="1"/>
  <c r="I55" i="20"/>
  <c r="K55" i="20" s="1"/>
  <c r="AB50" i="4" s="1"/>
  <c r="I67" i="20"/>
  <c r="K67" i="20" s="1"/>
  <c r="AB61" i="4" s="1"/>
  <c r="J67" i="20"/>
  <c r="L67" i="20" s="1"/>
  <c r="AC61" i="4" s="1"/>
  <c r="J7" i="20"/>
  <c r="L7" i="20" s="1"/>
  <c r="AC9" i="4" s="1"/>
  <c r="I7" i="20"/>
  <c r="K7" i="20" s="1"/>
  <c r="AB9" i="4" s="1"/>
  <c r="J11" i="20"/>
  <c r="L11" i="20" s="1"/>
  <c r="AC15" i="4" s="1"/>
  <c r="I11" i="20"/>
  <c r="K11" i="20" s="1"/>
  <c r="J19" i="20"/>
  <c r="L19" i="20" s="1"/>
  <c r="AC19" i="4" s="1"/>
  <c r="I19" i="20"/>
  <c r="K19" i="20" s="1"/>
  <c r="AB19" i="4" s="1"/>
  <c r="J35" i="20"/>
  <c r="L35" i="20" s="1"/>
  <c r="AC34" i="4" s="1"/>
  <c r="I35" i="20"/>
  <c r="K35" i="20" s="1"/>
  <c r="AB34" i="4" s="1"/>
  <c r="J39" i="20"/>
  <c r="L39" i="20" s="1"/>
  <c r="AC38" i="4" s="1"/>
  <c r="I39" i="20"/>
  <c r="K39" i="20" s="1"/>
  <c r="AB38" i="4" s="1"/>
  <c r="J43" i="20"/>
  <c r="L43" i="20" s="1"/>
  <c r="AC42" i="4" s="1"/>
  <c r="I43" i="20"/>
  <c r="K43" i="20" s="1"/>
  <c r="AB42" i="4" s="1"/>
  <c r="J60" i="20"/>
  <c r="L60" i="20" s="1"/>
  <c r="I60" i="20"/>
  <c r="K60" i="20" s="1"/>
  <c r="E120" i="20" s="1"/>
  <c r="J70" i="20"/>
  <c r="L70" i="20" s="1"/>
  <c r="I70" i="20"/>
  <c r="K70" i="20" s="1"/>
  <c r="E125" i="20" s="1"/>
  <c r="J74" i="20"/>
  <c r="L74" i="20" s="1"/>
  <c r="AC66" i="4" s="1"/>
  <c r="I74" i="20"/>
  <c r="K74" i="20" s="1"/>
  <c r="AB66" i="4" s="1"/>
  <c r="J78" i="20"/>
  <c r="L78" i="20" s="1"/>
  <c r="AC70" i="4" s="1"/>
  <c r="I78" i="20"/>
  <c r="K78" i="20" s="1"/>
  <c r="AB70" i="4" s="1"/>
  <c r="J82" i="20"/>
  <c r="L82" i="20" s="1"/>
  <c r="AC74" i="4" s="1"/>
  <c r="I82" i="20"/>
  <c r="K82" i="20" s="1"/>
  <c r="AB74" i="4" s="1"/>
  <c r="N125" i="16"/>
  <c r="N127" i="16"/>
  <c r="N123" i="16"/>
  <c r="N126" i="16"/>
  <c r="M68" i="10"/>
  <c r="R68" i="22"/>
  <c r="AK75" i="4"/>
  <c r="AH71" i="4"/>
  <c r="L68" i="22"/>
  <c r="J68" i="10"/>
  <c r="G20" i="22"/>
  <c r="I21" i="4"/>
  <c r="F20" i="10"/>
  <c r="J21" i="4"/>
  <c r="E21" i="8"/>
  <c r="T23" i="22"/>
  <c r="AH29" i="23" s="1"/>
  <c r="AI29" i="23" s="1"/>
  <c r="N23" i="10"/>
  <c r="Y159" i="16"/>
  <c r="R44" i="22"/>
  <c r="M44" i="10"/>
  <c r="AK48" i="4"/>
  <c r="AH23" i="4"/>
  <c r="W55" i="22"/>
  <c r="G24" i="22"/>
  <c r="I25" i="4"/>
  <c r="F24" i="10"/>
  <c r="J25" i="4"/>
  <c r="E25" i="8"/>
  <c r="R25" i="22"/>
  <c r="AB31" i="23" s="1"/>
  <c r="AC31" i="23" s="1"/>
  <c r="AK26" i="4"/>
  <c r="M25" i="10"/>
  <c r="AF16" i="22"/>
  <c r="Y16" i="10"/>
  <c r="L22" i="23" s="1"/>
  <c r="J17" i="4"/>
  <c r="H29" i="22"/>
  <c r="M35" i="23" s="1"/>
  <c r="N35" i="23" s="1"/>
  <c r="G29" i="10"/>
  <c r="T24" i="22"/>
  <c r="N24" i="10"/>
  <c r="Y8" i="22"/>
  <c r="AH8" i="22" s="1"/>
  <c r="AO8" i="22" s="1"/>
  <c r="G52" i="22"/>
  <c r="F52" i="10"/>
  <c r="I59" i="4"/>
  <c r="E59" i="8"/>
  <c r="J59" i="4"/>
  <c r="K49" i="4"/>
  <c r="L67" i="22"/>
  <c r="J67" i="10"/>
  <c r="Q67" i="10" s="1"/>
  <c r="AD67" i="10" s="1"/>
  <c r="AK67" i="10" s="1"/>
  <c r="Q55" i="10"/>
  <c r="AD55" i="10" s="1"/>
  <c r="AK55" i="10" s="1"/>
  <c r="AD19" i="22"/>
  <c r="W19" i="10"/>
  <c r="J25" i="23" s="1"/>
  <c r="H20" i="4"/>
  <c r="G68" i="22"/>
  <c r="I75" i="4"/>
  <c r="E75" i="8"/>
  <c r="J75" i="4"/>
  <c r="F68" i="10"/>
  <c r="Z22" i="22"/>
  <c r="AI22" i="22" s="1"/>
  <c r="AQ22" i="22" s="1"/>
  <c r="W43" i="22"/>
  <c r="L25" i="22"/>
  <c r="AE31" i="23" s="1"/>
  <c r="AF31" i="23" s="1"/>
  <c r="J25" i="10"/>
  <c r="I64" i="22"/>
  <c r="H64" i="10"/>
  <c r="S64" i="10" s="1"/>
  <c r="AB64" i="10" s="1"/>
  <c r="AI64" i="10" s="1"/>
  <c r="J10" i="4"/>
  <c r="V41" i="22"/>
  <c r="O41" i="10"/>
  <c r="V47" i="22"/>
  <c r="O47" i="10"/>
  <c r="M66" i="10"/>
  <c r="R66" i="22"/>
  <c r="AK73" i="4"/>
  <c r="I59" i="22"/>
  <c r="H59" i="10"/>
  <c r="R59" i="10" s="1"/>
  <c r="AA59" i="10" s="1"/>
  <c r="AH59" i="10" s="1"/>
  <c r="AH37" i="4"/>
  <c r="L40" i="22"/>
  <c r="AE46" i="23" s="1"/>
  <c r="AF46" i="23" s="1"/>
  <c r="J40" i="10"/>
  <c r="Q40" i="10" s="1"/>
  <c r="AD40" i="10" s="1"/>
  <c r="AK40" i="10" s="1"/>
  <c r="Y67" i="22"/>
  <c r="AH67" i="22" s="1"/>
  <c r="AO67" i="22" s="1"/>
  <c r="AF46" i="22"/>
  <c r="Y46" i="10"/>
  <c r="L52" i="23" s="1"/>
  <c r="AE58" i="22"/>
  <c r="X58" i="10"/>
  <c r="K64" i="23" s="1"/>
  <c r="H55" i="22"/>
  <c r="M61" i="23" s="1"/>
  <c r="N61" i="23" s="1"/>
  <c r="G55" i="10"/>
  <c r="AF45" i="22"/>
  <c r="Y45" i="10"/>
  <c r="L51" i="23" s="1"/>
  <c r="AD49" i="22"/>
  <c r="W49" i="10"/>
  <c r="J55" i="23" s="1"/>
  <c r="H56" i="4"/>
  <c r="V56" i="4"/>
  <c r="R40" i="10"/>
  <c r="AA40" i="10" s="1"/>
  <c r="AH40" i="10" s="1"/>
  <c r="H11" i="22"/>
  <c r="M17" i="23" s="1"/>
  <c r="N17" i="23" s="1"/>
  <c r="G11" i="10"/>
  <c r="I51" i="22"/>
  <c r="H51" i="10"/>
  <c r="H16" i="22"/>
  <c r="M22" i="23" s="1"/>
  <c r="N22" i="23" s="1"/>
  <c r="G16" i="10"/>
  <c r="J66" i="20"/>
  <c r="L66" i="20" s="1"/>
  <c r="AC60" i="4" s="1"/>
  <c r="I66" i="20"/>
  <c r="K66" i="20" s="1"/>
  <c r="AB60" i="4" s="1"/>
  <c r="S55" i="10"/>
  <c r="AB55" i="10" s="1"/>
  <c r="AI55" i="10" s="1"/>
  <c r="L53" i="22"/>
  <c r="J53" i="10"/>
  <c r="L42" i="22"/>
  <c r="J42" i="10"/>
  <c r="L34" i="22"/>
  <c r="J34" i="10"/>
  <c r="W29" i="22"/>
  <c r="I48" i="22"/>
  <c r="H48" i="10"/>
  <c r="S48" i="10" s="1"/>
  <c r="AB48" i="10" s="1"/>
  <c r="AI48" i="10" s="1"/>
  <c r="J9" i="20"/>
  <c r="L9" i="20" s="1"/>
  <c r="AC12" i="4" s="1"/>
  <c r="I9" i="20"/>
  <c r="K9" i="20" s="1"/>
  <c r="AB12" i="4" s="1"/>
  <c r="J49" i="20"/>
  <c r="L49" i="20" s="1"/>
  <c r="I49" i="20"/>
  <c r="K49" i="20" s="1"/>
  <c r="E116" i="20" s="1"/>
  <c r="J76" i="20"/>
  <c r="L76" i="20" s="1"/>
  <c r="AC68" i="4" s="1"/>
  <c r="I76" i="20"/>
  <c r="K76" i="20" s="1"/>
  <c r="AB68" i="4" s="1"/>
  <c r="L41" i="22"/>
  <c r="J41" i="10"/>
  <c r="L19" i="22"/>
  <c r="J19" i="10"/>
  <c r="T27" i="22"/>
  <c r="N27" i="10"/>
  <c r="Y22" i="22"/>
  <c r="AH22" i="22" s="1"/>
  <c r="AO22" i="22" s="1"/>
  <c r="AE57" i="22"/>
  <c r="X57" i="10"/>
  <c r="K63" i="23" s="1"/>
  <c r="X55" i="10"/>
  <c r="K61" i="23" s="1"/>
  <c r="AE55" i="22"/>
  <c r="AE43" i="22"/>
  <c r="X43" i="10"/>
  <c r="K49" i="23" s="1"/>
  <c r="AF42" i="22"/>
  <c r="Y42" i="10"/>
  <c r="L48" i="23" s="1"/>
  <c r="X30" i="10"/>
  <c r="K36" i="23" s="1"/>
  <c r="AE30" i="22"/>
  <c r="I25" i="22"/>
  <c r="H25" i="10"/>
  <c r="P25" i="10" s="1"/>
  <c r="AE23" i="22"/>
  <c r="X23" i="10"/>
  <c r="K29" i="23" s="1"/>
  <c r="AF22" i="22"/>
  <c r="Y22" i="10"/>
  <c r="L28" i="23" s="1"/>
  <c r="AF17" i="22"/>
  <c r="Y17" i="10"/>
  <c r="L23" i="23" s="1"/>
  <c r="J18" i="4"/>
  <c r="AE7" i="22"/>
  <c r="X7" i="10"/>
  <c r="K13" i="23" s="1"/>
  <c r="G66" i="22"/>
  <c r="E73" i="8"/>
  <c r="F66" i="10"/>
  <c r="Y38" i="22"/>
  <c r="AH38" i="22" s="1"/>
  <c r="AO38" i="22" s="1"/>
  <c r="AH69" i="4"/>
  <c r="Y57" i="10"/>
  <c r="L63" i="23" s="1"/>
  <c r="AF57" i="22"/>
  <c r="I64" i="4"/>
  <c r="AE31" i="22"/>
  <c r="X31" i="10"/>
  <c r="K37" i="23" s="1"/>
  <c r="AF30" i="22"/>
  <c r="Y30" i="10"/>
  <c r="L36" i="23" s="1"/>
  <c r="AE27" i="22"/>
  <c r="X27" i="10"/>
  <c r="K33" i="23" s="1"/>
  <c r="AF26" i="22"/>
  <c r="Y26" i="10"/>
  <c r="L32" i="23" s="1"/>
  <c r="Y43" i="22"/>
  <c r="AH43" i="22" s="1"/>
  <c r="AO43" i="22" s="1"/>
  <c r="AE63" i="22"/>
  <c r="X63" i="10"/>
  <c r="K69" i="23" s="1"/>
  <c r="AH40" i="4"/>
  <c r="Y29" i="22"/>
  <c r="AH29" i="22" s="1"/>
  <c r="AO29" i="22" s="1"/>
  <c r="AF40" i="22"/>
  <c r="Y40" i="10"/>
  <c r="L46" i="23" s="1"/>
  <c r="R40" i="22"/>
  <c r="AB46" i="23" s="1"/>
  <c r="AC46" i="23" s="1"/>
  <c r="M40" i="10"/>
  <c r="T40" i="10" s="1"/>
  <c r="AC40" i="10" s="1"/>
  <c r="AJ40" i="10" s="1"/>
  <c r="AK44" i="4"/>
  <c r="AF23" i="22"/>
  <c r="Y23" i="10"/>
  <c r="L29" i="23" s="1"/>
  <c r="AD18" i="22"/>
  <c r="W18" i="10"/>
  <c r="J24" i="23" s="1"/>
  <c r="H19" i="4"/>
  <c r="V19" i="4"/>
  <c r="I74" i="4"/>
  <c r="H51" i="22"/>
  <c r="M57" i="23" s="1"/>
  <c r="N57" i="23" s="1"/>
  <c r="G51" i="10"/>
  <c r="G50" i="22"/>
  <c r="F50" i="10"/>
  <c r="E57" i="8"/>
  <c r="J57" i="4"/>
  <c r="I57" i="4"/>
  <c r="J14" i="20"/>
  <c r="L14" i="20" s="1"/>
  <c r="AC16" i="4" s="1"/>
  <c r="I14" i="20"/>
  <c r="K14" i="20" s="1"/>
  <c r="AB16" i="4" s="1"/>
  <c r="Y59" i="22"/>
  <c r="AH59" i="22" s="1"/>
  <c r="AO59" i="22" s="1"/>
  <c r="M57" i="10"/>
  <c r="T57" i="10" s="1"/>
  <c r="AC57" i="10" s="1"/>
  <c r="AJ57" i="10" s="1"/>
  <c r="R57" i="22"/>
  <c r="AK64" i="4"/>
  <c r="Z51" i="22"/>
  <c r="AI51" i="22" s="1"/>
  <c r="AQ51" i="22" s="1"/>
  <c r="P57" i="10"/>
  <c r="P38" i="10"/>
  <c r="L15" i="22"/>
  <c r="J15" i="10"/>
  <c r="P64" i="10"/>
  <c r="L60" i="22"/>
  <c r="J60" i="10"/>
  <c r="AF43" i="22"/>
  <c r="Y43" i="10"/>
  <c r="L49" i="23" s="1"/>
  <c r="R55" i="10"/>
  <c r="AA55" i="10" s="1"/>
  <c r="AH55" i="10" s="1"/>
  <c r="L29" i="22"/>
  <c r="AE35" i="23" s="1"/>
  <c r="AF35" i="23" s="1"/>
  <c r="J29" i="10"/>
  <c r="Q29" i="10" s="1"/>
  <c r="AD29" i="10" s="1"/>
  <c r="AK29" i="10" s="1"/>
  <c r="L27" i="22"/>
  <c r="J27" i="10"/>
  <c r="L21" i="22"/>
  <c r="AE27" i="23" s="1"/>
  <c r="AF27" i="23" s="1"/>
  <c r="J21" i="10"/>
  <c r="AH22" i="4"/>
  <c r="P22" i="10"/>
  <c r="AD66" i="22"/>
  <c r="W66" i="10"/>
  <c r="J72" i="23" s="1"/>
  <c r="H73" i="4"/>
  <c r="I73" i="4" s="1"/>
  <c r="L12" i="22"/>
  <c r="J12" i="10"/>
  <c r="G60" i="22"/>
  <c r="F60" i="10"/>
  <c r="I67" i="4"/>
  <c r="E67" i="8"/>
  <c r="J67" i="4"/>
  <c r="E92" i="4"/>
  <c r="G46" i="22"/>
  <c r="F46" i="10"/>
  <c r="E50" i="8"/>
  <c r="J50" i="4"/>
  <c r="I50" i="4"/>
  <c r="G37" i="22"/>
  <c r="I41" i="4"/>
  <c r="F37" i="10"/>
  <c r="J41" i="4"/>
  <c r="E41" i="8"/>
  <c r="G28" i="22"/>
  <c r="J32" i="4"/>
  <c r="E32" i="8"/>
  <c r="F28" i="10"/>
  <c r="I32" i="4"/>
  <c r="J45" i="20"/>
  <c r="L45" i="20" s="1"/>
  <c r="AC44" i="4" s="1"/>
  <c r="I45" i="20"/>
  <c r="K45" i="20" s="1"/>
  <c r="AB44" i="4" s="1"/>
  <c r="J57" i="20"/>
  <c r="L57" i="20" s="1"/>
  <c r="AC55" i="4" s="1"/>
  <c r="I57" i="20"/>
  <c r="K57" i="20" s="1"/>
  <c r="AB55" i="4" s="1"/>
  <c r="J85" i="20"/>
  <c r="L85" i="20" s="1"/>
  <c r="I85" i="20"/>
  <c r="K85" i="20" s="1"/>
  <c r="G93" i="20" s="1"/>
  <c r="J8" i="20"/>
  <c r="L8" i="20" s="1"/>
  <c r="AC10" i="4" s="1"/>
  <c r="I8" i="20"/>
  <c r="K8" i="20" s="1"/>
  <c r="AB10" i="4" s="1"/>
  <c r="J16" i="20"/>
  <c r="L16" i="20" s="1"/>
  <c r="I16" i="20"/>
  <c r="K16" i="20" s="1"/>
  <c r="G90" i="20" s="1"/>
  <c r="J20" i="20"/>
  <c r="L20" i="20" s="1"/>
  <c r="AC20" i="4" s="1"/>
  <c r="I20" i="20"/>
  <c r="K20" i="20" s="1"/>
  <c r="J36" i="20"/>
  <c r="L36" i="20" s="1"/>
  <c r="AC35" i="4" s="1"/>
  <c r="I36" i="20"/>
  <c r="K36" i="20" s="1"/>
  <c r="AB35" i="4" s="1"/>
  <c r="J40" i="20"/>
  <c r="L40" i="20" s="1"/>
  <c r="AC39" i="4" s="1"/>
  <c r="I40" i="20"/>
  <c r="K40" i="20" s="1"/>
  <c r="AB39" i="4" s="1"/>
  <c r="J44" i="20"/>
  <c r="L44" i="20" s="1"/>
  <c r="AC43" i="4" s="1"/>
  <c r="I44" i="20"/>
  <c r="K44" i="20" s="1"/>
  <c r="AB43" i="4" s="1"/>
  <c r="J61" i="20"/>
  <c r="L61" i="20" s="1"/>
  <c r="I61" i="20"/>
  <c r="K61" i="20" s="1"/>
  <c r="E121" i="20" s="1"/>
  <c r="J71" i="20"/>
  <c r="L71" i="20" s="1"/>
  <c r="AC63" i="4" s="1"/>
  <c r="I71" i="20"/>
  <c r="K71" i="20" s="1"/>
  <c r="AB63" i="4" s="1"/>
  <c r="J75" i="20"/>
  <c r="L75" i="20" s="1"/>
  <c r="AC67" i="4" s="1"/>
  <c r="I75" i="20"/>
  <c r="K75" i="20" s="1"/>
  <c r="AB67" i="4" s="1"/>
  <c r="J79" i="20"/>
  <c r="L79" i="20" s="1"/>
  <c r="AC71" i="4" s="1"/>
  <c r="I79" i="20"/>
  <c r="K79" i="20" s="1"/>
  <c r="AB71" i="4" s="1"/>
  <c r="J83" i="20"/>
  <c r="L83" i="20" s="1"/>
  <c r="AC75" i="4" s="1"/>
  <c r="I83" i="20"/>
  <c r="K83" i="20" s="1"/>
  <c r="AB75" i="4" s="1"/>
  <c r="R64" i="10"/>
  <c r="AA64" i="10" s="1"/>
  <c r="AH64" i="10" s="1"/>
  <c r="S59" i="10"/>
  <c r="AB59" i="10" s="1"/>
  <c r="AI59" i="10" s="1"/>
  <c r="S57" i="10"/>
  <c r="AB57" i="10" s="1"/>
  <c r="AI57" i="10" s="1"/>
  <c r="AH60" i="4"/>
  <c r="AH59" i="4"/>
  <c r="AH45" i="4"/>
  <c r="L48" i="22"/>
  <c r="J48" i="10"/>
  <c r="Q48" i="10" s="1"/>
  <c r="AD48" i="10" s="1"/>
  <c r="AK48" i="10" s="1"/>
  <c r="L37" i="22"/>
  <c r="J37" i="10"/>
  <c r="G62" i="22"/>
  <c r="F62" i="10"/>
  <c r="E69" i="8"/>
  <c r="J69" i="4"/>
  <c r="I69" i="4"/>
  <c r="AB33" i="4"/>
  <c r="M32" i="20"/>
  <c r="E111" i="20"/>
  <c r="N32" i="20"/>
  <c r="N21" i="10"/>
  <c r="T21" i="22"/>
  <c r="AH27" i="23" s="1"/>
  <c r="AI27" i="23" s="1"/>
  <c r="Y161" i="16"/>
  <c r="O161" i="16"/>
  <c r="O163" i="16"/>
  <c r="R47" i="22"/>
  <c r="M47" i="10"/>
  <c r="AK51" i="4"/>
  <c r="R22" i="10"/>
  <c r="AA22" i="10" s="1"/>
  <c r="AH22" i="10" s="1"/>
  <c r="P59" i="10"/>
  <c r="P55" i="10"/>
  <c r="R8" i="10"/>
  <c r="AA8" i="10" s="1"/>
  <c r="AH8" i="10" s="1"/>
  <c r="AE48" i="22"/>
  <c r="X48" i="10"/>
  <c r="K54" i="23" s="1"/>
  <c r="R25" i="10"/>
  <c r="AA25" i="10" s="1"/>
  <c r="AH25" i="10" s="1"/>
  <c r="AE16" i="22"/>
  <c r="X16" i="10"/>
  <c r="K22" i="23" s="1"/>
  <c r="T22" i="22"/>
  <c r="AH28" i="23" s="1"/>
  <c r="AI28" i="23" s="1"/>
  <c r="N22" i="10"/>
  <c r="Z22" i="10" s="1"/>
  <c r="AE22" i="10" s="1"/>
  <c r="AL22" i="10" s="1"/>
  <c r="S67" i="10"/>
  <c r="AB67" i="10" s="1"/>
  <c r="AI67" i="10" s="1"/>
  <c r="S40" i="10"/>
  <c r="AB40" i="10" s="1"/>
  <c r="AI40" i="10" s="1"/>
  <c r="AH24" i="4"/>
  <c r="S38" i="10"/>
  <c r="AB38" i="10" s="1"/>
  <c r="AI38" i="10" s="1"/>
  <c r="K50" i="4"/>
  <c r="L47" i="22"/>
  <c r="J47" i="10"/>
  <c r="X55" i="22"/>
  <c r="AK55" i="22" s="1"/>
  <c r="AU55" i="22" s="1"/>
  <c r="S43" i="10"/>
  <c r="AB43" i="10" s="1"/>
  <c r="AI43" i="10" s="1"/>
  <c r="AF38" i="22"/>
  <c r="Y38" i="10"/>
  <c r="L44" i="23" s="1"/>
  <c r="AF20" i="22"/>
  <c r="Y20" i="10"/>
  <c r="L26" i="23" s="1"/>
  <c r="AI49" i="4"/>
  <c r="P43" i="10"/>
  <c r="L35" i="22"/>
  <c r="J35" i="10"/>
  <c r="W25" i="22"/>
  <c r="Z48" i="22"/>
  <c r="AI48" i="22" s="1"/>
  <c r="AQ48" i="22" s="1"/>
  <c r="AH31" i="4"/>
  <c r="P8" i="10"/>
  <c r="P51" i="10"/>
  <c r="U25" i="10"/>
  <c r="Y87" i="17"/>
  <c r="AA86" i="17"/>
  <c r="AE44" i="23" l="1"/>
  <c r="AF44" i="23" s="1"/>
  <c r="Y46" i="23"/>
  <c r="Z46" i="23" s="1"/>
  <c r="Y65" i="23"/>
  <c r="Z65" i="23" s="1"/>
  <c r="Y15" i="23"/>
  <c r="Z15" i="23" s="1"/>
  <c r="AE14" i="23"/>
  <c r="AF14" i="23" s="1"/>
  <c r="AB61" i="23"/>
  <c r="AC61" i="23" s="1"/>
  <c r="AB65" i="23"/>
  <c r="AC65" i="23" s="1"/>
  <c r="V15" i="23"/>
  <c r="W15" i="23" s="1"/>
  <c r="V17" i="23"/>
  <c r="W17" i="23" s="1"/>
  <c r="Y17" i="23"/>
  <c r="Z17" i="23" s="1"/>
  <c r="V57" i="23"/>
  <c r="W57" i="23" s="1"/>
  <c r="V31" i="23"/>
  <c r="W31" i="23" s="1"/>
  <c r="V61" i="23"/>
  <c r="W61" i="23" s="1"/>
  <c r="Y44" i="23"/>
  <c r="Z44" i="23" s="1"/>
  <c r="AE22" i="23"/>
  <c r="AF22" i="23" s="1"/>
  <c r="AE61" i="23"/>
  <c r="AF61" i="23" s="1"/>
  <c r="V22" i="23"/>
  <c r="W22" i="23" s="1"/>
  <c r="Y61" i="23"/>
  <c r="Z61" i="23" s="1"/>
  <c r="V70" i="23"/>
  <c r="W70" i="23" s="1"/>
  <c r="Y70" i="23"/>
  <c r="Z70" i="23" s="1"/>
  <c r="V29" i="23"/>
  <c r="W29" i="23" s="1"/>
  <c r="Q22" i="10"/>
  <c r="AD22" i="10" s="1"/>
  <c r="AK22" i="10" s="1"/>
  <c r="AN22" i="10" s="1"/>
  <c r="AE57" i="23"/>
  <c r="AF57" i="23" s="1"/>
  <c r="AB57" i="23"/>
  <c r="AC57" i="23" s="1"/>
  <c r="Y22" i="23"/>
  <c r="Z22" i="23" s="1"/>
  <c r="Y57" i="23"/>
  <c r="Z57" i="23" s="1"/>
  <c r="Y27" i="23"/>
  <c r="Z27" i="23" s="1"/>
  <c r="V65" i="23"/>
  <c r="W65" i="23" s="1"/>
  <c r="V44" i="23"/>
  <c r="W44" i="23" s="1"/>
  <c r="V27" i="23"/>
  <c r="W27" i="23" s="1"/>
  <c r="AB35" i="23"/>
  <c r="AC35" i="23" s="1"/>
  <c r="AE17" i="23"/>
  <c r="AF17" i="23" s="1"/>
  <c r="AE65" i="23"/>
  <c r="AF65" i="23" s="1"/>
  <c r="AB17" i="23"/>
  <c r="AC17" i="23" s="1"/>
  <c r="W124" i="16"/>
  <c r="V28" i="23"/>
  <c r="W28" i="23" s="1"/>
  <c r="Y28" i="23"/>
  <c r="Z28" i="23" s="1"/>
  <c r="V14" i="23"/>
  <c r="W14" i="23" s="1"/>
  <c r="Y35" i="23"/>
  <c r="Z35" i="23" s="1"/>
  <c r="AB14" i="23"/>
  <c r="AC14" i="23" s="1"/>
  <c r="V35" i="23"/>
  <c r="W35" i="23" s="1"/>
  <c r="V46" i="23"/>
  <c r="W46" i="23" s="1"/>
  <c r="V23" i="23"/>
  <c r="W23" i="23" s="1"/>
  <c r="Y29" i="23"/>
  <c r="Z29" i="23" s="1"/>
  <c r="Y23" i="23"/>
  <c r="Z23" i="23" s="1"/>
  <c r="T67" i="10"/>
  <c r="AC67" i="10" s="1"/>
  <c r="AJ67" i="10" s="1"/>
  <c r="Y14" i="23"/>
  <c r="Z14" i="23" s="1"/>
  <c r="V67" i="23"/>
  <c r="W67" i="23" s="1"/>
  <c r="W7" i="4"/>
  <c r="W8" i="4" s="1"/>
  <c r="W9" i="4" s="1"/>
  <c r="W10" i="4" s="1"/>
  <c r="W11" i="4" s="1"/>
  <c r="W12" i="4" s="1"/>
  <c r="AF6" i="22"/>
  <c r="Y6" i="10"/>
  <c r="L12" i="23" s="1"/>
  <c r="X56" i="10"/>
  <c r="K62" i="23" s="1"/>
  <c r="AE56" i="22"/>
  <c r="I70" i="4"/>
  <c r="Y63" i="10"/>
  <c r="L69" i="23" s="1"/>
  <c r="AF63" i="22"/>
  <c r="J70" i="4"/>
  <c r="AF56" i="22"/>
  <c r="J63" i="4"/>
  <c r="I63" i="4"/>
  <c r="Y56" i="10"/>
  <c r="L62" i="23" s="1"/>
  <c r="O122" i="16"/>
  <c r="AF60" i="22"/>
  <c r="Y60" i="10"/>
  <c r="L66" i="23" s="1"/>
  <c r="Y36" i="10"/>
  <c r="L42" i="23" s="1"/>
  <c r="J40" i="4"/>
  <c r="AF36" i="22"/>
  <c r="I40" i="4"/>
  <c r="AF41" i="22"/>
  <c r="Y41" i="10"/>
  <c r="L47" i="23" s="1"/>
  <c r="I45" i="4"/>
  <c r="J45" i="4"/>
  <c r="AN48" i="10"/>
  <c r="AF44" i="22"/>
  <c r="Y44" i="10"/>
  <c r="L50" i="23" s="1"/>
  <c r="J48" i="4"/>
  <c r="I48" i="4"/>
  <c r="X60" i="10"/>
  <c r="K66" i="23" s="1"/>
  <c r="AE60" i="22"/>
  <c r="X41" i="10"/>
  <c r="K47" i="23" s="1"/>
  <c r="AE41" i="22"/>
  <c r="X33" i="10"/>
  <c r="K39" i="23" s="1"/>
  <c r="AE33" i="22"/>
  <c r="M31" i="23"/>
  <c r="N31" i="23" s="1"/>
  <c r="AF33" i="22"/>
  <c r="Y33" i="10"/>
  <c r="L39" i="23" s="1"/>
  <c r="J37" i="4"/>
  <c r="I37" i="4"/>
  <c r="Y55" i="22"/>
  <c r="AH55" i="22" s="1"/>
  <c r="AO55" i="22" s="1"/>
  <c r="AF32" i="22"/>
  <c r="Y32" i="10"/>
  <c r="L38" i="23" s="1"/>
  <c r="J36" i="4"/>
  <c r="I36" i="4"/>
  <c r="H66" i="22"/>
  <c r="G66" i="10"/>
  <c r="AZ55" i="22"/>
  <c r="H62" i="22"/>
  <c r="AE68" i="23" s="1"/>
  <c r="AF68" i="23" s="1"/>
  <c r="G62" i="10"/>
  <c r="X48" i="22"/>
  <c r="AK48" i="22" s="1"/>
  <c r="AU48" i="22" s="1"/>
  <c r="M53" i="10"/>
  <c r="R53" i="22"/>
  <c r="AK60" i="4"/>
  <c r="T64" i="22"/>
  <c r="AH70" i="23" s="1"/>
  <c r="AI70" i="23" s="1"/>
  <c r="N64" i="10"/>
  <c r="Z64" i="10" s="1"/>
  <c r="AE64" i="10" s="1"/>
  <c r="AL64" i="10" s="1"/>
  <c r="T56" i="22"/>
  <c r="N56" i="10"/>
  <c r="T39" i="22"/>
  <c r="N39" i="10"/>
  <c r="T31" i="22"/>
  <c r="N31" i="10"/>
  <c r="H90" i="20"/>
  <c r="I90" i="20"/>
  <c r="T40" i="22"/>
  <c r="AH46" i="23" s="1"/>
  <c r="AI46" i="23" s="1"/>
  <c r="N40" i="10"/>
  <c r="Z40" i="10" s="1"/>
  <c r="AE40" i="10" s="1"/>
  <c r="AL40" i="10" s="1"/>
  <c r="I37" i="22"/>
  <c r="X37" i="22" s="1"/>
  <c r="AK37" i="22" s="1"/>
  <c r="AU37" i="22" s="1"/>
  <c r="H37" i="10"/>
  <c r="H46" i="22"/>
  <c r="G46" i="10"/>
  <c r="I60" i="22"/>
  <c r="H60" i="10"/>
  <c r="X29" i="22"/>
  <c r="AK29" i="22" s="1"/>
  <c r="AU29" i="22" s="1"/>
  <c r="AM57" i="10"/>
  <c r="AE18" i="22"/>
  <c r="X18" i="10"/>
  <c r="K24" i="23" s="1"/>
  <c r="AM40" i="10"/>
  <c r="W48" i="22"/>
  <c r="Y48" i="22"/>
  <c r="AH48" i="22" s="1"/>
  <c r="AO48" i="22" s="1"/>
  <c r="S25" i="10"/>
  <c r="AB25" i="10" s="1"/>
  <c r="AI25" i="10" s="1"/>
  <c r="X40" i="22"/>
  <c r="AK40" i="22" s="1"/>
  <c r="AU40" i="22" s="1"/>
  <c r="Q25" i="10"/>
  <c r="AD25" i="10" s="1"/>
  <c r="AK25" i="10" s="1"/>
  <c r="AN25" i="10" s="1"/>
  <c r="AN55" i="10"/>
  <c r="H52" i="22"/>
  <c r="AE58" i="23" s="1"/>
  <c r="AF58" i="23" s="1"/>
  <c r="G52" i="10"/>
  <c r="I16" i="22"/>
  <c r="H16" i="10"/>
  <c r="AA25" i="22"/>
  <c r="AJ25" i="22" s="1"/>
  <c r="AS25" i="22" s="1"/>
  <c r="M64" i="10"/>
  <c r="T64" i="10" s="1"/>
  <c r="AC64" i="10" s="1"/>
  <c r="AJ64" i="10" s="1"/>
  <c r="AM64" i="10" s="1"/>
  <c r="R64" i="22"/>
  <c r="AB70" i="23" s="1"/>
  <c r="AC70" i="23" s="1"/>
  <c r="AK71" i="4"/>
  <c r="T67" i="22"/>
  <c r="N67" i="10"/>
  <c r="Z67" i="10" s="1"/>
  <c r="AE67" i="10" s="1"/>
  <c r="AL67" i="10" s="1"/>
  <c r="T59" i="22"/>
  <c r="AH65" i="23" s="1"/>
  <c r="AI65" i="23" s="1"/>
  <c r="N59" i="10"/>
  <c r="Z59" i="10" s="1"/>
  <c r="AE59" i="10" s="1"/>
  <c r="AL59" i="10" s="1"/>
  <c r="T34" i="22"/>
  <c r="N34" i="10"/>
  <c r="T18" i="22"/>
  <c r="N18" i="10"/>
  <c r="T8" i="22"/>
  <c r="AH14" i="23" s="1"/>
  <c r="AI14" i="23" s="1"/>
  <c r="N8" i="10"/>
  <c r="Z8" i="10" s="1"/>
  <c r="AE8" i="10" s="1"/>
  <c r="AL8" i="10" s="1"/>
  <c r="T46" i="22"/>
  <c r="AH52" i="23" s="1"/>
  <c r="AI52" i="23" s="1"/>
  <c r="N46" i="10"/>
  <c r="I47" i="22"/>
  <c r="AB47" i="22" s="1"/>
  <c r="H47" i="10"/>
  <c r="R23" i="22"/>
  <c r="AB29" i="23" s="1"/>
  <c r="AC29" i="23" s="1"/>
  <c r="AK24" i="4"/>
  <c r="M23" i="10"/>
  <c r="AI24" i="4"/>
  <c r="F111" i="20"/>
  <c r="H111" i="20" s="1"/>
  <c r="I62" i="22"/>
  <c r="H62" i="10"/>
  <c r="V64" i="22"/>
  <c r="AB64" i="22" s="1"/>
  <c r="O64" i="10"/>
  <c r="U64" i="10" s="1"/>
  <c r="AI71" i="4"/>
  <c r="V56" i="22"/>
  <c r="O56" i="10"/>
  <c r="AI63" i="4"/>
  <c r="V39" i="22"/>
  <c r="O39" i="10"/>
  <c r="AI43" i="4"/>
  <c r="V31" i="22"/>
  <c r="O31" i="10"/>
  <c r="AI35" i="4"/>
  <c r="V40" i="22"/>
  <c r="AB40" i="22" s="1"/>
  <c r="O40" i="10"/>
  <c r="U40" i="10" s="1"/>
  <c r="AI44" i="4"/>
  <c r="I28" i="22"/>
  <c r="H28" i="10"/>
  <c r="H46" i="10"/>
  <c r="I46" i="22"/>
  <c r="X60" i="22"/>
  <c r="AK60" i="22" s="1"/>
  <c r="AU60" i="22" s="1"/>
  <c r="H67" i="22"/>
  <c r="AB73" i="23" s="1"/>
  <c r="AC73" i="23" s="1"/>
  <c r="G67" i="10"/>
  <c r="AF18" i="22"/>
  <c r="Y18" i="10"/>
  <c r="L24" i="23" s="1"/>
  <c r="I19" i="4"/>
  <c r="J19" i="4"/>
  <c r="AA40" i="22"/>
  <c r="AJ40" i="22" s="1"/>
  <c r="AS40" i="22" s="1"/>
  <c r="R36" i="22"/>
  <c r="AK40" i="4"/>
  <c r="M36" i="10"/>
  <c r="Z25" i="22"/>
  <c r="AI25" i="22" s="1"/>
  <c r="AQ25" i="22" s="1"/>
  <c r="Y25" i="22"/>
  <c r="AH25" i="22" s="1"/>
  <c r="AO25" i="22" s="1"/>
  <c r="AB25" i="22"/>
  <c r="T61" i="22"/>
  <c r="AH67" i="23" s="1"/>
  <c r="AI67" i="23" s="1"/>
  <c r="N61" i="10"/>
  <c r="T11" i="22"/>
  <c r="AH17" i="23" s="1"/>
  <c r="AI17" i="23" s="1"/>
  <c r="N11" i="10"/>
  <c r="T53" i="22"/>
  <c r="N53" i="10"/>
  <c r="R51" i="10"/>
  <c r="AA51" i="10" s="1"/>
  <c r="AH51" i="10" s="1"/>
  <c r="S51" i="10"/>
  <c r="AB51" i="10" s="1"/>
  <c r="AI51" i="10" s="1"/>
  <c r="R33" i="22"/>
  <c r="AK37" i="4"/>
  <c r="M33" i="10"/>
  <c r="Y51" i="22"/>
  <c r="AH51" i="22" s="1"/>
  <c r="AO51" i="22" s="1"/>
  <c r="I9" i="22"/>
  <c r="H9" i="10"/>
  <c r="X25" i="22"/>
  <c r="AK25" i="22" s="1"/>
  <c r="AU25" i="22" s="1"/>
  <c r="I68" i="22"/>
  <c r="H68" i="10"/>
  <c r="Q68" i="10" s="1"/>
  <c r="AD68" i="10" s="1"/>
  <c r="AK68" i="10" s="1"/>
  <c r="AF19" i="22"/>
  <c r="Y19" i="10"/>
  <c r="L25" i="23" s="1"/>
  <c r="I20" i="4"/>
  <c r="J20" i="4"/>
  <c r="AN67" i="10"/>
  <c r="H24" i="22"/>
  <c r="AE30" i="23" s="1"/>
  <c r="AF30" i="23" s="1"/>
  <c r="G24" i="10"/>
  <c r="H20" i="22"/>
  <c r="AB26" i="23" s="1"/>
  <c r="AC26" i="23" s="1"/>
  <c r="G20" i="10"/>
  <c r="X68" i="22"/>
  <c r="AK68" i="22" s="1"/>
  <c r="AU68" i="22" s="1"/>
  <c r="P124" i="16"/>
  <c r="J134" i="16"/>
  <c r="V67" i="22"/>
  <c r="AB67" i="22" s="1"/>
  <c r="O67" i="10"/>
  <c r="U67" i="10" s="1"/>
  <c r="AI74" i="4"/>
  <c r="V59" i="22"/>
  <c r="AB59" i="22" s="1"/>
  <c r="O59" i="10"/>
  <c r="U59" i="10" s="1"/>
  <c r="AI66" i="4"/>
  <c r="V34" i="22"/>
  <c r="O34" i="10"/>
  <c r="AI38" i="4"/>
  <c r="V18" i="22"/>
  <c r="O18" i="10"/>
  <c r="AI19" i="4"/>
  <c r="V8" i="22"/>
  <c r="AB8" i="22" s="1"/>
  <c r="O8" i="10"/>
  <c r="U8" i="10" s="1"/>
  <c r="AI9" i="4"/>
  <c r="V46" i="22"/>
  <c r="AB46" i="22" s="1"/>
  <c r="O46" i="10"/>
  <c r="U46" i="10" s="1"/>
  <c r="AI50" i="4"/>
  <c r="H31" i="22"/>
  <c r="AB37" i="23" s="1"/>
  <c r="AC37" i="23" s="1"/>
  <c r="G31" i="10"/>
  <c r="R27" i="22"/>
  <c r="AK31" i="4"/>
  <c r="M27" i="10"/>
  <c r="AI31" i="4"/>
  <c r="R41" i="22"/>
  <c r="M41" i="10"/>
  <c r="AK45" i="4"/>
  <c r="AI45" i="4"/>
  <c r="T68" i="22"/>
  <c r="N68" i="10"/>
  <c r="Z68" i="10" s="1"/>
  <c r="AE68" i="10" s="1"/>
  <c r="AL68" i="10" s="1"/>
  <c r="T60" i="22"/>
  <c r="N60" i="10"/>
  <c r="Z60" i="10" s="1"/>
  <c r="AE60" i="10" s="1"/>
  <c r="AL60" i="10" s="1"/>
  <c r="T35" i="22"/>
  <c r="N35" i="10"/>
  <c r="E107" i="20"/>
  <c r="N20" i="20"/>
  <c r="M20" i="20"/>
  <c r="AB20" i="4"/>
  <c r="T9" i="22"/>
  <c r="AH15" i="23" s="1"/>
  <c r="AI15" i="23" s="1"/>
  <c r="N9" i="10"/>
  <c r="Z9" i="10" s="1"/>
  <c r="AE9" i="10" s="1"/>
  <c r="AL9" i="10" s="1"/>
  <c r="T48" i="22"/>
  <c r="N48" i="10"/>
  <c r="Z48" i="10" s="1"/>
  <c r="AE48" i="10" s="1"/>
  <c r="AL48" i="10" s="1"/>
  <c r="H28" i="22"/>
  <c r="AH34" i="23" s="1"/>
  <c r="AI34" i="23" s="1"/>
  <c r="G28" i="10"/>
  <c r="H37" i="22"/>
  <c r="AB43" i="23" s="1"/>
  <c r="AC43" i="23" s="1"/>
  <c r="G37" i="10"/>
  <c r="H60" i="22"/>
  <c r="G60" i="10"/>
  <c r="Y66" i="10"/>
  <c r="L72" i="23" s="1"/>
  <c r="AF66" i="22"/>
  <c r="R21" i="22"/>
  <c r="AB27" i="23" s="1"/>
  <c r="AC27" i="23" s="1"/>
  <c r="AK22" i="4"/>
  <c r="M21" i="10"/>
  <c r="AI22" i="4"/>
  <c r="T15" i="22"/>
  <c r="N15" i="10"/>
  <c r="H50" i="22"/>
  <c r="G50" i="10"/>
  <c r="H57" i="22"/>
  <c r="AE63" i="23" s="1"/>
  <c r="AF63" i="23" s="1"/>
  <c r="G57" i="10"/>
  <c r="M62" i="10"/>
  <c r="T62" i="10" s="1"/>
  <c r="AC62" i="10" s="1"/>
  <c r="AJ62" i="10" s="1"/>
  <c r="R62" i="22"/>
  <c r="AB68" i="23" s="1"/>
  <c r="AC68" i="23" s="1"/>
  <c r="AK69" i="4"/>
  <c r="J73" i="4"/>
  <c r="V61" i="22"/>
  <c r="O61" i="10"/>
  <c r="AI68" i="4"/>
  <c r="V11" i="22"/>
  <c r="O11" i="10"/>
  <c r="AI12" i="4"/>
  <c r="V53" i="22"/>
  <c r="O53" i="10"/>
  <c r="AI60" i="4"/>
  <c r="AE49" i="22"/>
  <c r="X49" i="10"/>
  <c r="K55" i="23" s="1"/>
  <c r="W51" i="22"/>
  <c r="X67" i="22"/>
  <c r="AK67" i="22" s="1"/>
  <c r="AU67" i="22" s="1"/>
  <c r="I52" i="22"/>
  <c r="H52" i="10"/>
  <c r="T25" i="10"/>
  <c r="AC25" i="10" s="1"/>
  <c r="AJ25" i="10" s="1"/>
  <c r="AM25" i="10" s="1"/>
  <c r="AA68" i="22"/>
  <c r="AJ68" i="22" s="1"/>
  <c r="AS68" i="22" s="1"/>
  <c r="T63" i="22"/>
  <c r="N63" i="10"/>
  <c r="T38" i="22"/>
  <c r="AH44" i="23" s="1"/>
  <c r="AI44" i="23" s="1"/>
  <c r="N38" i="10"/>
  <c r="Z38" i="10" s="1"/>
  <c r="AE38" i="10" s="1"/>
  <c r="AL38" i="10" s="1"/>
  <c r="T30" i="22"/>
  <c r="N30" i="10"/>
  <c r="E103" i="20"/>
  <c r="N11" i="20"/>
  <c r="M11" i="20"/>
  <c r="AB15" i="4"/>
  <c r="V54" i="22"/>
  <c r="O54" i="10"/>
  <c r="AI61" i="4"/>
  <c r="Q47" i="10"/>
  <c r="AD47" i="10" s="1"/>
  <c r="AK47" i="10" s="1"/>
  <c r="X47" i="22"/>
  <c r="AK47" i="22" s="1"/>
  <c r="AU47" i="22" s="1"/>
  <c r="AG22" i="22"/>
  <c r="AL22" i="22" s="1"/>
  <c r="AW22" i="22" s="1"/>
  <c r="T29" i="22"/>
  <c r="AH35" i="23" s="1"/>
  <c r="AI35" i="23" s="1"/>
  <c r="N29" i="10"/>
  <c r="Z29" i="10" s="1"/>
  <c r="AE29" i="10" s="1"/>
  <c r="AL29" i="10" s="1"/>
  <c r="Q37" i="10"/>
  <c r="AD37" i="10" s="1"/>
  <c r="AK37" i="10" s="1"/>
  <c r="M52" i="10"/>
  <c r="R52" i="22"/>
  <c r="AB58" i="23" s="1"/>
  <c r="AC58" i="23" s="1"/>
  <c r="AK59" i="4"/>
  <c r="V68" i="22"/>
  <c r="AB68" i="22" s="1"/>
  <c r="O68" i="10"/>
  <c r="U68" i="10" s="1"/>
  <c r="AI75" i="4"/>
  <c r="V60" i="22"/>
  <c r="AB60" i="22" s="1"/>
  <c r="O60" i="10"/>
  <c r="U60" i="10" s="1"/>
  <c r="AI67" i="4"/>
  <c r="V35" i="22"/>
  <c r="O35" i="10"/>
  <c r="AI39" i="4"/>
  <c r="V19" i="22"/>
  <c r="O19" i="10"/>
  <c r="AI20" i="4"/>
  <c r="V9" i="22"/>
  <c r="AB9" i="22" s="1"/>
  <c r="O9" i="10"/>
  <c r="U9" i="10" s="1"/>
  <c r="AI10" i="4"/>
  <c r="V48" i="22"/>
  <c r="AB48" i="22" s="1"/>
  <c r="O48" i="10"/>
  <c r="U48" i="10" s="1"/>
  <c r="AI55" i="4"/>
  <c r="AA57" i="22"/>
  <c r="AJ57" i="22" s="1"/>
  <c r="AS57" i="22" s="1"/>
  <c r="V15" i="22"/>
  <c r="O15" i="10"/>
  <c r="AI16" i="4"/>
  <c r="I50" i="22"/>
  <c r="H50" i="10"/>
  <c r="I17" i="22"/>
  <c r="H17" i="10"/>
  <c r="Z59" i="22"/>
  <c r="AI59" i="22" s="1"/>
  <c r="AQ59" i="22" s="1"/>
  <c r="P48" i="10"/>
  <c r="R48" i="10"/>
  <c r="AA48" i="10" s="1"/>
  <c r="AH48" i="10" s="1"/>
  <c r="Y49" i="10"/>
  <c r="L55" i="23" s="1"/>
  <c r="AF49" i="22"/>
  <c r="X56" i="4"/>
  <c r="X57" i="4" s="1"/>
  <c r="X58" i="4" s="1"/>
  <c r="X59" i="4" s="1"/>
  <c r="X60" i="4" s="1"/>
  <c r="X61" i="4" s="1"/>
  <c r="X62" i="4" s="1"/>
  <c r="X63" i="4" s="1"/>
  <c r="X64" i="4" s="1"/>
  <c r="X65" i="4" s="1"/>
  <c r="X66" i="4" s="1"/>
  <c r="X67" i="4" s="1"/>
  <c r="X68" i="4" s="1"/>
  <c r="X69" i="4" s="1"/>
  <c r="X70" i="4" s="1"/>
  <c r="X71" i="4" s="1"/>
  <c r="X72" i="4" s="1"/>
  <c r="X73" i="4" s="1"/>
  <c r="X74" i="4" s="1"/>
  <c r="X75" i="4" s="1"/>
  <c r="W56" i="4"/>
  <c r="J56" i="4"/>
  <c r="I56" i="4"/>
  <c r="H92" i="4"/>
  <c r="J92" i="4" s="1"/>
  <c r="AN40" i="10"/>
  <c r="U47" i="10"/>
  <c r="Z64" i="22"/>
  <c r="AI64" i="22" s="1"/>
  <c r="AQ64" i="22" s="1"/>
  <c r="W64" i="22"/>
  <c r="Y64" i="22"/>
  <c r="AH64" i="22" s="1"/>
  <c r="AO64" i="22" s="1"/>
  <c r="H68" i="22"/>
  <c r="G68" i="10"/>
  <c r="I24" i="22"/>
  <c r="H24" i="10"/>
  <c r="W59" i="22"/>
  <c r="AK23" i="4"/>
  <c r="R22" i="22"/>
  <c r="AB28" i="23" s="1"/>
  <c r="AC28" i="23" s="1"/>
  <c r="M22" i="10"/>
  <c r="T22" i="10" s="1"/>
  <c r="AC22" i="10" s="1"/>
  <c r="AJ22" i="10" s="1"/>
  <c r="AM22" i="10" s="1"/>
  <c r="AI23" i="4"/>
  <c r="I20" i="22"/>
  <c r="H20" i="10"/>
  <c r="T68" i="10"/>
  <c r="AC68" i="10" s="1"/>
  <c r="AJ68" i="10" s="1"/>
  <c r="V63" i="22"/>
  <c r="O63" i="10"/>
  <c r="AI70" i="4"/>
  <c r="V38" i="22"/>
  <c r="AB38" i="22" s="1"/>
  <c r="O38" i="10"/>
  <c r="U38" i="10" s="1"/>
  <c r="AI42" i="4"/>
  <c r="V30" i="22"/>
  <c r="O30" i="10"/>
  <c r="AI34" i="4"/>
  <c r="V14" i="22"/>
  <c r="O14" i="10"/>
  <c r="AI15" i="4"/>
  <c r="T54" i="22"/>
  <c r="N54" i="10"/>
  <c r="I31" i="22"/>
  <c r="AA31" i="22" s="1"/>
  <c r="AJ31" i="22" s="1"/>
  <c r="AS31" i="22" s="1"/>
  <c r="H31" i="10"/>
  <c r="H48" i="22"/>
  <c r="AB54" i="23" s="1"/>
  <c r="AC54" i="23" s="1"/>
  <c r="G48" i="10"/>
  <c r="R16" i="22"/>
  <c r="AB22" i="23" s="1"/>
  <c r="AC22" i="23" s="1"/>
  <c r="M16" i="10"/>
  <c r="T16" i="10" s="1"/>
  <c r="AC16" i="10" s="1"/>
  <c r="AJ16" i="10" s="1"/>
  <c r="AK17" i="4"/>
  <c r="I54" i="22"/>
  <c r="H54" i="10"/>
  <c r="AF39" i="22"/>
  <c r="Y39" i="10"/>
  <c r="L45" i="23" s="1"/>
  <c r="J43" i="4"/>
  <c r="I43" i="4"/>
  <c r="AF31" i="22"/>
  <c r="Y31" i="10"/>
  <c r="L37" i="23" s="1"/>
  <c r="R17" i="22"/>
  <c r="AB23" i="23" s="1"/>
  <c r="AC23" i="23" s="1"/>
  <c r="AK18" i="4"/>
  <c r="M17" i="10"/>
  <c r="T17" i="10" s="1"/>
  <c r="AC17" i="10" s="1"/>
  <c r="AJ17" i="10" s="1"/>
  <c r="AB356" i="17"/>
  <c r="AG353" i="17"/>
  <c r="AI356" i="17"/>
  <c r="X43" i="22"/>
  <c r="AK43" i="22" s="1"/>
  <c r="AU43" i="22" s="1"/>
  <c r="AE50" i="22"/>
  <c r="X50" i="10"/>
  <c r="K56" i="23" s="1"/>
  <c r="I45" i="22"/>
  <c r="H45" i="10"/>
  <c r="AG28" i="22"/>
  <c r="AL28" i="22" s="1"/>
  <c r="AW28" i="22" s="1"/>
  <c r="Q16" i="10"/>
  <c r="AD16" i="10" s="1"/>
  <c r="AK16" i="10" s="1"/>
  <c r="T36" i="22"/>
  <c r="N36" i="10"/>
  <c r="AB7" i="4"/>
  <c r="N118" i="20"/>
  <c r="Q28" i="10"/>
  <c r="AD28" i="10" s="1"/>
  <c r="AK28" i="10" s="1"/>
  <c r="I30" i="22"/>
  <c r="H30" i="10"/>
  <c r="Q30" i="10" s="1"/>
  <c r="AD30" i="10" s="1"/>
  <c r="AK30" i="10" s="1"/>
  <c r="X35" i="4"/>
  <c r="X36" i="4" s="1"/>
  <c r="X37" i="4" s="1"/>
  <c r="X38" i="4" s="1"/>
  <c r="X39" i="4" s="1"/>
  <c r="X40" i="4" s="1"/>
  <c r="X41" i="4" s="1"/>
  <c r="X42" i="4" s="1"/>
  <c r="X43" i="4" s="1"/>
  <c r="X44" i="4" s="1"/>
  <c r="X45" i="4" s="1"/>
  <c r="X46" i="4" s="1"/>
  <c r="X47" i="4" s="1"/>
  <c r="X48" i="4" s="1"/>
  <c r="X49" i="4" s="1"/>
  <c r="X50" i="4" s="1"/>
  <c r="X51" i="4" s="1"/>
  <c r="X8" i="22"/>
  <c r="AK8" i="22" s="1"/>
  <c r="AU8" i="22" s="1"/>
  <c r="AG47" i="22"/>
  <c r="AL47" i="22" s="1"/>
  <c r="AW47" i="22" s="1"/>
  <c r="I7" i="22"/>
  <c r="H7" i="10"/>
  <c r="W22" i="22"/>
  <c r="Z25" i="10"/>
  <c r="AE25" i="10" s="1"/>
  <c r="AL25" i="10" s="1"/>
  <c r="T62" i="22"/>
  <c r="AH68" i="23" s="1"/>
  <c r="AI68" i="23" s="1"/>
  <c r="N62" i="10"/>
  <c r="Z62" i="10" s="1"/>
  <c r="AE62" i="10" s="1"/>
  <c r="AL62" i="10" s="1"/>
  <c r="T37" i="22"/>
  <c r="AH43" i="23" s="1"/>
  <c r="AI43" i="23" s="1"/>
  <c r="N37" i="10"/>
  <c r="Z37" i="10" s="1"/>
  <c r="AE37" i="10" s="1"/>
  <c r="AL37" i="10" s="1"/>
  <c r="H113" i="20"/>
  <c r="T12" i="22"/>
  <c r="N12" i="10"/>
  <c r="V52" i="22"/>
  <c r="AB52" i="22" s="1"/>
  <c r="O52" i="10"/>
  <c r="U52" i="10" s="1"/>
  <c r="AI59" i="4"/>
  <c r="E123" i="20"/>
  <c r="AB62" i="4"/>
  <c r="N68" i="20"/>
  <c r="M68" i="20"/>
  <c r="I42" i="22"/>
  <c r="X42" i="22" s="1"/>
  <c r="AK42" i="22" s="1"/>
  <c r="AU42" i="22" s="1"/>
  <c r="H42" i="10"/>
  <c r="Q42" i="10" s="1"/>
  <c r="AD42" i="10" s="1"/>
  <c r="AK42" i="10" s="1"/>
  <c r="G34" i="10"/>
  <c r="H34" i="22"/>
  <c r="AB40" i="23" s="1"/>
  <c r="AC40" i="23" s="1"/>
  <c r="X9" i="22"/>
  <c r="AK9" i="22" s="1"/>
  <c r="AU9" i="22" s="1"/>
  <c r="AA24" i="22"/>
  <c r="AJ24" i="22" s="1"/>
  <c r="AS24" i="22" s="1"/>
  <c r="AA37" i="22"/>
  <c r="AJ37" i="22" s="1"/>
  <c r="AS37" i="22" s="1"/>
  <c r="H80" i="12"/>
  <c r="L77" i="12"/>
  <c r="L78" i="12" s="1"/>
  <c r="M78" i="12" s="1"/>
  <c r="H26" i="22"/>
  <c r="G26" i="10"/>
  <c r="X14" i="4"/>
  <c r="X15" i="4" s="1"/>
  <c r="X16" i="4" s="1"/>
  <c r="X17" i="4" s="1"/>
  <c r="X18" i="4" s="1"/>
  <c r="X19" i="4" s="1"/>
  <c r="X20" i="4" s="1"/>
  <c r="X21" i="4" s="1"/>
  <c r="X22" i="4" s="1"/>
  <c r="X23" i="4" s="1"/>
  <c r="X24" i="4" s="1"/>
  <c r="X25" i="4" s="1"/>
  <c r="X26" i="4" s="1"/>
  <c r="X27" i="4" s="1"/>
  <c r="AF12" i="22"/>
  <c r="W13" i="4"/>
  <c r="W14" i="4" s="1"/>
  <c r="W15" i="4" s="1"/>
  <c r="W16" i="4" s="1"/>
  <c r="W17" i="4" s="1"/>
  <c r="W18" i="4" s="1"/>
  <c r="W19" i="4" s="1"/>
  <c r="W20" i="4" s="1"/>
  <c r="W21" i="4" s="1"/>
  <c r="W22" i="4" s="1"/>
  <c r="W23" i="4" s="1"/>
  <c r="W24" i="4" s="1"/>
  <c r="W25" i="4" s="1"/>
  <c r="W26" i="4" s="1"/>
  <c r="W27" i="4" s="1"/>
  <c r="Y12" i="10"/>
  <c r="L18" i="23" s="1"/>
  <c r="I13" i="4"/>
  <c r="H90" i="4"/>
  <c r="J90" i="4" s="1"/>
  <c r="J13" i="4"/>
  <c r="AF35" i="22"/>
  <c r="Y35" i="10"/>
  <c r="L41" i="23" s="1"/>
  <c r="J39" i="4"/>
  <c r="I39" i="4"/>
  <c r="AM67" i="10"/>
  <c r="AA51" i="22"/>
  <c r="AJ51" i="22" s="1"/>
  <c r="AS51" i="22" s="1"/>
  <c r="M49" i="10"/>
  <c r="R49" i="22"/>
  <c r="AK56" i="4"/>
  <c r="AG20" i="22"/>
  <c r="AL20" i="22" s="1"/>
  <c r="AW20" i="22" s="1"/>
  <c r="X46" i="22"/>
  <c r="AK46" i="22" s="1"/>
  <c r="AU46" i="22" s="1"/>
  <c r="V51" i="22"/>
  <c r="AB51" i="22" s="1"/>
  <c r="O51" i="10"/>
  <c r="U51" i="10" s="1"/>
  <c r="AI58" i="4"/>
  <c r="V16" i="22"/>
  <c r="AB16" i="22" s="1"/>
  <c r="O16" i="10"/>
  <c r="U16" i="10" s="1"/>
  <c r="AI17" i="4"/>
  <c r="V42" i="22"/>
  <c r="O42" i="10"/>
  <c r="U42" i="10" s="1"/>
  <c r="AI46" i="4"/>
  <c r="T55" i="10"/>
  <c r="AC55" i="10" s="1"/>
  <c r="AJ55" i="10" s="1"/>
  <c r="AM55" i="10" s="1"/>
  <c r="X38" i="22"/>
  <c r="AK38" i="22" s="1"/>
  <c r="AU38" i="22" s="1"/>
  <c r="Q54" i="10"/>
  <c r="AD54" i="10" s="1"/>
  <c r="AK54" i="10" s="1"/>
  <c r="AE65" i="22"/>
  <c r="X65" i="10"/>
  <c r="K71" i="23" s="1"/>
  <c r="AA48" i="22"/>
  <c r="AJ48" i="22" s="1"/>
  <c r="AS48" i="22" s="1"/>
  <c r="AA28" i="22"/>
  <c r="AJ28" i="22" s="1"/>
  <c r="AS28" i="22" s="1"/>
  <c r="AA60" i="22"/>
  <c r="AJ60" i="22" s="1"/>
  <c r="AS60" i="22" s="1"/>
  <c r="E115" i="20"/>
  <c r="AB47" i="4"/>
  <c r="N48" i="20"/>
  <c r="M48" i="20"/>
  <c r="H14" i="22"/>
  <c r="AB20" i="23" s="1"/>
  <c r="AC20" i="23" s="1"/>
  <c r="G14" i="10"/>
  <c r="AF13" i="22"/>
  <c r="Y13" i="10"/>
  <c r="L19" i="23" s="1"/>
  <c r="I14" i="4"/>
  <c r="J14" i="4"/>
  <c r="AA29" i="22"/>
  <c r="AJ29" i="22" s="1"/>
  <c r="AS29" i="22" s="1"/>
  <c r="Q17" i="10"/>
  <c r="AD17" i="10" s="1"/>
  <c r="AK17" i="10" s="1"/>
  <c r="H45" i="22"/>
  <c r="AB51" i="23" s="1"/>
  <c r="AC51" i="23" s="1"/>
  <c r="G45" i="10"/>
  <c r="X16" i="22"/>
  <c r="AK16" i="22" s="1"/>
  <c r="AU16" i="22" s="1"/>
  <c r="T7" i="10"/>
  <c r="AC7" i="10" s="1"/>
  <c r="AJ7" i="10" s="1"/>
  <c r="V36" i="22"/>
  <c r="O36" i="10"/>
  <c r="AI40" i="4"/>
  <c r="V6" i="22"/>
  <c r="O6" i="10"/>
  <c r="X28" i="22"/>
  <c r="AK28" i="22" s="1"/>
  <c r="AU28" i="22" s="1"/>
  <c r="I61" i="22"/>
  <c r="X61" i="22" s="1"/>
  <c r="AK61" i="22" s="1"/>
  <c r="AU61" i="22" s="1"/>
  <c r="H61" i="10"/>
  <c r="Q61" i="10" s="1"/>
  <c r="AD61" i="10" s="1"/>
  <c r="AK61" i="10" s="1"/>
  <c r="Y62" i="10"/>
  <c r="L68" i="23" s="1"/>
  <c r="AF62" i="22"/>
  <c r="AB45" i="22"/>
  <c r="H7" i="22"/>
  <c r="G7" i="10"/>
  <c r="AA8" i="22"/>
  <c r="AJ8" i="22" s="1"/>
  <c r="AS8" i="22" s="1"/>
  <c r="X31" i="22"/>
  <c r="AK31" i="22" s="1"/>
  <c r="AU31" i="22" s="1"/>
  <c r="M63" i="10"/>
  <c r="R63" i="22"/>
  <c r="AK70" i="4"/>
  <c r="V62" i="22"/>
  <c r="AB62" i="22" s="1"/>
  <c r="O62" i="10"/>
  <c r="U62" i="10" s="1"/>
  <c r="AI69" i="4"/>
  <c r="V37" i="22"/>
  <c r="AB37" i="22" s="1"/>
  <c r="O37" i="10"/>
  <c r="U37" i="10" s="1"/>
  <c r="AI41" i="4"/>
  <c r="V12" i="22"/>
  <c r="O12" i="10"/>
  <c r="AI13" i="4"/>
  <c r="T52" i="22"/>
  <c r="AH58" i="23" s="1"/>
  <c r="AI58" i="23" s="1"/>
  <c r="N52" i="10"/>
  <c r="Z52" i="10" s="1"/>
  <c r="AE52" i="10" s="1"/>
  <c r="AL52" i="10" s="1"/>
  <c r="AC62" i="4"/>
  <c r="Q64" i="10"/>
  <c r="AD64" i="10" s="1"/>
  <c r="AK64" i="10" s="1"/>
  <c r="AN64" i="10" s="1"/>
  <c r="AN57" i="10"/>
  <c r="I23" i="22"/>
  <c r="AG23" i="22" s="1"/>
  <c r="AL23" i="22" s="1"/>
  <c r="AW23" i="22" s="1"/>
  <c r="H23" i="10"/>
  <c r="Q23" i="10" s="1"/>
  <c r="AD23" i="10" s="1"/>
  <c r="AK23" i="10" s="1"/>
  <c r="AA30" i="22"/>
  <c r="AJ30" i="22" s="1"/>
  <c r="AS30" i="22" s="1"/>
  <c r="AF27" i="22"/>
  <c r="H91" i="4"/>
  <c r="Y27" i="10"/>
  <c r="L33" i="23" s="1"/>
  <c r="I31" i="4"/>
  <c r="W31" i="4"/>
  <c r="W32" i="4" s="1"/>
  <c r="W33" i="4" s="1"/>
  <c r="W34" i="4" s="1"/>
  <c r="W35" i="4" s="1"/>
  <c r="W36" i="4" s="1"/>
  <c r="W37" i="4" s="1"/>
  <c r="W38" i="4" s="1"/>
  <c r="W39" i="4" s="1"/>
  <c r="W40" i="4" s="1"/>
  <c r="W41" i="4" s="1"/>
  <c r="W42" i="4" s="1"/>
  <c r="W43" i="4" s="1"/>
  <c r="W44" i="4" s="1"/>
  <c r="W45" i="4" s="1"/>
  <c r="W46" i="4" s="1"/>
  <c r="W47" i="4" s="1"/>
  <c r="W48" i="4" s="1"/>
  <c r="W49" i="4" s="1"/>
  <c r="W50" i="4" s="1"/>
  <c r="W51" i="4" s="1"/>
  <c r="J31" i="4"/>
  <c r="T51" i="10"/>
  <c r="AC51" i="10" s="1"/>
  <c r="AJ51" i="10" s="1"/>
  <c r="AM51" i="10" s="1"/>
  <c r="Z38" i="22"/>
  <c r="AI38" i="22" s="1"/>
  <c r="AQ38" i="22" s="1"/>
  <c r="T65" i="22"/>
  <c r="N65" i="10"/>
  <c r="T32" i="22"/>
  <c r="N32" i="10"/>
  <c r="AC57" i="4"/>
  <c r="Y50" i="10"/>
  <c r="L56" i="23" s="1"/>
  <c r="AF50" i="22"/>
  <c r="W57" i="4"/>
  <c r="W58" i="4" s="1"/>
  <c r="W59" i="4" s="1"/>
  <c r="W60" i="4" s="1"/>
  <c r="W61" i="4" s="1"/>
  <c r="W62" i="4" s="1"/>
  <c r="W63" i="4" s="1"/>
  <c r="W64" i="4" s="1"/>
  <c r="Q52" i="10"/>
  <c r="AD52" i="10" s="1"/>
  <c r="AK52" i="10" s="1"/>
  <c r="X54" i="22"/>
  <c r="AK54" i="22" s="1"/>
  <c r="AU54" i="22" s="1"/>
  <c r="Y65" i="10"/>
  <c r="L71" i="23" s="1"/>
  <c r="AF65" i="22"/>
  <c r="I72" i="4"/>
  <c r="J72" i="4"/>
  <c r="T48" i="10"/>
  <c r="AC48" i="10" s="1"/>
  <c r="AJ48" i="10" s="1"/>
  <c r="AM48" i="10" s="1"/>
  <c r="T60" i="10"/>
  <c r="AC60" i="10" s="1"/>
  <c r="AJ60" i="10" s="1"/>
  <c r="AA59" i="22"/>
  <c r="AJ59" i="22" s="1"/>
  <c r="AS59" i="22" s="1"/>
  <c r="AA42" i="22"/>
  <c r="AJ42" i="22" s="1"/>
  <c r="AS42" i="22" s="1"/>
  <c r="X22" i="22"/>
  <c r="AK22" i="22" s="1"/>
  <c r="AU22" i="22" s="1"/>
  <c r="H47" i="22"/>
  <c r="AH53" i="23" s="1"/>
  <c r="AI53" i="23" s="1"/>
  <c r="G47" i="10"/>
  <c r="X24" i="22"/>
  <c r="AK24" i="22" s="1"/>
  <c r="AU24" i="22" s="1"/>
  <c r="AC47" i="4"/>
  <c r="I14" i="22"/>
  <c r="AA14" i="22" s="1"/>
  <c r="AJ14" i="22" s="1"/>
  <c r="AS14" i="22" s="1"/>
  <c r="H14" i="10"/>
  <c r="T14" i="10" s="1"/>
  <c r="AC14" i="10" s="1"/>
  <c r="AJ14" i="10" s="1"/>
  <c r="AE35" i="22"/>
  <c r="X35" i="10"/>
  <c r="K41" i="23" s="1"/>
  <c r="H58" i="22"/>
  <c r="AB64" i="23" s="1"/>
  <c r="AC64" i="23" s="1"/>
  <c r="G58" i="10"/>
  <c r="X17" i="22"/>
  <c r="AK17" i="22" s="1"/>
  <c r="AU17" i="22" s="1"/>
  <c r="Q51" i="10"/>
  <c r="AD51" i="10" s="1"/>
  <c r="AK51" i="10" s="1"/>
  <c r="AN51" i="10" s="1"/>
  <c r="U22" i="10"/>
  <c r="R43" i="22"/>
  <c r="AK47" i="4"/>
  <c r="M43" i="10"/>
  <c r="T43" i="10" s="1"/>
  <c r="AC43" i="10" s="1"/>
  <c r="AJ43" i="10" s="1"/>
  <c r="AM43" i="10" s="1"/>
  <c r="AA45" i="22"/>
  <c r="AJ45" i="22" s="1"/>
  <c r="AS45" i="22" s="1"/>
  <c r="T9" i="10"/>
  <c r="AC9" i="10" s="1"/>
  <c r="AJ9" i="10" s="1"/>
  <c r="Q59" i="10"/>
  <c r="AD59" i="10" s="1"/>
  <c r="AK59" i="10" s="1"/>
  <c r="AN59" i="10" s="1"/>
  <c r="AA7" i="22"/>
  <c r="AJ7" i="22" s="1"/>
  <c r="AS7" i="22" s="1"/>
  <c r="I53" i="22"/>
  <c r="H53" i="10"/>
  <c r="T57" i="22"/>
  <c r="AH63" i="23" s="1"/>
  <c r="AI63" i="23" s="1"/>
  <c r="N57" i="10"/>
  <c r="Z57" i="10" s="1"/>
  <c r="AE57" i="10" s="1"/>
  <c r="AL57" i="10" s="1"/>
  <c r="H112" i="20"/>
  <c r="I6" i="22"/>
  <c r="H6" i="10"/>
  <c r="Q62" i="10"/>
  <c r="AD62" i="10" s="1"/>
  <c r="AK62" i="10" s="1"/>
  <c r="H53" i="22"/>
  <c r="AE59" i="23" s="1"/>
  <c r="AF59" i="23" s="1"/>
  <c r="G53" i="10"/>
  <c r="AA50" i="22"/>
  <c r="AJ50" i="22" s="1"/>
  <c r="AS50" i="22" s="1"/>
  <c r="Q7" i="10"/>
  <c r="AD7" i="10" s="1"/>
  <c r="AK7" i="10" s="1"/>
  <c r="AB22" i="22"/>
  <c r="X45" i="22"/>
  <c r="AK45" i="22" s="1"/>
  <c r="AU45" i="22" s="1"/>
  <c r="AM8" i="10"/>
  <c r="AF15" i="22"/>
  <c r="Y15" i="10"/>
  <c r="L21" i="23" s="1"/>
  <c r="J16" i="4"/>
  <c r="I16" i="4"/>
  <c r="T20" i="10"/>
  <c r="AC20" i="10" s="1"/>
  <c r="AJ20" i="10" s="1"/>
  <c r="Q31" i="10"/>
  <c r="AD31" i="10" s="1"/>
  <c r="AK31" i="10" s="1"/>
  <c r="T31" i="10"/>
  <c r="AC31" i="10" s="1"/>
  <c r="AJ31" i="10" s="1"/>
  <c r="T66" i="22"/>
  <c r="AH72" i="23" s="1"/>
  <c r="AI72" i="23" s="1"/>
  <c r="N66" i="10"/>
  <c r="T58" i="22"/>
  <c r="N58" i="10"/>
  <c r="T33" i="22"/>
  <c r="N33" i="10"/>
  <c r="N17" i="10"/>
  <c r="Z17" i="10" s="1"/>
  <c r="AE17" i="10" s="1"/>
  <c r="AL17" i="10" s="1"/>
  <c r="T17" i="22"/>
  <c r="AH23" i="23" s="1"/>
  <c r="AI23" i="23" s="1"/>
  <c r="T7" i="22"/>
  <c r="AH13" i="23" s="1"/>
  <c r="AI13" i="23" s="1"/>
  <c r="N7" i="10"/>
  <c r="Z7" i="10" s="1"/>
  <c r="AE7" i="10" s="1"/>
  <c r="AL7" i="10" s="1"/>
  <c r="T44" i="22"/>
  <c r="N44" i="10"/>
  <c r="G42" i="10"/>
  <c r="H42" i="22"/>
  <c r="AB48" i="23" s="1"/>
  <c r="AC48" i="23" s="1"/>
  <c r="AE14" i="22"/>
  <c r="X14" i="10"/>
  <c r="K20" i="23" s="1"/>
  <c r="I34" i="22"/>
  <c r="AA34" i="22" s="1"/>
  <c r="AJ34" i="22" s="1"/>
  <c r="AS34" i="22" s="1"/>
  <c r="H34" i="10"/>
  <c r="Q34" i="10" s="1"/>
  <c r="AD34" i="10" s="1"/>
  <c r="AK34" i="10" s="1"/>
  <c r="X64" i="22"/>
  <c r="AK64" i="22" s="1"/>
  <c r="AU64" i="22" s="1"/>
  <c r="X57" i="22"/>
  <c r="AK57" i="22" s="1"/>
  <c r="AU57" i="22" s="1"/>
  <c r="M65" i="10"/>
  <c r="R65" i="22"/>
  <c r="AK72" i="4"/>
  <c r="T49" i="22"/>
  <c r="N49" i="10"/>
  <c r="I26" i="22"/>
  <c r="H26" i="10"/>
  <c r="Q26" i="10" s="1"/>
  <c r="AD26" i="10" s="1"/>
  <c r="AK26" i="10" s="1"/>
  <c r="V65" i="22"/>
  <c r="O65" i="10"/>
  <c r="AI72" i="4"/>
  <c r="V32" i="22"/>
  <c r="O32" i="10"/>
  <c r="AI36" i="4"/>
  <c r="AB57" i="4"/>
  <c r="M59" i="20"/>
  <c r="N59" i="20"/>
  <c r="E119" i="20"/>
  <c r="R38" i="22"/>
  <c r="AB44" i="23" s="1"/>
  <c r="AC44" i="23" s="1"/>
  <c r="AK42" i="4"/>
  <c r="M38" i="10"/>
  <c r="T38" i="10" s="1"/>
  <c r="AC38" i="10" s="1"/>
  <c r="AJ38" i="10" s="1"/>
  <c r="AM38" i="10" s="1"/>
  <c r="X52" i="22"/>
  <c r="AK52" i="22" s="1"/>
  <c r="AU52" i="22" s="1"/>
  <c r="Q58" i="10"/>
  <c r="AD58" i="10" s="1"/>
  <c r="AK58" i="10" s="1"/>
  <c r="S29" i="10"/>
  <c r="AB29" i="10" s="1"/>
  <c r="AI29" i="10" s="1"/>
  <c r="AN29" i="10" s="1"/>
  <c r="T59" i="10"/>
  <c r="AC59" i="10" s="1"/>
  <c r="AJ59" i="10" s="1"/>
  <c r="AM59" i="10" s="1"/>
  <c r="M139" i="16"/>
  <c r="M140" i="16" s="1"/>
  <c r="M135" i="16"/>
  <c r="L89" i="12"/>
  <c r="L90" i="12" s="1"/>
  <c r="M90" i="12" s="1"/>
  <c r="H92" i="12"/>
  <c r="H54" i="22"/>
  <c r="G54" i="10"/>
  <c r="AM29" i="10"/>
  <c r="I58" i="22"/>
  <c r="AA58" i="22" s="1"/>
  <c r="AJ58" i="22" s="1"/>
  <c r="AS58" i="22" s="1"/>
  <c r="H58" i="10"/>
  <c r="I11" i="22"/>
  <c r="AA11" i="22" s="1"/>
  <c r="AJ11" i="22" s="1"/>
  <c r="AS11" i="22" s="1"/>
  <c r="H11" i="10"/>
  <c r="T11" i="10" s="1"/>
  <c r="AC11" i="10" s="1"/>
  <c r="AJ11" i="10" s="1"/>
  <c r="Y58" i="10"/>
  <c r="L64" i="23" s="1"/>
  <c r="AF58" i="22"/>
  <c r="W65" i="4"/>
  <c r="W66" i="4" s="1"/>
  <c r="W67" i="4" s="1"/>
  <c r="W68" i="4" s="1"/>
  <c r="W69" i="4" s="1"/>
  <c r="W70" i="4" s="1"/>
  <c r="W71" i="4" s="1"/>
  <c r="W72" i="4" s="1"/>
  <c r="W73" i="4" s="1"/>
  <c r="W74" i="4" s="1"/>
  <c r="W75" i="4" s="1"/>
  <c r="X51" i="22"/>
  <c r="AK51" i="22" s="1"/>
  <c r="AU51" i="22" s="1"/>
  <c r="Z45" i="10"/>
  <c r="AE45" i="10" s="1"/>
  <c r="AL45" i="10" s="1"/>
  <c r="AN43" i="10"/>
  <c r="AK19" i="4"/>
  <c r="R18" i="22"/>
  <c r="M18" i="10"/>
  <c r="Z28" i="10"/>
  <c r="AE28" i="10" s="1"/>
  <c r="AL28" i="10" s="1"/>
  <c r="AA9" i="22"/>
  <c r="AJ9" i="22" s="1"/>
  <c r="AS9" i="22" s="1"/>
  <c r="X59" i="22"/>
  <c r="AK59" i="22" s="1"/>
  <c r="AU59" i="22" s="1"/>
  <c r="V57" i="22"/>
  <c r="AB57" i="22" s="1"/>
  <c r="O57" i="10"/>
  <c r="U57" i="10" s="1"/>
  <c r="AI64" i="4"/>
  <c r="V29" i="22"/>
  <c r="AB29" i="22" s="1"/>
  <c r="O29" i="10"/>
  <c r="U29" i="10" s="1"/>
  <c r="AI33" i="4"/>
  <c r="H6" i="22"/>
  <c r="G6" i="10"/>
  <c r="X62" i="22"/>
  <c r="AK62" i="22" s="1"/>
  <c r="AU62" i="22" s="1"/>
  <c r="H30" i="22"/>
  <c r="AB36" i="23" s="1"/>
  <c r="AC36" i="23" s="1"/>
  <c r="G30" i="10"/>
  <c r="Z6" i="17"/>
  <c r="AB5" i="17"/>
  <c r="AB6" i="17" s="1"/>
  <c r="T50" i="10"/>
  <c r="AC50" i="10" s="1"/>
  <c r="AJ50" i="10" s="1"/>
  <c r="Z47" i="10"/>
  <c r="AE47" i="10" s="1"/>
  <c r="AL47" i="10" s="1"/>
  <c r="X7" i="22"/>
  <c r="AK7" i="22" s="1"/>
  <c r="AU7" i="22" s="1"/>
  <c r="R32" i="22"/>
  <c r="M32" i="10"/>
  <c r="AK36" i="4"/>
  <c r="R46" i="22"/>
  <c r="AB52" i="23" s="1"/>
  <c r="AC52" i="23" s="1"/>
  <c r="AK50" i="4"/>
  <c r="M46" i="10"/>
  <c r="T46" i="10" s="1"/>
  <c r="AC46" i="10" s="1"/>
  <c r="AJ46" i="10" s="1"/>
  <c r="AA20" i="22"/>
  <c r="AJ20" i="22" s="1"/>
  <c r="AS20" i="22" s="1"/>
  <c r="AG25" i="22"/>
  <c r="AL25" i="22" s="1"/>
  <c r="AW25" i="22" s="1"/>
  <c r="V66" i="22"/>
  <c r="O66" i="10"/>
  <c r="AI73" i="4"/>
  <c r="V58" i="22"/>
  <c r="AB58" i="22" s="1"/>
  <c r="O58" i="10"/>
  <c r="AI65" i="4"/>
  <c r="V33" i="22"/>
  <c r="O33" i="10"/>
  <c r="AI37" i="4"/>
  <c r="V17" i="22"/>
  <c r="AB17" i="22" s="1"/>
  <c r="O17" i="10"/>
  <c r="U17" i="10" s="1"/>
  <c r="AI18" i="4"/>
  <c r="V7" i="22"/>
  <c r="AB7" i="22" s="1"/>
  <c r="O7" i="10"/>
  <c r="U7" i="10" s="1"/>
  <c r="AI8" i="4"/>
  <c r="V44" i="22"/>
  <c r="O44" i="10"/>
  <c r="AI48" i="4"/>
  <c r="H43" i="22"/>
  <c r="AE49" i="23" s="1"/>
  <c r="AF49" i="23" s="1"/>
  <c r="G43" i="10"/>
  <c r="Q14" i="10"/>
  <c r="AD14" i="10" s="1"/>
  <c r="AK14" i="10" s="1"/>
  <c r="L6" i="22"/>
  <c r="AE12" i="23" s="1"/>
  <c r="AF12" i="23" s="1"/>
  <c r="J6" i="10"/>
  <c r="Q6" i="10" s="1"/>
  <c r="AD6" i="10" s="1"/>
  <c r="AK6" i="10" s="1"/>
  <c r="AH7" i="4"/>
  <c r="Q9" i="10"/>
  <c r="AD9" i="10" s="1"/>
  <c r="AK9" i="10" s="1"/>
  <c r="M61" i="10"/>
  <c r="T61" i="10" s="1"/>
  <c r="AC61" i="10" s="1"/>
  <c r="AJ61" i="10" s="1"/>
  <c r="R61" i="22"/>
  <c r="AB67" i="23" s="1"/>
  <c r="AC67" i="23" s="1"/>
  <c r="AK68" i="4"/>
  <c r="T24" i="10"/>
  <c r="AC24" i="10" s="1"/>
  <c r="AJ24" i="10" s="1"/>
  <c r="T37" i="10"/>
  <c r="AC37" i="10" s="1"/>
  <c r="AJ37" i="10" s="1"/>
  <c r="V49" i="22"/>
  <c r="O49" i="10"/>
  <c r="AI56" i="4"/>
  <c r="X12" i="10"/>
  <c r="K18" i="23" s="1"/>
  <c r="AE12" i="22"/>
  <c r="AF14" i="22"/>
  <c r="Y14" i="10"/>
  <c r="L20" i="23" s="1"/>
  <c r="Z29" i="22"/>
  <c r="AI29" i="22" s="1"/>
  <c r="AQ29" i="22" s="1"/>
  <c r="I21" i="22"/>
  <c r="AG21" i="22" s="1"/>
  <c r="AL21" i="22" s="1"/>
  <c r="AW21" i="22" s="1"/>
  <c r="H21" i="10"/>
  <c r="AA67" i="22"/>
  <c r="AJ67" i="22" s="1"/>
  <c r="AS67" i="22" s="1"/>
  <c r="Z20" i="10"/>
  <c r="AE20" i="10" s="1"/>
  <c r="AL20" i="10" s="1"/>
  <c r="AK27" i="4"/>
  <c r="R26" i="22"/>
  <c r="AB32" i="23" s="1"/>
  <c r="AC32" i="23" s="1"/>
  <c r="M26" i="10"/>
  <c r="AI27" i="4"/>
  <c r="Q46" i="10"/>
  <c r="AD46" i="10" s="1"/>
  <c r="AK46" i="10" s="1"/>
  <c r="T51" i="22"/>
  <c r="AH57" i="23" s="1"/>
  <c r="AI57" i="23" s="1"/>
  <c r="N51" i="10"/>
  <c r="Z51" i="10" s="1"/>
  <c r="AE51" i="10" s="1"/>
  <c r="AL51" i="10" s="1"/>
  <c r="N16" i="10"/>
  <c r="Z16" i="10" s="1"/>
  <c r="AE16" i="10" s="1"/>
  <c r="AL16" i="10" s="1"/>
  <c r="T16" i="22"/>
  <c r="AH22" i="23" s="1"/>
  <c r="AI22" i="23" s="1"/>
  <c r="T42" i="22"/>
  <c r="AH48" i="23" s="1"/>
  <c r="AI48" i="23" s="1"/>
  <c r="N42" i="10"/>
  <c r="Z42" i="10" s="1"/>
  <c r="AE42" i="10" s="1"/>
  <c r="AL42" i="10" s="1"/>
  <c r="AA55" i="22"/>
  <c r="AJ55" i="22" s="1"/>
  <c r="AS55" i="22" s="1"/>
  <c r="Q38" i="10"/>
  <c r="AD38" i="10" s="1"/>
  <c r="AK38" i="10" s="1"/>
  <c r="AN38" i="10" s="1"/>
  <c r="M54" i="10"/>
  <c r="T54" i="10" s="1"/>
  <c r="AC54" i="10" s="1"/>
  <c r="AJ54" i="10" s="1"/>
  <c r="R54" i="22"/>
  <c r="AB60" i="23" s="1"/>
  <c r="AC60" i="23" s="1"/>
  <c r="AK61" i="4"/>
  <c r="X58" i="22"/>
  <c r="AK58" i="22" s="1"/>
  <c r="AU58" i="22" s="1"/>
  <c r="T28" i="10"/>
  <c r="AC28" i="10" s="1"/>
  <c r="AJ28" i="10" s="1"/>
  <c r="T42" i="10"/>
  <c r="AC42" i="10" s="1"/>
  <c r="AJ42" i="10" s="1"/>
  <c r="T34" i="10"/>
  <c r="AC34" i="10" s="1"/>
  <c r="AJ34" i="10" s="1"/>
  <c r="V60" i="23" l="1"/>
  <c r="W60" i="23" s="1"/>
  <c r="Y60" i="23"/>
  <c r="Z60" i="23" s="1"/>
  <c r="AH60" i="23"/>
  <c r="AI60" i="23" s="1"/>
  <c r="V74" i="23"/>
  <c r="W74" i="23" s="1"/>
  <c r="Y74" i="23"/>
  <c r="Z74" i="23" s="1"/>
  <c r="AE56" i="23"/>
  <c r="AF56" i="23" s="1"/>
  <c r="V56" i="23"/>
  <c r="W56" i="23" s="1"/>
  <c r="Y56" i="23"/>
  <c r="Z56" i="23" s="1"/>
  <c r="AH54" i="23"/>
  <c r="AI54" i="23" s="1"/>
  <c r="AE73" i="23"/>
  <c r="AF73" i="23" s="1"/>
  <c r="AH26" i="23"/>
  <c r="AI26" i="23" s="1"/>
  <c r="AE53" i="23"/>
  <c r="AF53" i="23" s="1"/>
  <c r="AE74" i="23"/>
  <c r="AF74" i="23" s="1"/>
  <c r="AB30" i="23"/>
  <c r="AC30" i="23" s="1"/>
  <c r="AH59" i="23"/>
  <c r="AI59" i="23" s="1"/>
  <c r="V72" i="23"/>
  <c r="W72" i="23" s="1"/>
  <c r="AE72" i="23"/>
  <c r="AF72" i="23" s="1"/>
  <c r="Y72" i="23"/>
  <c r="Z72" i="23" s="1"/>
  <c r="AE64" i="23"/>
  <c r="AF64" i="23" s="1"/>
  <c r="AE54" i="23"/>
  <c r="AF54" i="23" s="1"/>
  <c r="Y66" i="23"/>
  <c r="Z66" i="23" s="1"/>
  <c r="V66" i="23"/>
  <c r="W66" i="23" s="1"/>
  <c r="AH66" i="23"/>
  <c r="AI66" i="23" s="1"/>
  <c r="V73" i="23"/>
  <c r="W73" i="23" s="1"/>
  <c r="Y73" i="23"/>
  <c r="Z73" i="23" s="1"/>
  <c r="V52" i="23"/>
  <c r="W52" i="23" s="1"/>
  <c r="Y52" i="23"/>
  <c r="Z52" i="23" s="1"/>
  <c r="AH37" i="23"/>
  <c r="AI37" i="23" s="1"/>
  <c r="AB59" i="23"/>
  <c r="AC59" i="23" s="1"/>
  <c r="AE20" i="23"/>
  <c r="AF20" i="23" s="1"/>
  <c r="AB63" i="23"/>
  <c r="AC63" i="23" s="1"/>
  <c r="AH51" i="23"/>
  <c r="AI51" i="23" s="1"/>
  <c r="AB34" i="23"/>
  <c r="AC34" i="23" s="1"/>
  <c r="V64" i="23"/>
  <c r="W64" i="23" s="1"/>
  <c r="Y64" i="23"/>
  <c r="Z64" i="23" s="1"/>
  <c r="Y48" i="23"/>
  <c r="Z48" i="23" s="1"/>
  <c r="V48" i="23"/>
  <c r="W48" i="23" s="1"/>
  <c r="Y40" i="23"/>
  <c r="Z40" i="23" s="1"/>
  <c r="V40" i="23"/>
  <c r="W40" i="23" s="1"/>
  <c r="AH36" i="23"/>
  <c r="AI36" i="23" s="1"/>
  <c r="AH73" i="23"/>
  <c r="AI73" i="23" s="1"/>
  <c r="Y58" i="23"/>
  <c r="Z58" i="23" s="1"/>
  <c r="V58" i="23"/>
  <c r="W58" i="23" s="1"/>
  <c r="AE37" i="23"/>
  <c r="AF37" i="23" s="1"/>
  <c r="AE52" i="23"/>
  <c r="AF52" i="23" s="1"/>
  <c r="AE66" i="23"/>
  <c r="AF66" i="23" s="1"/>
  <c r="AH30" i="23"/>
  <c r="AI30" i="23" s="1"/>
  <c r="Y36" i="23"/>
  <c r="Z36" i="23" s="1"/>
  <c r="V36" i="23"/>
  <c r="W36" i="23" s="1"/>
  <c r="V51" i="23"/>
  <c r="W51" i="23" s="1"/>
  <c r="Y51" i="23"/>
  <c r="Z51" i="23" s="1"/>
  <c r="Y20" i="23"/>
  <c r="Z20" i="23" s="1"/>
  <c r="V20" i="23"/>
  <c r="W20" i="23" s="1"/>
  <c r="Y54" i="23"/>
  <c r="Z54" i="23" s="1"/>
  <c r="V54" i="23"/>
  <c r="W54" i="23" s="1"/>
  <c r="V43" i="23"/>
  <c r="W43" i="23" s="1"/>
  <c r="Y43" i="23"/>
  <c r="Z43" i="23" s="1"/>
  <c r="AH74" i="23"/>
  <c r="AI74" i="23" s="1"/>
  <c r="AE51" i="23"/>
  <c r="AF51" i="23" s="1"/>
  <c r="AB72" i="23"/>
  <c r="AC72" i="23" s="1"/>
  <c r="AB49" i="23"/>
  <c r="AC49" i="23" s="1"/>
  <c r="Y13" i="23"/>
  <c r="Z13" i="23" s="1"/>
  <c r="V13" i="23"/>
  <c r="W13" i="23" s="1"/>
  <c r="V32" i="23"/>
  <c r="W32" i="23" s="1"/>
  <c r="Y32" i="23"/>
  <c r="Z32" i="23" s="1"/>
  <c r="Y26" i="23"/>
  <c r="Z26" i="23" s="1"/>
  <c r="V26" i="23"/>
  <c r="W26" i="23" s="1"/>
  <c r="AE26" i="23"/>
  <c r="AF26" i="23" s="1"/>
  <c r="AE13" i="23"/>
  <c r="AF13" i="23" s="1"/>
  <c r="AH32" i="23"/>
  <c r="AI32" i="23" s="1"/>
  <c r="AE48" i="23"/>
  <c r="AF48" i="23" s="1"/>
  <c r="Y49" i="23"/>
  <c r="Z49" i="23" s="1"/>
  <c r="V49" i="23"/>
  <c r="W49" i="23" s="1"/>
  <c r="AH64" i="23"/>
  <c r="AI64" i="23" s="1"/>
  <c r="V59" i="23"/>
  <c r="W59" i="23" s="1"/>
  <c r="Y59" i="23"/>
  <c r="Z59" i="23" s="1"/>
  <c r="Y63" i="23"/>
  <c r="Z63" i="23" s="1"/>
  <c r="V63" i="23"/>
  <c r="W63" i="23" s="1"/>
  <c r="V34" i="23"/>
  <c r="W34" i="23" s="1"/>
  <c r="Y34" i="23"/>
  <c r="Z34" i="23" s="1"/>
  <c r="Y37" i="23"/>
  <c r="Z37" i="23" s="1"/>
  <c r="V37" i="23"/>
  <c r="W37" i="23" s="1"/>
  <c r="AH62" i="23"/>
  <c r="AI62" i="23" s="1"/>
  <c r="Y68" i="23"/>
  <c r="Z68" i="23" s="1"/>
  <c r="V68" i="23"/>
  <c r="W68" i="23" s="1"/>
  <c r="AE40" i="23"/>
  <c r="AF40" i="23" s="1"/>
  <c r="AE60" i="23"/>
  <c r="AF60" i="23" s="1"/>
  <c r="AB56" i="23"/>
  <c r="AC56" i="23" s="1"/>
  <c r="AE36" i="23"/>
  <c r="AF36" i="23" s="1"/>
  <c r="AE43" i="23"/>
  <c r="AF43" i="23" s="1"/>
  <c r="Y53" i="23"/>
  <c r="Z53" i="23" s="1"/>
  <c r="V53" i="23"/>
  <c r="W53" i="23" s="1"/>
  <c r="V12" i="23"/>
  <c r="W12" i="23" s="1"/>
  <c r="Y12" i="23"/>
  <c r="Z12" i="23" s="1"/>
  <c r="AH69" i="23"/>
  <c r="AI69" i="23" s="1"/>
  <c r="Y30" i="23"/>
  <c r="Z30" i="23" s="1"/>
  <c r="V30" i="23"/>
  <c r="W30" i="23" s="1"/>
  <c r="AH40" i="23"/>
  <c r="AI40" i="23" s="1"/>
  <c r="AB74" i="23"/>
  <c r="AC74" i="23" s="1"/>
  <c r="AB66" i="23"/>
  <c r="AC66" i="23" s="1"/>
  <c r="AE34" i="23"/>
  <c r="AF34" i="23" s="1"/>
  <c r="AE32" i="23"/>
  <c r="AF32" i="23" s="1"/>
  <c r="AB13" i="23"/>
  <c r="AC13" i="23" s="1"/>
  <c r="AB53" i="23"/>
  <c r="AC53" i="23" s="1"/>
  <c r="M59" i="23"/>
  <c r="N59" i="23" s="1"/>
  <c r="M13" i="23"/>
  <c r="N13" i="23" s="1"/>
  <c r="M51" i="23"/>
  <c r="N51" i="23" s="1"/>
  <c r="M30" i="23"/>
  <c r="N30" i="23" s="1"/>
  <c r="M72" i="23"/>
  <c r="N72" i="23" s="1"/>
  <c r="I41" i="22"/>
  <c r="H41" i="10"/>
  <c r="T41" i="10" s="1"/>
  <c r="AC41" i="10" s="1"/>
  <c r="AJ41" i="10" s="1"/>
  <c r="I56" i="22"/>
  <c r="H56" i="10"/>
  <c r="T30" i="10"/>
  <c r="AC30" i="10" s="1"/>
  <c r="AJ30" i="10" s="1"/>
  <c r="M49" i="23"/>
  <c r="N49" i="23" s="1"/>
  <c r="M20" i="23"/>
  <c r="N20" i="23" s="1"/>
  <c r="M56" i="23"/>
  <c r="N56" i="23" s="1"/>
  <c r="M52" i="23"/>
  <c r="N52" i="23" s="1"/>
  <c r="H44" i="22"/>
  <c r="G44" i="10"/>
  <c r="H41" i="22"/>
  <c r="G41" i="10"/>
  <c r="H63" i="22"/>
  <c r="G63" i="10"/>
  <c r="M60" i="23"/>
  <c r="N60" i="23" s="1"/>
  <c r="I90" i="4"/>
  <c r="M54" i="23"/>
  <c r="N54" i="23" s="1"/>
  <c r="H44" i="10"/>
  <c r="U44" i="10" s="1"/>
  <c r="I44" i="22"/>
  <c r="AB44" i="22" s="1"/>
  <c r="M36" i="23"/>
  <c r="N36" i="23" s="1"/>
  <c r="M32" i="23"/>
  <c r="N32" i="23" s="1"/>
  <c r="M40" i="23"/>
  <c r="N40" i="23" s="1"/>
  <c r="M66" i="23"/>
  <c r="N66" i="23" s="1"/>
  <c r="M73" i="23"/>
  <c r="N73" i="23" s="1"/>
  <c r="H32" i="22"/>
  <c r="G32" i="10"/>
  <c r="U33" i="10"/>
  <c r="U56" i="10"/>
  <c r="Z56" i="10"/>
  <c r="AE56" i="10" s="1"/>
  <c r="AL56" i="10" s="1"/>
  <c r="I32" i="22"/>
  <c r="AB32" i="22" s="1"/>
  <c r="H32" i="10"/>
  <c r="U32" i="10" s="1"/>
  <c r="M48" i="23"/>
  <c r="N48" i="23" s="1"/>
  <c r="Z33" i="10"/>
  <c r="AE33" i="10" s="1"/>
  <c r="AL33" i="10" s="1"/>
  <c r="M64" i="23"/>
  <c r="N64" i="23" s="1"/>
  <c r="X23" i="22"/>
  <c r="AK23" i="22" s="1"/>
  <c r="AU23" i="22" s="1"/>
  <c r="M43" i="23"/>
  <c r="N43" i="23" s="1"/>
  <c r="AB56" i="22"/>
  <c r="AA47" i="22"/>
  <c r="AJ47" i="22" s="1"/>
  <c r="AS47" i="22" s="1"/>
  <c r="M68" i="23"/>
  <c r="N68" i="23" s="1"/>
  <c r="H33" i="22"/>
  <c r="G33" i="10"/>
  <c r="G36" i="10"/>
  <c r="H36" i="22"/>
  <c r="M12" i="23"/>
  <c r="N12" i="23" s="1"/>
  <c r="M53" i="23"/>
  <c r="N53" i="23" s="1"/>
  <c r="M74" i="23"/>
  <c r="N74" i="23" s="1"/>
  <c r="M63" i="23"/>
  <c r="N63" i="23" s="1"/>
  <c r="M26" i="23"/>
  <c r="N26" i="23" s="1"/>
  <c r="I33" i="22"/>
  <c r="AG33" i="22" s="1"/>
  <c r="AL33" i="22" s="1"/>
  <c r="AW33" i="22" s="1"/>
  <c r="H33" i="10"/>
  <c r="T33" i="10" s="1"/>
  <c r="AC33" i="10" s="1"/>
  <c r="AJ33" i="10" s="1"/>
  <c r="I63" i="22"/>
  <c r="AB63" i="22" s="1"/>
  <c r="H63" i="10"/>
  <c r="T63" i="10" s="1"/>
  <c r="AC63" i="10" s="1"/>
  <c r="AJ63" i="10" s="1"/>
  <c r="M34" i="23"/>
  <c r="N34" i="23" s="1"/>
  <c r="M37" i="23"/>
  <c r="N37" i="23" s="1"/>
  <c r="M58" i="23"/>
  <c r="N58" i="23" s="1"/>
  <c r="I36" i="22"/>
  <c r="AA36" i="22" s="1"/>
  <c r="AJ36" i="22" s="1"/>
  <c r="AS36" i="22" s="1"/>
  <c r="H36" i="10"/>
  <c r="G56" i="10"/>
  <c r="H56" i="22"/>
  <c r="R21" i="10"/>
  <c r="AA21" i="10" s="1"/>
  <c r="AH21" i="10" s="1"/>
  <c r="P21" i="10"/>
  <c r="U21" i="10"/>
  <c r="S21" i="10"/>
  <c r="AB21" i="10" s="1"/>
  <c r="AI21" i="10" s="1"/>
  <c r="AA61" i="22"/>
  <c r="AJ61" i="22" s="1"/>
  <c r="AS61" i="22" s="1"/>
  <c r="Y6" i="22"/>
  <c r="AH6" i="22" s="1"/>
  <c r="AO6" i="22" s="1"/>
  <c r="Z6" i="22"/>
  <c r="AI6" i="22" s="1"/>
  <c r="AQ6" i="22" s="1"/>
  <c r="V50" i="22"/>
  <c r="AB50" i="22" s="1"/>
  <c r="O50" i="10"/>
  <c r="U50" i="10" s="1"/>
  <c r="AI57" i="4"/>
  <c r="Z26" i="10"/>
  <c r="AE26" i="10" s="1"/>
  <c r="AL26" i="10" s="1"/>
  <c r="AB6" i="22"/>
  <c r="H12" i="22"/>
  <c r="G12" i="10"/>
  <c r="P45" i="10"/>
  <c r="R45" i="10"/>
  <c r="AA45" i="10" s="1"/>
  <c r="AH45" i="10" s="1"/>
  <c r="S45" i="10"/>
  <c r="AB45" i="10" s="1"/>
  <c r="AI45" i="10" s="1"/>
  <c r="AZ43" i="22"/>
  <c r="H39" i="22"/>
  <c r="AH45" i="23" s="1"/>
  <c r="AI45" i="23" s="1"/>
  <c r="G39" i="10"/>
  <c r="AG54" i="22"/>
  <c r="AL54" i="22" s="1"/>
  <c r="AW54" i="22" s="1"/>
  <c r="Z17" i="22"/>
  <c r="AI17" i="22" s="1"/>
  <c r="AQ17" i="22" s="1"/>
  <c r="W17" i="22"/>
  <c r="Y17" i="22"/>
  <c r="AH17" i="22" s="1"/>
  <c r="AO17" i="22" s="1"/>
  <c r="AG30" i="22"/>
  <c r="AL30" i="22" s="1"/>
  <c r="AW30" i="22" s="1"/>
  <c r="S52" i="10"/>
  <c r="AB52" i="10" s="1"/>
  <c r="AI52" i="10" s="1"/>
  <c r="P52" i="10"/>
  <c r="R52" i="10"/>
  <c r="AA52" i="10" s="1"/>
  <c r="AH52" i="10" s="1"/>
  <c r="U11" i="10"/>
  <c r="AB61" i="22"/>
  <c r="AG48" i="22"/>
  <c r="AL48" i="22" s="1"/>
  <c r="AW48" i="22" s="1"/>
  <c r="AB34" i="22"/>
  <c r="Z68" i="22"/>
  <c r="AI68" i="22" s="1"/>
  <c r="AQ68" i="22" s="1"/>
  <c r="AZ68" i="22" s="1"/>
  <c r="W68" i="22"/>
  <c r="Y68" i="22"/>
  <c r="AH68" i="22" s="1"/>
  <c r="AO68" i="22" s="1"/>
  <c r="Z9" i="22"/>
  <c r="AI9" i="22" s="1"/>
  <c r="AQ9" i="22" s="1"/>
  <c r="Y9" i="22"/>
  <c r="AH9" i="22" s="1"/>
  <c r="AO9" i="22" s="1"/>
  <c r="W9" i="22"/>
  <c r="AG61" i="22"/>
  <c r="AL61" i="22" s="1"/>
  <c r="AW61" i="22" s="1"/>
  <c r="H18" i="22"/>
  <c r="AH24" i="23" s="1"/>
  <c r="AI24" i="23" s="1"/>
  <c r="G18" i="10"/>
  <c r="I92" i="4"/>
  <c r="W28" i="22"/>
  <c r="Z28" i="22"/>
  <c r="AI28" i="22" s="1"/>
  <c r="AQ28" i="22" s="1"/>
  <c r="AB28" i="22"/>
  <c r="Y28" i="22"/>
  <c r="AH28" i="22" s="1"/>
  <c r="AO28" i="22" s="1"/>
  <c r="S62" i="10"/>
  <c r="AB62" i="10" s="1"/>
  <c r="AI62" i="10" s="1"/>
  <c r="R62" i="10"/>
  <c r="AA62" i="10" s="1"/>
  <c r="AH62" i="10" s="1"/>
  <c r="P62" i="10"/>
  <c r="R47" i="10"/>
  <c r="AA47" i="10" s="1"/>
  <c r="AH47" i="10" s="1"/>
  <c r="P47" i="10"/>
  <c r="S47" i="10"/>
  <c r="AB47" i="10" s="1"/>
  <c r="AI47" i="10" s="1"/>
  <c r="Z34" i="10"/>
  <c r="AE34" i="10" s="1"/>
  <c r="AL34" i="10" s="1"/>
  <c r="AG59" i="22"/>
  <c r="AL59" i="22" s="1"/>
  <c r="AW59" i="22" s="1"/>
  <c r="AA64" i="22"/>
  <c r="AJ64" i="22" s="1"/>
  <c r="AS64" i="22" s="1"/>
  <c r="AY25" i="22"/>
  <c r="AZ29" i="22"/>
  <c r="Z31" i="10"/>
  <c r="AE31" i="10" s="1"/>
  <c r="AL31" i="10" s="1"/>
  <c r="AZ59" i="22"/>
  <c r="V43" i="22"/>
  <c r="AB43" i="22" s="1"/>
  <c r="O43" i="10"/>
  <c r="U43" i="10" s="1"/>
  <c r="AI47" i="4"/>
  <c r="T26" i="10"/>
  <c r="AC26" i="10" s="1"/>
  <c r="AJ26" i="10" s="1"/>
  <c r="Z11" i="22"/>
  <c r="AI11" i="22" s="1"/>
  <c r="AQ11" i="22" s="1"/>
  <c r="AY11" i="22" s="1"/>
  <c r="W11" i="22"/>
  <c r="Y11" i="22"/>
  <c r="AH11" i="22" s="1"/>
  <c r="AO11" i="22" s="1"/>
  <c r="AA38" i="22"/>
  <c r="AJ38" i="22" s="1"/>
  <c r="AS38" i="22" s="1"/>
  <c r="T50" i="22"/>
  <c r="AH56" i="23" s="1"/>
  <c r="AI56" i="23" s="1"/>
  <c r="N50" i="10"/>
  <c r="Z50" i="10" s="1"/>
  <c r="AE50" i="10" s="1"/>
  <c r="AL50" i="10" s="1"/>
  <c r="AB26" i="22"/>
  <c r="W26" i="22"/>
  <c r="Y26" i="22"/>
  <c r="AH26" i="22" s="1"/>
  <c r="AO26" i="22" s="1"/>
  <c r="Z26" i="22"/>
  <c r="AI26" i="22" s="1"/>
  <c r="AQ26" i="22" s="1"/>
  <c r="W6" i="22"/>
  <c r="W34" i="22"/>
  <c r="Z34" i="22"/>
  <c r="AI34" i="22" s="1"/>
  <c r="AQ34" i="22" s="1"/>
  <c r="Y34" i="22"/>
  <c r="AH34" i="22" s="1"/>
  <c r="AO34" i="22" s="1"/>
  <c r="AG7" i="22"/>
  <c r="AL7" i="22" s="1"/>
  <c r="AW7" i="22" s="1"/>
  <c r="W53" i="22"/>
  <c r="Z53" i="22"/>
  <c r="AI53" i="22" s="1"/>
  <c r="AQ53" i="22" s="1"/>
  <c r="Y53" i="22"/>
  <c r="AH53" i="22" s="1"/>
  <c r="AO53" i="22" s="1"/>
  <c r="Q11" i="10"/>
  <c r="AD11" i="10" s="1"/>
  <c r="AK11" i="10" s="1"/>
  <c r="AY59" i="22"/>
  <c r="I65" i="22"/>
  <c r="H65" i="10"/>
  <c r="T65" i="10" s="1"/>
  <c r="AC65" i="10" s="1"/>
  <c r="AJ65" i="10" s="1"/>
  <c r="I27" i="22"/>
  <c r="H27" i="10"/>
  <c r="J91" i="4"/>
  <c r="I91" i="4"/>
  <c r="V55" i="22"/>
  <c r="AB55" i="22" s="1"/>
  <c r="O55" i="10"/>
  <c r="U55" i="10" s="1"/>
  <c r="AI62" i="4"/>
  <c r="AY8" i="22"/>
  <c r="Q45" i="10"/>
  <c r="AD45" i="10" s="1"/>
  <c r="AK45" i="10" s="1"/>
  <c r="R61" i="10"/>
  <c r="AA61" i="10" s="1"/>
  <c r="AH61" i="10" s="1"/>
  <c r="S61" i="10"/>
  <c r="AB61" i="10" s="1"/>
  <c r="AI61" i="10" s="1"/>
  <c r="AN61" i="10" s="1"/>
  <c r="P61" i="10"/>
  <c r="H13" i="10"/>
  <c r="I13" i="22"/>
  <c r="H35" i="22"/>
  <c r="G35" i="10"/>
  <c r="S42" i="10"/>
  <c r="AB42" i="10" s="1"/>
  <c r="AI42" i="10" s="1"/>
  <c r="AM42" i="10" s="1"/>
  <c r="R42" i="10"/>
  <c r="AA42" i="10" s="1"/>
  <c r="AH42" i="10" s="1"/>
  <c r="P42" i="10"/>
  <c r="T55" i="22"/>
  <c r="AH61" i="23" s="1"/>
  <c r="AI61" i="23" s="1"/>
  <c r="N55" i="10"/>
  <c r="Z55" i="10" s="1"/>
  <c r="AE55" i="10" s="1"/>
  <c r="AL55" i="10" s="1"/>
  <c r="AG62" i="22"/>
  <c r="AL62" i="22" s="1"/>
  <c r="AW62" i="22" s="1"/>
  <c r="S7" i="10"/>
  <c r="AB7" i="10" s="1"/>
  <c r="AI7" i="10" s="1"/>
  <c r="AM7" i="10" s="1"/>
  <c r="R7" i="10"/>
  <c r="AA7" i="10" s="1"/>
  <c r="AH7" i="10" s="1"/>
  <c r="P7" i="10"/>
  <c r="R30" i="10"/>
  <c r="AA30" i="10" s="1"/>
  <c r="AH30" i="10" s="1"/>
  <c r="S30" i="10"/>
  <c r="AB30" i="10" s="1"/>
  <c r="AI30" i="10" s="1"/>
  <c r="AN30" i="10" s="1"/>
  <c r="P30" i="10"/>
  <c r="AG36" i="22"/>
  <c r="AL36" i="22" s="1"/>
  <c r="AW36" i="22" s="1"/>
  <c r="T45" i="10"/>
  <c r="AC45" i="10" s="1"/>
  <c r="AJ45" i="10" s="1"/>
  <c r="Z45" i="22"/>
  <c r="AI45" i="22" s="1"/>
  <c r="AQ45" i="22" s="1"/>
  <c r="AZ45" i="22" s="1"/>
  <c r="Y45" i="22"/>
  <c r="AH45" i="22" s="1"/>
  <c r="AO45" i="22" s="1"/>
  <c r="W45" i="22"/>
  <c r="AA17" i="22"/>
  <c r="AJ17" i="22" s="1"/>
  <c r="AS17" i="22" s="1"/>
  <c r="I39" i="22"/>
  <c r="H39" i="10"/>
  <c r="R54" i="10"/>
  <c r="AA54" i="10" s="1"/>
  <c r="AH54" i="10" s="1"/>
  <c r="S54" i="10"/>
  <c r="AB54" i="10" s="1"/>
  <c r="AI54" i="10" s="1"/>
  <c r="AN54" i="10" s="1"/>
  <c r="P54" i="10"/>
  <c r="S31" i="10"/>
  <c r="AB31" i="10" s="1"/>
  <c r="AI31" i="10" s="1"/>
  <c r="P31" i="10"/>
  <c r="R31" i="10"/>
  <c r="AA31" i="10" s="1"/>
  <c r="AH31" i="10" s="1"/>
  <c r="U30" i="10"/>
  <c r="P24" i="10"/>
  <c r="R24" i="10"/>
  <c r="AA24" i="10" s="1"/>
  <c r="AH24" i="10" s="1"/>
  <c r="U24" i="10"/>
  <c r="S24" i="10"/>
  <c r="AB24" i="10" s="1"/>
  <c r="AI24" i="10" s="1"/>
  <c r="AM24" i="10" s="1"/>
  <c r="S50" i="10"/>
  <c r="AB50" i="10" s="1"/>
  <c r="AI50" i="10" s="1"/>
  <c r="Q50" i="10"/>
  <c r="AD50" i="10" s="1"/>
  <c r="AK50" i="10" s="1"/>
  <c r="R50" i="10"/>
  <c r="AA50" i="10" s="1"/>
  <c r="AH50" i="10" s="1"/>
  <c r="P50" i="10"/>
  <c r="U54" i="10"/>
  <c r="AG63" i="22"/>
  <c r="AL63" i="22" s="1"/>
  <c r="AW63" i="22" s="1"/>
  <c r="W52" i="22"/>
  <c r="Z52" i="22"/>
  <c r="AI52" i="22" s="1"/>
  <c r="AQ52" i="22" s="1"/>
  <c r="Y52" i="22"/>
  <c r="AH52" i="22" s="1"/>
  <c r="AO52" i="22" s="1"/>
  <c r="U53" i="10"/>
  <c r="X34" i="22"/>
  <c r="AK34" i="22" s="1"/>
  <c r="AU34" i="22" s="1"/>
  <c r="AB11" i="22"/>
  <c r="AA62" i="22"/>
  <c r="AJ62" i="22" s="1"/>
  <c r="AS62" i="22" s="1"/>
  <c r="T21" i="10"/>
  <c r="AC21" i="10" s="1"/>
  <c r="AJ21" i="10" s="1"/>
  <c r="AM21" i="10" s="1"/>
  <c r="AG68" i="22"/>
  <c r="AL68" i="22" s="1"/>
  <c r="AW68" i="22" s="1"/>
  <c r="AA41" i="22"/>
  <c r="AJ41" i="22" s="1"/>
  <c r="AS41" i="22" s="1"/>
  <c r="AA27" i="22"/>
  <c r="AJ27" i="22" s="1"/>
  <c r="AS27" i="22" s="1"/>
  <c r="AZ25" i="22"/>
  <c r="Z53" i="10"/>
  <c r="AE53" i="10" s="1"/>
  <c r="AL53" i="10" s="1"/>
  <c r="Z11" i="10"/>
  <c r="AE11" i="10" s="1"/>
  <c r="AL11" i="10" s="1"/>
  <c r="AY40" i="22"/>
  <c r="Z46" i="22"/>
  <c r="AI46" i="22" s="1"/>
  <c r="AQ46" i="22" s="1"/>
  <c r="W46" i="22"/>
  <c r="Y46" i="22"/>
  <c r="AH46" i="22" s="1"/>
  <c r="AO46" i="22" s="1"/>
  <c r="U31" i="10"/>
  <c r="AB39" i="22"/>
  <c r="Y62" i="22"/>
  <c r="AH62" i="22" s="1"/>
  <c r="AO62" i="22" s="1"/>
  <c r="Z62" i="22"/>
  <c r="AI62" i="22" s="1"/>
  <c r="AQ62" i="22" s="1"/>
  <c r="W62" i="22"/>
  <c r="AA23" i="22"/>
  <c r="AJ23" i="22" s="1"/>
  <c r="AS23" i="22" s="1"/>
  <c r="Y47" i="22"/>
  <c r="AH47" i="22" s="1"/>
  <c r="AO47" i="22" s="1"/>
  <c r="W47" i="22"/>
  <c r="Z47" i="22"/>
  <c r="AI47" i="22" s="1"/>
  <c r="AQ47" i="22" s="1"/>
  <c r="AG8" i="22"/>
  <c r="AL8" i="22" s="1"/>
  <c r="AW8" i="22" s="1"/>
  <c r="AG34" i="22"/>
  <c r="AL34" i="22" s="1"/>
  <c r="AW34" i="22" s="1"/>
  <c r="AZ40" i="22"/>
  <c r="AG40" i="22"/>
  <c r="AL40" i="22" s="1"/>
  <c r="AW40" i="22" s="1"/>
  <c r="AG31" i="22"/>
  <c r="AL31" i="22" s="1"/>
  <c r="AW31" i="22" s="1"/>
  <c r="AG56" i="22"/>
  <c r="AL56" i="22" s="1"/>
  <c r="AW56" i="22" s="1"/>
  <c r="AA53" i="22"/>
  <c r="AJ53" i="22" s="1"/>
  <c r="AS53" i="22" s="1"/>
  <c r="T47" i="10"/>
  <c r="AC47" i="10" s="1"/>
  <c r="AJ47" i="10" s="1"/>
  <c r="AM47" i="10" s="1"/>
  <c r="R6" i="22"/>
  <c r="AB12" i="23" s="1"/>
  <c r="AC12" i="23" s="1"/>
  <c r="M6" i="10"/>
  <c r="T6" i="10" s="1"/>
  <c r="AC6" i="10" s="1"/>
  <c r="AJ6" i="10" s="1"/>
  <c r="AK7" i="4"/>
  <c r="P34" i="10"/>
  <c r="S34" i="10"/>
  <c r="AB34" i="10" s="1"/>
  <c r="AI34" i="10" s="1"/>
  <c r="AN34" i="10" s="1"/>
  <c r="R34" i="10"/>
  <c r="AA34" i="10" s="1"/>
  <c r="AH34" i="10" s="1"/>
  <c r="AN31" i="10"/>
  <c r="AY45" i="22"/>
  <c r="AA43" i="22"/>
  <c r="AJ43" i="22" s="1"/>
  <c r="AS43" i="22" s="1"/>
  <c r="AY34" i="22"/>
  <c r="AG65" i="22"/>
  <c r="AL65" i="22" s="1"/>
  <c r="AW65" i="22" s="1"/>
  <c r="AB21" i="22"/>
  <c r="Y21" i="22"/>
  <c r="AH21" i="22" s="1"/>
  <c r="AO21" i="22" s="1"/>
  <c r="W21" i="22"/>
  <c r="Z21" i="22"/>
  <c r="AI21" i="22" s="1"/>
  <c r="AQ21" i="22" s="1"/>
  <c r="AA54" i="22"/>
  <c r="AJ54" i="22" s="1"/>
  <c r="AS54" i="22" s="1"/>
  <c r="AG42" i="22"/>
  <c r="AL42" i="22" s="1"/>
  <c r="AW42" i="22" s="1"/>
  <c r="AA26" i="22"/>
  <c r="AJ26" i="22" s="1"/>
  <c r="AS26" i="22" s="1"/>
  <c r="AA32" i="22"/>
  <c r="AJ32" i="22" s="1"/>
  <c r="AS32" i="22" s="1"/>
  <c r="AY9" i="22"/>
  <c r="X11" i="22"/>
  <c r="AK11" i="22" s="1"/>
  <c r="AU11" i="22" s="1"/>
  <c r="R58" i="10"/>
  <c r="AA58" i="10" s="1"/>
  <c r="AH58" i="10" s="1"/>
  <c r="S58" i="10"/>
  <c r="AB58" i="10" s="1"/>
  <c r="AI58" i="10" s="1"/>
  <c r="AN58" i="10" s="1"/>
  <c r="P58" i="10"/>
  <c r="F119" i="20"/>
  <c r="U65" i="10"/>
  <c r="AZ64" i="22"/>
  <c r="AG17" i="22"/>
  <c r="AL17" i="22" s="1"/>
  <c r="AW17" i="22" s="1"/>
  <c r="H15" i="22"/>
  <c r="G15" i="10"/>
  <c r="AN62" i="10"/>
  <c r="R14" i="10"/>
  <c r="AA14" i="10" s="1"/>
  <c r="AH14" i="10" s="1"/>
  <c r="P14" i="10"/>
  <c r="S14" i="10"/>
  <c r="AB14" i="10" s="1"/>
  <c r="AI14" i="10" s="1"/>
  <c r="AM14" i="10" s="1"/>
  <c r="H65" i="22"/>
  <c r="G65" i="10"/>
  <c r="T58" i="10"/>
  <c r="AC58" i="10" s="1"/>
  <c r="AJ58" i="10" s="1"/>
  <c r="AG32" i="22"/>
  <c r="AL32" i="22" s="1"/>
  <c r="AW32" i="22" s="1"/>
  <c r="X26" i="22"/>
  <c r="AK26" i="22" s="1"/>
  <c r="AU26" i="22" s="1"/>
  <c r="U23" i="10"/>
  <c r="S23" i="10"/>
  <c r="AB23" i="10" s="1"/>
  <c r="AI23" i="10" s="1"/>
  <c r="AN23" i="10" s="1"/>
  <c r="R23" i="10"/>
  <c r="AA23" i="10" s="1"/>
  <c r="AH23" i="10" s="1"/>
  <c r="P23" i="10"/>
  <c r="AA63" i="22"/>
  <c r="AJ63" i="22" s="1"/>
  <c r="AS63" i="22" s="1"/>
  <c r="Z61" i="22"/>
  <c r="AI61" i="22" s="1"/>
  <c r="AQ61" i="22" s="1"/>
  <c r="Y61" i="22"/>
  <c r="AH61" i="22" s="1"/>
  <c r="AO61" i="22" s="1"/>
  <c r="W61" i="22"/>
  <c r="H13" i="22"/>
  <c r="M19" i="23" s="1"/>
  <c r="N19" i="23" s="1"/>
  <c r="G13" i="10"/>
  <c r="T43" i="22"/>
  <c r="AH49" i="23" s="1"/>
  <c r="AI49" i="23" s="1"/>
  <c r="N43" i="10"/>
  <c r="Z43" i="10" s="1"/>
  <c r="AE43" i="10" s="1"/>
  <c r="AL43" i="10" s="1"/>
  <c r="AY48" i="22"/>
  <c r="AZ38" i="22"/>
  <c r="AZ46" i="22"/>
  <c r="I35" i="22"/>
  <c r="H35" i="10"/>
  <c r="U35" i="10" s="1"/>
  <c r="I12" i="22"/>
  <c r="AB12" i="22" s="1"/>
  <c r="H12" i="10"/>
  <c r="Z12" i="10" s="1"/>
  <c r="AE12" i="10" s="1"/>
  <c r="AL12" i="10" s="1"/>
  <c r="Y42" i="22"/>
  <c r="AH42" i="22" s="1"/>
  <c r="AO42" i="22" s="1"/>
  <c r="W42" i="22"/>
  <c r="Z42" i="22"/>
  <c r="AI42" i="22" s="1"/>
  <c r="AQ42" i="22" s="1"/>
  <c r="F123" i="20"/>
  <c r="AG37" i="22"/>
  <c r="AL37" i="22" s="1"/>
  <c r="AW37" i="22" s="1"/>
  <c r="Y7" i="22"/>
  <c r="AH7" i="22" s="1"/>
  <c r="AO7" i="22" s="1"/>
  <c r="W7" i="22"/>
  <c r="Z7" i="22"/>
  <c r="AI7" i="22" s="1"/>
  <c r="AQ7" i="22" s="1"/>
  <c r="AZ8" i="22"/>
  <c r="Y30" i="22"/>
  <c r="AH30" i="22" s="1"/>
  <c r="AO30" i="22" s="1"/>
  <c r="Z30" i="22"/>
  <c r="AI30" i="22" s="1"/>
  <c r="AQ30" i="22" s="1"/>
  <c r="W30" i="22"/>
  <c r="AG45" i="22"/>
  <c r="AL45" i="22" s="1"/>
  <c r="AW45" i="22" s="1"/>
  <c r="Z54" i="22"/>
  <c r="AI54" i="22" s="1"/>
  <c r="AQ54" i="22" s="1"/>
  <c r="W54" i="22"/>
  <c r="Y54" i="22"/>
  <c r="AH54" i="22" s="1"/>
  <c r="AO54" i="22" s="1"/>
  <c r="AA16" i="22"/>
  <c r="AJ16" i="22" s="1"/>
  <c r="AS16" i="22" s="1"/>
  <c r="Z31" i="22"/>
  <c r="AI31" i="22" s="1"/>
  <c r="AQ31" i="22" s="1"/>
  <c r="W31" i="22"/>
  <c r="Y31" i="22"/>
  <c r="AH31" i="22" s="1"/>
  <c r="AO31" i="22" s="1"/>
  <c r="U14" i="10"/>
  <c r="AB30" i="22"/>
  <c r="S20" i="10"/>
  <c r="AB20" i="10" s="1"/>
  <c r="AI20" i="10" s="1"/>
  <c r="AM20" i="10" s="1"/>
  <c r="P20" i="10"/>
  <c r="Q20" i="10"/>
  <c r="AD20" i="10" s="1"/>
  <c r="AK20" i="10" s="1"/>
  <c r="U20" i="10"/>
  <c r="R20" i="10"/>
  <c r="AA20" i="10" s="1"/>
  <c r="AH20" i="10" s="1"/>
  <c r="AA22" i="22"/>
  <c r="AJ22" i="22" s="1"/>
  <c r="AS22" i="22" s="1"/>
  <c r="Z24" i="22"/>
  <c r="AI24" i="22" s="1"/>
  <c r="AQ24" i="22" s="1"/>
  <c r="AB24" i="22"/>
  <c r="W24" i="22"/>
  <c r="Y24" i="22"/>
  <c r="AH24" i="22" s="1"/>
  <c r="AO24" i="22" s="1"/>
  <c r="H49" i="22"/>
  <c r="AB55" i="23" s="1"/>
  <c r="AC55" i="23" s="1"/>
  <c r="G49" i="10"/>
  <c r="Y50" i="22"/>
  <c r="AH50" i="22" s="1"/>
  <c r="AO50" i="22" s="1"/>
  <c r="W50" i="22"/>
  <c r="Z50" i="22"/>
  <c r="AI50" i="22" s="1"/>
  <c r="AQ50" i="22" s="1"/>
  <c r="X50" i="22"/>
  <c r="AK50" i="22" s="1"/>
  <c r="AU50" i="22" s="1"/>
  <c r="AY57" i="22"/>
  <c r="Q21" i="10"/>
  <c r="AD21" i="10" s="1"/>
  <c r="AK21" i="10" s="1"/>
  <c r="AN21" i="10" s="1"/>
  <c r="AB35" i="22"/>
  <c r="AA52" i="22"/>
  <c r="AJ52" i="22" s="1"/>
  <c r="AS52" i="22" s="1"/>
  <c r="AG29" i="22"/>
  <c r="AL29" i="22" s="1"/>
  <c r="AW29" i="22" s="1"/>
  <c r="AZ47" i="22"/>
  <c r="AN47" i="10"/>
  <c r="AB54" i="22"/>
  <c r="F103" i="20"/>
  <c r="H103" i="20" s="1"/>
  <c r="AG38" i="22"/>
  <c r="AL38" i="22" s="1"/>
  <c r="AW38" i="22" s="1"/>
  <c r="AY68" i="22"/>
  <c r="AZ67" i="22"/>
  <c r="AB53" i="22"/>
  <c r="AM62" i="10"/>
  <c r="AG9" i="22"/>
  <c r="AL9" i="22" s="1"/>
  <c r="AW9" i="22" s="1"/>
  <c r="F107" i="20"/>
  <c r="AI7" i="4"/>
  <c r="I19" i="22"/>
  <c r="H19" i="10"/>
  <c r="U19" i="10" s="1"/>
  <c r="AA33" i="22"/>
  <c r="AJ33" i="22" s="1"/>
  <c r="AS33" i="22" s="1"/>
  <c r="AG53" i="22"/>
  <c r="AL53" i="22" s="1"/>
  <c r="AW53" i="22" s="1"/>
  <c r="AG11" i="22"/>
  <c r="AL11" i="22" s="1"/>
  <c r="AW11" i="22" s="1"/>
  <c r="P46" i="10"/>
  <c r="R46" i="10"/>
  <c r="AA46" i="10" s="1"/>
  <c r="AH46" i="10" s="1"/>
  <c r="S46" i="10"/>
  <c r="AB46" i="10" s="1"/>
  <c r="AI46" i="10" s="1"/>
  <c r="AN46" i="10" s="1"/>
  <c r="AB31" i="22"/>
  <c r="X30" i="22"/>
  <c r="AK30" i="22" s="1"/>
  <c r="AU30" i="22" s="1"/>
  <c r="Z46" i="10"/>
  <c r="AE46" i="10" s="1"/>
  <c r="AL46" i="10" s="1"/>
  <c r="AG67" i="22"/>
  <c r="AL67" i="22" s="1"/>
  <c r="AW67" i="22" s="1"/>
  <c r="P16" i="10"/>
  <c r="R16" i="10"/>
  <c r="AA16" i="10" s="1"/>
  <c r="AH16" i="10" s="1"/>
  <c r="S16" i="10"/>
  <c r="AB16" i="10" s="1"/>
  <c r="AI16" i="10" s="1"/>
  <c r="AM16" i="10" s="1"/>
  <c r="X21" i="22"/>
  <c r="AK21" i="22" s="1"/>
  <c r="AU21" i="22" s="1"/>
  <c r="S60" i="10"/>
  <c r="AB60" i="10" s="1"/>
  <c r="AI60" i="10" s="1"/>
  <c r="P60" i="10"/>
  <c r="R60" i="10"/>
  <c r="AA60" i="10" s="1"/>
  <c r="AH60" i="10" s="1"/>
  <c r="S37" i="10"/>
  <c r="AB37" i="10" s="1"/>
  <c r="AI37" i="10" s="1"/>
  <c r="AN37" i="10" s="1"/>
  <c r="R37" i="10"/>
  <c r="AA37" i="10" s="1"/>
  <c r="AH37" i="10" s="1"/>
  <c r="P37" i="10"/>
  <c r="Z39" i="10"/>
  <c r="AE39" i="10" s="1"/>
  <c r="AL39" i="10" s="1"/>
  <c r="T53" i="10"/>
  <c r="AC53" i="10" s="1"/>
  <c r="AJ53" i="10" s="1"/>
  <c r="AM50" i="10"/>
  <c r="S11" i="10"/>
  <c r="AB11" i="10" s="1"/>
  <c r="AI11" i="10" s="1"/>
  <c r="AM11" i="10" s="1"/>
  <c r="R11" i="10"/>
  <c r="AA11" i="10" s="1"/>
  <c r="AH11" i="10" s="1"/>
  <c r="P11" i="10"/>
  <c r="U26" i="10"/>
  <c r="P26" i="10"/>
  <c r="R26" i="10"/>
  <c r="AA26" i="10" s="1"/>
  <c r="AH26" i="10" s="1"/>
  <c r="S26" i="10"/>
  <c r="AB26" i="10" s="1"/>
  <c r="AI26" i="10" s="1"/>
  <c r="AN26" i="10" s="1"/>
  <c r="AG58" i="22"/>
  <c r="AL58" i="22" s="1"/>
  <c r="AW58" i="22" s="1"/>
  <c r="R53" i="10"/>
  <c r="AA53" i="10" s="1"/>
  <c r="AH53" i="10" s="1"/>
  <c r="P53" i="10"/>
  <c r="S53" i="10"/>
  <c r="AB53" i="10" s="1"/>
  <c r="AI53" i="10" s="1"/>
  <c r="AY67" i="22"/>
  <c r="AM46" i="10"/>
  <c r="AG51" i="22"/>
  <c r="AL51" i="22" s="1"/>
  <c r="AW51" i="22" s="1"/>
  <c r="X6" i="22"/>
  <c r="AK6" i="22" s="1"/>
  <c r="AU6" i="22" s="1"/>
  <c r="AM54" i="10"/>
  <c r="AY55" i="22"/>
  <c r="AG16" i="22"/>
  <c r="AL16" i="22" s="1"/>
  <c r="AW16" i="22" s="1"/>
  <c r="AM30" i="10"/>
  <c r="AN14" i="10"/>
  <c r="U58" i="10"/>
  <c r="AA46" i="22"/>
  <c r="AJ46" i="22" s="1"/>
  <c r="AS46" i="22" s="1"/>
  <c r="AZ7" i="22"/>
  <c r="AZ51" i="22"/>
  <c r="Y58" i="22"/>
  <c r="AH58" i="22" s="1"/>
  <c r="AO58" i="22" s="1"/>
  <c r="W58" i="22"/>
  <c r="Z58" i="22"/>
  <c r="AI58" i="22" s="1"/>
  <c r="AQ58" i="22" s="1"/>
  <c r="AB65" i="22"/>
  <c r="AZ57" i="22"/>
  <c r="AG44" i="22"/>
  <c r="AL44" i="22" s="1"/>
  <c r="AW44" i="22" s="1"/>
  <c r="Z58" i="10"/>
  <c r="AE58" i="10" s="1"/>
  <c r="AL58" i="10" s="1"/>
  <c r="AM31" i="10"/>
  <c r="I15" i="22"/>
  <c r="H15" i="10"/>
  <c r="AG26" i="22"/>
  <c r="AL26" i="22" s="1"/>
  <c r="AW26" i="22" s="1"/>
  <c r="S6" i="10"/>
  <c r="AB6" i="10" s="1"/>
  <c r="AI6" i="10" s="1"/>
  <c r="AN6" i="10" s="1"/>
  <c r="R6" i="10"/>
  <c r="AA6" i="10" s="1"/>
  <c r="AH6" i="10" s="1"/>
  <c r="AG57" i="22"/>
  <c r="AL57" i="22" s="1"/>
  <c r="AW57" i="22" s="1"/>
  <c r="AZ17" i="22"/>
  <c r="Y14" i="22"/>
  <c r="AH14" i="22" s="1"/>
  <c r="AO14" i="22" s="1"/>
  <c r="W14" i="22"/>
  <c r="Z14" i="22"/>
  <c r="AI14" i="22" s="1"/>
  <c r="AQ14" i="22" s="1"/>
  <c r="AZ22" i="22"/>
  <c r="AM60" i="10"/>
  <c r="AN52" i="10"/>
  <c r="Z65" i="10"/>
  <c r="AE65" i="10" s="1"/>
  <c r="AL65" i="10" s="1"/>
  <c r="H27" i="22"/>
  <c r="G27" i="10"/>
  <c r="AY30" i="22"/>
  <c r="W23" i="22"/>
  <c r="Y23" i="22"/>
  <c r="AH23" i="22" s="1"/>
  <c r="AO23" i="22" s="1"/>
  <c r="Z23" i="22"/>
  <c r="AI23" i="22" s="1"/>
  <c r="AQ23" i="22" s="1"/>
  <c r="AB23" i="22"/>
  <c r="P6" i="10"/>
  <c r="AG52" i="22"/>
  <c r="AL52" i="22" s="1"/>
  <c r="AW52" i="22" s="1"/>
  <c r="AZ28" i="22"/>
  <c r="U6" i="10"/>
  <c r="AY29" i="22"/>
  <c r="F115" i="20"/>
  <c r="H115" i="20"/>
  <c r="AB42" i="22"/>
  <c r="AY51" i="22"/>
  <c r="AZ9" i="22"/>
  <c r="X14" i="22"/>
  <c r="AK14" i="22" s="1"/>
  <c r="AU14" i="22" s="1"/>
  <c r="U45" i="10"/>
  <c r="T6" i="22"/>
  <c r="AH12" i="23" s="1"/>
  <c r="AI12" i="23" s="1"/>
  <c r="N6" i="10"/>
  <c r="Z6" i="10" s="1"/>
  <c r="AE6" i="10" s="1"/>
  <c r="AL6" i="10" s="1"/>
  <c r="Q24" i="10"/>
  <c r="AD24" i="10" s="1"/>
  <c r="AK24" i="10" s="1"/>
  <c r="AN24" i="10" s="1"/>
  <c r="Z54" i="10"/>
  <c r="AE54" i="10" s="1"/>
  <c r="AL54" i="10" s="1"/>
  <c r="AB14" i="22"/>
  <c r="Z20" i="22"/>
  <c r="AI20" i="22" s="1"/>
  <c r="AQ20" i="22" s="1"/>
  <c r="X20" i="22"/>
  <c r="AK20" i="22" s="1"/>
  <c r="AU20" i="22" s="1"/>
  <c r="W20" i="22"/>
  <c r="AB20" i="22"/>
  <c r="Y20" i="22"/>
  <c r="AH20" i="22" s="1"/>
  <c r="AO20" i="22" s="1"/>
  <c r="AG24" i="22"/>
  <c r="AL24" i="22" s="1"/>
  <c r="AW24" i="22" s="1"/>
  <c r="I49" i="22"/>
  <c r="AA49" i="22" s="1"/>
  <c r="AJ49" i="22" s="1"/>
  <c r="AS49" i="22" s="1"/>
  <c r="H49" i="10"/>
  <c r="T49" i="10" s="1"/>
  <c r="AC49" i="10" s="1"/>
  <c r="AJ49" i="10" s="1"/>
  <c r="S17" i="10"/>
  <c r="AB17" i="10" s="1"/>
  <c r="AI17" i="10" s="1"/>
  <c r="AN17" i="10" s="1"/>
  <c r="P17" i="10"/>
  <c r="R17" i="10"/>
  <c r="AA17" i="10" s="1"/>
  <c r="AH17" i="10" s="1"/>
  <c r="AB19" i="22"/>
  <c r="T52" i="10"/>
  <c r="AC52" i="10" s="1"/>
  <c r="AJ52" i="10" s="1"/>
  <c r="AM52" i="10" s="1"/>
  <c r="Z21" i="10"/>
  <c r="AE21" i="10" s="1"/>
  <c r="AL21" i="10" s="1"/>
  <c r="T14" i="22"/>
  <c r="AH20" i="23" s="1"/>
  <c r="AI20" i="23" s="1"/>
  <c r="N14" i="10"/>
  <c r="Z14" i="10" s="1"/>
  <c r="AE14" i="10" s="1"/>
  <c r="AL14" i="10" s="1"/>
  <c r="Z30" i="10"/>
  <c r="AE30" i="10" s="1"/>
  <c r="AL30" i="10" s="1"/>
  <c r="Z24" i="10"/>
  <c r="AE24" i="10" s="1"/>
  <c r="AL24" i="10" s="1"/>
  <c r="X53" i="22"/>
  <c r="AK53" i="22" s="1"/>
  <c r="AU53" i="22" s="1"/>
  <c r="U61" i="10"/>
  <c r="I66" i="22"/>
  <c r="H66" i="10"/>
  <c r="Z66" i="10" s="1"/>
  <c r="AE66" i="10" s="1"/>
  <c r="AL66" i="10" s="1"/>
  <c r="AA21" i="22"/>
  <c r="AJ21" i="22" s="1"/>
  <c r="AS21" i="22" s="1"/>
  <c r="T19" i="22"/>
  <c r="N19" i="10"/>
  <c r="Z19" i="10" s="1"/>
  <c r="AE19" i="10" s="1"/>
  <c r="AL19" i="10" s="1"/>
  <c r="AG60" i="22"/>
  <c r="AL60" i="22" s="1"/>
  <c r="AW60" i="22" s="1"/>
  <c r="T27" i="10"/>
  <c r="AC27" i="10" s="1"/>
  <c r="AJ27" i="10" s="1"/>
  <c r="U34" i="10"/>
  <c r="J135" i="16"/>
  <c r="J139" i="16"/>
  <c r="J140" i="16" s="1"/>
  <c r="H19" i="22"/>
  <c r="G19" i="10"/>
  <c r="S68" i="10"/>
  <c r="AB68" i="10" s="1"/>
  <c r="AI68" i="10" s="1"/>
  <c r="AN68" i="10" s="1"/>
  <c r="R68" i="10"/>
  <c r="AA68" i="10" s="1"/>
  <c r="AH68" i="10" s="1"/>
  <c r="P68" i="10"/>
  <c r="P9" i="10"/>
  <c r="S9" i="10"/>
  <c r="AB9" i="10" s="1"/>
  <c r="AI9" i="10" s="1"/>
  <c r="AM9" i="10" s="1"/>
  <c r="R9" i="10"/>
  <c r="AA9" i="10" s="1"/>
  <c r="AH9" i="10" s="1"/>
  <c r="Q53" i="10"/>
  <c r="AD53" i="10" s="1"/>
  <c r="AK53" i="10" s="1"/>
  <c r="AN53" i="10" s="1"/>
  <c r="Z61" i="10"/>
  <c r="AE61" i="10" s="1"/>
  <c r="AL61" i="10" s="1"/>
  <c r="I18" i="22"/>
  <c r="H18" i="10"/>
  <c r="S28" i="10"/>
  <c r="AB28" i="10" s="1"/>
  <c r="AI28" i="10" s="1"/>
  <c r="AM28" i="10" s="1"/>
  <c r="P28" i="10"/>
  <c r="R28" i="10"/>
  <c r="AA28" i="10" s="1"/>
  <c r="AH28" i="10" s="1"/>
  <c r="U28" i="10"/>
  <c r="T23" i="10"/>
  <c r="AC23" i="10" s="1"/>
  <c r="AJ23" i="10" s="1"/>
  <c r="AM23" i="10" s="1"/>
  <c r="AG46" i="22"/>
  <c r="AL46" i="22" s="1"/>
  <c r="AW46" i="22" s="1"/>
  <c r="AG18" i="22"/>
  <c r="AL18" i="22" s="1"/>
  <c r="AW18" i="22" s="1"/>
  <c r="Z23" i="10"/>
  <c r="AE23" i="10" s="1"/>
  <c r="AL23" i="10" s="1"/>
  <c r="W16" i="22"/>
  <c r="Y16" i="22"/>
  <c r="AH16" i="22" s="1"/>
  <c r="AO16" i="22" s="1"/>
  <c r="Z16" i="22"/>
  <c r="AI16" i="22" s="1"/>
  <c r="AQ16" i="22" s="1"/>
  <c r="Q60" i="10"/>
  <c r="AD60" i="10" s="1"/>
  <c r="AK60" i="10" s="1"/>
  <c r="AN60" i="10" s="1"/>
  <c r="Z60" i="22"/>
  <c r="AI60" i="22" s="1"/>
  <c r="AQ60" i="22" s="1"/>
  <c r="W60" i="22"/>
  <c r="Y60" i="22"/>
  <c r="AH60" i="22" s="1"/>
  <c r="AO60" i="22" s="1"/>
  <c r="W37" i="22"/>
  <c r="Z37" i="22"/>
  <c r="AI37" i="22" s="1"/>
  <c r="AQ37" i="22" s="1"/>
  <c r="Y37" i="22"/>
  <c r="AH37" i="22" s="1"/>
  <c r="AO37" i="22" s="1"/>
  <c r="AG39" i="22"/>
  <c r="AL39" i="22" s="1"/>
  <c r="AW39" i="22" s="1"/>
  <c r="AG64" i="22"/>
  <c r="AL64" i="22" s="1"/>
  <c r="AW64" i="22" s="1"/>
  <c r="AZ48" i="22"/>
  <c r="Z35" i="10" l="1"/>
  <c r="AE35" i="10" s="1"/>
  <c r="AL35" i="10" s="1"/>
  <c r="AG12" i="22"/>
  <c r="AL12" i="22" s="1"/>
  <c r="AW12" i="22" s="1"/>
  <c r="Y21" i="23"/>
  <c r="Z21" i="23" s="1"/>
  <c r="V21" i="23"/>
  <c r="W21" i="23" s="1"/>
  <c r="AE21" i="23"/>
  <c r="AF21" i="23" s="1"/>
  <c r="AB21" i="23"/>
  <c r="AC21" i="23" s="1"/>
  <c r="V41" i="23"/>
  <c r="W41" i="23" s="1"/>
  <c r="Y41" i="23"/>
  <c r="Z41" i="23" s="1"/>
  <c r="AB41" i="23"/>
  <c r="AC41" i="23" s="1"/>
  <c r="AE41" i="23"/>
  <c r="AF41" i="23" s="1"/>
  <c r="Y69" i="23"/>
  <c r="Z69" i="23" s="1"/>
  <c r="V69" i="23"/>
  <c r="W69" i="23" s="1"/>
  <c r="AE69" i="23"/>
  <c r="AF69" i="23" s="1"/>
  <c r="AM45" i="10"/>
  <c r="Y18" i="23"/>
  <c r="Z18" i="23" s="1"/>
  <c r="V18" i="23"/>
  <c r="W18" i="23" s="1"/>
  <c r="AE18" i="23"/>
  <c r="AF18" i="23" s="1"/>
  <c r="AB18" i="23"/>
  <c r="AC18" i="23" s="1"/>
  <c r="Y39" i="23"/>
  <c r="Z39" i="23" s="1"/>
  <c r="V39" i="23"/>
  <c r="W39" i="23" s="1"/>
  <c r="AE39" i="23"/>
  <c r="AF39" i="23" s="1"/>
  <c r="V25" i="23"/>
  <c r="W25" i="23" s="1"/>
  <c r="Y25" i="23"/>
  <c r="Z25" i="23" s="1"/>
  <c r="AB25" i="23"/>
  <c r="AC25" i="23" s="1"/>
  <c r="AE25" i="23"/>
  <c r="AF25" i="23" s="1"/>
  <c r="AH25" i="23"/>
  <c r="AI25" i="23" s="1"/>
  <c r="Y33" i="23"/>
  <c r="Z33" i="23" s="1"/>
  <c r="V33" i="23"/>
  <c r="W33" i="23" s="1"/>
  <c r="AE33" i="23"/>
  <c r="AF33" i="23" s="1"/>
  <c r="AH33" i="23"/>
  <c r="AI33" i="23" s="1"/>
  <c r="Y55" i="23"/>
  <c r="Z55" i="23" s="1"/>
  <c r="V55" i="23"/>
  <c r="W55" i="23" s="1"/>
  <c r="AE55" i="23"/>
  <c r="AF55" i="23" s="1"/>
  <c r="Y71" i="23"/>
  <c r="Z71" i="23" s="1"/>
  <c r="V71" i="23"/>
  <c r="W71" i="23" s="1"/>
  <c r="AE71" i="23"/>
  <c r="AF71" i="23" s="1"/>
  <c r="V47" i="23"/>
  <c r="W47" i="23" s="1"/>
  <c r="Y47" i="23"/>
  <c r="Z47" i="23" s="1"/>
  <c r="AH47" i="23"/>
  <c r="AI47" i="23" s="1"/>
  <c r="AE47" i="23"/>
  <c r="AF47" i="23" s="1"/>
  <c r="AB33" i="23"/>
  <c r="AC33" i="23" s="1"/>
  <c r="Y45" i="23"/>
  <c r="Z45" i="23" s="1"/>
  <c r="AE45" i="23"/>
  <c r="AF45" i="23" s="1"/>
  <c r="V45" i="23"/>
  <c r="W45" i="23" s="1"/>
  <c r="AB45" i="23"/>
  <c r="AC45" i="23" s="1"/>
  <c r="V38" i="23"/>
  <c r="W38" i="23" s="1"/>
  <c r="Y38" i="23"/>
  <c r="Z38" i="23" s="1"/>
  <c r="AE38" i="23"/>
  <c r="AF38" i="23" s="1"/>
  <c r="AB39" i="23"/>
  <c r="AC39" i="23" s="1"/>
  <c r="AH38" i="23"/>
  <c r="AI38" i="23" s="1"/>
  <c r="Y50" i="23"/>
  <c r="Z50" i="23" s="1"/>
  <c r="AE50" i="23"/>
  <c r="AF50" i="23" s="1"/>
  <c r="V50" i="23"/>
  <c r="W50" i="23" s="1"/>
  <c r="AB50" i="23"/>
  <c r="AC50" i="23" s="1"/>
  <c r="AH50" i="23"/>
  <c r="AI50" i="23" s="1"/>
  <c r="AH71" i="23"/>
  <c r="AI71" i="23" s="1"/>
  <c r="AH39" i="23"/>
  <c r="AI39" i="23" s="1"/>
  <c r="AB47" i="23"/>
  <c r="AC47" i="23" s="1"/>
  <c r="V24" i="23"/>
  <c r="W24" i="23" s="1"/>
  <c r="Y24" i="23"/>
  <c r="Z24" i="23" s="1"/>
  <c r="AE24" i="23"/>
  <c r="AF24" i="23" s="1"/>
  <c r="AH41" i="23"/>
  <c r="AI41" i="23" s="1"/>
  <c r="AB69" i="23"/>
  <c r="AC69" i="23" s="1"/>
  <c r="AM61" i="10"/>
  <c r="AN50" i="10"/>
  <c r="AN45" i="10"/>
  <c r="V62" i="23"/>
  <c r="W62" i="23" s="1"/>
  <c r="Y62" i="23"/>
  <c r="Z62" i="23" s="1"/>
  <c r="AE62" i="23"/>
  <c r="AF62" i="23" s="1"/>
  <c r="AB62" i="23"/>
  <c r="AC62" i="23" s="1"/>
  <c r="Y42" i="23"/>
  <c r="Z42" i="23" s="1"/>
  <c r="V42" i="23"/>
  <c r="W42" i="23" s="1"/>
  <c r="AE42" i="23"/>
  <c r="AF42" i="23" s="1"/>
  <c r="AH18" i="23"/>
  <c r="AI18" i="23" s="1"/>
  <c r="AB38" i="23"/>
  <c r="AC38" i="23" s="1"/>
  <c r="AB71" i="23"/>
  <c r="AC71" i="23" s="1"/>
  <c r="AH21" i="23"/>
  <c r="AI21" i="23" s="1"/>
  <c r="AH55" i="23"/>
  <c r="AI55" i="23" s="1"/>
  <c r="AB24" i="23"/>
  <c r="AC24" i="23" s="1"/>
  <c r="AB42" i="23"/>
  <c r="AC42" i="23" s="1"/>
  <c r="AH42" i="23"/>
  <c r="AI42" i="23" s="1"/>
  <c r="M45" i="23"/>
  <c r="N45" i="23" s="1"/>
  <c r="Y33" i="22"/>
  <c r="AH33" i="22" s="1"/>
  <c r="AO33" i="22" s="1"/>
  <c r="W33" i="22"/>
  <c r="Z33" i="22"/>
  <c r="AI33" i="22" s="1"/>
  <c r="AQ33" i="22" s="1"/>
  <c r="AY33" i="22" s="1"/>
  <c r="X33" i="22"/>
  <c r="AK33" i="22" s="1"/>
  <c r="AU33" i="22" s="1"/>
  <c r="W41" i="22"/>
  <c r="X41" i="22"/>
  <c r="AK41" i="22" s="1"/>
  <c r="AU41" i="22" s="1"/>
  <c r="AB41" i="22"/>
  <c r="Z41" i="22"/>
  <c r="AI41" i="22" s="1"/>
  <c r="AQ41" i="22" s="1"/>
  <c r="Y41" i="22"/>
  <c r="AH41" i="22" s="1"/>
  <c r="AO41" i="22" s="1"/>
  <c r="AG41" i="22"/>
  <c r="AL41" i="22" s="1"/>
  <c r="AW41" i="22" s="1"/>
  <c r="M21" i="23"/>
  <c r="N21" i="23" s="1"/>
  <c r="M24" i="23"/>
  <c r="N24" i="23" s="1"/>
  <c r="R36" i="10"/>
  <c r="AA36" i="10" s="1"/>
  <c r="AH36" i="10" s="1"/>
  <c r="P36" i="10"/>
  <c r="S36" i="10"/>
  <c r="AB36" i="10" s="1"/>
  <c r="AI36" i="10" s="1"/>
  <c r="Q36" i="10"/>
  <c r="AD36" i="10" s="1"/>
  <c r="AK36" i="10" s="1"/>
  <c r="AN36" i="10" s="1"/>
  <c r="R63" i="10"/>
  <c r="AA63" i="10" s="1"/>
  <c r="AH63" i="10" s="1"/>
  <c r="P63" i="10"/>
  <c r="S63" i="10"/>
  <c r="AB63" i="10" s="1"/>
  <c r="AI63" i="10" s="1"/>
  <c r="AM63" i="10" s="1"/>
  <c r="Q63" i="10"/>
  <c r="AD63" i="10" s="1"/>
  <c r="AK63" i="10" s="1"/>
  <c r="M42" i="23"/>
  <c r="N42" i="23" s="1"/>
  <c r="P32" i="10"/>
  <c r="S32" i="10"/>
  <c r="AB32" i="10" s="1"/>
  <c r="AI32" i="10" s="1"/>
  <c r="R32" i="10"/>
  <c r="AA32" i="10" s="1"/>
  <c r="AH32" i="10" s="1"/>
  <c r="Q32" i="10"/>
  <c r="AD32" i="10" s="1"/>
  <c r="AK32" i="10" s="1"/>
  <c r="M50" i="23"/>
  <c r="N50" i="23" s="1"/>
  <c r="U63" i="10"/>
  <c r="M33" i="23"/>
  <c r="N33" i="23" s="1"/>
  <c r="M71" i="23"/>
  <c r="N71" i="23" s="1"/>
  <c r="W36" i="22"/>
  <c r="Y36" i="22"/>
  <c r="AH36" i="22" s="1"/>
  <c r="AO36" i="22" s="1"/>
  <c r="X36" i="22"/>
  <c r="AK36" i="22" s="1"/>
  <c r="AU36" i="22" s="1"/>
  <c r="Z36" i="22"/>
  <c r="AI36" i="22" s="1"/>
  <c r="AQ36" i="22" s="1"/>
  <c r="W63" i="22"/>
  <c r="Y63" i="22"/>
  <c r="AH63" i="22" s="1"/>
  <c r="AO63" i="22" s="1"/>
  <c r="Z63" i="22"/>
  <c r="AI63" i="22" s="1"/>
  <c r="AQ63" i="22" s="1"/>
  <c r="X63" i="22"/>
  <c r="AK63" i="22" s="1"/>
  <c r="AU63" i="22" s="1"/>
  <c r="W32" i="22"/>
  <c r="Y32" i="22"/>
  <c r="AH32" i="22" s="1"/>
  <c r="AO32" i="22" s="1"/>
  <c r="Z32" i="22"/>
  <c r="AI32" i="22" s="1"/>
  <c r="AQ32" i="22" s="1"/>
  <c r="X32" i="22"/>
  <c r="AK32" i="22" s="1"/>
  <c r="AU32" i="22" s="1"/>
  <c r="AZ32" i="22" s="1"/>
  <c r="X44" i="22"/>
  <c r="AK44" i="22" s="1"/>
  <c r="AU44" i="22" s="1"/>
  <c r="Z44" i="22"/>
  <c r="AI44" i="22" s="1"/>
  <c r="AQ44" i="22" s="1"/>
  <c r="Y44" i="22"/>
  <c r="AH44" i="22" s="1"/>
  <c r="AO44" i="22" s="1"/>
  <c r="W44" i="22"/>
  <c r="AA44" i="22"/>
  <c r="AJ44" i="22" s="1"/>
  <c r="AS44" i="22" s="1"/>
  <c r="Z32" i="10"/>
  <c r="AE32" i="10" s="1"/>
  <c r="AL32" i="10" s="1"/>
  <c r="P44" i="10"/>
  <c r="S44" i="10"/>
  <c r="AB44" i="10" s="1"/>
  <c r="AI44" i="10" s="1"/>
  <c r="R44" i="10"/>
  <c r="AA44" i="10" s="1"/>
  <c r="AH44" i="10" s="1"/>
  <c r="Q44" i="10"/>
  <c r="AD44" i="10" s="1"/>
  <c r="AK44" i="10" s="1"/>
  <c r="AN44" i="10" s="1"/>
  <c r="T44" i="10"/>
  <c r="AC44" i="10" s="1"/>
  <c r="AJ44" i="10" s="1"/>
  <c r="Z44" i="10"/>
  <c r="AE44" i="10" s="1"/>
  <c r="AL44" i="10" s="1"/>
  <c r="AM17" i="10"/>
  <c r="M41" i="23"/>
  <c r="N41" i="23" s="1"/>
  <c r="Z63" i="10"/>
  <c r="AE63" i="10" s="1"/>
  <c r="AL63" i="10" s="1"/>
  <c r="M69" i="23"/>
  <c r="N69" i="23" s="1"/>
  <c r="P56" i="10"/>
  <c r="R56" i="10"/>
  <c r="AA56" i="10" s="1"/>
  <c r="AH56" i="10" s="1"/>
  <c r="S56" i="10"/>
  <c r="AB56" i="10" s="1"/>
  <c r="AI56" i="10" s="1"/>
  <c r="T56" i="10"/>
  <c r="AC56" i="10" s="1"/>
  <c r="AJ56" i="10" s="1"/>
  <c r="Q56" i="10"/>
  <c r="AD56" i="10" s="1"/>
  <c r="AK56" i="10" s="1"/>
  <c r="M25" i="23"/>
  <c r="N25" i="23" s="1"/>
  <c r="M62" i="23"/>
  <c r="N62" i="23" s="1"/>
  <c r="M39" i="23"/>
  <c r="N39" i="23" s="1"/>
  <c r="Z36" i="10"/>
  <c r="AE36" i="10" s="1"/>
  <c r="AL36" i="10" s="1"/>
  <c r="M38" i="23"/>
  <c r="N38" i="23" s="1"/>
  <c r="Z56" i="22"/>
  <c r="AI56" i="22" s="1"/>
  <c r="AQ56" i="22" s="1"/>
  <c r="Y56" i="22"/>
  <c r="AH56" i="22" s="1"/>
  <c r="AO56" i="22" s="1"/>
  <c r="AA56" i="22"/>
  <c r="AJ56" i="22" s="1"/>
  <c r="AS56" i="22" s="1"/>
  <c r="AY56" i="22" s="1"/>
  <c r="W56" i="22"/>
  <c r="X56" i="22"/>
  <c r="AK56" i="22" s="1"/>
  <c r="AU56" i="22" s="1"/>
  <c r="T36" i="10"/>
  <c r="AC36" i="10" s="1"/>
  <c r="AJ36" i="10" s="1"/>
  <c r="AM36" i="10" s="1"/>
  <c r="AG49" i="22"/>
  <c r="AL49" i="22" s="1"/>
  <c r="AW49" i="22" s="1"/>
  <c r="AM34" i="10"/>
  <c r="M55" i="23"/>
  <c r="N55" i="23" s="1"/>
  <c r="AN20" i="10"/>
  <c r="M18" i="23"/>
  <c r="N18" i="23" s="1"/>
  <c r="P33" i="10"/>
  <c r="S33" i="10"/>
  <c r="AB33" i="10" s="1"/>
  <c r="AI33" i="10" s="1"/>
  <c r="AM33" i="10" s="1"/>
  <c r="R33" i="10"/>
  <c r="AA33" i="10" s="1"/>
  <c r="AH33" i="10" s="1"/>
  <c r="Q33" i="10"/>
  <c r="AD33" i="10" s="1"/>
  <c r="AK33" i="10" s="1"/>
  <c r="AB33" i="22"/>
  <c r="AB36" i="22"/>
  <c r="U36" i="10"/>
  <c r="T32" i="10"/>
  <c r="AC32" i="10" s="1"/>
  <c r="AJ32" i="10" s="1"/>
  <c r="M47" i="23"/>
  <c r="N47" i="23" s="1"/>
  <c r="P41" i="10"/>
  <c r="S41" i="10"/>
  <c r="AB41" i="10" s="1"/>
  <c r="AI41" i="10" s="1"/>
  <c r="AM41" i="10" s="1"/>
  <c r="R41" i="10"/>
  <c r="AA41" i="10" s="1"/>
  <c r="AH41" i="10" s="1"/>
  <c r="Z41" i="10"/>
  <c r="AE41" i="10" s="1"/>
  <c r="AL41" i="10" s="1"/>
  <c r="Q41" i="10"/>
  <c r="AD41" i="10" s="1"/>
  <c r="AK41" i="10" s="1"/>
  <c r="U41" i="10"/>
  <c r="AG19" i="22"/>
  <c r="AL19" i="22" s="1"/>
  <c r="AW19" i="22" s="1"/>
  <c r="X66" i="22"/>
  <c r="AK66" i="22" s="1"/>
  <c r="AU66" i="22" s="1"/>
  <c r="Y66" i="22"/>
  <c r="AH66" i="22" s="1"/>
  <c r="AO66" i="22" s="1"/>
  <c r="W66" i="22"/>
  <c r="Z66" i="22"/>
  <c r="AI66" i="22" s="1"/>
  <c r="AQ66" i="22" s="1"/>
  <c r="AA66" i="22"/>
  <c r="AJ66" i="22" s="1"/>
  <c r="AS66" i="22" s="1"/>
  <c r="AY14" i="22"/>
  <c r="AY20" i="22"/>
  <c r="AZ6" i="22"/>
  <c r="AZ50" i="22"/>
  <c r="AN16" i="10"/>
  <c r="H125" i="20"/>
  <c r="H124" i="20"/>
  <c r="S12" i="10"/>
  <c r="AB12" i="10" s="1"/>
  <c r="AI12" i="10" s="1"/>
  <c r="P12" i="10"/>
  <c r="R12" i="10"/>
  <c r="AA12" i="10" s="1"/>
  <c r="AH12" i="10" s="1"/>
  <c r="Q12" i="10"/>
  <c r="AD12" i="10" s="1"/>
  <c r="AK12" i="10" s="1"/>
  <c r="T12" i="10"/>
  <c r="AC12" i="10" s="1"/>
  <c r="AJ12" i="10" s="1"/>
  <c r="AM12" i="10" s="1"/>
  <c r="AZ23" i="22"/>
  <c r="AM58" i="10"/>
  <c r="H120" i="20"/>
  <c r="H121" i="20"/>
  <c r="U66" i="10"/>
  <c r="AM6" i="10"/>
  <c r="AZ34" i="22"/>
  <c r="S39" i="10"/>
  <c r="AB39" i="10" s="1"/>
  <c r="AI39" i="10" s="1"/>
  <c r="R39" i="10"/>
  <c r="AA39" i="10" s="1"/>
  <c r="AH39" i="10" s="1"/>
  <c r="P39" i="10"/>
  <c r="Q39" i="10"/>
  <c r="AD39" i="10" s="1"/>
  <c r="AK39" i="10" s="1"/>
  <c r="T39" i="10"/>
  <c r="AC39" i="10" s="1"/>
  <c r="AJ39" i="10" s="1"/>
  <c r="AG55" i="22"/>
  <c r="AL55" i="22" s="1"/>
  <c r="AW55" i="22" s="1"/>
  <c r="Z27" i="22"/>
  <c r="AI27" i="22" s="1"/>
  <c r="AQ27" i="22" s="1"/>
  <c r="W27" i="22"/>
  <c r="Y27" i="22"/>
  <c r="AH27" i="22" s="1"/>
  <c r="AO27" i="22" s="1"/>
  <c r="AB27" i="22"/>
  <c r="AG27" i="22"/>
  <c r="AL27" i="22" s="1"/>
  <c r="AW27" i="22" s="1"/>
  <c r="X27" i="22"/>
  <c r="AK27" i="22" s="1"/>
  <c r="AU27" i="22" s="1"/>
  <c r="Z65" i="22"/>
  <c r="AI65" i="22" s="1"/>
  <c r="AQ65" i="22" s="1"/>
  <c r="W65" i="22"/>
  <c r="Y65" i="22"/>
  <c r="AH65" i="22" s="1"/>
  <c r="AO65" i="22" s="1"/>
  <c r="X65" i="22"/>
  <c r="AK65" i="22" s="1"/>
  <c r="AU65" i="22" s="1"/>
  <c r="AN7" i="10"/>
  <c r="AA65" i="22"/>
  <c r="AJ65" i="22" s="1"/>
  <c r="AS65" i="22" s="1"/>
  <c r="AG50" i="22"/>
  <c r="AL50" i="22" s="1"/>
  <c r="AW50" i="22" s="1"/>
  <c r="AY64" i="22"/>
  <c r="U39" i="10"/>
  <c r="AN28" i="10"/>
  <c r="AY28" i="22"/>
  <c r="AZ31" i="22"/>
  <c r="AZ42" i="22"/>
  <c r="AN42" i="10"/>
  <c r="AY21" i="22"/>
  <c r="S15" i="10"/>
  <c r="AB15" i="10" s="1"/>
  <c r="AI15" i="10" s="1"/>
  <c r="P15" i="10"/>
  <c r="R15" i="10"/>
  <c r="AA15" i="10" s="1"/>
  <c r="AH15" i="10" s="1"/>
  <c r="T15" i="10"/>
  <c r="AC15" i="10" s="1"/>
  <c r="AJ15" i="10" s="1"/>
  <c r="Q15" i="10"/>
  <c r="AD15" i="10" s="1"/>
  <c r="AK15" i="10" s="1"/>
  <c r="AN9" i="10"/>
  <c r="AM53" i="10"/>
  <c r="AZ21" i="22"/>
  <c r="AZ30" i="22"/>
  <c r="H109" i="20"/>
  <c r="H108" i="20"/>
  <c r="AY52" i="22"/>
  <c r="AY22" i="22"/>
  <c r="AY16" i="22"/>
  <c r="H123" i="20"/>
  <c r="W12" i="22"/>
  <c r="Z12" i="22"/>
  <c r="AI12" i="22" s="1"/>
  <c r="AQ12" i="22" s="1"/>
  <c r="Y12" i="22"/>
  <c r="AH12" i="22" s="1"/>
  <c r="AO12" i="22" s="1"/>
  <c r="X12" i="22"/>
  <c r="AK12" i="22" s="1"/>
  <c r="AU12" i="22" s="1"/>
  <c r="AA12" i="22"/>
  <c r="AJ12" i="22" s="1"/>
  <c r="AS12" i="22" s="1"/>
  <c r="AG43" i="22"/>
  <c r="AL43" i="22" s="1"/>
  <c r="AW43" i="22" s="1"/>
  <c r="AZ26" i="22"/>
  <c r="AY50" i="22"/>
  <c r="H119" i="20"/>
  <c r="AZ11" i="22"/>
  <c r="AY54" i="22"/>
  <c r="AA6" i="22"/>
  <c r="AJ6" i="22" s="1"/>
  <c r="AS6" i="22" s="1"/>
  <c r="AY62" i="22"/>
  <c r="W39" i="22"/>
  <c r="Y39" i="22"/>
  <c r="AH39" i="22" s="1"/>
  <c r="AO39" i="22" s="1"/>
  <c r="Z39" i="22"/>
  <c r="AI39" i="22" s="1"/>
  <c r="AQ39" i="22" s="1"/>
  <c r="X39" i="22"/>
  <c r="AK39" i="22" s="1"/>
  <c r="AU39" i="22" s="1"/>
  <c r="AA39" i="22"/>
  <c r="AJ39" i="22" s="1"/>
  <c r="AS39" i="22" s="1"/>
  <c r="AZ16" i="22"/>
  <c r="U12" i="10"/>
  <c r="AZ54" i="22"/>
  <c r="AZ24" i="22"/>
  <c r="AY38" i="22"/>
  <c r="AM37" i="10"/>
  <c r="AY36" i="22"/>
  <c r="AY24" i="22"/>
  <c r="R18" i="10"/>
  <c r="AA18" i="10" s="1"/>
  <c r="AH18" i="10" s="1"/>
  <c r="P18" i="10"/>
  <c r="S18" i="10"/>
  <c r="AB18" i="10" s="1"/>
  <c r="AI18" i="10" s="1"/>
  <c r="Q18" i="10"/>
  <c r="AD18" i="10" s="1"/>
  <c r="AK18" i="10" s="1"/>
  <c r="AN18" i="10" s="1"/>
  <c r="Z18" i="22"/>
  <c r="AI18" i="22" s="1"/>
  <c r="AQ18" i="22" s="1"/>
  <c r="Y18" i="22"/>
  <c r="AH18" i="22" s="1"/>
  <c r="AO18" i="22" s="1"/>
  <c r="W18" i="22"/>
  <c r="X18" i="22"/>
  <c r="AK18" i="22" s="1"/>
  <c r="AU18" i="22" s="1"/>
  <c r="R49" i="10"/>
  <c r="AA49" i="10" s="1"/>
  <c r="AH49" i="10" s="1"/>
  <c r="S49" i="10"/>
  <c r="AB49" i="10" s="1"/>
  <c r="AI49" i="10" s="1"/>
  <c r="AM49" i="10" s="1"/>
  <c r="P49" i="10"/>
  <c r="Q49" i="10"/>
  <c r="AD49" i="10" s="1"/>
  <c r="AK49" i="10" s="1"/>
  <c r="AZ53" i="22"/>
  <c r="AG14" i="22"/>
  <c r="AL14" i="22" s="1"/>
  <c r="AW14" i="22" s="1"/>
  <c r="Y49" i="22"/>
  <c r="AH49" i="22" s="1"/>
  <c r="AO49" i="22" s="1"/>
  <c r="W49" i="22"/>
  <c r="Z49" i="22"/>
  <c r="AI49" i="22" s="1"/>
  <c r="AQ49" i="22" s="1"/>
  <c r="X49" i="22"/>
  <c r="AK49" i="22" s="1"/>
  <c r="AU49" i="22" s="1"/>
  <c r="H116" i="20"/>
  <c r="H117" i="20"/>
  <c r="W15" i="22"/>
  <c r="Y15" i="22"/>
  <c r="AH15" i="22" s="1"/>
  <c r="AO15" i="22" s="1"/>
  <c r="Z15" i="22"/>
  <c r="AI15" i="22" s="1"/>
  <c r="AQ15" i="22" s="1"/>
  <c r="X15" i="22"/>
  <c r="AK15" i="22" s="1"/>
  <c r="AU15" i="22" s="1"/>
  <c r="AA15" i="22"/>
  <c r="AJ15" i="22" s="1"/>
  <c r="AS15" i="22" s="1"/>
  <c r="AY46" i="22"/>
  <c r="AB66" i="22"/>
  <c r="AB49" i="22"/>
  <c r="AZ58" i="22"/>
  <c r="U49" i="10"/>
  <c r="AZ60" i="22"/>
  <c r="P19" i="10"/>
  <c r="S19" i="10"/>
  <c r="AB19" i="10" s="1"/>
  <c r="AI19" i="10" s="1"/>
  <c r="R19" i="10"/>
  <c r="AA19" i="10" s="1"/>
  <c r="AH19" i="10" s="1"/>
  <c r="Q19" i="10"/>
  <c r="AD19" i="10" s="1"/>
  <c r="AK19" i="10" s="1"/>
  <c r="T19" i="10"/>
  <c r="AC19" i="10" s="1"/>
  <c r="AJ19" i="10" s="1"/>
  <c r="H107" i="20"/>
  <c r="H105" i="20"/>
  <c r="H104" i="20"/>
  <c r="AY37" i="22"/>
  <c r="R35" i="10"/>
  <c r="AA35" i="10" s="1"/>
  <c r="AH35" i="10" s="1"/>
  <c r="P35" i="10"/>
  <c r="S35" i="10"/>
  <c r="AB35" i="10" s="1"/>
  <c r="AI35" i="10" s="1"/>
  <c r="Q35" i="10"/>
  <c r="AD35" i="10" s="1"/>
  <c r="AK35" i="10" s="1"/>
  <c r="T35" i="10"/>
  <c r="AC35" i="10" s="1"/>
  <c r="AJ35" i="10" s="1"/>
  <c r="AY60" i="22"/>
  <c r="AY63" i="22"/>
  <c r="Z49" i="10"/>
  <c r="AE49" i="10" s="1"/>
  <c r="AL49" i="10" s="1"/>
  <c r="AA18" i="22"/>
  <c r="AJ18" i="22" s="1"/>
  <c r="AS18" i="22" s="1"/>
  <c r="AY32" i="22"/>
  <c r="AY26" i="22"/>
  <c r="AY43" i="22"/>
  <c r="AY41" i="22"/>
  <c r="AB15" i="22"/>
  <c r="AY17" i="22"/>
  <c r="T18" i="10"/>
  <c r="AC18" i="10" s="1"/>
  <c r="AJ18" i="10" s="1"/>
  <c r="AM18" i="10" s="1"/>
  <c r="AM26" i="10"/>
  <c r="U18" i="10"/>
  <c r="U15" i="10"/>
  <c r="AZ61" i="22"/>
  <c r="AY61" i="22"/>
  <c r="AY58" i="22"/>
  <c r="AZ37" i="22"/>
  <c r="R66" i="10"/>
  <c r="AA66" i="10" s="1"/>
  <c r="AH66" i="10" s="1"/>
  <c r="S66" i="10"/>
  <c r="AB66" i="10" s="1"/>
  <c r="AI66" i="10" s="1"/>
  <c r="P66" i="10"/>
  <c r="Q66" i="10"/>
  <c r="AD66" i="10" s="1"/>
  <c r="AK66" i="10" s="1"/>
  <c r="T66" i="10"/>
  <c r="AC66" i="10" s="1"/>
  <c r="AJ66" i="10" s="1"/>
  <c r="AZ20" i="22"/>
  <c r="AG6" i="22"/>
  <c r="AL6" i="22" s="1"/>
  <c r="AW6" i="22" s="1"/>
  <c r="AZ14" i="22"/>
  <c r="Z18" i="10"/>
  <c r="AE18" i="10" s="1"/>
  <c r="AL18" i="10" s="1"/>
  <c r="Y19" i="22"/>
  <c r="AH19" i="22" s="1"/>
  <c r="AO19" i="22" s="1"/>
  <c r="Z19" i="22"/>
  <c r="AI19" i="22" s="1"/>
  <c r="AQ19" i="22" s="1"/>
  <c r="W19" i="22"/>
  <c r="AA19" i="22"/>
  <c r="AJ19" i="22" s="1"/>
  <c r="AS19" i="22" s="1"/>
  <c r="X19" i="22"/>
  <c r="AK19" i="22" s="1"/>
  <c r="AU19" i="22" s="1"/>
  <c r="AY31" i="22"/>
  <c r="Y35" i="22"/>
  <c r="AH35" i="22" s="1"/>
  <c r="AO35" i="22" s="1"/>
  <c r="Z35" i="22"/>
  <c r="AI35" i="22" s="1"/>
  <c r="AQ35" i="22" s="1"/>
  <c r="W35" i="22"/>
  <c r="AA35" i="22"/>
  <c r="AJ35" i="22" s="1"/>
  <c r="AS35" i="22" s="1"/>
  <c r="X35" i="22"/>
  <c r="AK35" i="22" s="1"/>
  <c r="AU35" i="22" s="1"/>
  <c r="AY7" i="22"/>
  <c r="AG66" i="22"/>
  <c r="AL66" i="22" s="1"/>
  <c r="AW66" i="22" s="1"/>
  <c r="AY53" i="22"/>
  <c r="AY23" i="22"/>
  <c r="AB18" i="22"/>
  <c r="AG15" i="22"/>
  <c r="AL15" i="22" s="1"/>
  <c r="AW15" i="22" s="1"/>
  <c r="AM68" i="10"/>
  <c r="P27" i="10"/>
  <c r="U27" i="10"/>
  <c r="R27" i="10"/>
  <c r="AA27" i="10" s="1"/>
  <c r="AH27" i="10" s="1"/>
  <c r="S27" i="10"/>
  <c r="AB27" i="10" s="1"/>
  <c r="AI27" i="10" s="1"/>
  <c r="AM27" i="10" s="1"/>
  <c r="Z27" i="10"/>
  <c r="AE27" i="10" s="1"/>
  <c r="AL27" i="10" s="1"/>
  <c r="Q27" i="10"/>
  <c r="AD27" i="10" s="1"/>
  <c r="AK27" i="10" s="1"/>
  <c r="AN27" i="10" s="1"/>
  <c r="S65" i="10"/>
  <c r="AB65" i="10" s="1"/>
  <c r="AI65" i="10" s="1"/>
  <c r="AM65" i="10" s="1"/>
  <c r="R65" i="10"/>
  <c r="AA65" i="10" s="1"/>
  <c r="AH65" i="10" s="1"/>
  <c r="P65" i="10"/>
  <c r="Q65" i="10"/>
  <c r="AD65" i="10" s="1"/>
  <c r="AK65" i="10" s="1"/>
  <c r="AN65" i="10" s="1"/>
  <c r="AY42" i="22"/>
  <c r="AN11" i="10"/>
  <c r="AZ52" i="22"/>
  <c r="AZ62" i="22"/>
  <c r="AY47" i="22"/>
  <c r="AG35" i="22"/>
  <c r="AL35" i="22" s="1"/>
  <c r="AW35" i="22" s="1"/>
  <c r="Z15" i="10"/>
  <c r="AE15" i="10" s="1"/>
  <c r="AL15" i="10" s="1"/>
  <c r="AN56" i="10" l="1"/>
  <c r="AZ33" i="22"/>
  <c r="AN33" i="10"/>
  <c r="AN66" i="10"/>
  <c r="AN49" i="10"/>
  <c r="AN15" i="10"/>
  <c r="AZ56" i="22"/>
  <c r="AN19" i="10"/>
  <c r="AZ44" i="22"/>
  <c r="AM39" i="10"/>
  <c r="AZ36" i="22"/>
  <c r="AZ41" i="22"/>
  <c r="AN39" i="10"/>
  <c r="AN41" i="10"/>
  <c r="AY44" i="22"/>
  <c r="AM56" i="10"/>
  <c r="J103" i="20"/>
  <c r="J106" i="20" s="1"/>
  <c r="M117" i="20" s="1"/>
  <c r="AM32" i="10"/>
  <c r="AM44" i="10"/>
  <c r="AZ63" i="22"/>
  <c r="AN32" i="10"/>
  <c r="AN63" i="10"/>
  <c r="N117" i="20"/>
  <c r="Q117" i="20"/>
  <c r="AZ12" i="22"/>
  <c r="AZ19" i="22"/>
  <c r="AM35" i="10"/>
  <c r="AZ27" i="22"/>
  <c r="AY27" i="22"/>
  <c r="AY66" i="22"/>
  <c r="AZ66" i="22"/>
  <c r="AY49" i="22"/>
  <c r="AY18" i="22"/>
  <c r="AZ65" i="22"/>
  <c r="AZ35" i="22"/>
  <c r="AY19" i="22"/>
  <c r="AM66" i="10"/>
  <c r="AN35" i="10"/>
  <c r="AM19" i="10"/>
  <c r="AY15" i="22"/>
  <c r="AZ49" i="22"/>
  <c r="AY39" i="22"/>
  <c r="AY6" i="22"/>
  <c r="AM15" i="10"/>
  <c r="AY65" i="22"/>
  <c r="AN12" i="10"/>
  <c r="AY35" i="22"/>
  <c r="AZ15" i="22"/>
  <c r="AZ18" i="22"/>
  <c r="AZ39" i="22"/>
  <c r="AY12" i="22"/>
  <c r="M120" i="20" l="1"/>
  <c r="R11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4" authorId="0" shapeId="0" xr:uid="{00000000-0006-0000-05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78" authorId="0" shapeId="0" xr:uid="{00000000-0006-0000-0A00-000001000000}">
      <text>
        <r>
          <rPr>
            <b/>
            <sz val="9"/>
            <color indexed="81"/>
            <rFont val="Calibri"/>
            <family val="2"/>
          </rPr>
          <t>Diana Davies:</t>
        </r>
        <r>
          <rPr>
            <sz val="9"/>
            <color indexed="81"/>
            <rFont val="Calibri"/>
            <family val="2"/>
          </rPr>
          <t xml:space="preserve">
IUPAC method and </t>
        </r>
      </text>
    </comment>
    <comment ref="C90" authorId="0" shapeId="0" xr:uid="{00000000-0006-0000-0A00-000002000000}">
      <text>
        <r>
          <rPr>
            <b/>
            <sz val="9"/>
            <color indexed="81"/>
            <rFont val="Calibri"/>
            <family val="2"/>
          </rPr>
          <t>Diana Davies:</t>
        </r>
        <r>
          <rPr>
            <sz val="9"/>
            <color indexed="81"/>
            <rFont val="Calibri"/>
            <family val="2"/>
          </rPr>
          <t xml:space="preserve">
IUPAC method 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tc={06C554CB-6844-41CB-8B8F-EA392C9C16CD}</author>
    <author>tc={E13891ED-9CA6-49CC-95DF-06129074FFF2}</author>
    <author>tc={950900D8-223A-4653-B5E0-87C435BF08C0}</author>
    <author>tc={921D5907-6C83-4DB2-ADE4-A5A88E1ED766}</author>
    <author>tc={7CC84978-3B29-4A94-885D-63CEB970FE2F}</author>
    <author>tc={348EF22F-D9CF-498D-88F4-82062EC39C6E}</author>
    <author>tc={D289F2C7-665D-4EC3-A599-1AF979B57A05}</author>
    <author>tc={DBEACDC7-B93D-4701-B5C7-D17A60EC968D}</author>
    <author>Cathryn Wynn-Edwards</author>
    <author>tc={DAF0A84C-0991-421D-9566-D40A9A0EFD7B}</author>
    <author>tc={E89FDE8A-F867-4CBD-9C4D-E3C5B4C11FA9}</author>
    <author>tc={5B8E135C-7A5F-4447-9A5F-732EB85A2396}</author>
    <author>tc={84B6D5F2-CEB5-47D4-93E2-5B0606CF2AF7}</author>
    <author>tc={790BE347-AEE5-46C3-9E29-97A2A5FFF1CA}</author>
    <author>tc={E10738E0-AD25-4A13-B60B-94583F823C3F}</author>
    <author>tc={9D33F2E2-F470-4A17-B39D-E056701EE363}</author>
    <author>tc={D9919259-BA8C-41FA-ABA7-89986D4EE4EE}</author>
    <author>tc={EEECF2DD-7853-4194-8573-1914FA801202}</author>
    <author>tc={6D70C594-DF51-4F5D-B8C9-F052B4173948}</author>
    <author>tc={23466B6A-B7EA-453C-B7AE-E6E69E8A5DBD}</author>
  </authors>
  <commentList>
    <comment ref="AG1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2"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3"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4"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27"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average of 4 replicates</t>
      </text>
    </comment>
    <comment ref="AF33" authorId="8" shapeId="0" xr:uid="{00000000-0006-0000-0F00-000009000000}">
      <text>
        <r>
          <rPr>
            <b/>
            <sz val="9"/>
            <color indexed="81"/>
            <rFont val="Tahoma"/>
            <family val="2"/>
          </rPr>
          <t>Cathryn Wynn-Edwards:</t>
        </r>
        <r>
          <rPr>
            <sz val="9"/>
            <color indexed="81"/>
            <rFont val="Tahoma"/>
            <family val="2"/>
          </rPr>
          <t xml:space="preserve">
average of 2 replicates</t>
        </r>
      </text>
    </comment>
    <comment ref="AG33"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47" authorId="8" shapeId="0" xr:uid="{00000000-0006-0000-0F00-00000B000000}">
      <text>
        <r>
          <rPr>
            <b/>
            <sz val="9"/>
            <color indexed="81"/>
            <rFont val="Tahoma"/>
            <family val="2"/>
          </rPr>
          <t>Cathryn Wynn-Edwards:</t>
        </r>
        <r>
          <rPr>
            <sz val="9"/>
            <color indexed="81"/>
            <rFont val="Tahoma"/>
            <family val="2"/>
          </rPr>
          <t xml:space="preserve">
average of 2 replicates</t>
        </r>
      </text>
    </comment>
    <comment ref="AG47"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F57" authorId="8" shapeId="0" xr:uid="{00000000-0006-0000-0F00-00000D000000}">
      <text>
        <r>
          <rPr>
            <b/>
            <sz val="9"/>
            <color indexed="81"/>
            <rFont val="Tahoma"/>
            <family val="2"/>
          </rPr>
          <t>Cathryn Wynn-Edwards:</t>
        </r>
        <r>
          <rPr>
            <sz val="9"/>
            <color indexed="81"/>
            <rFont val="Tahoma"/>
            <family val="2"/>
          </rPr>
          <t xml:space="preserve">
average of 2 duplicates</t>
        </r>
      </text>
    </comment>
    <comment ref="AF62" authorId="8" shapeId="0" xr:uid="{00000000-0006-0000-0F00-00000E000000}">
      <text>
        <r>
          <rPr>
            <b/>
            <sz val="9"/>
            <color indexed="81"/>
            <rFont val="Tahoma"/>
            <family val="2"/>
          </rPr>
          <t>Cathryn Wynn-Edwards:</t>
        </r>
        <r>
          <rPr>
            <sz val="9"/>
            <color indexed="81"/>
            <rFont val="Tahoma"/>
            <family val="2"/>
          </rPr>
          <t xml:space="preserve">
average of 2 replicates</t>
        </r>
      </text>
    </comment>
    <comment ref="AG62" authorId="11" shapeId="0" xr:uid="{00000000-0006-0000-0F00-00000F000000}">
      <text>
        <t>[Threaded comment]
Your version of Excel allows you to read this threaded comment; however, any edits to it will get removed if the file is opened in a newer version of Excel. Learn more: https://go.microsoft.com/fwlink/?linkid=870924
Comment:
    average of triplicates</t>
      </text>
    </comment>
    <comment ref="AG65" authorId="12" shapeId="0" xr:uid="{00000000-0006-0000-0F00-000010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6" authorId="13" shapeId="0" xr:uid="{00000000-0006-0000-0F00-00001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7" authorId="14" shapeId="0" xr:uid="{00000000-0006-0000-0F00-00001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8" authorId="15" shapeId="0" xr:uid="{00000000-0006-0000-0F00-00001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69" authorId="16" shapeId="0" xr:uid="{00000000-0006-0000-0F00-00001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0" authorId="17" shapeId="0" xr:uid="{00000000-0006-0000-0F00-00001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1" authorId="18" shapeId="0" xr:uid="{00000000-0006-0000-0F00-00001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AG72" authorId="19" shapeId="0" xr:uid="{00000000-0006-0000-0F00-00001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<sst xmlns="http://schemas.openxmlformats.org/spreadsheetml/2006/main" count="8625" uniqueCount="3544">
  <si>
    <t>The volume of the McLane Parflux mark78 21 cup is 250mL but I need to check when filled to shoulder=</t>
  </si>
  <si>
    <t>final concentration g/L</t>
  </si>
  <si>
    <t>take out 10mL and add 10mL sat HgCl2 to 250mL cup g/L ie 4% salts</t>
  </si>
  <si>
    <t>sodium chloride, NaCl</t>
  </si>
  <si>
    <t>sodium tetraborate,Na2B4O7.10H2O in addition to sw</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</si>
  <si>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</si>
  <si>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</si>
  <si>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</si>
  <si>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</si>
  <si>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</si>
  <si>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</si>
  <si>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CHECK 1L</t>
  </si>
  <si>
    <t>g/L added</t>
  </si>
  <si>
    <t>g</t>
  </si>
  <si>
    <t xml:space="preserve">Di's additions:  there is a general preference to fill the cups with brine, remove 10mL by pipette and replace with 10mL of saturated mercuric chloride. This was trialed during SAZ18 prep. </t>
  </si>
  <si>
    <t>Brine volume (L) required for 3 traps for SAZ19=</t>
  </si>
  <si>
    <t>saturated mercuric chloride volume (mL) required=</t>
  </si>
  <si>
    <t>hence prepare 20L as 2 10L aliquots for easy</t>
  </si>
  <si>
    <t>g/10L</t>
  </si>
  <si>
    <t>company, PN</t>
  </si>
  <si>
    <t>increased as per later notes</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</si>
  <si>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</si>
  <si>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</si>
  <si>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</si>
  <si>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</si>
  <si>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</si>
  <si>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</si>
  <si>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</si>
  <si>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</si>
  <si>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</si>
  <si>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</si>
  <si>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</si>
  <si>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</si>
  <si>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</si>
  <si>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</si>
  <si>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</si>
  <si>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</si>
  <si>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</si>
  <si>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</si>
  <si>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</si>
  <si>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Email from Tom: Di,</t>
  </si>
  <si>
    <t>Approximately 20L of deep water remains from processing saz18 for saz20 brine prep</t>
  </si>
  <si>
    <t>depth</t>
  </si>
  <si>
    <t>trap</t>
  </si>
  <si>
    <t>deployment</t>
  </si>
  <si>
    <t>2018 McLane sediment trap brine mercuric chloride concentration brine adjustment</t>
  </si>
  <si>
    <t>2018-02 Sed trap prep brine for SAZ20 NO POISON</t>
  </si>
  <si>
    <t>g wt added to 24L</t>
  </si>
  <si>
    <t>INV 2017-2 FSW carboy 3, 24L + 24g Borate (6/4/17 CWE). Brine concentration increased to allow for 10mL removal from 250mL and replacement with mercuric chloride</t>
  </si>
  <si>
    <t xml:space="preserve">10L batch (CWE), 2 aliquots prepared </t>
  </si>
  <si>
    <t>Merck 1.06404.3000</t>
  </si>
  <si>
    <t>Sigma Aldrich B3545-500G</t>
  </si>
  <si>
    <t>Sigma Aldrich Lot. No. 03216TR</t>
  </si>
  <si>
    <t>McLane 250x21 frame, controller and carousel # ML-12419-01 Cup set O</t>
  </si>
  <si>
    <t>McLane 250x21 frame, controller and carousel # ML-12419-02 Cup set S</t>
  </si>
  <si>
    <t>McLane 250x21 frame, controller and carousel # ML-12993-01 Cup set R</t>
  </si>
  <si>
    <t>event</t>
  </si>
  <si>
    <t>date, UTC</t>
  </si>
  <si>
    <t>interval</t>
  </si>
  <si>
    <t>saz20</t>
  </si>
  <si>
    <t>year 2017-18</t>
  </si>
  <si>
    <t>47S</t>
  </si>
  <si>
    <t>McLane 21 cup</t>
  </si>
  <si>
    <t>deploy</t>
  </si>
  <si>
    <t>cup 1 opens</t>
  </si>
  <si>
    <t>22 (mt)</t>
  </si>
  <si>
    <t>cup 21 closes</t>
  </si>
  <si>
    <t>pickup</t>
  </si>
  <si>
    <t>days spare (need +ve)</t>
  </si>
  <si>
    <t>total</t>
  </si>
  <si>
    <t>pickup-deploy</t>
  </si>
  <si>
    <t>McLane/US date format</t>
  </si>
  <si>
    <r>
      <t xml:space="preserve">Salts are added to filtered seawater= INV 2017-2 FSW </t>
    </r>
    <r>
      <rPr>
        <b/>
        <sz val="12"/>
        <rFont val="Calibri"/>
        <family val="2"/>
        <scheme val="minor"/>
      </rPr>
      <t>carboy 3</t>
    </r>
    <r>
      <rPr>
        <sz val="12"/>
        <rFont val="Calibri"/>
        <family val="2"/>
        <scheme val="minor"/>
      </rPr>
      <t xml:space="preserve">, 24L + </t>
    </r>
    <r>
      <rPr>
        <b/>
        <sz val="12"/>
        <rFont val="Calibri"/>
        <family val="2"/>
        <scheme val="minor"/>
      </rPr>
      <t>24g</t>
    </r>
    <r>
      <rPr>
        <sz val="12"/>
        <rFont val="Calibri"/>
        <family val="2"/>
        <scheme val="minor"/>
      </rPr>
      <t xml:space="preserve"> Borate (6/4/17 CWE) stored 4C. Borate addition was adjusted to accommodate for the already added 24g Borate!</t>
    </r>
  </si>
  <si>
    <t>brine pH before loading the cups</t>
  </si>
  <si>
    <t>brine psu before loading the cups</t>
  </si>
  <si>
    <t>Thermo Scientific INNO CP146626 (from Nil's lab)</t>
  </si>
  <si>
    <t xml:space="preserve">cal slop 98.6% </t>
  </si>
  <si>
    <t>from 24L carboy</t>
  </si>
  <si>
    <t>Conductivity meter (Mettler Toledo Seven Compact),</t>
  </si>
  <si>
    <t>21.2C, 9/02/2018</t>
  </si>
  <si>
    <t>17.0C, 1/2/2018</t>
  </si>
  <si>
    <t>16.9C, 1/2/2018</t>
  </si>
  <si>
    <t xml:space="preserve"> calibrated with 1413uS/cm, 0.01NKCl read 1429uS/cm ref. 25C</t>
  </si>
  <si>
    <t>tilt set to 1440</t>
  </si>
  <si>
    <t>no tilt</t>
  </si>
  <si>
    <t>CTD model# 37SM, part# 90339.075, serial# 37SM25149-1777</t>
  </si>
  <si>
    <t>CTD model# 37SM, part# 3734107, serial# 37SM34107-3124</t>
  </si>
  <si>
    <t>RBR-TDR_2050_16370, CMD:ID:00736, serial# 16370</t>
  </si>
  <si>
    <t>cup 4 leaked a few drops out of the top after programming had happened and they were sitting in the van for two days, spills were cleaned prior to departure of the ship</t>
  </si>
  <si>
    <t>Deployed 08/03/2018 3pm</t>
  </si>
  <si>
    <t>cup 21 leaked a few drops out of the top after programming had happened and they were sitting in the van for two days, spills were cleaned prior to departure of the ship. Di noticed that this cup kept on leaking while onboard and tightened it some more, which did not stop it from leaking, however</t>
  </si>
  <si>
    <t>Fish excluders fitted to the null hole.</t>
  </si>
  <si>
    <t>all concentrations in  uM</t>
  </si>
  <si>
    <t>Hi C,  For your records:</t>
  </si>
  <si>
    <t>Samples of GF/F filtered underway seawater for sediment trap processing to hydrochem, 22/08/2018. Filter was pea greeen and smelt of cod liver.</t>
  </si>
  <si>
    <t>Collected underway sea water 2x10 L @ </t>
  </si>
  <si>
    <t>Sample ID</t>
  </si>
  <si>
    <t>NOx (uM)</t>
  </si>
  <si>
    <t>Phosphate (uM)</t>
  </si>
  <si>
    <t>Silicate (uM)</t>
  </si>
  <si>
    <t>Ammonia (uM)</t>
  </si>
  <si>
    <t>Nitrite (uM)</t>
  </si>
  <si>
    <t>TSG salinity</t>
  </si>
  <si>
    <t>DD 1</t>
  </si>
  <si>
    <t>DD 2</t>
  </si>
  <si>
    <t>Email from Di (13/09/2018)</t>
  </si>
  <si>
    <t>Nuts ex sots site August IN2018_V07</t>
  </si>
  <si>
    <t>SAZ-20 anchor released at 2017-03-08 03:26:12 UTC, 46 47.52' S, 141 47.66'E, -46.792048, 141.794356. Water depth under ship 4518m. No surveyed anchor position, no triangulation data.</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</si>
  <si>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</si>
  <si>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</si>
  <si>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</si>
  <si>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</si>
  <si>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</si>
  <si>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</si>
  <si>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</si>
  <si>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</si>
  <si>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</si>
  <si>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</si>
  <si>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</si>
  <si>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</si>
  <si>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</si>
  <si>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</si>
  <si>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</si>
  <si>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</si>
  <si>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</si>
  <si>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</si>
  <si>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</si>
  <si>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</si>
  <si>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</si>
  <si>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</si>
  <si>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</si>
  <si>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</si>
  <si>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</si>
  <si>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</si>
  <si>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</si>
  <si>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</si>
  <si>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</si>
  <si>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netcdf QC flag</t>
  </si>
  <si>
    <t>Cup exist</t>
  </si>
  <si>
    <t>cup</t>
  </si>
  <si>
    <t>eg FSW batch</t>
  </si>
  <si>
    <t>open</t>
  </si>
  <si>
    <t>= cup_mass/area/time_open</t>
  </si>
  <si>
    <t>powder</t>
  </si>
  <si>
    <t>PC</t>
  </si>
  <si>
    <t>PN</t>
  </si>
  <si>
    <t>netcdf flag</t>
  </si>
  <si>
    <t>UTC</t>
  </si>
  <si>
    <t>normalised</t>
  </si>
  <si>
    <t>BSi</t>
  </si>
  <si>
    <t>BSiO2</t>
  </si>
  <si>
    <t>mass ratio</t>
  </si>
  <si>
    <t>Mol/mol</t>
  </si>
  <si>
    <t>good</t>
  </si>
  <si>
    <t>10/10</t>
  </si>
  <si>
    <t>&lt;1mm</t>
  </si>
  <si>
    <t/>
  </si>
  <si>
    <t>Cup open</t>
  </si>
  <si>
    <t>Cup close</t>
  </si>
  <si>
    <t>midpoint</t>
  </si>
  <si>
    <t>cumulative</t>
  </si>
  <si>
    <t>=height / 0.5m2 / open_time</t>
  </si>
  <si>
    <t>Redfield 2.79 POM opal is BSiO2*1.11</t>
  </si>
  <si>
    <t>probably good minor malfunction</t>
  </si>
  <si>
    <t>mm</t>
  </si>
  <si>
    <t>mg/cup</t>
  </si>
  <si>
    <t>m2</t>
  </si>
  <si>
    <t>days</t>
  </si>
  <si>
    <t>mg/m2/day</t>
  </si>
  <si>
    <t>g/m2/yr</t>
  </si>
  <si>
    <t>% w/w</t>
  </si>
  <si>
    <t>psu</t>
  </si>
  <si>
    <t>mm/m2/day</t>
  </si>
  <si>
    <t>w/w</t>
  </si>
  <si>
    <t>%</t>
  </si>
  <si>
    <t>bad potentially correctable</t>
  </si>
  <si>
    <t>at END event</t>
  </si>
  <si>
    <t>at open event</t>
  </si>
  <si>
    <t>bad</t>
  </si>
  <si>
    <r>
      <t xml:space="preserve">depth actual </t>
    </r>
    <r>
      <rPr>
        <sz val="10"/>
        <color rgb="FFFF0000"/>
        <rFont val="Arial"/>
        <family val="2"/>
      </rPr>
      <t xml:space="preserve">XXXXX </t>
    </r>
  </si>
  <si>
    <t>all 21 cups collected</t>
  </si>
  <si>
    <t>QC threshold 5%</t>
  </si>
  <si>
    <t>value changed by qc</t>
  </si>
  <si>
    <t>SAZ 20</t>
  </si>
  <si>
    <t>recovery IN2019_V02</t>
  </si>
  <si>
    <t>Deployment 08/03/2018 INV18_V2</t>
  </si>
  <si>
    <t>McLane frame controller sn 12419-01, frame sn 12419-01, motor sn 12419-01, cup set O250x21</t>
  </si>
  <si>
    <t>O 1</t>
  </si>
  <si>
    <t>47_1000</t>
  </si>
  <si>
    <t>McLane frame controller sn 12419-02, frame sn 12419-02, motor sn 12419-02, cup set S250x21</t>
  </si>
  <si>
    <t>47_2000</t>
  </si>
  <si>
    <t>S 1</t>
  </si>
  <si>
    <t>McLane frame controller sn 12993-01, frame sn 12993-01, motor sn 12993-01, cup set R250x21</t>
  </si>
  <si>
    <t>R 1</t>
  </si>
  <si>
    <t>47_3800</t>
  </si>
  <si>
    <t>COUNT</t>
  </si>
  <si>
    <t>good cups</t>
  </si>
  <si>
    <t>SUM from subtotals</t>
  </si>
  <si>
    <t>SUM Mclane from subs</t>
  </si>
  <si>
    <t>under funnel</t>
  </si>
  <si>
    <t>COUNT from data (as a check)</t>
  </si>
  <si>
    <t>mass/trap</t>
  </si>
  <si>
    <t>time open</t>
  </si>
  <si>
    <t>mass flux</t>
  </si>
  <si>
    <t>mg</t>
  </si>
  <si>
    <t>% of year</t>
  </si>
  <si>
    <t>1_start</t>
  </si>
  <si>
    <t>McLane</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</si>
  <si>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</si>
  <si>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</si>
  <si>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</si>
  <si>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</si>
  <si>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</si>
  <si>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</si>
  <si>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</si>
  <si>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</si>
  <si>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</si>
  <si>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</si>
  <si>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</si>
  <si>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</si>
  <si>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</si>
  <si>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</si>
  <si>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</si>
  <si>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</si>
  <si>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</si>
  <si>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</si>
  <si>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</si>
  <si>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</si>
  <si>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</si>
  <si>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</si>
  <si>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</si>
  <si>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</si>
  <si>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</si>
  <si>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</si>
  <si>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</si>
  <si>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</si>
  <si>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</si>
  <si>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</si>
  <si>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</si>
  <si>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</si>
  <si>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</si>
  <si>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</si>
  <si>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</si>
  <si>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</si>
  <si>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</si>
  <si>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</si>
  <si>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</si>
  <si>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</si>
  <si>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</si>
  <si>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saz20, 2018</t>
  </si>
  <si>
    <t xml:space="preserve"> saz20, 2018</t>
  </si>
  <si>
    <t>-&lt;1mm Dry</t>
  </si>
  <si>
    <t>-NUT</t>
  </si>
  <si>
    <t>-dupl</t>
  </si>
  <si>
    <t>- &gt;1mm</t>
  </si>
  <si>
    <t>- &lt;1mm</t>
  </si>
  <si>
    <t>- &lt;1mm_1/10</t>
  </si>
  <si>
    <t>- &lt;1mm_2/10</t>
  </si>
  <si>
    <t>- &lt;1mm_3/10</t>
  </si>
  <si>
    <t>- &lt;1mm_4/10</t>
  </si>
  <si>
    <t>- &lt;1mm_5/10</t>
  </si>
  <si>
    <t>- &lt;1mm_6/10</t>
  </si>
  <si>
    <t>- &lt;1mm_7/10</t>
  </si>
  <si>
    <t>- &lt;1mm_8/10</t>
  </si>
  <si>
    <t>- &lt;1mm_9/10</t>
  </si>
  <si>
    <t>- &lt;1mm_10/10</t>
  </si>
  <si>
    <t>FACE down</t>
  </si>
  <si>
    <t>8 sets of 21 cups per sheet</t>
  </si>
  <si>
    <t>saz20_2018-47-1000-</t>
  </si>
  <si>
    <t>saz20_2018-47-2000-</t>
  </si>
  <si>
    <t>saz20_2018-47-3800-</t>
  </si>
  <si>
    <t>-Sal &amp; pH</t>
  </si>
  <si>
    <t>recovery</t>
  </si>
  <si>
    <t>SAZ20 recovered 22/3/2019, acoustic releases came back on deck @ 03:21 UTC</t>
  </si>
  <si>
    <t>Recovered 22/03/2019</t>
  </si>
  <si>
    <t xml:space="preserve">3800m trap was recovered upside down. </t>
  </si>
  <si>
    <t>Processing date</t>
  </si>
  <si>
    <t>Processing comments at sieving stage</t>
  </si>
  <si>
    <t>Borax used: Sigma-Aldrich B3545-500g, Batch# 096K00021</t>
  </si>
  <si>
    <t>Deployment 08/03/2018 IN2018_V02</t>
  </si>
  <si>
    <t>Pickup 22/03/2019 IN2019_V02</t>
  </si>
  <si>
    <t>release on deck</t>
  </si>
  <si>
    <t>all 21 cups collected, trap recovered upside down</t>
  </si>
  <si>
    <t>&lt;1</t>
  </si>
  <si>
    <t>FSW carboy 2, SOFS7.5, IN2018_V07, GF/F filtered, 22/8/2018, -47.02S, 142.25E, ~11L+11g Borax (CWE, 5/2/2019)</t>
  </si>
  <si>
    <t>FSW carboy 1, SOFS7.5, IN2018_V07, GF/F filtered, 22/8/2018, -47.02S, 142.25E, ~12L+12g Borax (CWE, 5/2/2019)</t>
  </si>
  <si>
    <t>FSW carboy 1, SOFS7.5, IN2018_V07, GF/F filtered, 22/8/2018, -47.02S, 142.25E, ~12L+12g Borax (CWE, 5/2/2019) + FSW carboy 2, SOFS7.5, IN2018_V07, GF/F filtered, 22/8/2018, -47.02S, 142.25E, ~11L+11g Borax (CWE, 5/2/2019)</t>
  </si>
  <si>
    <t>FSW carboy 1, SOFS7.5, IN2018_V07, GF/F filtered, 22/8/2018, -47.02S, 142.25E, ~12L+12g Borax (CWE, 5/2/2019), tea colour</t>
  </si>
  <si>
    <t>FSW carboy 1, SOFS7.5, IN2018_V07, GF/F filtered, 22/8/2018, -47.02S, 142.25E, ~12L+12g Borax (CWE, 5/2/2019), tea colour, white sand</t>
  </si>
  <si>
    <t>FSW carboy 1, SOFS7.5, IN2018_V07, GF/F filtered, 22/8/2018, -47.02S, 142.25E, ~12L+12g Borax (CWE, 5/2/2019), almost only white sand</t>
  </si>
  <si>
    <t>FSW carboy 1, SOFS7.5, IN2018_V07, GF/F filtered, 22/8/2018, -47.02S, 142.25E, ~12L+12g Borax (CWE, 5/2/2019), white sand, disintegrated "shrimp", oil film, STINKS, shrimp disintegrated completely, was intact on recovery, + 100ul sat. HgCl2 in &lt;1mm and &gt;1mm fraction</t>
  </si>
  <si>
    <t>FSW carboy 1, SOFS7.5, IN2018_V07, GF/F filtered, 22/8/2018, -47.02S, 142.25E, ~12L+12g Borax (CWE, 5/2/2019), white sand</t>
  </si>
  <si>
    <t>FSW carboy 1, SOFS7.5, IN2018_V07, GF/F filtered, 22/8/2018, -47.02S, 142.25E, ~12L+12g Borax (CWE, 5/2/2019), disintegrated shrimp, smells, lots of neutrally buoyant animal debris, + 100ul sat. HgCl2 in &lt;1mm and &gt;1mm fraction</t>
  </si>
  <si>
    <t>FSW carboy 1, SOFS7.5, IN2018_V07, GF/F filtered, 22/8/2018, -47.02S, 142.25E, ~12L+12g Borax (CWE, 5/2/2019), 2 spheres, ~ 1cm diameter, look like barnacles?, lots of amphipods</t>
  </si>
  <si>
    <t>FSW carboy 1, SOFS7.5, IN2018_V07, GF/F filtered, 22/8/2018, -47.02S, 142.25E, ~12L+12g Borax (CWE, 5/2/2019),</t>
  </si>
  <si>
    <t>FSW carboy 1, SOFS7.5, IN2018_V07, GF/F filtered, 22/8/2018, -47.02S, 142.25E, ~12L+12g Borax (CWE, 5/2/2019), oily film</t>
  </si>
  <si>
    <t>FSW carboy 1, SOFS7.5, IN2018_V07, GF/F filtered, 22/8/2018, -47.02S, 142.25E, ~12L+12g Borax (CWE, 5/2/2019), fish scales, weak tea colour, oily film</t>
  </si>
  <si>
    <t>FSW carboy 1, SOFS7.5, IN2018_V07, GF/F filtered, 22/8/2018, -47.02S, 142.25E, ~12L+12g Borax (CWE, 5/2/2019), weak tea colour</t>
  </si>
  <si>
    <t>FSW carboy 1, SOFS7.5, IN2018_V07, GF/F filtered, 22/8/2018, -47.02S, 142.25E, ~12L+12g Borax (CWE, 5/2/2019), lots of radiolarians and phyto debris stuck around them</t>
  </si>
  <si>
    <t>FSW carboy 1, SOFS7.5, IN2018_V07, GF/F filtered, 22/8/2018, -47.02S, 142.25E, ~12L+12g Borax (CWE, 5/2/2019), what is that transparent, siliceous looking structure? (+ in last two cups), falls apart on 1mm mesh</t>
  </si>
  <si>
    <t>FSW carboy 1, SOFS7.5, IN2018_V07, GF/F filtered, 22/8/2018, -47.02S, 142.25E, ~12L+12g Borax (CWE, 5/2/2019), large ~ 1cm diameter radiolarian</t>
  </si>
  <si>
    <t>FSW carboy 1, SOFS7.5, IN2018_V07, GF/F filtered, 22/8/2018, -47.02S, 142.25E, ~12L+12g Borax (CWE, 5/2/2019), jelly fish</t>
  </si>
  <si>
    <t>FSW carboy 1, SOFS7.5, IN2018_V07, GF/F filtered, 22/8/2018, -47.02S, 142.25E, ~12L+12g Borax (CWE, 5/2/2019), oily film on surface</t>
  </si>
  <si>
    <t>FSW carboy 1, SOFS7.5, IN2018_V07, GF/F filtered, 22/8/2018, -47.02S, 142.25E, ~12L+12g Borax (CWE, 5/2/2019), oily film, tea colour, white sand, lots of neutrally buoyant particles, discoloured the cup green</t>
  </si>
  <si>
    <t>FSW carboy 1, SOFS7.5, IN2018_V07, GF/F filtered, 22/8/2018, -47.02S, 142.25E, ~12L+12g Borax (CWE, 5/2/2019), euphausid, radiolarians</t>
  </si>
  <si>
    <t>FSW carboy 1, SOFS7.5, IN2018_V07, GF/F filtered, 22/8/2018, -47.02S, 142.25E, ~12L+12g Borax (CWE, 5/2/2019), annelid, appendicularian, &lt;1mm split across 2 jars</t>
  </si>
  <si>
    <t>FSW carboy 1, SOFS7.5, IN2018_V07, GF/F filtered, 22/8/2018, -47.02S, 142.25E, ~12L+12g Borax (CWE, 5/2/2019), appendicularians, oily film</t>
  </si>
  <si>
    <t>FSW carboy 1, SOFS7.5, IN2018_V07, GF/F filtered, 22/8/2018, -47.02S, 142.25E, ~12L+12g Borax (CWE, 5/2/2019) + half way through FSW carboy 2, SOFS7.5, IN2018_V07, GF/F filtered, 22/8/2018, -47.02S, 142.25E, ~11L+11g Borax (CWE, 5/2/2019), annelids, fish scales, rowrms, white round piece in &gt;1mm fraction, plastic or fish scale?</t>
  </si>
  <si>
    <t>FSW carboy 2, SOFS7.5, IN2018_V07, GF/F filtered, 22/8/2018, -47.02S, 142.25E, ~11L+11g Borax (CWE, 5/2/2019), red jelly fish?, looks like anemone</t>
  </si>
  <si>
    <t>FSW carboy 2, SOFS7.5, IN2018_V07, GF/F filtered, 22/8/2018, -47.02S, 142.25E, ~11L+11g Borax (CWE, 5/2/2019), jelly fish</t>
  </si>
  <si>
    <t>FSW carboy 2, SOFS7.5, IN2018_V07, GF/F filtered, 22/8/2018, -47.02S, 142.25E, ~11L+11g Borax (CWE, 5/2/2019), jelly fish, worms</t>
  </si>
  <si>
    <t>FSW carboy 2, SOFS7.5, IN2018_V07, GF/F filtered, 22/8/2018, -47.02S, 142.25E, ~11L+11g Borax (CWE, 5/2/2019), cubozoans, pteropod</t>
  </si>
  <si>
    <t>FSW carboy 2, SOFS7.5, IN2018_V07, GF/F filtered, 22/8/2018, -47.02S, 142.25E, ~11L+11g Borax (CWE, 5/2/2019), &lt;1mm split across 2 jars</t>
  </si>
  <si>
    <t>FSW carboy 2, SOFS7.5, IN2018_V07, GF/F filtered, 22/8/2018, -47.02S, 142.25E, ~11L+11g Borax (CWE, 5/2/2019), two empty salp bodies?</t>
  </si>
  <si>
    <t>FSW carboy 2, SOFS7.5, IN2018_V07, GF/F filtered, 22/8/2018, -47.02S, 142.25E, ~11L+11g Borax (CWE, 5/2/2019), giant amphipod? --&gt; disintegrated during sieving</t>
  </si>
  <si>
    <t>FSW carboy 2, SOFS7.5, IN2018_V07, GF/F filtered, 22/8/2018, -47.02S, 142.25E, ~11L+11g Borax (CWE, 5/2/2019), cubozoan</t>
  </si>
  <si>
    <t>FSW carboy 2, SOFS7.5, IN2018_V07, GF/F filtered, 22/8/2018, -47.02S, 142.25E, ~11L+11g Borax (CWE, 5/2/2019), pteropod, orange "eggs"?</t>
  </si>
  <si>
    <t>FSW carboy 2, SOFS7.5, IN2018_V07, GF/F filtered, 22/8/2018, -47.02S, 142.25E, ~11L+11g Borax (CWE, 5/2/2019), cubozoans, fall apart after sieving</t>
  </si>
  <si>
    <t>FSW carboy 2, SOFS7.5, IN2018_V07, GF/F filtered, 22/8/2018, -47.02S, 142.25E, ~11L+11g Borax (CWE, 5/2/2019), &lt;1mm split across 2 jars, large radiolarian?, cubozoans</t>
  </si>
  <si>
    <t>FSW carboy 2, SOFS7.5, IN2018_V07, GF/F filtered, 22/8/2018, -47.02S, 142.25E, ~11L+11g Borax (CWE, 5/2/2019), "cucumber on a stick", annelid, cubozoans</t>
  </si>
  <si>
    <t>FSW carboy 9, IN2019_V02, GF/F filtered, 20/3/2019, UTC: 9:54, 46 49.17S, 142 47.07E, ~9L+9g Borax (CWE, 11/4/2019), cubozoans, fall apart after sieving</t>
  </si>
  <si>
    <t>FSW carboy 9, IN2019_V02, GF/F filtered, 20/3/2019, UTC: 9:54, 46 49.17S, 142 47.07E, ~9L+9g Borax (CWE, 11/4/2019), annelid, cubozoans</t>
  </si>
  <si>
    <t>FSW carboy 9, IN2019_V02, GF/F filtered, 20/3/2019, UTC: 9:54, 46 49.17S, 142 47.07E, ~9L+9g Borax (CWE, 11/4/2019)</t>
  </si>
  <si>
    <t>1000m</t>
  </si>
  <si>
    <t xml:space="preserve">[2019-03-28 02:47:46.169] </t>
  </si>
  <si>
    <t xml:space="preserve">      Thu Mar 28 02:16:49 2019</t>
  </si>
  <si>
    <t xml:space="preserve">  </t>
  </si>
  <si>
    <t>Samples transferred to ACE fridge 04/04/2019</t>
  </si>
  <si>
    <t>[2019-03-28 02:46:39.851]  Event 01 of 22 @ 03/14/2018 00:00:00</t>
  </si>
  <si>
    <t>[2019-03-28 02:46:40.210]  Event 02 of 22 @ 03/31/2018 00:00:00</t>
  </si>
  <si>
    <t>[2019-03-28 02:46:40.538]  Event 03 of 22 @ 04/17/2018 00:00:00</t>
  </si>
  <si>
    <t>[2019-03-28 02:46:40.882]  Event 04 of 22 @ 05/04/2018 00:00:00</t>
  </si>
  <si>
    <t>[2019-03-28 02:46:41.210]  Event 05 of 22 @ 05/21/2018 00:00:00</t>
  </si>
  <si>
    <t>[2019-03-28 02:46:41.538]  Event 06 of 22 @ 06/07/2018 00:00:00</t>
  </si>
  <si>
    <t>[2019-03-28 02:46:41.882]  Event 07 of 22 @ 06/24/2018 00:00:00</t>
  </si>
  <si>
    <t>[2019-03-28 02:46:42.226]  Event 08 of 22 @ 07/11/2018 00:00:00</t>
  </si>
  <si>
    <t>[2019-03-28 02:46:42.570]  Event 09 of 22 @ 07/28/2018 00:00:00</t>
  </si>
  <si>
    <t>[2019-03-28 02:46:42.898]  Event 10 of 22 @ 08/14/2018 00:00:00</t>
  </si>
  <si>
    <t>[2019-03-28 02:46:43.242]  Event 11 of 22 @ 08/31/2018 00:00:00</t>
  </si>
  <si>
    <t>[2019-03-28 02:46:43.586]  Event 12 of 22 @ 09/17/2018 00:00:00</t>
  </si>
  <si>
    <t>[2019-03-28 02:46:43.929]  Event 13 of 22 @ 10/04/2018 00:00:00</t>
  </si>
  <si>
    <t>[2019-03-28 02:46:44.258]  Event 14 of 22 @ 10/21/2018 00:00:00</t>
  </si>
  <si>
    <t>[2019-03-28 02:46:44.601]  Event 15 of 22 @ 11/07/2018 00:00:00</t>
  </si>
  <si>
    <t>[2019-03-28 02:46:44.945]  Event 16 of 22 @ 11/24/2018 00:00:00</t>
  </si>
  <si>
    <t>[2019-03-28 02:46:45.289]  Event 17 of 22 @ 12/11/2018 00:00:00</t>
  </si>
  <si>
    <t>[2019-03-28 02:46:45.617]  Event 18 of 22 @ 12/28/2018 00:00:00</t>
  </si>
  <si>
    <t>[2019-03-28 02:46:45.961]  Event 19 of 22 @ 01/14/2019 00:00:00</t>
  </si>
  <si>
    <t>[2019-03-28 02:46:46.305]  Event 20 of 22 @ 01/31/2019 00:00:00</t>
  </si>
  <si>
    <t>[2019-03-28 02:46:46.648]  Event 21 of 22 @ 02/17/2019 00:00:00</t>
  </si>
  <si>
    <t>[2019-03-28 02:46:46.977]  Event 22 of 22 @ 03/06/2019 00:00:00</t>
  </si>
  <si>
    <t>IN2018_V02 deployement, IN2019_V02 recovery</t>
  </si>
  <si>
    <t>Clock was slow by 30min 57seconds</t>
  </si>
  <si>
    <t>1000m trap:</t>
  </si>
  <si>
    <t>no motor oil was removed since the bladder wasn't overly tight</t>
  </si>
  <si>
    <t>LOGS</t>
  </si>
  <si>
    <t xml:space="preserve">[2019-03-28 02:46:12.312] </t>
  </si>
  <si>
    <t>[2019-03-28 02:46:12.312]  Enter &lt;CTRL-C&gt; now to wake up???</t>
  </si>
  <si>
    <t xml:space="preserve">[2019-03-28 02:46:14.000] </t>
  </si>
  <si>
    <t>[2019-03-28 02:46:14.000] _______________________________________________________</t>
  </si>
  <si>
    <t xml:space="preserve">[2019-03-28 02:46:14.062] </t>
  </si>
  <si>
    <t xml:space="preserve">[2019-03-28 02:46:14.062]               </t>
  </si>
  <si>
    <t xml:space="preserve">[2019-03-28 02:46:14.078] </t>
  </si>
  <si>
    <t xml:space="preserve">  McLane Research Laboratories, USA              </t>
  </si>
  <si>
    <t xml:space="preserve">[2019-03-28 02:46:14.141] </t>
  </si>
  <si>
    <t xml:space="preserve">    ParFlux 21-Cup Sediment Trap              </t>
  </si>
  <si>
    <t xml:space="preserve">[2019-03-28 02:46:14.188] </t>
  </si>
  <si>
    <t xml:space="preserve">        with Compass and Tilt              </t>
  </si>
  <si>
    <t xml:space="preserve">[2019-03-28 02:46:14.250] </t>
  </si>
  <si>
    <t xml:space="preserve">Version: PST-21C5.c   S/N: ML12419-01            </t>
  </si>
  <si>
    <t xml:space="preserve">[2019-03-28 02:46:14.328] </t>
  </si>
  <si>
    <t xml:space="preserve"> ...................................              </t>
  </si>
  <si>
    <t xml:space="preserve">[2019-03-28 02:46:14.406] </t>
  </si>
  <si>
    <t xml:space="preserve"> .            Main Menu            .              </t>
  </si>
  <si>
    <t xml:space="preserve">[2019-03-28 02:46:14.484] </t>
  </si>
  <si>
    <t xml:space="preserve">[2019-03-28 02:46:14.735] </t>
  </si>
  <si>
    <t xml:space="preserve">      Thu Mar 28 02:15:18 2019</t>
  </si>
  <si>
    <t xml:space="preserve">[2019-03-28 02:46:14.766] </t>
  </si>
  <si>
    <t xml:space="preserve">[2019-03-28 02:46:14.816] </t>
  </si>
  <si>
    <t xml:space="preserve">&lt;1&gt; Set Time             &lt;5&gt; Create Schedule          </t>
  </si>
  <si>
    <t xml:space="preserve">[2019-03-28 02:46:14.910] </t>
  </si>
  <si>
    <t xml:space="preserve">&lt;2&gt; Diagnostics          &lt;6&gt; Deploy System          </t>
  </si>
  <si>
    <t xml:space="preserve">[2019-03-28 02:46:15.019] </t>
  </si>
  <si>
    <t xml:space="preserve">&lt;3&gt; Fill Containers      &lt;7&gt; Offload Data          </t>
  </si>
  <si>
    <t xml:space="preserve">[2019-03-28 02:46:15.113] </t>
  </si>
  <si>
    <t>&lt;4&gt; Sleep                &lt;8&gt; Contacting McLane</t>
  </si>
  <si>
    <t xml:space="preserve">[2019-03-28 02:46:15.176] </t>
  </si>
  <si>
    <t xml:space="preserve">  Selection  ? 2</t>
  </si>
  <si>
    <t xml:space="preserve">[2019-03-28 02:46:20.223] </t>
  </si>
  <si>
    <t>[2019-03-28 02:46:20.270]  Press any key to pause/continue display, &lt;X&gt; to exit</t>
  </si>
  <si>
    <t xml:space="preserve">[2019-03-28 02:46:20.332] </t>
  </si>
  <si>
    <t>[2019-03-28 02:46:22.083]   03/28/2019 02:15:24   16.2 Vb    13.C   2.T  170.H  aligned</t>
  </si>
  <si>
    <t>[2019-03-28 02:46:23.911]   03/28/2019 02:15:26   16.2 Vb    13.C   1.T  311.H  aligned</t>
  </si>
  <si>
    <t>[2019-03-28 02:46:25.755]   03/28/2019 02:15:28   16.2 Vb    13.C   2.T  201.H  aligned</t>
  </si>
  <si>
    <t>[2019-03-28 02:46:27.568]   03/28/2019 02:15:29   16.2 Vb    13.C   3.T  116.H  aligned</t>
  </si>
  <si>
    <t xml:space="preserve">[2019-03-28 02:46:27.677] </t>
  </si>
  <si>
    <t xml:space="preserve">[2019-03-28 02:46:27.724]  Battery voltage is abnormally low.  Check/replace            </t>
  </si>
  <si>
    <t>[2019-03-28 02:46:27.833]  main battery pack before deploying system.</t>
  </si>
  <si>
    <t xml:space="preserve">[2019-03-28 02:46:27.880]           </t>
  </si>
  <si>
    <t xml:space="preserve">[2019-03-28 02:46:27.896] </t>
  </si>
  <si>
    <t>[2019-03-28 02:46:27.927]  Press any key to continue.</t>
  </si>
  <si>
    <t xml:space="preserve">[2019-03-28 02:46:29.505] </t>
  </si>
  <si>
    <t xml:space="preserve">[2019-03-28 02:46:29.521] </t>
  </si>
  <si>
    <t>[2019-03-28 02:46:29.521] _______________________________________________________</t>
  </si>
  <si>
    <t xml:space="preserve">[2019-03-28 02:46:29.583] </t>
  </si>
  <si>
    <t xml:space="preserve">[2019-03-28 02:46:29.583]               </t>
  </si>
  <si>
    <t xml:space="preserve">[2019-03-28 02:46:29.599] </t>
  </si>
  <si>
    <t xml:space="preserve">[2019-03-28 02:46:29.662] </t>
  </si>
  <si>
    <t xml:space="preserve">[2019-03-28 02:46:29.724] </t>
  </si>
  <si>
    <t xml:space="preserve">[2019-03-28 02:46:29.787] </t>
  </si>
  <si>
    <t xml:space="preserve">[2019-03-28 02:46:29.833] </t>
  </si>
  <si>
    <t xml:space="preserve">[2019-03-28 02:46:29.865] </t>
  </si>
  <si>
    <t xml:space="preserve">[2019-03-28 02:46:29.927] </t>
  </si>
  <si>
    <t xml:space="preserve">[2019-03-28 02:46:30.005] </t>
  </si>
  <si>
    <t xml:space="preserve">[2019-03-28 02:46:30.240] </t>
  </si>
  <si>
    <t xml:space="preserve">      Thu Mar 28 02:15:33 2019</t>
  </si>
  <si>
    <t xml:space="preserve">[2019-03-28 02:46:30.287] </t>
  </si>
  <si>
    <t xml:space="preserve">[2019-03-28 02:46:30.334] </t>
  </si>
  <si>
    <t xml:space="preserve">[2019-03-28 02:46:30.427] </t>
  </si>
  <si>
    <t xml:space="preserve">[2019-03-28 02:46:30.537] </t>
  </si>
  <si>
    <t xml:space="preserve">[2019-03-28 02:46:30.630] </t>
  </si>
  <si>
    <t xml:space="preserve">[2019-03-28 02:46:30.693] </t>
  </si>
  <si>
    <t xml:space="preserve">[2019-03-28 02:46:30.708] </t>
  </si>
  <si>
    <t xml:space="preserve">  Selection  ? 7</t>
  </si>
  <si>
    <t xml:space="preserve">[2019-03-28 02:46:33.756] </t>
  </si>
  <si>
    <t xml:space="preserve">[2019-03-28 02:46:33.771] </t>
  </si>
  <si>
    <t>...................................</t>
  </si>
  <si>
    <t xml:space="preserve">[2019-03-28 02:46:33.834] </t>
  </si>
  <si>
    <t>.    Offload/Display Data File    .</t>
  </si>
  <si>
    <t xml:space="preserve">[2019-03-28 02:46:33.912] </t>
  </si>
  <si>
    <t xml:space="preserve">[2019-03-28 02:46:34.131] </t>
  </si>
  <si>
    <t xml:space="preserve">     Thu Mar 28 02:15:37 2019</t>
  </si>
  <si>
    <t xml:space="preserve">[2019-03-28 02:46:34.178] </t>
  </si>
  <si>
    <t xml:space="preserve">[2019-03-28 02:46:34.193] </t>
  </si>
  <si>
    <t xml:space="preserve">&lt;1&gt; Display all data        </t>
  </si>
  <si>
    <t xml:space="preserve">[2019-03-28 02:46:34.256] </t>
  </si>
  <si>
    <t xml:space="preserve">&lt;2&gt; Display event summary        </t>
  </si>
  <si>
    <t xml:space="preserve">[2019-03-28 02:46:34.318] </t>
  </si>
  <si>
    <t xml:space="preserve">&lt;3&gt; Display tilt data        </t>
  </si>
  <si>
    <t xml:space="preserve">[2019-03-28 02:46:34.381] </t>
  </si>
  <si>
    <t xml:space="preserve">&lt;4&gt; Display backup EEPROM        </t>
  </si>
  <si>
    <t xml:space="preserve">[2019-03-28 02:46:34.428] </t>
  </si>
  <si>
    <t>&lt;M&gt; Main Menu</t>
  </si>
  <si>
    <t xml:space="preserve">[2019-03-28 02:46:34.443] </t>
  </si>
  <si>
    <t xml:space="preserve">[2019-03-28 02:46:34.459] </t>
  </si>
  <si>
    <t xml:space="preserve">  Selection  ? 1</t>
  </si>
  <si>
    <t xml:space="preserve">[2019-03-28 02:46:36.804] </t>
  </si>
  <si>
    <t xml:space="preserve">[2019-03-28 02:46:36.851]  To copy the instrument data file to a disk file, initiate          </t>
  </si>
  <si>
    <t xml:space="preserve">[2019-03-28 02:46:36.976]  your communication program's file logging command now and          </t>
  </si>
  <si>
    <t xml:space="preserve">[2019-03-28 02:46:37.101]  then press any key to start the transfer.  The instrument          </t>
  </si>
  <si>
    <t xml:space="preserve">[2019-03-28 02:46:37.226]  data file will remain resident and is not erased by this          </t>
  </si>
  <si>
    <t>[2019-03-28 02:46:37.319]  offload procedure.</t>
  </si>
  <si>
    <t xml:space="preserve">[2019-03-28 02:46:37.366] </t>
  </si>
  <si>
    <t xml:space="preserve">[2019-03-28 02:46:38.538] </t>
  </si>
  <si>
    <t xml:space="preserve">[2019-03-28 02:46:38.554]  Software version:  PST-21C5.c          </t>
  </si>
  <si>
    <t>[2019-03-28 02:46:38.616]  Compiled:          Mar 13 2007 14:22:06</t>
  </si>
  <si>
    <t>[2019-03-28 02:46:38.679]  Electronics S/N:   ML12419-01</t>
  </si>
  <si>
    <t xml:space="preserve">[2019-03-28 02:46:38.726] </t>
  </si>
  <si>
    <t>[2019-03-28 02:46:39.007]  Data recording start time = 02/23/2018 05:19:05</t>
  </si>
  <si>
    <t>[2019-03-28 02:46:39.335]  Data recording stop time  = 03/06/2019 00:00:31</t>
  </si>
  <si>
    <t xml:space="preserve">[2019-03-28 02:46:39.413] </t>
  </si>
  <si>
    <t>[2019-03-28 02:46:39.413]  HEADER</t>
  </si>
  <si>
    <t>[2019-03-28 02:46:39.429]  ______</t>
  </si>
  <si>
    <t xml:space="preserve">[2019-03-28 02:46:39.444] </t>
  </si>
  <si>
    <t>[2019-03-28 02:46:39.444]  SAZ20_2018_1000m,tilt, 21cups O Series, SB37 1777 ML-12419-01</t>
  </si>
  <si>
    <t xml:space="preserve">[2019-03-28 02:46:39.523] </t>
  </si>
  <si>
    <t>[2019-03-28 02:46:39.538]  SCHEDULE</t>
  </si>
  <si>
    <t>[2019-03-28 02:46:39.554]  ________</t>
  </si>
  <si>
    <t xml:space="preserve">[2019-03-28 02:46:39.569] </t>
  </si>
  <si>
    <t xml:space="preserve">[2019-03-28 02:46:47.039] </t>
  </si>
  <si>
    <t>[2019-03-28 02:46:47.039]  DEPLOYMENT DATA</t>
  </si>
  <si>
    <t>[2019-03-28 02:46:47.086]  _______________</t>
  </si>
  <si>
    <t xml:space="preserve">[2019-03-28 02:46:47.102] </t>
  </si>
  <si>
    <t>[2019-03-28 02:46:47.117]  Event 01</t>
  </si>
  <si>
    <t xml:space="preserve">[2019-03-28 02:46:47.133] </t>
  </si>
  <si>
    <t>[2019-03-28 02:46:47.414]  Scheduled start time:  03/14/2018 00:00:00</t>
  </si>
  <si>
    <t>[2019-03-28 02:46:47.773]  Event start time:      03/14/2018 00:00:00</t>
  </si>
  <si>
    <t>[2019-03-28 02:46:48.117]  Event stop time:       03/14/2018 00:00:28</t>
  </si>
  <si>
    <t xml:space="preserve">[2019-03-28 02:46:48.164] </t>
  </si>
  <si>
    <t>[2019-03-28 02:46:48.211]          Aligned  Battery  Temperature  Tilt  Heading</t>
  </si>
  <si>
    <t>[2019-03-28 02:46:48.367]  Start:     Y       19.9        7.C       3.    342.</t>
  </si>
  <si>
    <t>[2019-03-28 02:46:48.524]  Stop:      Y       19.7        7.C       3.    337.</t>
  </si>
  <si>
    <t xml:space="preserve">[2019-03-28 02:46:48.586] </t>
  </si>
  <si>
    <t>[2019-03-28 02:46:48.604]  Event 02</t>
  </si>
  <si>
    <t xml:space="preserve">[2019-03-28 02:46:48.618] </t>
  </si>
  <si>
    <t>[2019-03-28 02:46:48.899]  Scheduled start time:  03/31/2018 00:00:00</t>
  </si>
  <si>
    <t>[2019-03-28 02:46:49.259]  Event start time:      03/31/2018 00:00:00</t>
  </si>
  <si>
    <t>[2019-03-28 02:46:49.587]  Event stop time:       03/31/2018 00:00:28</t>
  </si>
  <si>
    <t xml:space="preserve">[2019-03-28 02:46:49.649] </t>
  </si>
  <si>
    <t>[2019-03-28 02:46:49.680]          Aligned  Battery  Temperature  Tilt  Heading</t>
  </si>
  <si>
    <t>[2019-03-28 02:46:49.837]  Start:     Y       19.5        5.C       2.    312.</t>
  </si>
  <si>
    <t>[2019-03-28 02:46:50.009]  Stop:      Y       19.2        6.C       2.    319.</t>
  </si>
  <si>
    <t xml:space="preserve">[2019-03-28 02:46:50.071] </t>
  </si>
  <si>
    <t>[2019-03-28 02:46:50.071]  Event 03</t>
  </si>
  <si>
    <t xml:space="preserve">[2019-03-28 02:46:50.087] </t>
  </si>
  <si>
    <t>[2019-03-28 02:46:50.384]  Scheduled start time:  04/17/2018 00:00:00</t>
  </si>
  <si>
    <t>[2019-03-28 02:46:50.740]  Event start time:      04/17/2018 00:00:00</t>
  </si>
  <si>
    <t>[2019-03-28 02:46:51.069]  Event stop time:       04/17/2018 00:00:28</t>
  </si>
  <si>
    <t xml:space="preserve">[2019-03-28 02:46:51.131] </t>
  </si>
  <si>
    <t>[2019-03-28 02:46:51.178]          Aligned  Battery  Temperature  Tilt  Heading</t>
  </si>
  <si>
    <t>[2019-03-28 02:46:51.335]  Start:     Y       19.2        6.C       7.    335.</t>
  </si>
  <si>
    <t>[2019-03-28 02:46:51.491]  Stop:      Y       19.0        6.C       7.    333.</t>
  </si>
  <si>
    <t xml:space="preserve">[2019-03-28 02:46:51.553] </t>
  </si>
  <si>
    <t>[2019-03-28 02:46:51.553]  Event 04</t>
  </si>
  <si>
    <t xml:space="preserve">[2019-03-28 02:46:51.569] </t>
  </si>
  <si>
    <t>[2019-03-28 02:46:51.882]  Scheduled start time:  05/04/2018 00:00:00</t>
  </si>
  <si>
    <t>[2019-03-28 02:46:52.210]  Event start time:      05/04/2018 00:00:00</t>
  </si>
  <si>
    <t>[2019-03-28 02:46:52.569]  Event stop time:       05/04/2018 00:00:28</t>
  </si>
  <si>
    <t xml:space="preserve">[2019-03-28 02:46:52.616] </t>
  </si>
  <si>
    <t>[2019-03-28 02:46:52.663]          Aligned  Battery  Temperature  Tilt  Heading</t>
  </si>
  <si>
    <t>[2019-03-28 02:46:52.819]  Start:     Y       18.8        5.C       6.     30.</t>
  </si>
  <si>
    <t>[2019-03-28 02:46:52.979]  Stop:      Y       18.6        6.C       6.     38.</t>
  </si>
  <si>
    <t xml:space="preserve">[2019-03-28 02:46:53.041] </t>
  </si>
  <si>
    <t>[2019-03-28 02:46:53.041]  Event 05</t>
  </si>
  <si>
    <t xml:space="preserve">[2019-03-28 02:46:53.057] </t>
  </si>
  <si>
    <t>[2019-03-28 02:46:53.369]  Scheduled start time:  05/21/2018 00:00:00</t>
  </si>
  <si>
    <t>[2019-03-28 02:46:53.697]  Event start time:      05/21/2018 00:00:00</t>
  </si>
  <si>
    <t>[2019-03-28 02:46:54.042]  Event stop time:       05/21/2018 00:00:28</t>
  </si>
  <si>
    <t xml:space="preserve">[2019-03-28 02:46:54.104] </t>
  </si>
  <si>
    <t>[2019-03-28 02:46:54.151]          Aligned  Battery  Temperature  Tilt  Heading</t>
  </si>
  <si>
    <t>[2019-03-28 02:46:54.307]  Start:     Y       18.5        5.C       6.    346.</t>
  </si>
  <si>
    <t>[2019-03-28 02:46:54.464]  Stop:      Y       18.4        5.C       6.    347.</t>
  </si>
  <si>
    <t xml:space="preserve">[2019-03-28 02:46:54.526] </t>
  </si>
  <si>
    <t>[2019-03-28 02:46:54.526]  Event 06</t>
  </si>
  <si>
    <t xml:space="preserve">[2019-03-28 02:46:54.542] </t>
  </si>
  <si>
    <t>[2019-03-28 02:46:54.854]  Scheduled start time:  06/07/2018 00:00:00</t>
  </si>
  <si>
    <t>[2019-03-28 02:46:55.182]  Event start time:      06/07/2018 00:00:00</t>
  </si>
  <si>
    <t>[2019-03-28 02:46:55.542]  Event stop time:       06/07/2018 00:00:28</t>
  </si>
  <si>
    <t xml:space="preserve">[2019-03-28 02:46:55.589] </t>
  </si>
  <si>
    <t>[2019-03-28 02:46:55.636]          Aligned  Battery  Temperature  Tilt  Heading</t>
  </si>
  <si>
    <t>[2019-03-28 02:46:55.792]  Start:     Y       18.3        6.C       6.     27.</t>
  </si>
  <si>
    <t>[2019-03-28 02:46:55.948]  Stop:      Y       18.3        6.C       6.     27.</t>
  </si>
  <si>
    <t xml:space="preserve">[2019-03-28 02:46:56.011] </t>
  </si>
  <si>
    <t>[2019-03-28 02:46:56.011]  Event 07</t>
  </si>
  <si>
    <t xml:space="preserve">[2019-03-28 02:46:56.026] </t>
  </si>
  <si>
    <t>[2019-03-28 02:46:56.339]  Scheduled start time:  06/24/2018 00:00:00</t>
  </si>
  <si>
    <t>[2019-03-28 02:46:56.667]  Event start time:      06/24/2018 00:00:00</t>
  </si>
  <si>
    <t>[2019-03-28 02:46:57.026]  Event stop time:       06/24/2018 00:00:28</t>
  </si>
  <si>
    <t xml:space="preserve">[2019-03-28 02:46:57.073] </t>
  </si>
  <si>
    <t>[2019-03-28 02:46:57.120]          Aligned  Battery  Temperature  Tilt  Heading</t>
  </si>
  <si>
    <t>[2019-03-28 02:46:57.276]  Start:     Y       18.0        5.C       9.     94.</t>
  </si>
  <si>
    <t>[2019-03-28 02:46:57.433]  Stop:      Y       18.0        6.C       9.     91.</t>
  </si>
  <si>
    <t xml:space="preserve">[2019-03-28 02:46:57.511] </t>
  </si>
  <si>
    <t>[2019-03-28 02:46:57.511]  Event 08</t>
  </si>
  <si>
    <t xml:space="preserve">[2019-03-28 02:46:57.526] </t>
  </si>
  <si>
    <t>[2019-03-28 02:46:57.823]  Scheduled start time:  07/11/2018 00:00:00</t>
  </si>
  <si>
    <t>[2019-03-28 02:46:58.151]  Event start time:      07/11/2018 00:00:00</t>
  </si>
  <si>
    <t>[2019-03-28 02:46:58.511]  Event stop time:       07/11/2018 00:00:28</t>
  </si>
  <si>
    <t xml:space="preserve">[2019-03-28 02:46:58.558] </t>
  </si>
  <si>
    <t>[2019-03-28 02:46:58.605]          Aligned  Battery  Temperature  Tilt  Heading</t>
  </si>
  <si>
    <t>[2019-03-28 02:46:58.761]  Start:     Y       16.8        6.C       5.     85.</t>
  </si>
  <si>
    <t>[2019-03-28 02:46:58.933]  Stop:      Y       16.6        6.C       5.     87.</t>
  </si>
  <si>
    <t xml:space="preserve">[2019-03-28 02:46:58.995] </t>
  </si>
  <si>
    <t>[2019-03-28 02:46:58.995]  Event 09</t>
  </si>
  <si>
    <t xml:space="preserve">[2019-03-28 02:46:59.011] </t>
  </si>
  <si>
    <t>[2019-03-28 02:46:59.308]  Scheduled start time:  07/28/2018 00:00:00</t>
  </si>
  <si>
    <t>[2019-03-28 02:46:59.652]  Event start time:      07/28/2018 00:00:00</t>
  </si>
  <si>
    <t>[2019-03-28 02:46:59.995]  Event stop time:       07/28/2018 00:00:28</t>
  </si>
  <si>
    <t xml:space="preserve">[2019-03-28 02:47:00.042] </t>
  </si>
  <si>
    <t>[2019-03-28 02:47:00.089]          Aligned  Battery  Temperature  Tilt  Heading</t>
  </si>
  <si>
    <t>[2019-03-28 02:47:00.245]  Start:     Y       16.5        7.C       3.     78.</t>
  </si>
  <si>
    <t>[2019-03-28 02:47:00.417]  Stop:      Y       16.2        7.C       3.     96.</t>
  </si>
  <si>
    <t xml:space="preserve">[2019-03-28 02:47:00.480] </t>
  </si>
  <si>
    <t>[2019-03-28 02:47:00.480]  Event 10</t>
  </si>
  <si>
    <t xml:space="preserve">[2019-03-28 02:47:00.495] </t>
  </si>
  <si>
    <t>[2019-03-28 02:47:00.792]  Scheduled start time:  08/14/2018 00:00:00</t>
  </si>
  <si>
    <t>[2019-03-28 02:47:01.152]  Event start time:      08/14/2018 00:00:00</t>
  </si>
  <si>
    <t>[2019-03-28 02:47:01.480]  Event stop time:       08/14/2018 00:00:28</t>
  </si>
  <si>
    <t xml:space="preserve">[2019-03-28 02:47:01.527] </t>
  </si>
  <si>
    <t>[2019-03-28 02:47:01.574]          Aligned  Battery  Temperature  Tilt  Heading</t>
  </si>
  <si>
    <t>[2019-03-28 02:47:01.746]  Start:     Y       17.0        7.C       2.    116.</t>
  </si>
  <si>
    <t>[2019-03-28 02:47:01.902]  Stop:      Y       16.8        7.C       2.    125.</t>
  </si>
  <si>
    <t xml:space="preserve">[2019-03-28 02:47:01.964] </t>
  </si>
  <si>
    <t>[2019-03-28 02:47:01.964]  Event 11</t>
  </si>
  <si>
    <t xml:space="preserve">[2019-03-28 02:47:01.980] </t>
  </si>
  <si>
    <t>[2019-03-28 02:47:02.277]  Scheduled start time:  08/31/2018 00:00:00</t>
  </si>
  <si>
    <t>[2019-03-28 02:47:02.621]  Event start time:      08/31/2018 00:00:00</t>
  </si>
  <si>
    <t>[2019-03-28 02:47:02.964]  Event stop time:       08/31/2018 00:00:28</t>
  </si>
  <si>
    <t xml:space="preserve">[2019-03-28 02:47:03.027] </t>
  </si>
  <si>
    <t>[2019-03-28 02:47:03.058]          Aligned  Battery  Temperature  Tilt  Heading</t>
  </si>
  <si>
    <t>[2019-03-28 02:47:03.230]  Start:     Y       17.2        7.C       2.     90.</t>
  </si>
  <si>
    <t>[2019-03-28 02:47:03.386]  Stop:      Y       17.0        7.C       2.     99.</t>
  </si>
  <si>
    <t xml:space="preserve">[2019-03-28 02:47:03.449] </t>
  </si>
  <si>
    <t>[2019-03-28 02:47:03.449]  Event 12</t>
  </si>
  <si>
    <t xml:space="preserve">[2019-03-28 02:47:03.465] </t>
  </si>
  <si>
    <t>[2019-03-28 02:47:03.777]  Scheduled start time:  09/17/2018 00:00:00</t>
  </si>
  <si>
    <t>[2019-03-28 02:47:04.121]  Event start time:      09/17/2018 00:00:00</t>
  </si>
  <si>
    <t>[2019-03-28 02:47:04.465]  Event stop time:       09/17/2018 00:00:28</t>
  </si>
  <si>
    <t xml:space="preserve">[2019-03-28 02:47:04.511] </t>
  </si>
  <si>
    <t>[2019-03-28 02:47:04.558]          Aligned  Battery  Temperature  Tilt  Heading</t>
  </si>
  <si>
    <t>[2019-03-28 02:47:04.715]  Start:     Y       17.2        7.C       2.    105.</t>
  </si>
  <si>
    <t>[2019-03-28 02:47:04.871]  Stop:      Y       17.1        7.C       2.    104.</t>
  </si>
  <si>
    <t xml:space="preserve">[2019-03-28 02:47:04.933] </t>
  </si>
  <si>
    <t>[2019-03-28 02:47:04.933]  Event 13</t>
  </si>
  <si>
    <t xml:space="preserve">[2019-03-28 02:47:04.949] </t>
  </si>
  <si>
    <t>[2019-03-28 02:47:05.262]  Scheduled start time:  10/04/2018 00:00:00</t>
  </si>
  <si>
    <t>[2019-03-28 02:47:05.605]  Event start time:      10/04/2018 00:00:00</t>
  </si>
  <si>
    <t>[2019-03-28 02:47:05.949]  Event stop time:       10/04/2018 00:00:28</t>
  </si>
  <si>
    <t xml:space="preserve">[2019-03-28 02:47:05.996] </t>
  </si>
  <si>
    <t>[2019-03-28 02:47:06.043]          Aligned  Battery  Temperature  Tilt  Heading</t>
  </si>
  <si>
    <t>[2019-03-28 02:47:06.199]  Start:     Y       17.1        7.C       2.     94.</t>
  </si>
  <si>
    <t>[2019-03-28 02:47:06.355]  Stop:      Y       17.0        7.C       1.    131.</t>
  </si>
  <si>
    <t xml:space="preserve">[2019-03-28 02:47:06.434] </t>
  </si>
  <si>
    <t>[2019-03-28 02:47:06.434]  Event 14</t>
  </si>
  <si>
    <t xml:space="preserve">[2019-03-28 02:47:06.449] </t>
  </si>
  <si>
    <t>[2019-03-28 02:47:06.746]  Scheduled start time:  10/21/2018 00:00:00</t>
  </si>
  <si>
    <t>[2019-03-28 02:47:07.090]  Event start time:      10/21/2018 00:00:00</t>
  </si>
  <si>
    <t>[2019-03-28 02:47:07.434]  Event stop time:       10/21/2018 00:00:28</t>
  </si>
  <si>
    <t xml:space="preserve">[2019-03-28 02:47:07.496] </t>
  </si>
  <si>
    <t>[2019-03-28 02:47:07.527]          Aligned  Battery  Temperature  Tilt  Heading</t>
  </si>
  <si>
    <t>[2019-03-28 02:47:07.684]  Start:     Y       17.1        7.C       1.    155.</t>
  </si>
  <si>
    <t>[2019-03-28 02:47:07.840]  Stop:      Y       16.9        7.C       1.    151.</t>
  </si>
  <si>
    <t xml:space="preserve">[2019-03-28 02:47:07.918] </t>
  </si>
  <si>
    <t>[2019-03-28 02:47:07.918]  Event 15</t>
  </si>
  <si>
    <t xml:space="preserve">[2019-03-28 02:47:07.934] </t>
  </si>
  <si>
    <t>[2019-03-28 02:47:08.231]  Scheduled start time:  11/07/2018 00:00:00</t>
  </si>
  <si>
    <t>[2019-03-28 02:47:08.574]  Event start time:      11/07/2018 00:00:00</t>
  </si>
  <si>
    <t>[2019-03-28 02:47:08.918]  Event stop time:       11/07/2018 00:00:28</t>
  </si>
  <si>
    <t xml:space="preserve">[2019-03-28 02:47:08.981] </t>
  </si>
  <si>
    <t>[2019-03-28 02:47:09.012]          Aligned  Battery  Temperature  Tilt  Heading</t>
  </si>
  <si>
    <t>[2019-03-28 02:47:09.168]  Start:     Y       17.0        7.C       1.    324.</t>
  </si>
  <si>
    <t>[2019-03-28 02:47:09.340]  Stop:      Y       16.9        8.C       1.    318.</t>
  </si>
  <si>
    <t xml:space="preserve">[2019-03-28 02:47:09.403] </t>
  </si>
  <si>
    <t>[2019-03-28 02:47:09.403]  Event 16</t>
  </si>
  <si>
    <t xml:space="preserve">[2019-03-28 02:47:09.418] </t>
  </si>
  <si>
    <t>[2019-03-28 02:47:09.715]  Scheduled start time:  11/24/2018 00:00:00</t>
  </si>
  <si>
    <t>[2019-03-28 02:47:10.075]  Event start time:      11/24/2018 00:00:00</t>
  </si>
  <si>
    <t>[2019-03-28 02:47:10.403]  Event stop time:       11/24/2018 00:00:28</t>
  </si>
  <si>
    <t xml:space="preserve">[2019-03-28 02:47:10.465] </t>
  </si>
  <si>
    <t>[2019-03-28 02:47:10.497]          Aligned  Battery  Temperature  Tilt  Heading</t>
  </si>
  <si>
    <t>[2019-03-28 02:47:10.653]  Start:     Y       17.0        7.C       3.    351.</t>
  </si>
  <si>
    <t>[2019-03-28 02:47:10.825]  Stop:      Y       16.8        8.C       3.    353.</t>
  </si>
  <si>
    <t xml:space="preserve">[2019-03-28 02:47:10.888] </t>
  </si>
  <si>
    <t>[2019-03-28 02:47:10.888]  Event 17</t>
  </si>
  <si>
    <t xml:space="preserve">[2019-03-28 02:47:10.903] </t>
  </si>
  <si>
    <t>[2019-03-28 02:47:11.200]  Scheduled start time:  12/11/2018 00:00:00</t>
  </si>
  <si>
    <t>[2019-03-28 02:47:11.560]  Event start time:      12/11/2018 00:00:00</t>
  </si>
  <si>
    <t>[2019-03-28 02:47:11.888]  Event stop time:       12/11/2018 00:00:28</t>
  </si>
  <si>
    <t xml:space="preserve">[2019-03-28 02:47:11.950] </t>
  </si>
  <si>
    <t>[2019-03-28 02:47:11.997]          Aligned  Battery  Temperature  Tilt  Heading</t>
  </si>
  <si>
    <t>[2019-03-28 02:47:12.153]  Start:     Y       16.9        8.C       3.    347.</t>
  </si>
  <si>
    <t>[2019-03-28 02:47:12.310]  Stop:      Y       16.7        8.C       3.    346.</t>
  </si>
  <si>
    <t xml:space="preserve">[2019-03-28 02:47:12.372] </t>
  </si>
  <si>
    <t>[2019-03-28 02:47:12.388]  Event 18</t>
  </si>
  <si>
    <t xml:space="preserve">[2019-03-28 02:47:12.388] </t>
  </si>
  <si>
    <t>[2019-03-28 02:47:12.685]  Scheduled start time:  12/28/2018 00:00:00</t>
  </si>
  <si>
    <t>[2019-03-28 02:47:13.044]  Event start time:      12/28/2018 00:00:00</t>
  </si>
  <si>
    <t>[2019-03-28 02:47:13.372]  Event stop time:       12/28/2018 00:00:28</t>
  </si>
  <si>
    <t xml:space="preserve">[2019-03-28 02:47:13.450] </t>
  </si>
  <si>
    <t>[2019-03-28 02:47:13.497]          Aligned  Battery  Temperature  Tilt  Heading</t>
  </si>
  <si>
    <t>[2019-03-28 02:47:13.654]  Start:     Y       16.7        7.C       2.      4.</t>
  </si>
  <si>
    <t>[2019-03-28 02:47:13.810]  Stop:      Y       16.6        8.C       1.     15.</t>
  </si>
  <si>
    <t xml:space="preserve">[2019-03-28 02:47:13.857] </t>
  </si>
  <si>
    <t>[2019-03-28 02:47:13.872]  Event 19</t>
  </si>
  <si>
    <t xml:space="preserve">[2019-03-28 02:47:13.888] </t>
  </si>
  <si>
    <t>[2019-03-28 02:47:14.185]  Scheduled start time:  01/14/2019 00:00:00</t>
  </si>
  <si>
    <t>[2019-03-28 02:47:14.529]  Event start time:      01/14/2019 00:00:00</t>
  </si>
  <si>
    <t>[2019-03-28 02:47:14.888]  Event stop time:       01/14/2019 00:00:28</t>
  </si>
  <si>
    <t xml:space="preserve">[2019-03-28 02:47:14.935] </t>
  </si>
  <si>
    <t>[2019-03-28 02:47:14.982]          Aligned  Battery  Temperature  Tilt  Heading</t>
  </si>
  <si>
    <t>[2019-03-28 02:47:15.138]  Start:     Y       16.6        7.C       2.     51.</t>
  </si>
  <si>
    <t>[2019-03-28 02:47:15.294]  Stop:      Y       16.4        8.C       2.     42.</t>
  </si>
  <si>
    <t xml:space="preserve">[2019-03-28 02:47:15.357] </t>
  </si>
  <si>
    <t>[2019-03-28 02:47:15.357]  Event 20</t>
  </si>
  <si>
    <t xml:space="preserve">[2019-03-28 02:47:15.373] </t>
  </si>
  <si>
    <t>[2019-03-28 02:47:15.685]  Scheduled start time:  01/31/2019 00:00:00</t>
  </si>
  <si>
    <t>[2019-03-28 02:47:16.013]  Event start time:      01/31/2019 00:00:00</t>
  </si>
  <si>
    <t>[2019-03-28 02:47:16.373]  Event stop time:       01/31/2019 00:00:28</t>
  </si>
  <si>
    <t xml:space="preserve">[2019-03-28 02:47:16.420] </t>
  </si>
  <si>
    <t>[2019-03-28 02:47:16.466]          Aligned  Battery  Temperature  Tilt  Heading</t>
  </si>
  <si>
    <t>[2019-03-28 02:47:16.623]  Start:     Y       16.4        7.C       3.     41.</t>
  </si>
  <si>
    <t>[2019-03-28 02:47:16.779]  Stop:      Y       16.2        7.C       3.     27.</t>
  </si>
  <si>
    <t xml:space="preserve">[2019-03-28 02:47:16.857] </t>
  </si>
  <si>
    <t>[2019-03-28 02:47:16.857]  Event 21</t>
  </si>
  <si>
    <t xml:space="preserve">[2019-03-28 02:47:16.873] </t>
  </si>
  <si>
    <t>[2019-03-28 02:47:17.170]  Scheduled start time:  02/17/2019 00:00:00</t>
  </si>
  <si>
    <t>[2019-03-28 02:47:17.513]  Event start time:      02/17/2019 00:00:00</t>
  </si>
  <si>
    <t>[2019-03-28 02:47:17.857]  Event stop time:       02/17/2019 00:00:28</t>
  </si>
  <si>
    <t xml:space="preserve">[2019-03-28 02:47:17.920] </t>
  </si>
  <si>
    <t>[2019-03-28 02:47:17.967]          Aligned  Battery  Temperature  Tilt  Heading</t>
  </si>
  <si>
    <t>[2019-03-28 02:47:18.107]  Start:     Y       16.3        8.C       1.    200.</t>
  </si>
  <si>
    <t>[2019-03-28 02:47:18.263]  Stop:      Y       16.2        8.C       1.    192.</t>
  </si>
  <si>
    <t xml:space="preserve">[2019-03-28 02:47:18.341] </t>
  </si>
  <si>
    <t>[2019-03-28 02:47:18.357]  Event 22</t>
  </si>
  <si>
    <t xml:space="preserve">[2019-03-28 02:47:18.357] </t>
  </si>
  <si>
    <t>[2019-03-28 02:47:18.654]  Scheduled start time:  03/06/2019 00:00:00</t>
  </si>
  <si>
    <t>[2019-03-28 02:47:18.998]  Event start time:      03/06/2019 00:00:00</t>
  </si>
  <si>
    <t>[2019-03-28 02:47:19.342]  Event stop time:       03/06/2019 00:00:28</t>
  </si>
  <si>
    <t xml:space="preserve">[2019-03-28 02:47:19.404] </t>
  </si>
  <si>
    <t>[2019-03-28 02:47:19.451]          Aligned  Battery  Temperature  Tilt  Heading</t>
  </si>
  <si>
    <t>[2019-03-28 02:47:19.607]  Start:     Y       16.2        8.C       3.     48.</t>
  </si>
  <si>
    <t>[2019-03-28 02:47:19.764]  Stop:      Y       16.0        8.C       3.     42.</t>
  </si>
  <si>
    <t xml:space="preserve">[2019-03-28 02:47:19.826] </t>
  </si>
  <si>
    <t>[2019-03-28 02:47:19.842]  TILT DATA</t>
  </si>
  <si>
    <t>[2019-03-28 02:47:19.857]  _________</t>
  </si>
  <si>
    <t xml:space="preserve">[2019-03-28 02:47:19.873]   </t>
  </si>
  <si>
    <t xml:space="preserve">[2019-03-28 02:47:19.889]  Tilt sample interval:  1440 minutes            </t>
  </si>
  <si>
    <t xml:space="preserve">[2019-03-28 02:47:19.951] </t>
  </si>
  <si>
    <t>[2019-03-28 02:47:19.951]  Event  Tilt  Heading</t>
  </si>
  <si>
    <t xml:space="preserve">[2019-03-28 02:47:19.982] </t>
  </si>
  <si>
    <t>[2019-03-28 02:47:20.014]    01    5.T   358.H</t>
  </si>
  <si>
    <t>[2019-03-28 02:47:20.076]    01    7.T     1.H</t>
  </si>
  <si>
    <t>[2019-03-28 02:47:20.139]    01    6.T     0.H</t>
  </si>
  <si>
    <t>[2019-03-28 02:47:20.201]    01    7.T    13.H</t>
  </si>
  <si>
    <t>[2019-03-28 02:47:20.248]    01    8.T    23.H</t>
  </si>
  <si>
    <t>[2019-03-28 02:47:20.311]    01    8.T    15.H</t>
  </si>
  <si>
    <t>[2019-03-28 02:47:20.373]    01    6.T    17.H</t>
  </si>
  <si>
    <t>[2019-03-28 02:47:20.451]    01    4.T    11.H</t>
  </si>
  <si>
    <t>[2019-03-28 02:47:20.514]    01    4.T    18.H</t>
  </si>
  <si>
    <t>[2019-03-28 02:47:20.561]    01    4.T    19.H</t>
  </si>
  <si>
    <t>[2019-03-28 02:47:20.623]    01    2.T    14.H</t>
  </si>
  <si>
    <t>[2019-03-28 02:47:20.686]    01    3.T    12.H</t>
  </si>
  <si>
    <t>[2019-03-28 02:47:20.748]    01    3.T    12.H</t>
  </si>
  <si>
    <t>[2019-03-28 02:47:20.811]    01    4.T     1.H</t>
  </si>
  <si>
    <t>[2019-03-28 02:47:20.857]    01    3.T     6.H</t>
  </si>
  <si>
    <t>[2019-03-28 02:47:20.920]    01    3.T   352.H</t>
  </si>
  <si>
    <t>[2019-03-28 02:47:20.982]    02    3.T   325.H</t>
  </si>
  <si>
    <t>[2019-03-28 02:47:21.029]    02    4.T   319.H</t>
  </si>
  <si>
    <t>[2019-03-28 02:47:21.107]    02    3.T   318.H</t>
  </si>
  <si>
    <t>[2019-03-28 02:47:21.170]    02    4.T   316.H</t>
  </si>
  <si>
    <t>[2019-03-28 02:47:21.232]    02    6.T   320.H</t>
  </si>
  <si>
    <t>[2019-03-28 02:47:21.279]    02    6.T   332.H</t>
  </si>
  <si>
    <t>[2019-03-28 02:47:21.342]    02    5.T   323.H</t>
  </si>
  <si>
    <t>[2019-03-28 02:47:21.404]    02    8.T   308.H</t>
  </si>
  <si>
    <t>[2019-03-28 02:47:21.451]    02    9.T   317.H</t>
  </si>
  <si>
    <t>[2019-03-28 02:47:21.514]    02    6.T   317.H</t>
  </si>
  <si>
    <t>[2019-03-28 02:47:21.576]    02    8.T   326.H</t>
  </si>
  <si>
    <t>[2019-03-28 02:47:21.623]    02   10.T   332.H</t>
  </si>
  <si>
    <t>[2019-03-28 02:47:21.686]    02    9.T   321.H</t>
  </si>
  <si>
    <t>[2019-03-28 02:47:21.732]    02    7.T   340.H</t>
  </si>
  <si>
    <t>[2019-03-28 02:47:21.811]    02    7.T   334.H</t>
  </si>
  <si>
    <t>[2019-03-28 02:47:21.873]    02    8.T   341.H</t>
  </si>
  <si>
    <t>[2019-03-28 02:47:21.920]    03    6.T   343.H</t>
  </si>
  <si>
    <t>[2019-03-28 02:47:21.983]    03    7.T   337.H</t>
  </si>
  <si>
    <t>[2019-03-28 02:47:22.045]    03    6.T   355.H</t>
  </si>
  <si>
    <t>[2019-03-28 02:47:22.092]    03    6.T   332.H</t>
  </si>
  <si>
    <t>[2019-03-28 02:47:22.154]    03    7.T     4.H</t>
  </si>
  <si>
    <t>[2019-03-28 02:47:22.217]    03    5.T   350.H</t>
  </si>
  <si>
    <t>[2019-03-28 02:47:22.280]    03    5.T     7.H</t>
  </si>
  <si>
    <t>[2019-03-28 02:47:22.342]    03    4.T   360.H</t>
  </si>
  <si>
    <t>[2019-03-28 02:47:22.389]    03    4.T    18.H</t>
  </si>
  <si>
    <t>[2019-03-28 02:47:22.467]    03    5.T    11.H</t>
  </si>
  <si>
    <t>[2019-03-28 02:47:22.529]    03    5.T    13.H</t>
  </si>
  <si>
    <t>[2019-03-28 02:47:22.592]    03    5.T    21.H</t>
  </si>
  <si>
    <t>[2019-03-28 02:47:22.639]    03    7.T    19.H</t>
  </si>
  <si>
    <t>[2019-03-28 02:47:22.701]    03    5.T    28.H</t>
  </si>
  <si>
    <t>[2019-03-28 02:47:22.764]    03    5.T    37.H</t>
  </si>
  <si>
    <t>[2019-03-28 02:47:22.826]    03    5.T    30.H</t>
  </si>
  <si>
    <t>[2019-03-28 02:47:22.889]    04    5.T    30.H</t>
  </si>
  <si>
    <t>[2019-03-28 02:47:22.936]    04    6.T    38.H</t>
  </si>
  <si>
    <t>[2019-03-28 02:47:22.998]    04    5.T    34.H</t>
  </si>
  <si>
    <t>[2019-03-28 02:47:23.061]    04    4.T    35.H</t>
  </si>
  <si>
    <t>[2019-03-28 02:47:23.123]    04    4.T    39.H</t>
  </si>
  <si>
    <t>[2019-03-28 02:47:23.186]    04    5.T    39.H</t>
  </si>
  <si>
    <t>[2019-03-28 02:47:23.248]    04    3.T    27.H</t>
  </si>
  <si>
    <t>[2019-03-28 02:47:23.311]    04    4.T    20.H</t>
  </si>
  <si>
    <t>[2019-03-28 02:47:23.373]    04    3.T    17.H</t>
  </si>
  <si>
    <t>[2019-03-28 02:47:23.436]    04    4.T     1.H</t>
  </si>
  <si>
    <t>[2019-03-28 02:47:23.483]    04    4.T   354.H</t>
  </si>
  <si>
    <t>[2019-03-28 02:47:23.545]    04    4.T   326.H</t>
  </si>
  <si>
    <t>[2019-03-28 02:47:23.608]    04    6.T   344.H</t>
  </si>
  <si>
    <t>[2019-03-28 02:47:23.655]    04    6.T   347.H</t>
  </si>
  <si>
    <t>[2019-03-28 02:47:23.717]    04    9.T   338.H</t>
  </si>
  <si>
    <t>[2019-03-28 02:47:23.780]    04    7.T   350.H</t>
  </si>
  <si>
    <t>[2019-03-28 02:47:23.858]    05    5.T     5.H</t>
  </si>
  <si>
    <t>[2019-03-28 02:47:23.920]    05    6.T     2.H</t>
  </si>
  <si>
    <t>[2019-03-28 02:47:23.967]    05    7.T   359.H</t>
  </si>
  <si>
    <t>[2019-03-28 02:47:24.030]    05    5.T   351.H</t>
  </si>
  <si>
    <t>[2019-03-28 02:47:24.092]    05    6.T     4.H</t>
  </si>
  <si>
    <t>[2019-03-28 02:47:24.139]    05    5.T   346.H</t>
  </si>
  <si>
    <t>[2019-03-28 02:47:24.202]    05    6.T     2.H</t>
  </si>
  <si>
    <t>[2019-03-28 02:47:24.267]    05    5.T   354.H</t>
  </si>
  <si>
    <t>[2019-03-28 02:47:24.329]    05    4.T   350.H</t>
  </si>
  <si>
    <t>[2019-03-28 02:47:24.392]    05    5.T     3.H</t>
  </si>
  <si>
    <t>[2019-03-28 02:47:24.439]    05    7.T   357.H</t>
  </si>
  <si>
    <t>[2019-03-28 02:47:24.501]    05    5.T    17.H</t>
  </si>
  <si>
    <t>[2019-03-28 02:47:24.564]    05    7.T     8.H</t>
  </si>
  <si>
    <t>[2019-03-28 02:47:24.642]    05    6.T    15.H</t>
  </si>
  <si>
    <t>[2019-03-28 02:47:24.689]    05    5.T    21.H</t>
  </si>
  <si>
    <t>[2019-03-28 02:47:24.752]    05    6.T    23.H</t>
  </si>
  <si>
    <t>[2019-03-28 02:47:24.815]    06    8.T    19.H</t>
  </si>
  <si>
    <t>[2019-03-28 02:47:24.877]    06    7.T    21.H</t>
  </si>
  <si>
    <t>[2019-03-28 02:47:24.940]    06    5.T    35.H</t>
  </si>
  <si>
    <t>[2019-03-28 02:47:24.987]    06    6.T    44.H</t>
  </si>
  <si>
    <t>[2019-03-28 02:47:25.049]    06    5.T    33.H</t>
  </si>
  <si>
    <t>[2019-03-28 02:47:25.112]    06    6.T    47.H</t>
  </si>
  <si>
    <t>[2019-03-28 02:47:25.174]    06    5.T    43.H</t>
  </si>
  <si>
    <t>[2019-03-28 02:47:25.221]    06    7.T    45.H</t>
  </si>
  <si>
    <t>[2019-03-28 02:47:25.284]    06    6.T    48.H</t>
  </si>
  <si>
    <t>[2019-03-28 02:47:25.346]    06    8.T    52.H</t>
  </si>
  <si>
    <t>[2019-03-28 02:47:25.424]    06    6.T    50.H</t>
  </si>
  <si>
    <t>[2019-03-28 02:47:25.487]    06    9.T    64.H</t>
  </si>
  <si>
    <t>[2019-03-28 02:47:25.534]    06    8.T    74.H</t>
  </si>
  <si>
    <t>[2019-03-28 02:47:25.596]    06   10.T    64.H</t>
  </si>
  <si>
    <t>[2019-03-28 02:47:25.659]    06   10.T    70.H</t>
  </si>
  <si>
    <t>[2019-03-28 02:47:25.705]    06    9.T    69.H</t>
  </si>
  <si>
    <t>[2019-03-28 02:47:25.768]    07    8.T    87.H</t>
  </si>
  <si>
    <t>[2019-03-28 02:47:25.831]    07    8.T    76.H</t>
  </si>
  <si>
    <t>[2019-03-28 02:47:25.893]    07    9.T    92.H</t>
  </si>
  <si>
    <t>[2019-03-28 02:47:25.955]    07    8.T    83.H</t>
  </si>
  <si>
    <t>[2019-03-28 02:47:26.002]    07    8.T    85.H</t>
  </si>
  <si>
    <t>[2019-03-28 02:47:26.080]    07    8.T    84.H</t>
  </si>
  <si>
    <t>[2019-03-28 02:47:26.143]    07    8.T    97.H</t>
  </si>
  <si>
    <t>[2019-03-28 02:47:26.206]    07    6.T    83.H</t>
  </si>
  <si>
    <t>[2019-03-28 02:47:26.252]    07    9.T    86.H</t>
  </si>
  <si>
    <t>[2019-03-28 02:47:26.315]    07    7.T    79.H</t>
  </si>
  <si>
    <t>[2019-03-28 02:47:26.377]    07    7.T    74.H</t>
  </si>
  <si>
    <t>[2019-03-28 02:47:26.440]    07    6.T    76.H</t>
  </si>
  <si>
    <t>[2019-03-28 02:47:26.502]    07    7.T    75.H</t>
  </si>
  <si>
    <t>[2019-03-28 02:47:26.549]    07    7.T    84.H</t>
  </si>
  <si>
    <t>[2019-03-28 02:47:26.614]    07    6.T    87.H</t>
  </si>
  <si>
    <t>[2019-03-28 02:47:26.676]    07    8.T    93.H</t>
  </si>
  <si>
    <t>[2019-03-28 02:47:26.738]    08    6.T    93.H</t>
  </si>
  <si>
    <t>[2019-03-28 02:47:26.785]    08    5.T    92.H</t>
  </si>
  <si>
    <t>[2019-03-28 02:47:26.863]    08    5.T    98.H</t>
  </si>
  <si>
    <t>[2019-03-28 02:47:26.926]    08    5.T    76.H</t>
  </si>
  <si>
    <t>[2019-03-28 02:47:26.988]    08    6.T    74.H</t>
  </si>
  <si>
    <t>[2019-03-28 02:47:27.051]    08    5.T    84.H</t>
  </si>
  <si>
    <t>[2019-03-28 02:47:27.098]    08    5.T    84.H</t>
  </si>
  <si>
    <t>[2019-03-28 02:47:27.160]    08    4.T    67.H</t>
  </si>
  <si>
    <t>[2019-03-28 02:47:27.223]    08    6.T    59.H</t>
  </si>
  <si>
    <t>[2019-03-28 02:47:27.285]    08    4.T    60.H</t>
  </si>
  <si>
    <t>[2019-03-28 02:47:27.332]    08    4.T    66.H</t>
  </si>
  <si>
    <t>[2019-03-28 02:47:27.395]    08    5.T    55.H</t>
  </si>
  <si>
    <t>[2019-03-28 02:47:27.457]    08    4.T    44.H</t>
  </si>
  <si>
    <t>[2019-03-28 02:47:27.535]    08    2.T    39.H</t>
  </si>
  <si>
    <t>[2019-03-28 02:47:27.598]    08    4.T    77.H</t>
  </si>
  <si>
    <t>[2019-03-28 02:47:27.645]    08    2.T    59.H</t>
  </si>
  <si>
    <t>[2019-03-28 02:47:27.707]    09    3.T    53.H</t>
  </si>
  <si>
    <t>[2019-03-28 02:47:27.770]    09    1.T    53.H</t>
  </si>
  <si>
    <t>[2019-03-28 02:47:27.832]    09    3.T    74.H</t>
  </si>
  <si>
    <t>[2019-03-28 02:47:27.879]    09    1.T   190.H</t>
  </si>
  <si>
    <t>[2019-03-28 02:47:27.942]    09    3.T    94.H</t>
  </si>
  <si>
    <t>[2019-03-28 02:47:28.004]    09    2.T   125.H</t>
  </si>
  <si>
    <t>[2019-03-28 02:47:28.067]    09    3.T   118.H</t>
  </si>
  <si>
    <t>[2019-03-28 02:47:28.114]    09    2.T   137.H</t>
  </si>
  <si>
    <t>[2019-03-28 02:47:28.176]    09    3.T   119.H</t>
  </si>
  <si>
    <t>[2019-03-28 02:47:28.239]    09    2.T   160.H</t>
  </si>
  <si>
    <t>[2019-03-28 02:47:28.301]    09    2.T   159.H</t>
  </si>
  <si>
    <t>[2019-03-28 02:47:28.364]    09    3.T   133.H</t>
  </si>
  <si>
    <t>[2019-03-28 02:47:28.426]    09    2.T   141.H</t>
  </si>
  <si>
    <t>[2019-03-28 02:47:28.473]    09    2.T   117.H</t>
  </si>
  <si>
    <t>[2019-03-28 02:47:28.536]    09    2.T   112.H</t>
  </si>
  <si>
    <t>[2019-03-28 02:47:28.598]    09    2.T   121.H</t>
  </si>
  <si>
    <t>[2019-03-28 02:47:28.645]    10    3.T    99.H</t>
  </si>
  <si>
    <t>[2019-03-28 02:47:28.707]    10    4.T   104.H</t>
  </si>
  <si>
    <t>[2019-03-28 02:47:28.770]    10    3.T    96.H</t>
  </si>
  <si>
    <t>[2019-03-28 02:47:28.832]    10    4.T   128.H</t>
  </si>
  <si>
    <t>[2019-03-28 02:47:28.879]    10    3.T    97.H</t>
  </si>
  <si>
    <t>[2019-03-28 02:47:28.957]    10    4.T   117.H</t>
  </si>
  <si>
    <t>[2019-03-28 02:47:29.020]    10    3.T   126.H</t>
  </si>
  <si>
    <t>[2019-03-28 02:47:29.083]    10    3.T    96.H</t>
  </si>
  <si>
    <t>[2019-03-28 02:47:29.129]    10    4.T    98.H</t>
  </si>
  <si>
    <t>[2019-03-28 02:47:29.192]    10    2.T    89.H</t>
  </si>
  <si>
    <t>[2019-03-28 02:47:29.254]    10    2.T   102.H</t>
  </si>
  <si>
    <t>[2019-03-28 02:47:29.317]    10    2.T    72.H</t>
  </si>
  <si>
    <t>[2019-03-28 02:47:29.364]    10    3.T   109.H</t>
  </si>
  <si>
    <t>[2019-03-28 02:47:29.426]    10    3.T    93.H</t>
  </si>
  <si>
    <t>[2019-03-28 02:47:29.489]    10    3.T   111.H</t>
  </si>
  <si>
    <t>[2019-03-28 02:47:29.551]    10    2.T    59.H</t>
  </si>
  <si>
    <t>[2019-03-28 02:47:29.614]    11    2.T    64.H</t>
  </si>
  <si>
    <t>[2019-03-28 02:47:29.676]    11    2.T    83.H</t>
  </si>
  <si>
    <t>[2019-03-28 02:47:29.739]    11    2.T    61.H</t>
  </si>
  <si>
    <t>[2019-03-28 02:47:29.801]    11    2.T    86.H</t>
  </si>
  <si>
    <t>[2019-03-28 02:47:29.864]    11    2.T   126.H</t>
  </si>
  <si>
    <t>[2019-03-28 02:47:29.911]    11    1.T   176.H</t>
  </si>
  <si>
    <t>[2019-03-28 02:47:29.974]    11    2.T   118.H</t>
  </si>
  <si>
    <t>[2019-03-28 02:47:30.036]    11    1.T   154.H</t>
  </si>
  <si>
    <t>[2019-03-28 02:47:30.083]    11    2.T    89.H</t>
  </si>
  <si>
    <t>[2019-03-28 02:47:30.146]    11    1.T   140.H</t>
  </si>
  <si>
    <t>[2019-03-28 02:47:30.208]    11    2.T    71.H</t>
  </si>
  <si>
    <t>[2019-03-28 02:47:30.271]    11    1.T    75.H</t>
  </si>
  <si>
    <t>[2019-03-28 02:47:30.349]    11    3.T    89.H</t>
  </si>
  <si>
    <t>[2019-03-28 02:47:30.396]    11    2.T    58.H</t>
  </si>
  <si>
    <t>[2019-03-28 02:47:30.458]    11    2.T    99.H</t>
  </si>
  <si>
    <t>[2019-03-28 02:47:30.521]    11    1.T    92.H</t>
  </si>
  <si>
    <t>[2019-03-28 02:47:30.583]    12    1.T   163.H</t>
  </si>
  <si>
    <t>[2019-03-28 02:47:30.630]    12    2.T   117.H</t>
  </si>
  <si>
    <t>[2019-03-28 02:47:30.693]    12    1.T   140.H</t>
  </si>
  <si>
    <t>[2019-03-28 02:47:30.755]    12    1.T   105.H</t>
  </si>
  <si>
    <t>[2019-03-28 02:47:30.818]    12    1.T    37.H</t>
  </si>
  <si>
    <t>[2019-03-28 02:47:30.865]    12    1.T   129.H</t>
  </si>
  <si>
    <t>[2019-03-28 02:47:30.927]    12    1.T   119.H</t>
  </si>
  <si>
    <t>[2019-03-28 02:47:30.990]    12    1.T   101.H</t>
  </si>
  <si>
    <t>[2019-03-28 02:47:31.052]    12    1.T   256.H</t>
  </si>
  <si>
    <t>[2019-03-28 02:47:31.115]    12    2.T   145.H</t>
  </si>
  <si>
    <t>[2019-03-28 02:47:31.177]    12    1.T   113.H</t>
  </si>
  <si>
    <t>[2019-03-28 02:47:31.224]    12    2.T   110.H</t>
  </si>
  <si>
    <t>[2019-03-28 02:47:31.286]    12    2.T   111.H</t>
  </si>
  <si>
    <t>[2019-03-28 02:47:31.349]    12    2.T   121.H</t>
  </si>
  <si>
    <t>[2019-03-28 02:47:31.412]    12    2.T    91.H</t>
  </si>
  <si>
    <t>[2019-03-28 02:47:31.458]    12    2.T    78.H</t>
  </si>
  <si>
    <t>[2019-03-28 02:47:31.521]    13    1.T    94.H</t>
  </si>
  <si>
    <t>[2019-03-28 02:47:31.583]    13    1.T    78.H</t>
  </si>
  <si>
    <t>[2019-03-28 02:47:31.646]    13    1.T    93.H</t>
  </si>
  <si>
    <t>[2019-03-28 02:47:31.724]    13    1.T   185.H</t>
  </si>
  <si>
    <t>[2019-03-28 02:47:31.771]    13    1.T   156.H</t>
  </si>
  <si>
    <t>[2019-03-28 02:47:31.833]    13    1.T   110.H</t>
  </si>
  <si>
    <t>[2019-03-28 02:47:31.898]    13    1.T    20.H</t>
  </si>
  <si>
    <t>[2019-03-28 02:47:31.959]    13    1.T    57.H</t>
  </si>
  <si>
    <t>[2019-03-28 02:47:32.006]    13    1.T    84.H</t>
  </si>
  <si>
    <t>[2019-03-28 02:47:32.068]    13    1.T    67.H</t>
  </si>
  <si>
    <t>[2019-03-28 02:47:32.131]    13    1.T    55.H</t>
  </si>
  <si>
    <t>[2019-03-28 02:47:32.193]    13    1.T    61.H</t>
  </si>
  <si>
    <t>[2019-03-28 02:47:32.256]    13    1.T    47.H</t>
  </si>
  <si>
    <t>[2019-03-28 02:47:32.303]    13    1.T    29.H</t>
  </si>
  <si>
    <t>[2019-03-28 02:47:32.365]    13    1.T   152.H</t>
  </si>
  <si>
    <t>[2019-03-28 02:47:32.443]    13    1.T   216.H</t>
  </si>
  <si>
    <t>[2019-03-28 02:47:32.506]    14    1.T   171.H</t>
  </si>
  <si>
    <t>[2019-03-28 02:47:32.553]    14    1.T   117.H</t>
  </si>
  <si>
    <t>[2019-03-28 02:47:32.615]    14    1.T    66.H</t>
  </si>
  <si>
    <t>[2019-03-28 02:47:32.678]    14    1.T    55.H</t>
  </si>
  <si>
    <t>[2019-03-28 02:47:32.740]    14    1.T    43.H</t>
  </si>
  <si>
    <t>[2019-03-28 02:47:32.787]    14    2.T    51.H</t>
  </si>
  <si>
    <t>[2019-03-28 02:47:32.850]    14    1.T    83.H</t>
  </si>
  <si>
    <t>[2019-03-28 02:47:32.912]    14    2.T    48.H</t>
  </si>
  <si>
    <t>[2019-03-28 02:47:32.975]    14    1.T    77.H</t>
  </si>
  <si>
    <t>[2019-03-28 02:47:33.037]    14    1.T    48.H</t>
  </si>
  <si>
    <t>[2019-03-28 02:47:33.084]    14    1.T   303.H</t>
  </si>
  <si>
    <t>[2019-03-28 02:47:33.162]    14    2.T    46.H</t>
  </si>
  <si>
    <t>[2019-03-28 02:47:33.225]    14    1.T   235.H</t>
  </si>
  <si>
    <t>[2019-03-28 02:47:33.287]    14    1.T   315.H</t>
  </si>
  <si>
    <t>[2019-03-28 02:47:33.334]    14    2.T   280.H</t>
  </si>
  <si>
    <t>[2019-03-28 02:47:33.397]    14    1.T   242.H</t>
  </si>
  <si>
    <t>[2019-03-28 02:47:33.459]    15    1.T    99.H</t>
  </si>
  <si>
    <t>[2019-03-28 02:47:33.506]    15    2.T   299.H</t>
  </si>
  <si>
    <t>[2019-03-28 02:47:33.569]    15    1.T   121.H</t>
  </si>
  <si>
    <t>[2019-03-28 02:47:33.631]    15    2.T   325.H</t>
  </si>
  <si>
    <t>[2019-03-28 02:47:33.694]    15    2.T   206.H</t>
  </si>
  <si>
    <t>[2019-03-28 02:47:33.741]    15    4.T    10.H</t>
  </si>
  <si>
    <t>[2019-03-28 02:47:33.803]    15    1.T   150.H</t>
  </si>
  <si>
    <t>[2019-03-28 02:47:33.881]    15    2.T    22.H</t>
  </si>
  <si>
    <t>[2019-03-28 02:47:33.944]    15    1.T   164.H</t>
  </si>
  <si>
    <t>[2019-03-28 02:47:33.991]    15    2.T    35.H</t>
  </si>
  <si>
    <t>[2019-03-28 02:47:34.053]    15    1.T   179.H</t>
  </si>
  <si>
    <t>[2019-03-28 02:47:34.116]    15    1.T    46.H</t>
  </si>
  <si>
    <t>[2019-03-28 02:47:34.178]    15    1.T    56.H</t>
  </si>
  <si>
    <t>[2019-03-28 02:47:34.241]    15    2.T     5.H</t>
  </si>
  <si>
    <t>[2019-03-28 02:47:34.287]    15    2.T    15.H</t>
  </si>
  <si>
    <t>[2019-03-28 02:47:34.350]    15    2.T     5.H</t>
  </si>
  <si>
    <t>[2019-03-28 02:47:34.412]    16    2.T     2.H</t>
  </si>
  <si>
    <t>[2019-03-28 02:47:34.475]    16    3.T    18.H</t>
  </si>
  <si>
    <t>[2019-03-28 02:47:34.553]    16    3.T    13.H</t>
  </si>
  <si>
    <t>[2019-03-28 02:47:34.616]    16    2.T    24.H</t>
  </si>
  <si>
    <t>[2019-03-28 02:47:34.662]    16    2.T    20.H</t>
  </si>
  <si>
    <t>[2019-03-28 02:47:34.725]    16    2.T     4.H</t>
  </si>
  <si>
    <t>[2019-03-28 02:47:34.787]    16    2.T   357.H</t>
  </si>
  <si>
    <t>[2019-03-28 02:47:34.850]    16    2.T    25.H</t>
  </si>
  <si>
    <t>[2019-03-28 02:47:34.912]    16    2.T    15.H</t>
  </si>
  <si>
    <t>[2019-03-28 02:47:34.959]    16    2.T    25.H</t>
  </si>
  <si>
    <t>[2019-03-28 02:47:35.022]    16    2.T   357.H</t>
  </si>
  <si>
    <t>[2019-03-28 02:47:35.084]    16    2.T    12.H</t>
  </si>
  <si>
    <t>[2019-03-28 02:47:35.147]    16    2.T     1.H</t>
  </si>
  <si>
    <t>[2019-03-28 02:47:35.194]    16    3.T   354.H</t>
  </si>
  <si>
    <t>[2019-03-28 02:47:35.256]    16    3.T   355.H</t>
  </si>
  <si>
    <t>[2019-03-28 02:47:35.334]    16    3.T   346.H</t>
  </si>
  <si>
    <t>[2019-03-28 02:47:35.397]    17    3.T   343.H</t>
  </si>
  <si>
    <t>[2019-03-28 02:47:35.444]    17    3.T   344.H</t>
  </si>
  <si>
    <t>[2019-03-28 02:47:35.506]    17    3.T     1.H</t>
  </si>
  <si>
    <t>[2019-03-28 02:47:35.569]    17    3.T   345.H</t>
  </si>
  <si>
    <t>[2019-03-28 02:47:35.631]    17    3.T    23.H</t>
  </si>
  <si>
    <t>[2019-03-28 02:47:35.678]    17    2.T   349.H</t>
  </si>
  <si>
    <t>[2019-03-28 02:47:35.741]    17    2.T   351.H</t>
  </si>
  <si>
    <t>[2019-03-28 02:47:35.803]    17    2.T   344.H</t>
  </si>
  <si>
    <t>[2019-03-28 02:47:35.881]    17    1.T    21.H</t>
  </si>
  <si>
    <t>[2019-03-28 02:47:35.928]    17    2.T   329.H</t>
  </si>
  <si>
    <t>[2019-03-28 02:47:35.991]    17    1.T    39.H</t>
  </si>
  <si>
    <t>[2019-03-28 02:47:36.053]    17    2.T     7.H</t>
  </si>
  <si>
    <t>[2019-03-28 02:47:36.116]    17    2.T    19.H</t>
  </si>
  <si>
    <t>[2019-03-28 02:47:36.178]    17    2.T    18.H</t>
  </si>
  <si>
    <t>[2019-03-28 02:47:36.225]    17    3.T    29.H</t>
  </si>
  <si>
    <t>[2019-03-28 02:47:36.288]    17    3.T    10.H</t>
  </si>
  <si>
    <t>[2019-03-28 02:47:36.350]    18    2.T   357.H</t>
  </si>
  <si>
    <t>[2019-03-28 02:47:36.413]    18    2.T   321.H</t>
  </si>
  <si>
    <t>[2019-03-28 02:47:36.460]    18    1.T   335.H</t>
  </si>
  <si>
    <t>[2019-03-28 02:47:36.522]    18    1.T   360.H</t>
  </si>
  <si>
    <t>[2019-03-28 02:47:36.600]    18    2.T    26.H</t>
  </si>
  <si>
    <t>[2019-03-28 02:47:36.647]    18    1.T   347.H</t>
  </si>
  <si>
    <t>[2019-03-28 02:47:36.710]    18    2.T    29.H</t>
  </si>
  <si>
    <t>[2019-03-28 02:47:36.772]    18    1.T     1.H</t>
  </si>
  <si>
    <t>[2019-03-28 02:47:36.835]    18    1.T   282.H</t>
  </si>
  <si>
    <t>[2019-03-28 02:47:36.897]    18    1.T   321.H</t>
  </si>
  <si>
    <t>[2019-03-28 02:47:36.944]    18    1.T   224.H</t>
  </si>
  <si>
    <t>[2019-03-28 02:47:37.006]    18    2.T    15.H</t>
  </si>
  <si>
    <t>[2019-03-28 02:47:37.069]    18    1.T   127.H</t>
  </si>
  <si>
    <t>[2019-03-28 02:47:37.131]    18    2.T    43.H</t>
  </si>
  <si>
    <t>[2019-03-28 02:47:37.178]    18    1.T    39.H</t>
  </si>
  <si>
    <t>[2019-03-28 02:47:37.256]    18    2.T    46.H</t>
  </si>
  <si>
    <t>[2019-03-28 02:47:37.319]    19    2.T    75.H</t>
  </si>
  <si>
    <t>[2019-03-28 02:47:37.382]    19    2.T    41.H</t>
  </si>
  <si>
    <t>[2019-03-28 02:47:37.444]    19    1.T    65.H</t>
  </si>
  <si>
    <t>[2019-03-28 02:47:37.491]    19    3.T    54.H</t>
  </si>
  <si>
    <t>[2019-03-28 02:47:37.553]    19    2.T    50.H</t>
  </si>
  <si>
    <t>[2019-03-28 02:47:37.616]    19    2.T    65.H</t>
  </si>
  <si>
    <t>[2019-03-28 02:47:37.678]    19    2.T    24.H</t>
  </si>
  <si>
    <t>[2019-03-28 02:47:37.741]    19    2.T    59.H</t>
  </si>
  <si>
    <t>[2019-03-28 02:47:37.788]    19    3.T    17.H</t>
  </si>
  <si>
    <t>[2019-03-28 02:47:37.850]    19    2.T    38.H</t>
  </si>
  <si>
    <t>[2019-03-28 02:47:37.913]    19    3.T    41.H</t>
  </si>
  <si>
    <t>[2019-03-28 02:47:37.991]    19    2.T    46.H</t>
  </si>
  <si>
    <t>[2019-03-28 02:47:38.053]    19    3.T    17.H</t>
  </si>
  <si>
    <t>[2019-03-28 02:47:38.100]    19    2.T    18.H</t>
  </si>
  <si>
    <t>[2019-03-28 02:47:38.163]    19    3.T    38.H</t>
  </si>
  <si>
    <t>[2019-03-28 02:47:38.225]    19    2.T    32.H</t>
  </si>
  <si>
    <t>[2019-03-28 02:47:38.288]    20    2.T    25.H</t>
  </si>
  <si>
    <t>[2019-03-28 02:47:38.350]    20    2.T    36.H</t>
  </si>
  <si>
    <t>[2019-03-28 02:47:38.397]    20    2.T    34.H</t>
  </si>
  <si>
    <t>[2019-03-28 02:47:38.460]    20    2.T     4.H</t>
  </si>
  <si>
    <t>[2019-03-28 02:47:38.522]    20    2.T     3.H</t>
  </si>
  <si>
    <t>[2019-03-28 02:47:38.585]    20    2.T   344.H</t>
  </si>
  <si>
    <t>[2019-03-28 02:47:38.647]    20    2.T    12.H</t>
  </si>
  <si>
    <t>[2019-03-28 02:47:38.710]    20    2.T   356.H</t>
  </si>
  <si>
    <t>[2019-03-28 02:47:38.772]    20    1.T    44.H</t>
  </si>
  <si>
    <t>[2019-03-28 02:47:38.835]    20    1.T    28.H</t>
  </si>
  <si>
    <t>[2019-03-28 02:47:38.897]    20    1.T   136.H</t>
  </si>
  <si>
    <t>[2019-03-28 02:47:38.944]    20    1.T   340.H</t>
  </si>
  <si>
    <t>[2019-03-28 02:47:39.007]    20    1.T    48.H</t>
  </si>
  <si>
    <t>[2019-03-28 02:47:39.069]    20    2.T   313.H</t>
  </si>
  <si>
    <t>[2019-03-28 02:47:39.132]    20    1.T   112.H</t>
  </si>
  <si>
    <t>[2019-03-28 02:47:39.179]    20    2.T   328.H</t>
  </si>
  <si>
    <t>[2019-03-28 02:47:39.241]    21    1.T   342.H</t>
  </si>
  <si>
    <t>[2019-03-28 02:47:39.304]    21    1.T   230.H</t>
  </si>
  <si>
    <t>[2019-03-28 02:47:39.382]    21    1.T    27.H</t>
  </si>
  <si>
    <t>[2019-03-28 02:47:39.429]    21    1.T   294.H</t>
  </si>
  <si>
    <t>[2019-03-28 02:47:39.491]    21    1.T    69.H</t>
  </si>
  <si>
    <t>[2019-03-28 02:47:39.554]    21    1.T   338.H</t>
  </si>
  <si>
    <t>[2019-03-28 02:47:39.616]    21    1.T    39.H</t>
  </si>
  <si>
    <t>[2019-03-28 02:47:39.663]    21    2.T   337.H</t>
  </si>
  <si>
    <t>[2019-03-28 02:47:39.726]    21    1.T   212.H</t>
  </si>
  <si>
    <t>[2019-03-28 02:47:39.788]    21    1.T     1.H</t>
  </si>
  <si>
    <t>[2019-03-28 02:47:39.851]    21    1.T   290.H</t>
  </si>
  <si>
    <t>[2019-03-28 02:47:39.897]    21    1.T   144.H</t>
  </si>
  <si>
    <t>[2019-03-28 02:47:39.960]    21    1.T   315.H</t>
  </si>
  <si>
    <t>[2019-03-28 02:47:40.038]    21    1.T   163.H</t>
  </si>
  <si>
    <t>[2019-03-28 02:47:40.085]    21    1.T   111.H</t>
  </si>
  <si>
    <t>[2019-03-28 02:47:40.147]    21    1.T    84.H</t>
  </si>
  <si>
    <t xml:space="preserve">[2019-03-28 02:47:40.179] </t>
  </si>
  <si>
    <t>[2019-03-28 02:47:40.194]  Normal shutdown.</t>
  </si>
  <si>
    <t xml:space="preserve">[2019-03-28 02:47:40.210] </t>
  </si>
  <si>
    <t xml:space="preserve">[2019-03-28 02:47:40.241]  End of instrument data file.        </t>
  </si>
  <si>
    <t xml:space="preserve">[2019-03-28 02:47:40.288] </t>
  </si>
  <si>
    <t xml:space="preserve">[2019-03-28 02:47:40.319]  Terminate file logging operation now          </t>
  </si>
  <si>
    <t>[2019-03-28 02:47:40.397]  and press any key to continue.</t>
  </si>
  <si>
    <t xml:space="preserve">[2019-03-28 02:47:45.429] </t>
  </si>
  <si>
    <t>[2019-03-28 02:47:45.429] _______________________________________________________</t>
  </si>
  <si>
    <t xml:space="preserve">[2019-03-28 02:47:45.507] </t>
  </si>
  <si>
    <t xml:space="preserve">[2019-03-28 02:47:45.507]               </t>
  </si>
  <si>
    <t xml:space="preserve">[2019-03-28 02:47:45.523] </t>
  </si>
  <si>
    <t xml:space="preserve">[2019-03-28 02:47:45.585] </t>
  </si>
  <si>
    <t xml:space="preserve">[2019-03-28 02:47:45.632] </t>
  </si>
  <si>
    <t xml:space="preserve">[2019-03-28 02:47:45.696] </t>
  </si>
  <si>
    <t xml:space="preserve">[2019-03-28 02:47:45.763] </t>
  </si>
  <si>
    <t xml:space="preserve">[2019-03-28 02:47:45.857] </t>
  </si>
  <si>
    <t xml:space="preserve">[2019-03-28 02:47:45.935] </t>
  </si>
  <si>
    <t xml:space="preserve">[2019-03-28 02:47:46.212] </t>
  </si>
  <si>
    <t xml:space="preserve">[2019-03-28 02:47:46.244] </t>
  </si>
  <si>
    <t xml:space="preserve">[2019-03-28 02:47:46.353] </t>
  </si>
  <si>
    <t xml:space="preserve">[2019-03-28 02:47:46.462] </t>
  </si>
  <si>
    <t xml:space="preserve">[2019-03-28 02:47:46.556] </t>
  </si>
  <si>
    <t xml:space="preserve">[2019-03-28 02:47:46.619] </t>
  </si>
  <si>
    <t xml:space="preserve">[2019-03-28 02:32:34.003] </t>
  </si>
  <si>
    <t>[2019-03-28 02:32:34.003] _______________________________________________________</t>
  </si>
  <si>
    <t xml:space="preserve">[2019-03-28 02:32:34.066] </t>
  </si>
  <si>
    <t xml:space="preserve">[2019-03-28 02:32:34.066]               </t>
  </si>
  <si>
    <t xml:space="preserve">[2019-03-28 02:32:34.097] </t>
  </si>
  <si>
    <t xml:space="preserve">[2019-03-28 02:32:34.160] </t>
  </si>
  <si>
    <t xml:space="preserve">[2019-03-28 02:32:34.206] </t>
  </si>
  <si>
    <t xml:space="preserve">[2019-03-28 02:32:34.285] </t>
  </si>
  <si>
    <t xml:space="preserve">Version: PST-21C5.c   S/N: ML12419-02            </t>
  </si>
  <si>
    <t xml:space="preserve">[2019-03-28 02:32:34.332] </t>
  </si>
  <si>
    <t xml:space="preserve">[2019-03-28 02:32:34.347] </t>
  </si>
  <si>
    <t xml:space="preserve">[2019-03-28 02:32:34.425] </t>
  </si>
  <si>
    <t xml:space="preserve">[2019-03-28 02:32:34.503] </t>
  </si>
  <si>
    <t xml:space="preserve">[2019-03-28 02:32:34.738] </t>
  </si>
  <si>
    <t xml:space="preserve">      Thu Mar 28 02:01:09 2019</t>
  </si>
  <si>
    <t xml:space="preserve">[2019-03-28 02:32:34.800] </t>
  </si>
  <si>
    <t xml:space="preserve">[2019-03-28 02:32:34.816] </t>
  </si>
  <si>
    <t xml:space="preserve">[2019-03-28 02:32:34.941] </t>
  </si>
  <si>
    <t xml:space="preserve">[2019-03-28 02:32:35.035] </t>
  </si>
  <si>
    <t xml:space="preserve">[2019-03-28 02:32:35.129] </t>
  </si>
  <si>
    <t xml:space="preserve">[2019-03-28 02:32:35.191] </t>
  </si>
  <si>
    <t xml:space="preserve">[2019-03-28 02:32:35.207] </t>
  </si>
  <si>
    <t xml:space="preserve">[2019-03-28 02:32:46.505] </t>
  </si>
  <si>
    <t>[2019-03-28 02:32:46.552]  Press any key to pause/continue display, &lt;X&gt; to exit</t>
  </si>
  <si>
    <t xml:space="preserve">[2019-03-28 02:32:46.630] </t>
  </si>
  <si>
    <t>[2019-03-28 02:32:48.474]   03/28/2019 02:01:22   16.2 Vb    13.C   5.T   12.H  aligned</t>
  </si>
  <si>
    <t>[2019-03-28 02:32:50.459]   03/28/2019 02:01:24   16.2 Vb    13.C   1.T  313.H  aligned</t>
  </si>
  <si>
    <t>[2019-03-28 02:33:03.196]   03/28/2019 02:01:35   16.1 Vb    13.C   0.T  180.H  aligned</t>
  </si>
  <si>
    <t>[2019-03-28 02:33:05.165]   03/28/2019 02:01:38   16.1 Vb    13.C   1.T  329.H  aligned</t>
  </si>
  <si>
    <t xml:space="preserve">[2019-03-28 02:33:06.587] </t>
  </si>
  <si>
    <t xml:space="preserve">[2019-03-28 02:33:06.634]  Battery voltage is abnormally low.  Check/replace            </t>
  </si>
  <si>
    <t>[2019-03-28 02:33:06.743]  main battery pack before deploying system.</t>
  </si>
  <si>
    <t xml:space="preserve">[2019-03-28 02:33:06.806]           </t>
  </si>
  <si>
    <t xml:space="preserve">[2019-03-28 02:33:06.821] </t>
  </si>
  <si>
    <t>[2019-03-28 02:33:06.853]  Press any key to continue.</t>
  </si>
  <si>
    <t xml:space="preserve">[2019-03-28 02:33:11.056] </t>
  </si>
  <si>
    <t>[2019-03-28 02:33:11.056] _______________________________________________________</t>
  </si>
  <si>
    <t xml:space="preserve">[2019-03-28 02:33:11.119] </t>
  </si>
  <si>
    <t xml:space="preserve">[2019-03-28 02:33:11.119]               </t>
  </si>
  <si>
    <t xml:space="preserve">[2019-03-28 02:33:11.134] </t>
  </si>
  <si>
    <t xml:space="preserve">[2019-03-28 02:33:11.197] </t>
  </si>
  <si>
    <t xml:space="preserve">[2019-03-28 02:33:11.244] </t>
  </si>
  <si>
    <t xml:space="preserve">[2019-03-28 02:33:11.306] </t>
  </si>
  <si>
    <t xml:space="preserve">[2019-03-28 02:33:11.369] </t>
  </si>
  <si>
    <t xml:space="preserve">[2019-03-28 02:33:11.384] </t>
  </si>
  <si>
    <t xml:space="preserve">[2019-03-28 02:33:11.447] </t>
  </si>
  <si>
    <t xml:space="preserve">[2019-03-28 02:33:11.525] </t>
  </si>
  <si>
    <t xml:space="preserve">[2019-03-28 02:33:11.791] </t>
  </si>
  <si>
    <t xml:space="preserve">      Thu Mar 28 02:01:46 2019</t>
  </si>
  <si>
    <t xml:space="preserve">[2019-03-28 02:33:11.822] </t>
  </si>
  <si>
    <t xml:space="preserve">[2019-03-28 02:33:11.869] </t>
  </si>
  <si>
    <t xml:space="preserve">[2019-03-28 02:33:11.963] </t>
  </si>
  <si>
    <t xml:space="preserve">[2019-03-28 02:33:12.072] </t>
  </si>
  <si>
    <t xml:space="preserve">[2019-03-28 02:33:12.166] </t>
  </si>
  <si>
    <t xml:space="preserve">[2019-03-28 02:33:12.228] </t>
  </si>
  <si>
    <t xml:space="preserve">[2019-03-28 02:33:20.145] </t>
  </si>
  <si>
    <t xml:space="preserve">[2019-03-28 02:33:20.160] </t>
  </si>
  <si>
    <t xml:space="preserve">[2019-03-28 02:33:20.207] </t>
  </si>
  <si>
    <t xml:space="preserve">[2019-03-28 02:33:20.269] </t>
  </si>
  <si>
    <t xml:space="preserve">[2019-03-28 02:33:20.520] </t>
  </si>
  <si>
    <t xml:space="preserve">     Thu Mar 28 02:01:55 2019</t>
  </si>
  <si>
    <t xml:space="preserve">[2019-03-28 02:33:20.551] </t>
  </si>
  <si>
    <t xml:space="preserve">[2019-03-28 02:33:20.566] </t>
  </si>
  <si>
    <t xml:space="preserve">[2019-03-28 02:33:20.629] </t>
  </si>
  <si>
    <t xml:space="preserve">[2019-03-28 02:33:20.691] </t>
  </si>
  <si>
    <t xml:space="preserve">[2019-03-28 02:33:20.754] </t>
  </si>
  <si>
    <t xml:space="preserve">[2019-03-28 02:33:20.801] </t>
  </si>
  <si>
    <t xml:space="preserve">[2019-03-28 02:33:20.816] </t>
  </si>
  <si>
    <t xml:space="preserve">[2019-03-28 02:33:20.832] </t>
  </si>
  <si>
    <t xml:space="preserve">[2019-03-28 02:33:25.192] </t>
  </si>
  <si>
    <t xml:space="preserve">[2019-03-28 02:33:25.239]  To copy the instrument data file to a disk file, initiate          </t>
  </si>
  <si>
    <t xml:space="preserve">[2019-03-28 02:33:25.364]  your communication program's file logging command now and          </t>
  </si>
  <si>
    <t xml:space="preserve">[2019-03-28 02:33:25.489]  then press any key to start the transfer.  The instrument          </t>
  </si>
  <si>
    <t xml:space="preserve">[2019-03-28 02:33:25.614]  data file will remain resident and is not erased by this          </t>
  </si>
  <si>
    <t>[2019-03-28 02:33:25.707]  offload procedure.</t>
  </si>
  <si>
    <t xml:space="preserve">[2019-03-28 02:33:25.739] </t>
  </si>
  <si>
    <t>[2019-03-28 02:34:08.940]  Scheduled start time:  03/31/2018 00:00:00</t>
  </si>
  <si>
    <t>[2019-03-28 02:34:09.299]  Event start time:      03/31/2018 00:00:00</t>
  </si>
  <si>
    <t>[2019-03-28 02:34:09.627]  Event stop time:       03/31/2018 00:00:28</t>
  </si>
  <si>
    <t xml:space="preserve">[2019-03-28 02:34:09.705] </t>
  </si>
  <si>
    <t>[2019-03-28 02:34:09.737]          Aligned  Battery  Temperature  Tilt  Heading</t>
  </si>
  <si>
    <t>[2019-03-28 02:34:09.909]  Start:     Y       19.5        3.C       2.    260.</t>
  </si>
  <si>
    <t>[2019-03-28 02:34:10.049]  Stop:      Y       19.1        3.C       2.    264.</t>
  </si>
  <si>
    <t xml:space="preserve">[2019-03-28 02:34:10.112] </t>
  </si>
  <si>
    <t>[2019-03-28 02:34:10.127]  Event 03</t>
  </si>
  <si>
    <t xml:space="preserve">[2019-03-28 02:34:10.127] </t>
  </si>
  <si>
    <t>[2019-03-28 02:34:10.424]  Scheduled start time:  04/17/2018 00:00:00</t>
  </si>
  <si>
    <t>[2019-03-28 02:34:10.784]  Event start time:      04/17/2018 00:00:00</t>
  </si>
  <si>
    <t>[2019-03-28 02:34:11.112]  Event stop time:       04/17/2018 00:00:28</t>
  </si>
  <si>
    <t xml:space="preserve">[2019-03-28 02:34:11.190] </t>
  </si>
  <si>
    <t>[2019-03-28 02:34:11.222]          Aligned  Battery  Temperature  Tilt  Heading</t>
  </si>
  <si>
    <t>[2019-03-28 02:34:11.394]  Start:     Y       19.1        3.C       7.      4.</t>
  </si>
  <si>
    <t>[2019-03-28 02:34:11.550]  Stop:      Y       18.8        3.C       7.      4.</t>
  </si>
  <si>
    <t xml:space="preserve">[2019-03-28 02:34:11.597] </t>
  </si>
  <si>
    <t>[2019-03-28 02:34:11.612]  Event 04</t>
  </si>
  <si>
    <t xml:space="preserve">[2019-03-28 02:34:11.628] </t>
  </si>
  <si>
    <t>[2019-03-28 02:34:11.925]  Scheduled start time:  05/04/2018 00:00:00</t>
  </si>
  <si>
    <t>[2019-03-28 02:34:12.269]  Event start time:      05/04/2018 00:00:00</t>
  </si>
  <si>
    <t>[2019-03-28 02:34:12.628]  Event stop time:       05/04/2018 00:00:28</t>
  </si>
  <si>
    <t xml:space="preserve">[2019-03-28 02:34:12.675] </t>
  </si>
  <si>
    <t>[2019-03-28 02:34:12.722]          Aligned  Battery  Temperature  Tilt  Heading</t>
  </si>
  <si>
    <t>[2019-03-28 02:34:12.878]  Start:     Y       18.7        3.C       6.     46.</t>
  </si>
  <si>
    <t>[2019-03-28 02:34:13.035]  Stop:      Y       18.4        3.C       6.     48.</t>
  </si>
  <si>
    <t xml:space="preserve">[2019-03-28 02:34:13.082] </t>
  </si>
  <si>
    <t>[2019-03-28 02:34:13.097]  Event 05</t>
  </si>
  <si>
    <t xml:space="preserve">[2019-03-28 02:34:13.113] </t>
  </si>
  <si>
    <t>[2019-03-28 02:34:13.410]  Scheduled start time:  05/21/2018 00:00:00</t>
  </si>
  <si>
    <t>[2019-03-28 02:34:13.754]  Event start time:      05/21/2018 00:00:00</t>
  </si>
  <si>
    <t>[2019-03-28 02:34:14.114]  Event stop time:       05/21/2018 00:00:28</t>
  </si>
  <si>
    <t xml:space="preserve">[2019-03-28 02:34:14.161] </t>
  </si>
  <si>
    <t>[2019-03-28 02:34:14.207]          Aligned  Battery  Temperature  Tilt  Heading</t>
  </si>
  <si>
    <t>[2019-03-28 02:34:14.364]  Start:     Y       18.4        3.C       7.     14.</t>
  </si>
  <si>
    <t>[2019-03-28 02:34:14.521]  Stop:      Y       18.1        3.C       7.     19.</t>
  </si>
  <si>
    <t xml:space="preserve">[2019-03-28 02:34:14.567] </t>
  </si>
  <si>
    <t>[2019-03-28 02:34:14.583]  Event 06</t>
  </si>
  <si>
    <t xml:space="preserve">[2019-03-28 02:34:14.599] </t>
  </si>
  <si>
    <t>[2019-03-28 02:34:14.896]  Scheduled start time:  06/07/2018 00:00:00</t>
  </si>
  <si>
    <t>[2019-03-28 02:34:15.239]  Event start time:      06/07/2018 00:00:00</t>
  </si>
  <si>
    <t>[2019-03-28 02:34:15.598]  Event stop time:       06/07/2018 00:00:28</t>
  </si>
  <si>
    <t xml:space="preserve">[2019-03-28 02:34:15.645] </t>
  </si>
  <si>
    <t>[2019-03-28 02:34:15.692]          Aligned  Battery  Temperature  Tilt  Heading</t>
  </si>
  <si>
    <t>[2019-03-28 02:34:15.848]  Start:     Y       18.1        3.C       6.     45.</t>
  </si>
  <si>
    <t>[2019-03-28 02:34:16.004]  Stop:      Y       17.9        3.C       6.     43.</t>
  </si>
  <si>
    <t xml:space="preserve">[2019-03-28 02:34:16.067] </t>
  </si>
  <si>
    <t>[2019-03-28 02:34:16.067]  Event 07</t>
  </si>
  <si>
    <t xml:space="preserve">[2019-03-28 02:34:16.098] </t>
  </si>
  <si>
    <t>[2019-03-28 02:34:16.379]  Scheduled start time:  06/24/2018 00:00:00</t>
  </si>
  <si>
    <t>[2019-03-28 02:34:16.722]  Event start time:      06/24/2018 00:00:00</t>
  </si>
  <si>
    <t>[2019-03-28 02:34:17.081]  Event stop time:       06/24/2018 00:00:28</t>
  </si>
  <si>
    <t xml:space="preserve">[2019-03-28 02:34:17.127] </t>
  </si>
  <si>
    <t>[2019-03-28 02:34:17.174]          Aligned  Battery  Temperature  Tilt  Heading</t>
  </si>
  <si>
    <t>[2019-03-28 02:34:17.330]  Start:     Y       17.8        3.C      11.     86.</t>
  </si>
  <si>
    <t>[2019-03-28 02:34:17.471]  Stop:      Y       17.7        3.C      11.     87.</t>
  </si>
  <si>
    <t xml:space="preserve">[2019-03-28 02:34:17.548] </t>
  </si>
  <si>
    <t>[2019-03-28 02:34:17.564]  Event 08</t>
  </si>
  <si>
    <t xml:space="preserve">[2019-03-28 02:34:17.580] </t>
  </si>
  <si>
    <t>[2019-03-28 02:34:17.860]  Scheduled start time:  07/11/2018 00:00:00</t>
  </si>
  <si>
    <t>[2019-03-28 02:34:18.203]  Event start time:      07/11/2018 00:00:00</t>
  </si>
  <si>
    <t>[2019-03-28 02:34:18.562]  Event stop time:       07/11/2018 00:00:28</t>
  </si>
  <si>
    <t xml:space="preserve">[2019-03-28 02:34:18.609] </t>
  </si>
  <si>
    <t>[2019-03-28 02:34:18.655]          Aligned  Battery  Temperature  Tilt  Heading</t>
  </si>
  <si>
    <t>[2019-03-28 02:34:18.811]  Start:     Y       16.6        3.C       6.     85.</t>
  </si>
  <si>
    <t>[2019-03-28 02:34:18.983]  Stop:      Y       16.3        3.C       6.     81.</t>
  </si>
  <si>
    <t xml:space="preserve">[2019-03-28 02:34:19.030] </t>
  </si>
  <si>
    <t>[2019-03-28 02:34:19.045]  Event 09</t>
  </si>
  <si>
    <t xml:space="preserve">[2019-03-28 02:34:19.061] </t>
  </si>
  <si>
    <t>[2019-03-28 02:34:19.342]  Scheduled start time:  07/28/2018 00:00:00</t>
  </si>
  <si>
    <t>[2019-03-28 02:34:19.701]  Event start time:      07/28/2018 00:00:00</t>
  </si>
  <si>
    <t>[2019-03-28 02:34:20.044]  Event stop time:       07/28/2018 00:00:28</t>
  </si>
  <si>
    <t xml:space="preserve">[2019-03-28 02:34:20.091] </t>
  </si>
  <si>
    <t>[2019-03-28 02:34:20.138]          Aligned  Battery  Temperature  Tilt  Heading</t>
  </si>
  <si>
    <t>[2019-03-28 02:34:20.294]  Start:     Y       16.3        3.C       3.     52.</t>
  </si>
  <si>
    <t>[2019-03-28 02:34:20.465]  Stop:      Y       15.8        3.C       3.     48.</t>
  </si>
  <si>
    <t xml:space="preserve">[2019-03-28 02:34:20.512] </t>
  </si>
  <si>
    <t>[2019-03-28 02:34:20.528]  Event 10</t>
  </si>
  <si>
    <t xml:space="preserve">[2019-03-28 02:34:20.543] </t>
  </si>
  <si>
    <t>[2019-03-28 02:34:20.824]  Scheduled start time:  08/14/2018 00:00:00</t>
  </si>
  <si>
    <t>[2019-03-28 02:34:21.183]  Event start time:      08/14/2018 00:00:00</t>
  </si>
  <si>
    <t>[2019-03-28 02:34:21.526]  Event stop time:       08/14/2018 00:00:28</t>
  </si>
  <si>
    <t xml:space="preserve">[2019-03-28 02:34:21.573] </t>
  </si>
  <si>
    <t>[2019-03-28 02:34:21.619]          Aligned  Battery  Temperature  Tilt  Heading</t>
  </si>
  <si>
    <t>[2019-03-28 02:34:21.791]  Start:     Y       16.7        3.C       3.     73.</t>
  </si>
  <si>
    <t>[2019-03-28 02:34:21.947]  Stop:      Y       16.5        3.C       3.     71.</t>
  </si>
  <si>
    <t xml:space="preserve">[2019-03-28 02:34:22.009] </t>
  </si>
  <si>
    <t>[2019-03-28 02:34:22.009]  Event 11</t>
  </si>
  <si>
    <t xml:space="preserve">[2019-03-28 02:34:22.025] </t>
  </si>
  <si>
    <t>[2019-03-28 02:34:22.321]  Scheduled start time:  08/31/2018 00:00:00</t>
  </si>
  <si>
    <t>[2019-03-28 02:34:22.664]  Event start time:      08/31/2018 00:00:00</t>
  </si>
  <si>
    <t>[2019-03-28 02:34:23.007]  Event stop time:       08/31/2018 00:00:28</t>
  </si>
  <si>
    <t xml:space="preserve">[2019-03-28 02:34:23.070] </t>
  </si>
  <si>
    <t>[2019-03-28 02:34:23.115]          Aligned  Battery  Temperature  Tilt  Heading</t>
  </si>
  <si>
    <t>[2019-03-28 02:34:23.265]  Start:     Y       16.9        3.C       3.     57.</t>
  </si>
  <si>
    <t>[2019-03-28 02:34:23.421]  Stop:      Y       16.7        3.C       3.     58.</t>
  </si>
  <si>
    <t xml:space="preserve">[2019-03-28 02:34:23.499] </t>
  </si>
  <si>
    <t>[2019-03-28 02:34:23.499]  Event 12</t>
  </si>
  <si>
    <t xml:space="preserve">[2019-03-28 02:34:23.515] </t>
  </si>
  <si>
    <t>[2019-03-28 02:34:23.811]  Scheduled start time:  09/17/2018 00:00:00</t>
  </si>
  <si>
    <t>[2019-03-28 02:34:24.139]  Event start time:      09/17/2018 00:00:00</t>
  </si>
  <si>
    <t>[2019-03-28 02:34:24.497]  Event stop time:       09/17/2018 00:00:28</t>
  </si>
  <si>
    <t xml:space="preserve">[2019-03-28 02:34:24.544] </t>
  </si>
  <si>
    <t>[2019-03-28 02:34:24.591]          Aligned  Battery  Temperature  Tilt  Heading</t>
  </si>
  <si>
    <t>[2019-03-28 02:34:24.747]  Start:     Y       17.0        3.C       3.     57.</t>
  </si>
  <si>
    <t>[2019-03-28 02:34:24.918]  Stop:      Y       16.8        3.C       3.     58.</t>
  </si>
  <si>
    <t xml:space="preserve">[2019-03-28 02:34:24.981] </t>
  </si>
  <si>
    <t>[2019-03-28 02:34:24.981]  Event 13</t>
  </si>
  <si>
    <t xml:space="preserve">[2019-03-28 02:34:24.996] </t>
  </si>
  <si>
    <t>[2019-03-28 02:34:25.293]  Scheduled start time:  10/04/2018 00:00:00</t>
  </si>
  <si>
    <t>[2019-03-28 02:34:25.636]  Event start time:      10/04/2018 00:00:00</t>
  </si>
  <si>
    <t>[2019-03-28 02:34:25.979]  Event stop time:       10/04/2018 00:00:28</t>
  </si>
  <si>
    <t xml:space="preserve">[2019-03-28 02:34:26.026] </t>
  </si>
  <si>
    <t>[2019-03-28 02:34:26.073]          Aligned  Battery  Temperature  Tilt  Heading</t>
  </si>
  <si>
    <t>[2019-03-28 02:34:26.244]  Start:     Y       16.9        3.C       3.     56.</t>
  </si>
  <si>
    <t>[2019-03-28 02:34:26.400]  Stop:      Y       16.7        3.C       3.     54.</t>
  </si>
  <si>
    <t xml:space="preserve">[2019-03-28 02:34:26.462] </t>
  </si>
  <si>
    <t>[2019-03-28 02:34:26.462]  Event 14</t>
  </si>
  <si>
    <t xml:space="preserve">[2019-03-28 02:34:26.478] </t>
  </si>
  <si>
    <t>[2019-03-28 02:34:26.774]  Scheduled start time:  10/21/2018 00:00:00</t>
  </si>
  <si>
    <t>[2019-03-28 02:34:27.133]  Event start time:      10/21/2018 00:00:00</t>
  </si>
  <si>
    <t>[2019-03-28 02:34:27.460]  Event stop time:       10/21/2018 00:00:28</t>
  </si>
  <si>
    <t xml:space="preserve">[2019-03-28 02:34:27.538] </t>
  </si>
  <si>
    <t>[2019-03-28 02:34:27.554]          Aligned  Battery  Temperature  Tilt  Heading</t>
  </si>
  <si>
    <t>[2019-03-28 02:34:27.741]  Start:     Y       16.9        3.C       2.     40.</t>
  </si>
  <si>
    <t>[2019-03-28 02:34:27.882]  Stop:      Y       16.6        3.C       2.     38.</t>
  </si>
  <si>
    <t xml:space="preserve">[2019-03-28 02:34:27.944] </t>
  </si>
  <si>
    <t>[2019-03-28 02:34:27.959]  Event 15</t>
  </si>
  <si>
    <t xml:space="preserve">[2019-03-28 02:34:27.975] </t>
  </si>
  <si>
    <t>[2019-03-28 02:34:28.262]  Scheduled start time:  11/07/2018 00:00:00</t>
  </si>
  <si>
    <t>[2019-03-28 02:34:28.620]  Event start time:      11/07/2018 00:00:00</t>
  </si>
  <si>
    <t>[2019-03-28 02:34:28.964]  Event stop time:       11/07/2018 00:00:28</t>
  </si>
  <si>
    <t xml:space="preserve">[2019-03-28 02:34:29.010] </t>
  </si>
  <si>
    <t>[2019-03-28 02:34:29.057]          Aligned  Battery  Temperature  Tilt  Heading</t>
  </si>
  <si>
    <t>[2019-03-28 02:34:29.213]  Start:     Y       16.8        3.C       2.    235.</t>
  </si>
  <si>
    <t>[2019-03-28 02:34:29.369]  Stop:      Y       16.5        3.C       2.    235.</t>
  </si>
  <si>
    <t xml:space="preserve">[2019-03-28 02:34:29.431] </t>
  </si>
  <si>
    <t>[2019-03-28 02:34:29.447]  Event 16</t>
  </si>
  <si>
    <t xml:space="preserve">[2019-03-28 02:34:29.463] </t>
  </si>
  <si>
    <t>[2019-03-28 02:34:29.743]  Scheduled start time:  11/24/2018 00:00:00</t>
  </si>
  <si>
    <t>[2019-03-28 02:34:30.102]  Event start time:      11/24/2018 00:00:00</t>
  </si>
  <si>
    <t>[2019-03-28 02:34:30.445]  Event stop time:       11/24/2018 00:00:28</t>
  </si>
  <si>
    <t xml:space="preserve">[2019-03-28 02:34:30.492] </t>
  </si>
  <si>
    <t>[2019-03-28 02:34:30.539]          Aligned  Battery  Temperature  Tilt  Heading</t>
  </si>
  <si>
    <t>[2019-03-28 02:34:30.710]  Start:     Y       16.7        3.C       4.    350.</t>
  </si>
  <si>
    <t>[2019-03-28 02:34:30.851]  Stop:      Y       16.4        3.C       4.    349.</t>
  </si>
  <si>
    <t xml:space="preserve">[2019-03-28 02:34:30.913] </t>
  </si>
  <si>
    <t>[2019-03-28 02:34:30.928]  Event 17</t>
  </si>
  <si>
    <t xml:space="preserve">[2019-03-28 02:34:30.944] </t>
  </si>
  <si>
    <t>[2019-03-28 02:34:31.225]  Scheduled start time:  12/11/2018 00:00:00</t>
  </si>
  <si>
    <t>[2019-03-28 02:34:31.583]  Event start time:      12/11/2018 00:00:00</t>
  </si>
  <si>
    <t>[2019-03-28 02:34:31.927]  Event stop time:       12/11/2018 00:00:28</t>
  </si>
  <si>
    <t xml:space="preserve">[2019-03-28 02:34:32.005] </t>
  </si>
  <si>
    <t>[2019-03-28 02:34:32.036]          Aligned  Battery  Temperature  Tilt  Heading</t>
  </si>
  <si>
    <t>[2019-03-28 02:34:32.192]  Start:     Y       16.5        3.C       4.    353.</t>
  </si>
  <si>
    <t>[2019-03-28 02:34:32.332]  Stop:      Y       16.2        3.C       4.    355.</t>
  </si>
  <si>
    <t xml:space="preserve">[2019-03-28 02:34:32.394] </t>
  </si>
  <si>
    <t>[2019-03-28 02:34:32.410]  Event 18</t>
  </si>
  <si>
    <t xml:space="preserve">[2019-03-28 02:34:32.426] </t>
  </si>
  <si>
    <t>[2019-03-28 02:34:32.722]  Scheduled start time:  12/28/2018 00:00:00</t>
  </si>
  <si>
    <t>[2019-03-28 02:34:33.065]  Event start time:      12/28/2018 00:00:00</t>
  </si>
  <si>
    <t>[2019-03-28 02:34:34.500]  Event stop time:       12/28/2018 00:00:28</t>
  </si>
  <si>
    <t xml:space="preserve">[2019-03-28 02:34:34.500] </t>
  </si>
  <si>
    <t>[2019-03-28 02:34:34.500]          Aligned  Battery  Temperature  Tilt  Heading</t>
  </si>
  <si>
    <t>[2019-03-28 02:34:34.500]  Start:     Y       16.4        3.C       3.    345.</t>
  </si>
  <si>
    <t>[2019-03-28 02:34:34.500]  Stop:      Y       16.1        3.C       2.    349.</t>
  </si>
  <si>
    <t>[2019-03-28 02:34:34.500]  Event 19</t>
  </si>
  <si>
    <t>[2019-03-28 02:34:34.500]  Scheduled start time:  01/14/2019 00:00:00</t>
  </si>
  <si>
    <t>[2019-03-28 02:34:34.547]  Event start time:      01/14/2019 00:00:00</t>
  </si>
  <si>
    <t>[2019-03-28 02:34:34.905]  Event stop time:       01/14/2019 00:00:28</t>
  </si>
  <si>
    <t xml:space="preserve">[2019-03-28 02:34:34.952] </t>
  </si>
  <si>
    <t>[2019-03-28 02:34:34.999]          Aligned  Battery  Temperature  Tilt  Heading</t>
  </si>
  <si>
    <t>[2019-03-28 02:34:35.155]  Start:     Y       16.2        3.C       3.     32.</t>
  </si>
  <si>
    <t>[2019-03-28 02:34:35.311]  Stop:      Y       15.9        3.C       3.     30.</t>
  </si>
  <si>
    <t xml:space="preserve">[2019-03-28 02:34:35.373] </t>
  </si>
  <si>
    <t>[2019-03-28 02:34:35.373]  Event 20</t>
  </si>
  <si>
    <t xml:space="preserve">[2019-03-28 02:34:35.404] </t>
  </si>
  <si>
    <t>[2019-03-28 02:34:35.701]  Scheduled start time:  01/31/2019 00:00:00</t>
  </si>
  <si>
    <t>[2019-03-28 02:34:36.029]  Event start time:      01/31/2019 00:00:00</t>
  </si>
  <si>
    <t>[2019-03-28 02:34:36.387]  Event stop time:       01/31/2019 00:00:28</t>
  </si>
  <si>
    <t xml:space="preserve">[2019-03-28 02:34:36.434] </t>
  </si>
  <si>
    <t>[2019-03-28 02:34:36.481]          Aligned  Battery  Temperature  Tilt  Heading</t>
  </si>
  <si>
    <t>[2019-03-28 02:34:36.637]  Start:     Y       16.0        3.C       3.     29.</t>
  </si>
  <si>
    <t>[2019-03-28 02:34:36.793]  Stop:      Y       15.8        3.C       4.     27.</t>
  </si>
  <si>
    <t xml:space="preserve">[2019-03-28 02:34:36.871] </t>
  </si>
  <si>
    <t>[2019-03-28 02:34:36.871]  Event 21</t>
  </si>
  <si>
    <t xml:space="preserve">[2019-03-28 02:34:36.886] </t>
  </si>
  <si>
    <t>[2019-03-28 02:34:39.445]  Scheduled start time:  02/17/2019 00:00:00</t>
  </si>
  <si>
    <t>[2019-03-28 02:34:39.445]  Event start time:      02/17/2019 00:00:00</t>
  </si>
  <si>
    <t>[2019-03-28 02:34:39.445]  Event stop time:       02/17/2019 00:00:28</t>
  </si>
  <si>
    <t xml:space="preserve">[2019-03-28 02:34:39.445] </t>
  </si>
  <si>
    <t>[2019-03-28 02:34:39.445]          Aligned  Battery  Temperature  Tilt  Heading</t>
  </si>
  <si>
    <t>[2019-03-28 02:34:39.445]  Start:     Y       15.9        3.C       2.     55.</t>
  </si>
  <si>
    <t>[2019-03-28 02:34:39.445]  Stop:      Y       15.6        3.C       2.     59.</t>
  </si>
  <si>
    <t>[2019-03-28 02:34:39.445]  Event 22</t>
  </si>
  <si>
    <t>[2019-03-28 02:34:39.445]  Scheduled start time:  03/06/2019 00:00:00</t>
  </si>
  <si>
    <t>[2019-03-28 02:34:39.445]  Event start time:      03/06/2019 00:00:00</t>
  </si>
  <si>
    <t>[2019-03-28 02:34:39.445]  Event stop time:       03/06/2019 00:00:28</t>
  </si>
  <si>
    <t>[2019-03-28 02:34:39.461]          Aligned  Battery  Temperature  Tilt  Heading</t>
  </si>
  <si>
    <t xml:space="preserve">[2019-03-28 02:34:39.617]  Start:     Y       15.7        3.C       3.  </t>
  </si>
  <si>
    <t>2000m</t>
  </si>
  <si>
    <t>Clock was slow by 31min 26seconds</t>
  </si>
  <si>
    <t>2000m trap:</t>
  </si>
  <si>
    <t>[2019-03-28 02:34:39.773]  Stop:      Y       15.4        3.C       3.     31.</t>
  </si>
  <si>
    <t xml:space="preserve">[2019-03-28 02:34:39.835] </t>
  </si>
  <si>
    <t>[2019-03-28 02:34:39.851]  TILT DATA</t>
  </si>
  <si>
    <t>[2019-03-28 02:34:39.866]  _________</t>
  </si>
  <si>
    <t xml:space="preserve">[2019-03-28 02:34:39.882]   </t>
  </si>
  <si>
    <t xml:space="preserve">[2019-03-28 02:34:39.897]  Tilt sample interval:  1440 minutes            </t>
  </si>
  <si>
    <t xml:space="preserve">[2019-03-28 02:34:39.960] </t>
  </si>
  <si>
    <t>[2019-03-28 02:34:39.960]  Event  Tilt  Heading</t>
  </si>
  <si>
    <t xml:space="preserve">[2019-03-28 02:34:39.991] </t>
  </si>
  <si>
    <t>[2019-03-28 02:34:40.022]    01    5.T    13.H</t>
  </si>
  <si>
    <t>[2019-03-28 02:34:40.085]    01    8.T    23.H</t>
  </si>
  <si>
    <t>[2019-03-28 02:34:40.147]    01    7.T    24.H</t>
  </si>
  <si>
    <t>[2019-03-28 02:34:40.194]    01    8.T    33.H</t>
  </si>
  <si>
    <t>[2019-03-28 02:34:40.256]    01    9.T    44.H</t>
  </si>
  <si>
    <t>[2019-03-28 02:34:40.318]    01    8.T    37.H</t>
  </si>
  <si>
    <t>[2019-03-28 02:34:40.396]    01    7.T    38.H</t>
  </si>
  <si>
    <t>[2019-03-28 02:34:40.459]    01    5.T    26.H</t>
  </si>
  <si>
    <t>[2019-03-28 02:34:40.506]    01    5.T    31.H</t>
  </si>
  <si>
    <t>[2019-03-28 02:34:40.568]    01    3.T    22.H</t>
  </si>
  <si>
    <t>[2019-03-28 02:34:40.630]    01    2.T   360.H</t>
  </si>
  <si>
    <t>[2019-03-28 02:34:40.693]    01    3.T    14.H</t>
  </si>
  <si>
    <t>[2019-03-28 02:34:40.739]    01    3.T    12.H</t>
  </si>
  <si>
    <t>[2019-03-28 02:34:40.802]    01    4.T    15.H</t>
  </si>
  <si>
    <t>[2019-03-28 02:34:40.864]    01    3.T     4.H</t>
  </si>
  <si>
    <t>[2019-03-28 02:34:40.927]    01    3.T   359.H</t>
  </si>
  <si>
    <t>[2019-03-28 02:34:40.973]    02    4.T   316.H</t>
  </si>
  <si>
    <t>[2019-03-28 02:34:41.051]    02    4.T   323.H</t>
  </si>
  <si>
    <t>[2019-03-28 02:34:41.114]    02    4.T   317.H</t>
  </si>
  <si>
    <t>[2019-03-28 02:34:41.161]    02    4.T   316.H</t>
  </si>
  <si>
    <t>[2019-03-28 02:34:41.223]    02    7.T   337.H</t>
  </si>
  <si>
    <t>[2019-03-28 02:34:41.285]    02    6.T   340.H</t>
  </si>
  <si>
    <t>[2019-03-28 02:34:41.332]    02    8.T   342.H</t>
  </si>
  <si>
    <t>[2019-03-28 02:34:41.395]    02    9.T   331.H</t>
  </si>
  <si>
    <t>[2019-03-28 02:34:41.457]    02   10.T   338.H</t>
  </si>
  <si>
    <t>[2019-03-28 02:34:41.504]    02    9.T   339.H</t>
  </si>
  <si>
    <t>[2019-03-28 02:34:41.566]    02    9.T   346.H</t>
  </si>
  <si>
    <t>[2019-03-28 02:34:41.628]    02   10.T   350.H</t>
  </si>
  <si>
    <t>[2019-03-28 02:34:41.675]    02   10.T   353.H</t>
  </si>
  <si>
    <t>[2019-03-28 02:34:41.753]    02    8.T   353.H</t>
  </si>
  <si>
    <t>[2019-03-28 02:34:41.800]    02    7.T   357.H</t>
  </si>
  <si>
    <t>[2019-03-28 02:34:41.862]    02    7.T     3.H</t>
  </si>
  <si>
    <t>[2019-03-28 02:34:41.925]    03    7.T     7.H</t>
  </si>
  <si>
    <t>[2019-03-28 02:34:41.987]    03    7.T     6.H</t>
  </si>
  <si>
    <t>[2019-03-28 02:34:42.049]    03    7.T    12.H</t>
  </si>
  <si>
    <t>[2019-03-28 02:34:42.112]    03    7.T     9.H</t>
  </si>
  <si>
    <t>[2019-03-28 02:34:42.174]    03    8.T    20.H</t>
  </si>
  <si>
    <t>[2019-03-28 02:34:42.221]    03    6.T    14.H</t>
  </si>
  <si>
    <t>[2019-03-28 02:34:42.283]    03    6.T    21.H</t>
  </si>
  <si>
    <t>[2019-03-28 02:34:42.346]    03    5.T    23.H</t>
  </si>
  <si>
    <t>[2019-03-28 02:34:42.424]    03    5.T    25.H</t>
  </si>
  <si>
    <t>[2019-03-28 02:34:42.470]    03    6.T    29.H</t>
  </si>
  <si>
    <t>[2019-03-28 02:34:42.533]    03    5.T    27.H</t>
  </si>
  <si>
    <t>[2019-03-28 02:34:42.595]    03    5.T    33.H</t>
  </si>
  <si>
    <t>[2019-03-28 02:34:42.658]    03    6.T    38.H</t>
  </si>
  <si>
    <t>[2019-03-28 02:34:42.720]    03    5.T    36.H</t>
  </si>
  <si>
    <t>[2019-03-28 02:34:42.767]    03    6.T    37.H</t>
  </si>
  <si>
    <t>[2019-03-28 02:34:42.829]    03    5.T    43.H</t>
  </si>
  <si>
    <t>[2019-03-28 02:34:42.892]    04    5.T    44.H</t>
  </si>
  <si>
    <t>[2019-03-28 02:34:42.954]    04    6.T    47.H</t>
  </si>
  <si>
    <t>[2019-03-28 02:34:43.001]    04    5.T    45.H</t>
  </si>
  <si>
    <t>[2019-03-28 02:34:43.063]    04    4.T    41.H</t>
  </si>
  <si>
    <t>[2019-03-28 02:34:43.141]    04    5.T    41.H</t>
  </si>
  <si>
    <t>[2019-03-28 02:34:43.203]    04    5.T    44.H</t>
  </si>
  <si>
    <t>[2019-03-28 02:34:43.266]    04    4.T    31.H</t>
  </si>
  <si>
    <t>[2019-03-28 02:34:43.313]    04    4.T    37.H</t>
  </si>
  <si>
    <t>[2019-03-28 02:34:43.375]    04    3.T    16.H</t>
  </si>
  <si>
    <t>[2019-03-28 02:34:43.437]    04    4.T    22.H</t>
  </si>
  <si>
    <t>[2019-03-28 02:34:43.500]    04    4.T     5.H</t>
  </si>
  <si>
    <t>[2019-03-28 02:34:43.547]    04    4.T   354.H</t>
  </si>
  <si>
    <t>[2019-03-28 02:34:43.609]    04    6.T     5.H</t>
  </si>
  <si>
    <t>[2019-03-28 02:34:43.671]    04    7.T     2.H</t>
  </si>
  <si>
    <t>[2019-03-28 02:34:43.734]    04    8.T     6.H</t>
  </si>
  <si>
    <t>[2019-03-28 02:34:43.812]    04    8.T    13.H</t>
  </si>
  <si>
    <t>[2019-03-28 02:34:43.874]    05    7.T    23.H</t>
  </si>
  <si>
    <t>[2019-03-28 02:34:43.921]    05    8.T    25.H</t>
  </si>
  <si>
    <t>[2019-03-28 02:34:43.983]    05    8.T    22.H</t>
  </si>
  <si>
    <t>[2019-03-28 02:34:44.046]    05    6.T    15.H</t>
  </si>
  <si>
    <t>[2019-03-28 02:34:44.108]    05    6.T    19.H</t>
  </si>
  <si>
    <t>[2019-03-28 02:34:44.170]    05    5.T     6.H</t>
  </si>
  <si>
    <t>[2019-03-28 02:34:44.217]    05    6.T    17.H</t>
  </si>
  <si>
    <t>[2019-03-28 02:34:44.280]    05    5.T    13.H</t>
  </si>
  <si>
    <t>[2019-03-28 02:34:44.342]    05    5.T    11.H</t>
  </si>
  <si>
    <t>[2019-03-28 02:34:44.404]    05    6.T    24.H</t>
  </si>
  <si>
    <t>[2019-03-28 02:34:44.467]    05    6.T    23.H</t>
  </si>
  <si>
    <t>[2019-03-28 02:34:44.513]    05    6.T    32.H</t>
  </si>
  <si>
    <t>[2019-03-28 02:34:44.592]    05    6.T    30.H</t>
  </si>
  <si>
    <t>[2019-03-28 02:34:44.654]    05    6.T    36.H</t>
  </si>
  <si>
    <t>[2019-03-28 02:34:44.716]    05    6.T    39.H</t>
  </si>
  <si>
    <t>[2019-03-28 02:34:44.763]    05    7.T    42.H</t>
  </si>
  <si>
    <t>[2019-03-28 02:34:44.825]    06    7.T    42.H</t>
  </si>
  <si>
    <t>[2019-03-28 02:34:44.888]    06    7.T    46.H</t>
  </si>
  <si>
    <t>[2019-03-28 02:34:44.950]    06    7.T    42.H</t>
  </si>
  <si>
    <t>[2019-03-28 02:34:45.012]    06    6.T    51.H</t>
  </si>
  <si>
    <t>[2019-03-28 02:34:45.059]    06    5.T    45.H</t>
  </si>
  <si>
    <t>[2019-03-28 02:34:45.122]    06    6.T    55.H</t>
  </si>
  <si>
    <t>[2019-03-28 02:34:45.200]    06    6.T    57.H</t>
  </si>
  <si>
    <t>[2019-03-28 02:34:45.262]    06    8.T    63.H</t>
  </si>
  <si>
    <t>[2019-03-28 02:34:45.309]    06    7.T    61.H</t>
  </si>
  <si>
    <t>[2019-03-28 02:34:45.371]    06    9.T    63.H</t>
  </si>
  <si>
    <t>[2019-03-28 02:34:45.434]    06    9.T    69.H</t>
  </si>
  <si>
    <t>[2019-03-28 02:34:45.496]    06   10.T    67.H</t>
  </si>
  <si>
    <t>[2019-03-28 02:34:45.543]    06   11.T    75.H</t>
  </si>
  <si>
    <t>[2019-03-28 02:34:45.605]    06   10.T    75.H</t>
  </si>
  <si>
    <t>[2019-03-28 02:34:45.668]    06   12.T    79.H</t>
  </si>
  <si>
    <t>[2019-03-28 02:34:45.714]    06   11.T    84.H</t>
  </si>
  <si>
    <t>[2019-03-28 02:34:45.777]    07   10.T    84.H</t>
  </si>
  <si>
    <t>[2019-03-28 02:34:45.839]    07   10.T    85.H</t>
  </si>
  <si>
    <t>[2019-03-28 02:34:45.901]    07   10.T    86.H</t>
  </si>
  <si>
    <t>[2019-03-28 02:34:45.964]    07    9.T    85.H</t>
  </si>
  <si>
    <t>[2019-03-28 02:34:46.026]    07    9.T    83.H</t>
  </si>
  <si>
    <t>[2019-03-28 02:34:46.089]    07    9.T    84.H</t>
  </si>
  <si>
    <t>[2019-03-28 02:34:46.151]    07    9.T    91.H</t>
  </si>
  <si>
    <t>[2019-03-28 02:34:46.198]    07    8.T    83.H</t>
  </si>
  <si>
    <t>[2019-03-28 02:34:46.260]    07   10.T    87.H</t>
  </si>
  <si>
    <t>[2019-03-28 02:34:46.323]    07    7.T    83.H</t>
  </si>
  <si>
    <t>[2019-03-28 02:34:46.385]    07    8.T    81.H</t>
  </si>
  <si>
    <t>[2019-03-28 02:34:46.432]    07    8.T    79.H</t>
  </si>
  <si>
    <t>[2019-03-28 02:34:46.494]    07    8.T    82.H</t>
  </si>
  <si>
    <t>[2019-03-28 02:34:46.572]    07    9.T    82.H</t>
  </si>
  <si>
    <t>[2019-03-28 02:34:46.634]    07    8.T    84.H</t>
  </si>
  <si>
    <t>[2019-03-28 02:34:46.681]    07    7.T    89.H</t>
  </si>
  <si>
    <t>[2019-03-28 02:34:46.744]    08    7.T    85.H</t>
  </si>
  <si>
    <t>[2019-03-28 02:34:46.806]    08    6.T    79.H</t>
  </si>
  <si>
    <t>[2019-03-28 02:34:46.868]    08    5.T    80.H</t>
  </si>
  <si>
    <t>[2019-03-28 02:34:46.931]    08    5.T    71.H</t>
  </si>
  <si>
    <t>[2019-03-28 02:34:46.978]    08    7.T    78.H</t>
  </si>
  <si>
    <t>[2019-03-28 02:34:47.040]    08    6.T    77.H</t>
  </si>
  <si>
    <t>[2019-03-28 02:34:47.102]    08    6.T    75.H</t>
  </si>
  <si>
    <t>[2019-03-28 02:34:47.165]    08    6.T    72.H</t>
  </si>
  <si>
    <t>[2019-03-28 02:34:47.211]    08    6.T    69.H</t>
  </si>
  <si>
    <t>[2019-03-28 02:34:47.289]    08    5.T    67.H</t>
  </si>
  <si>
    <t>[2019-03-28 02:34:47.352]    08    4.T    61.H</t>
  </si>
  <si>
    <t>[2019-03-28 02:34:47.414]    08    5.T    55.H</t>
  </si>
  <si>
    <t>[2019-03-28 02:34:47.476]    08    3.T    43.H</t>
  </si>
  <si>
    <t>[2019-03-28 02:34:47.523]    08    2.T    37.H</t>
  </si>
  <si>
    <t>[2019-03-28 02:34:47.586]    08    3.T    56.H</t>
  </si>
  <si>
    <t>[2019-03-28 02:34:47.648]    08    2.T    53.H</t>
  </si>
  <si>
    <t>[2019-03-28 02:34:47.710]    09    4.T    51.H</t>
  </si>
  <si>
    <t>[2019-03-28 02:34:47.757]    09    1.T    24.H</t>
  </si>
  <si>
    <t>[2019-03-28 02:34:47.820]    09    3.T    57.H</t>
  </si>
  <si>
    <t>[2019-03-28 02:34:47.882]    09    2.T    56.H</t>
  </si>
  <si>
    <t>[2019-03-28 02:34:47.960]    09    3.T    54.H</t>
  </si>
  <si>
    <t>[2019-03-28 02:34:48.022]    09    3.T    78.H</t>
  </si>
  <si>
    <t>[2019-03-28 02:34:48.069]    09    3.T    79.H</t>
  </si>
  <si>
    <t>[2019-03-28 02:34:48.131]    09    2.T    75.H</t>
  </si>
  <si>
    <t>[2019-03-28 02:34:48.194]    09    3.T    80.H</t>
  </si>
  <si>
    <t>[2019-03-28 02:34:48.256]    09    2.T    80.H</t>
  </si>
  <si>
    <t>[2019-03-28 02:34:48.303]    09    2.T    72.H</t>
  </si>
  <si>
    <t>[2019-03-28 02:34:48.365]    09    2.T    71.H</t>
  </si>
  <si>
    <t>[2019-03-28 02:34:48.428]    09    2.T    59.H</t>
  </si>
  <si>
    <t>[2019-03-28 02:34:48.490]    09    2.T    62.H</t>
  </si>
  <si>
    <t>[2019-03-28 02:34:48.553]    09    3.T    69.H</t>
  </si>
  <si>
    <t>[2019-03-28 02:34:48.615]    09    2.T    51.H</t>
  </si>
  <si>
    <t>[2019-03-28 02:34:48.677]    10    3.T    64.H</t>
  </si>
  <si>
    <t>[2019-03-28 02:34:48.740]    10    5.T    79.H</t>
  </si>
  <si>
    <t>[2019-03-28 02:34:48.802]    10    3.T    72.H</t>
  </si>
  <si>
    <t>[2019-03-28 02:34:48.864]    10    5.T    85.H</t>
  </si>
  <si>
    <t>[2019-03-28 02:34:48.911]    10    4.T    72.H</t>
  </si>
  <si>
    <t>[2019-03-28 02:34:48.974]    10    4.T    86.H</t>
  </si>
  <si>
    <t>[2019-03-28 02:34:49.036]    10    4.T    79.H</t>
  </si>
  <si>
    <t>[2019-03-28 02:34:49.098]    10    3.T    74.H</t>
  </si>
  <si>
    <t>[2019-03-28 02:34:49.161]    10    4.T    71.H</t>
  </si>
  <si>
    <t>[2019-03-28 02:34:49.208]    10    2.T    54.H</t>
  </si>
  <si>
    <t>[2019-03-28 02:34:49.270]    10    3.T    54.H</t>
  </si>
  <si>
    <t>[2019-03-28 02:34:49.348]    10    2.T    41.H</t>
  </si>
  <si>
    <t>[2019-03-28 02:34:49.410]    10    3.T    75.H</t>
  </si>
  <si>
    <t>[2019-03-28 02:34:49.473]    10    3.T    59.H</t>
  </si>
  <si>
    <t>[2019-03-28 02:34:49.519]    10    3.T    70.H</t>
  </si>
  <si>
    <t>[2019-03-28 02:34:49.582]    10    2.T    25.H</t>
  </si>
  <si>
    <t>[2019-03-28 02:34:49.644]    11    3.T    35.H</t>
  </si>
  <si>
    <t>[2019-03-28 02:34:49.707]    11    3.T    54.H</t>
  </si>
  <si>
    <t>[2019-03-28 02:34:49.769]    11    2.T    46.H</t>
  </si>
  <si>
    <t>[2019-03-28 02:34:49.816]    11    2.T    34.H</t>
  </si>
  <si>
    <t>[2019-03-28 02:34:49.878]    11    3.T    58.H</t>
  </si>
  <si>
    <t>[2019-03-28 02:34:49.941]    11    2.T    57.H</t>
  </si>
  <si>
    <t>[2019-03-28 02:34:50.018]    11    2.T    57.H</t>
  </si>
  <si>
    <t>[2019-03-28 02:34:50.081]    11    3.T   107.H</t>
  </si>
  <si>
    <t>[2019-03-28 02:34:50.128]    11    3.T    54.H</t>
  </si>
  <si>
    <t>[2019-03-28 02:34:50.190]    11    2.T    84.H</t>
  </si>
  <si>
    <t>[2019-03-28 02:34:50.252]    11    3.T    47.H</t>
  </si>
  <si>
    <t>[2019-03-28 02:34:50.315]    11    2.T    57.H</t>
  </si>
  <si>
    <t>[2019-03-28 02:34:50.377]    11    3.T    53.H</t>
  </si>
  <si>
    <t>[2019-03-28 02:34:50.424]    11    3.T    42.H</t>
  </si>
  <si>
    <t>[2019-03-28 02:34:50.486]    11    3.T    61.H</t>
  </si>
  <si>
    <t>[2019-03-28 02:34:50.549]    11    3.T    42.H</t>
  </si>
  <si>
    <t>[2019-03-28 02:34:50.611]    12    2.T    47.H</t>
  </si>
  <si>
    <t>[2019-03-28 02:34:50.689]    12    3.T    54.H</t>
  </si>
  <si>
    <t>[2019-03-28 02:34:50.736]    12    3.T    79.H</t>
  </si>
  <si>
    <t>[2019-03-28 02:34:50.798]    12    2.T    67.H</t>
  </si>
  <si>
    <t>[2019-03-28 02:34:50.861]    12    2.T    48.H</t>
  </si>
  <si>
    <t>[2019-03-28 02:34:50.923]    12    2.T    58.H</t>
  </si>
  <si>
    <t>[2019-03-28 02:34:50.985]    12    2.T    79.H</t>
  </si>
  <si>
    <t>[2019-03-28 02:34:51.032]    12    2.T    44.H</t>
  </si>
  <si>
    <t>[2019-03-28 02:34:51.095]    12    2.T    50.H</t>
  </si>
  <si>
    <t>[2019-03-28 02:34:51.157]    12    3.T    76.H</t>
  </si>
  <si>
    <t>[2019-03-28 02:34:51.219]    12    3.T    53.H</t>
  </si>
  <si>
    <t>[2019-03-28 02:34:51.282]    12    3.T    67.H</t>
  </si>
  <si>
    <t>[2019-03-28 02:34:51.329]    12    2.T    62.H</t>
  </si>
  <si>
    <t>[2019-03-28 02:34:51.406]    12    3.T    63.H</t>
  </si>
  <si>
    <t>[2019-03-28 02:34:51.469]    12    3.T    54.H</t>
  </si>
  <si>
    <t>[2019-03-28 02:34:51.531]    12    3.T    46.H</t>
  </si>
  <si>
    <t>[2019-03-28 02:34:51.594]    13    2.T    39.H</t>
  </si>
  <si>
    <t>[2019-03-28 02:34:51.640]    13    2.T    16.H</t>
  </si>
  <si>
    <t>[2019-03-28 02:34:51.703]    13    2.T   308.H</t>
  </si>
  <si>
    <t>[2019-03-28 02:34:51.765]    13    2.T   354.H</t>
  </si>
  <si>
    <t>[2019-03-28 02:34:51.828]    13    2.T   315.H</t>
  </si>
  <si>
    <t>[2019-03-28 02:34:51.874]    13    2.T   342.H</t>
  </si>
  <si>
    <t>[2019-03-28 02:34:51.937]    13    2.T   272.H</t>
  </si>
  <si>
    <t>[2019-03-28 02:34:51.999]    13    2.T   147.H</t>
  </si>
  <si>
    <t>[2019-03-28 02:34:52.046]    13    3.T   100.H</t>
  </si>
  <si>
    <t>[2019-03-28 02:34:52.124]    13    3.T    56.H</t>
  </si>
  <si>
    <t>[2019-03-28 02:34:52.186]    13    2.T    26.H</t>
  </si>
  <si>
    <t>[2019-03-28 02:34:52.249]    13    2.T    16.H</t>
  </si>
  <si>
    <t>[2019-03-28 02:34:52.311]    13    2.T    14.H</t>
  </si>
  <si>
    <t>[2019-03-28 02:34:52.358]    13    2.T     3.H</t>
  </si>
  <si>
    <t>[2019-03-28 02:34:52.420]    13    2.T    19.H</t>
  </si>
  <si>
    <t>[2019-03-28 02:34:52.482]    13    2.T   359.H</t>
  </si>
  <si>
    <t>[2019-03-28 02:34:52.545]    14    2.T     3.H</t>
  </si>
  <si>
    <t>[2019-03-28 02:34:52.607]    14    2.T   358.H</t>
  </si>
  <si>
    <t>[2019-03-28 02:34:52.654]    14    2.T   354.H</t>
  </si>
  <si>
    <t>[2019-03-28 02:34:52.717]    14    2.T   344.H</t>
  </si>
  <si>
    <t>[2019-03-28 02:34:52.794]    14    2.T   358.H</t>
  </si>
  <si>
    <t>[2019-03-28 02:34:52.857]    14    2.T     9.H</t>
  </si>
  <si>
    <t>[2019-03-28 02:34:52.904]    14    2.T   343.H</t>
  </si>
  <si>
    <t>[2019-03-28 02:34:52.966]    14    2.T    20.H</t>
  </si>
  <si>
    <t>[2019-03-28 02:34:53.028]    14    2.T   348.H</t>
  </si>
  <si>
    <t>[2019-03-28 02:34:53.075]    14    2.T   352.H</t>
  </si>
  <si>
    <t>[2019-03-28 02:34:53.137]    14    2.T   304.H</t>
  </si>
  <si>
    <t>[2019-03-28 02:34:53.200]    14    2.T   352.H</t>
  </si>
  <si>
    <t>[2019-03-28 02:34:53.262]    14    2.T   179.H</t>
  </si>
  <si>
    <t>[2019-03-28 02:34:53.309]    14    2.T   291.H</t>
  </si>
  <si>
    <t>[2019-03-28 02:34:53.371]    14    2.T   210.H</t>
  </si>
  <si>
    <t>[2019-03-28 02:34:53.449]    14    2.T   314.H</t>
  </si>
  <si>
    <t>[2019-03-28 02:34:53.496]    15    2.T   319.H</t>
  </si>
  <si>
    <t>[2019-03-28 02:34:53.559]    15    2.T   255.H</t>
  </si>
  <si>
    <t>[2019-03-28 02:34:53.621]    15    2.T   332.H</t>
  </si>
  <si>
    <t>[2019-03-28 02:34:53.668]    15    3.T   322.H</t>
  </si>
  <si>
    <t>[2019-03-28 02:34:53.730]    15    2.T    92.H</t>
  </si>
  <si>
    <t>[2019-03-28 02:34:53.793]    15    4.T    11.H</t>
  </si>
  <si>
    <t>[2019-03-28 02:34:53.855]    15    2.T     1.H</t>
  </si>
  <si>
    <t>[2019-03-28 02:34:53.917]    15    3.T     0.H</t>
  </si>
  <si>
    <t>[2019-03-28 02:34:53.980]    15    2.T   337.H</t>
  </si>
  <si>
    <t>[2019-03-28 02:34:54.026]    15    2.T     6.H</t>
  </si>
  <si>
    <t>[2019-03-28 02:34:54.089]    15    2.T    68.H</t>
  </si>
  <si>
    <t>[2019-03-28 02:34:54.167]    15    3.T    24.H</t>
  </si>
  <si>
    <t>[2019-03-28 02:34:54.229]    15    2.T    21.H</t>
  </si>
  <si>
    <t>[2019-03-28 02:34:54.292]    15    3.T    12.H</t>
  </si>
  <si>
    <t>[2019-03-28 02:34:54.338]    15    3.T   356.H</t>
  </si>
  <si>
    <t>[2019-03-28 02:34:54.401]    15    3.T     3.H</t>
  </si>
  <si>
    <t>[2019-03-28 02:34:54.464]    16    4.T    15.H</t>
  </si>
  <si>
    <t>[2019-03-28 02:34:54.526]    16    4.T    18.H</t>
  </si>
  <si>
    <t>[2019-03-28 02:34:54.588]    16    4.T    15.H</t>
  </si>
  <si>
    <t>[2019-03-28 02:34:54.635]    16    3.T    12.H</t>
  </si>
  <si>
    <t>[2019-03-28 02:34:54.698]    16    3.T    12.H</t>
  </si>
  <si>
    <t>[2019-03-28 02:34:54.760]    16    3.T     7.H</t>
  </si>
  <si>
    <t>[2019-03-28 02:34:54.822]    16    3.T     5.H</t>
  </si>
  <si>
    <t>[2019-03-28 02:34:54.900]    16    3.T    15.H</t>
  </si>
  <si>
    <t>[2019-03-28 02:34:54.963]    16    3.T    10.H</t>
  </si>
  <si>
    <t>[2019-03-28 02:34:55.025]    16    3.T     8.H</t>
  </si>
  <si>
    <t>[2019-03-28 02:34:55.088]    16    3.T     7.H</t>
  </si>
  <si>
    <t>[2019-03-28 02:34:55.134]    16    3.T     1.H</t>
  </si>
  <si>
    <t>[2019-03-28 02:34:55.197]    16    3.T     1.H</t>
  </si>
  <si>
    <t>[2019-03-28 02:34:55.259]    16    3.T   357.H</t>
  </si>
  <si>
    <t>[2019-03-28 02:34:55.321]    16    4.T   355.H</t>
  </si>
  <si>
    <t>[2019-03-28 02:34:55.368]    16    4.T   357.H</t>
  </si>
  <si>
    <t>[2019-03-28 02:34:55.431]    17    4.T     1.H</t>
  </si>
  <si>
    <t>[2019-03-28 02:34:55.493]    17    4.T   358.H</t>
  </si>
  <si>
    <t>[2019-03-28 02:34:55.571]    17    4.T    13.H</t>
  </si>
  <si>
    <t>[2019-03-28 02:34:55.633]    17    4.T   358.H</t>
  </si>
  <si>
    <t>[2019-03-28 02:34:55.680]    17    4.T    15.H</t>
  </si>
  <si>
    <t>[2019-03-28 02:34:55.742]    17    3.T   349.H</t>
  </si>
  <si>
    <t>[2019-03-28 02:34:55.805]    17    3.T   344.H</t>
  </si>
  <si>
    <t>[2019-03-28 02:34:55.852]    17    3.T   347.H</t>
  </si>
  <si>
    <t>[2019-03-28 02:34:55.914]    17    2.T   343.H</t>
  </si>
  <si>
    <t>[2019-03-28 02:34:55.976]    17    2.T   342.H</t>
  </si>
  <si>
    <t>[2019-03-28 02:34:56.039]    17    2.T   342.H</t>
  </si>
  <si>
    <t>[2019-03-28 02:34:56.086]    17    3.T   352.H</t>
  </si>
  <si>
    <t>[2019-03-28 02:34:56.149]    17    3.T     4.H</t>
  </si>
  <si>
    <t>[2019-03-28 02:34:56.211]    17    3.T     8.H</t>
  </si>
  <si>
    <t>[2019-03-28 02:34:56.289]    17    3.T    14.H</t>
  </si>
  <si>
    <t>[2019-03-28 02:34:56.351]    17    4.T     9.H</t>
  </si>
  <si>
    <t>[2019-03-28 02:34:56.398]    18    3.T   345.H</t>
  </si>
  <si>
    <t>[2019-03-28 02:34:56.461]    18    3.T   327.H</t>
  </si>
  <si>
    <t>[2019-03-28 02:34:56.523]    18    3.T   348.H</t>
  </si>
  <si>
    <t>[2019-03-28 02:34:56.586]    18    2.T   341.H</t>
  </si>
  <si>
    <t>[2019-03-28 02:34:56.633]    18    2.T     6.H</t>
  </si>
  <si>
    <t>[2019-03-28 02:34:56.695]    18    2.T   117.H</t>
  </si>
  <si>
    <t>[2019-03-28 02:34:56.757]    18    3.T   359.H</t>
  </si>
  <si>
    <t>[2019-03-28 02:34:56.820]    18    2.T   339.H</t>
  </si>
  <si>
    <t>[2019-03-28 02:34:56.866]    18    3.T    36.H</t>
  </si>
  <si>
    <t>[2019-03-28 02:34:56.947]    18    2.T   352.H</t>
  </si>
  <si>
    <t>[2019-03-28 02:34:56.991]    18    2.T   357.H</t>
  </si>
  <si>
    <t>[2019-03-28 02:34:57.069]    18    3.T     6.H</t>
  </si>
  <si>
    <t>[2019-03-28 02:34:57.116]    18    3.T    33.H</t>
  </si>
  <si>
    <t>[2019-03-28 02:34:57.178]    18    3.T    33.H</t>
  </si>
  <si>
    <t>[2019-03-28 02:34:57.241]    18    3.T    31.H</t>
  </si>
  <si>
    <t>[2019-03-28 02:34:57.304]    18    3.T    40.H</t>
  </si>
  <si>
    <t>[2019-03-28 02:34:57.366]    19    3.T    32.H</t>
  </si>
  <si>
    <t>[2019-03-28 02:34:57.413]    19    3.T    32.H</t>
  </si>
  <si>
    <t>[2019-03-28 02:34:57.475]    19    3.T    33.H</t>
  </si>
  <si>
    <t>[2019-03-28 02:34:57.538]    19    3.T    37.H</t>
  </si>
  <si>
    <t>[2019-03-28 02:34:57.600]    19    3.T    34.H</t>
  </si>
  <si>
    <t>[2019-03-28 02:34:57.662]    19    3.T    33.H</t>
  </si>
  <si>
    <t>[2019-03-28 02:34:57.725]    19    3.T    23.H</t>
  </si>
  <si>
    <t>[2019-03-28 02:34:57.787]    19    3.T    33.H</t>
  </si>
  <si>
    <t>[2019-03-28 02:34:57.850]    19    4.T    26.H</t>
  </si>
  <si>
    <t>[2019-03-28 02:34:57.912]    19    4.T    32.H</t>
  </si>
  <si>
    <t>[2019-03-28 02:34:57.974]    19    5.T    31.H</t>
  </si>
  <si>
    <t>[2019-03-28 02:34:58.021]    19    4.T    36.H</t>
  </si>
  <si>
    <t>[2019-03-28 02:34:58.083]    19    4.T    27.H</t>
  </si>
  <si>
    <t>[2019-03-28 02:34:58.146]    19    3.T    28.H</t>
  </si>
  <si>
    <t>[2019-03-28 02:34:58.208]    19    3.T    37.H</t>
  </si>
  <si>
    <t>[2019-03-28 02:34:58.271]    19    3.T    33.H</t>
  </si>
  <si>
    <t>[2019-03-28 02:34:58.333]    20    3.T    24.H</t>
  </si>
  <si>
    <t>[2019-03-28 02:34:58.395]    20    3.T    20.H</t>
  </si>
  <si>
    <t>[2019-03-28 02:34:58.458]    20    3.T    15.H</t>
  </si>
  <si>
    <t>[2019-03-28 02:34:58.520]    20    3.T     1.H</t>
  </si>
  <si>
    <t>[2019-03-28 02:34:58.585]    20    3.T     6.H</t>
  </si>
  <si>
    <t>[2019-03-28 02:34:58.647]    20    3.T   347.H</t>
  </si>
  <si>
    <t>[2019-03-28 02:34:58.709]    20    2.T     3.H</t>
  </si>
  <si>
    <t>[2019-03-28 02:34:58.756]    20    3.T   356.H</t>
  </si>
  <si>
    <t>[2019-03-28 02:34:58.819]    20    3.T     6.H</t>
  </si>
  <si>
    <t>[2019-03-28 02:34:58.881]    20    3.T     6.H</t>
  </si>
  <si>
    <t>[2019-03-28 02:34:58.943]    20    2.T     3.H</t>
  </si>
  <si>
    <t>[2019-03-28 02:34:59.006]    20    2.T   331.H</t>
  </si>
  <si>
    <t>[2019-03-28 02:34:59.053]    20    3.T    38.H</t>
  </si>
  <si>
    <t>[2019-03-28 02:34:59.115]    20    3.T   321.H</t>
  </si>
  <si>
    <t>[2019-03-28 02:34:59.193]    20    2.T   357.H</t>
  </si>
  <si>
    <t>[2019-03-28 02:34:59.255]    20    2.T   301.H</t>
  </si>
  <si>
    <t>[2019-03-28 02:34:59.302]    21    2.T   233.H</t>
  </si>
  <si>
    <t>[2019-03-28 02:34:59.364]    21    2.T    75.H</t>
  </si>
  <si>
    <t>[2019-03-28 02:34:59.427]    21    2.T    49.H</t>
  </si>
  <si>
    <t>[2019-03-28 02:34:59.489]    21    2.T   331.H</t>
  </si>
  <si>
    <t>[2019-03-28 02:34:59.536]    21    3.T     3.H</t>
  </si>
  <si>
    <t>[2019-03-28 02:34:59.598]    21    2.T   339.H</t>
  </si>
  <si>
    <t>[2019-03-28 02:34:59.661]    21    3.T    10.H</t>
  </si>
  <si>
    <t>[2019-03-28 02:34:59.723]    21    2.T   310.H</t>
  </si>
  <si>
    <t>[2019-03-28 02:34:59.770]    21    2.T   348.H</t>
  </si>
  <si>
    <t>[2019-03-28 02:34:59.848]    21    2.T    18.H</t>
  </si>
  <si>
    <t>[2019-03-28 02:34:59.910]    21    2.T    88.H</t>
  </si>
  <si>
    <t>[2019-03-28 02:34:59.973]    21    2.T   311.H</t>
  </si>
  <si>
    <t>[2019-03-28 02:35:00.019]    21    2.T    14.H</t>
  </si>
  <si>
    <t>[2019-03-28 02:35:00.082]    21    2.T   186.H</t>
  </si>
  <si>
    <t>[2019-03-28 02:35:00.144]    21    2.T    82.H</t>
  </si>
  <si>
    <t>[2019-03-28 02:35:00.207]    21    2.T    68.H</t>
  </si>
  <si>
    <t xml:space="preserve">[2019-03-28 02:35:00.238] </t>
  </si>
  <si>
    <t>[2019-03-28 02:35:00.238]  Normal shutdown.</t>
  </si>
  <si>
    <t xml:space="preserve">[2019-03-28 02:35:00.284] </t>
  </si>
  <si>
    <t xml:space="preserve">[2019-03-28 02:35:00.300]  End of instrument data file.        </t>
  </si>
  <si>
    <t xml:space="preserve">[2019-03-28 02:35:00.347] </t>
  </si>
  <si>
    <t xml:space="preserve">[2019-03-28 02:35:00.378]  Terminate file logging operation now          </t>
  </si>
  <si>
    <t>[2019-03-28 02:35:00.472]  and press any key to continue.</t>
  </si>
  <si>
    <t xml:space="preserve">[2019-03-28 02:35:22.295] </t>
  </si>
  <si>
    <t>[2019-03-28 02:35:22.295] _______________________________________________________</t>
  </si>
  <si>
    <t xml:space="preserve">[2019-03-28 02:35:22.357] </t>
  </si>
  <si>
    <t xml:space="preserve">[2019-03-28 02:35:22.357]               </t>
  </si>
  <si>
    <t xml:space="preserve">[2019-03-28 02:35:22.373] </t>
  </si>
  <si>
    <t xml:space="preserve">[2019-03-28 02:35:22.435] </t>
  </si>
  <si>
    <t xml:space="preserve">[2019-03-28 02:35:22.482] </t>
  </si>
  <si>
    <t xml:space="preserve">[2019-03-28 02:35:22.544] </t>
  </si>
  <si>
    <t xml:space="preserve">[2019-03-28 02:35:22.607] </t>
  </si>
  <si>
    <t xml:space="preserve">[2019-03-28 02:35:22.622] </t>
  </si>
  <si>
    <t xml:space="preserve">[2019-03-28 02:35:22.700] </t>
  </si>
  <si>
    <t xml:space="preserve">[2019-03-28 02:35:22.763] </t>
  </si>
  <si>
    <t xml:space="preserve">[2019-03-28 02:35:23.028] </t>
  </si>
  <si>
    <t xml:space="preserve">      Thu Mar 28 02:03:57 2019</t>
  </si>
  <si>
    <t xml:space="preserve">[2019-03-28 02:35:23.059] </t>
  </si>
  <si>
    <t xml:space="preserve">[2019-03-28 02:35:23.106] </t>
  </si>
  <si>
    <t xml:space="preserve">[2019-03-28 02:35:23.215] </t>
  </si>
  <si>
    <t xml:space="preserve">[2019-03-28 02:35:23.308] </t>
  </si>
  <si>
    <t xml:space="preserve">[2019-03-28 02:35:23.402] </t>
  </si>
  <si>
    <t xml:space="preserve">[2019-03-28 02:35:23.464] </t>
  </si>
  <si>
    <t>[2019-03-28 03:01:22.683] 03/28/19 02:59:38 Suspended ... .</t>
  </si>
  <si>
    <t>[2019-03-28 03:01:25.440] Enter ^C now to wake up ...  [^C]</t>
  </si>
  <si>
    <t xml:space="preserve">[2019-03-28 03:01:27.612] </t>
  </si>
  <si>
    <t>[2019-03-28 03:01:27.612] ________________________________________________________________</t>
  </si>
  <si>
    <t>[2019-03-28 03:01:27.690] Configuration: PST-21                   CF2 V3_09 of May 16 2014</t>
  </si>
  <si>
    <t xml:space="preserve">[2019-03-28 03:01:27.768] </t>
  </si>
  <si>
    <t>[2019-03-28 03:01:27.768]                McLane Research Laboratories, Inc.</t>
  </si>
  <si>
    <t>[2019-03-28 03:01:27.831]                      ParFlux Sediment Trap</t>
  </si>
  <si>
    <t>[2019-03-28 03:01:27.862]                            ML12993-01</t>
  </si>
  <si>
    <t>[2019-03-28 03:01:27.909]                _________________________________</t>
  </si>
  <si>
    <t>[2019-03-28 03:01:27.956]                            Main Menu</t>
  </si>
  <si>
    <t>[2019-03-28 03:01:28.003]                _________________________________</t>
  </si>
  <si>
    <t>[2019-03-28 03:01:28.065]                    Thu Mar 28 02:59:43 2019</t>
  </si>
  <si>
    <t xml:space="preserve">[2019-03-28 03:01:28.112] </t>
  </si>
  <si>
    <t>[2019-03-28 03:01:28.112]            &lt;1&gt; Set Time          &lt;5&gt; Create Schedule</t>
  </si>
  <si>
    <t xml:space="preserve">[2019-03-28 03:01:28.159]            &lt;2&gt; Diagnostics       &lt;6&gt; Deploy System  </t>
  </si>
  <si>
    <t xml:space="preserve">[2019-03-28 03:01:28.221]            &lt;3&gt; Fill Containers   &lt;7&gt; Offload Data   </t>
  </si>
  <si>
    <t xml:space="preserve">[2019-03-28 03:01:28.268]            &lt;4&gt; Sleep             &lt;8&gt; Contact McLane </t>
  </si>
  <si>
    <t xml:space="preserve">[2019-03-28 03:01:28.424] </t>
  </si>
  <si>
    <t>[2019-03-28 03:01:28.424]                 Selection [] ? 2</t>
  </si>
  <si>
    <t xml:space="preserve">[2019-03-28 03:01:33.659] </t>
  </si>
  <si>
    <t>[2019-03-28 03:01:33.659] ^C to exit. Any other key to pause/continue.</t>
  </si>
  <si>
    <t xml:space="preserve">[2019-03-28 03:01:33.706] </t>
  </si>
  <si>
    <t>[2019-03-28 03:01:33.706]   Date     Time    Battery TempTur  Rotator</t>
  </si>
  <si>
    <t>[2019-03-28 03:01:35.410] 03/28/19 02:59:51  17.7 Vb  12.9.C  aligned</t>
  </si>
  <si>
    <t>[2019-03-28 03:01:37.425] 03/28/19 02:59:53  17.7 Vb  13.0.C  aligned</t>
  </si>
  <si>
    <t>[2019-03-28 03:01:39.426] 03/28/19 02:59:55  17.6 Vb  13.0.C  aligned</t>
  </si>
  <si>
    <t>[2019-03-28 03:01:41.426] 03/28/19 02:59:57  17.6 Vb  13.0.C  aligned</t>
  </si>
  <si>
    <t>[2019-03-28 03:01:43.442] 03/28/19 02:59:59  17.6 Vb  13.0.C  aligned</t>
  </si>
  <si>
    <t>[2019-03-28 03:01:45.442] 03/28/19 03:00:01  17.6 Vb  13.0.C  aligned</t>
  </si>
  <si>
    <t xml:space="preserve">[2019-03-28 03:01:45.551] </t>
  </si>
  <si>
    <t>[2019-03-28 03:01:45.551] Battery voltage is abnormally low.  Check/replace</t>
  </si>
  <si>
    <t>[2019-03-28 03:01:45.614] main battery pack before deploying system.</t>
  </si>
  <si>
    <t xml:space="preserve">[2019-03-28 03:01:45.645] </t>
  </si>
  <si>
    <t xml:space="preserve">[2019-03-28 03:01:45.661] </t>
  </si>
  <si>
    <t>[2019-03-28 03:01:45.661]  Press any key to continue.</t>
  </si>
  <si>
    <t xml:space="preserve">[2019-03-28 03:01:47.254] </t>
  </si>
  <si>
    <t xml:space="preserve">[2019-03-28 03:01:47.270] </t>
  </si>
  <si>
    <t>[2019-03-28 03:01:47.270] ________________________________________________________________</t>
  </si>
  <si>
    <t>[2019-03-28 03:01:47.333] Configuration: PST-21                   CF2 V3_09 of May 16 2014</t>
  </si>
  <si>
    <t xml:space="preserve">[2019-03-28 03:01:47.395] </t>
  </si>
  <si>
    <t>[2019-03-28 03:01:47.395]                McLane Research Laboratories, Inc.</t>
  </si>
  <si>
    <t>[2019-03-28 03:01:47.458]                      ParFlux Sediment Trap</t>
  </si>
  <si>
    <t>[2019-03-28 03:01:47.505]                            ML12993-01</t>
  </si>
  <si>
    <t>[2019-03-28 03:01:47.536]                _________________________________</t>
  </si>
  <si>
    <t>[2019-03-28 03:01:47.583]                            Main Menu</t>
  </si>
  <si>
    <t>[2019-03-28 03:01:47.630]                _________________________________</t>
  </si>
  <si>
    <t>[2019-03-28 03:01:47.692]                    Thu Mar 28 03:00:03 2019</t>
  </si>
  <si>
    <t xml:space="preserve">[2019-03-28 03:01:47.739] </t>
  </si>
  <si>
    <t>[2019-03-28 03:01:47.739]            &lt;1&gt; Set Time          &lt;5&gt; Create Schedule</t>
  </si>
  <si>
    <t xml:space="preserve">[2019-03-28 03:01:47.801]            &lt;2&gt; Diagnostics       &lt;6&gt; Deploy System  </t>
  </si>
  <si>
    <t xml:space="preserve">[2019-03-28 03:01:47.864]            &lt;3&gt; Fill Containers   &lt;7&gt; Offload Data   </t>
  </si>
  <si>
    <t xml:space="preserve">[2019-03-28 03:01:47.911]            &lt;4&gt; Sleep             &lt;8&gt; Contact McLane </t>
  </si>
  <si>
    <t xml:space="preserve">[2019-03-28 03:01:48.052] </t>
  </si>
  <si>
    <t>[2019-03-28 03:01:48.052]                 Selection [] ? 7</t>
  </si>
  <si>
    <t xml:space="preserve">[2019-03-28 03:01:51.099] </t>
  </si>
  <si>
    <t>[2019-03-28 03:01:51.099] ________________________________________________________________</t>
  </si>
  <si>
    <t>[2019-03-28 03:01:51.194] Configuration: PST-21                   CF2 V3_09 of May 16 2014</t>
  </si>
  <si>
    <t xml:space="preserve">[2019-03-28 03:01:51.256] </t>
  </si>
  <si>
    <t>[2019-03-28 03:01:51.256]                _________________________________</t>
  </si>
  <si>
    <t>[2019-03-28 03:01:51.318]                    Offload/Display Data File</t>
  </si>
  <si>
    <t>[2019-03-28 03:01:51.365]                _________________________________</t>
  </si>
  <si>
    <t>[2019-03-28 03:01:51.537]                    Thu Mar 28 03:00:06 2019</t>
  </si>
  <si>
    <t xml:space="preserve">[2019-03-28 03:01:51.584] </t>
  </si>
  <si>
    <t xml:space="preserve">[2019-03-28 03:01:51.584]                 &lt;1&gt; Display all data     </t>
  </si>
  <si>
    <t>[2019-03-28 03:01:51.615]                 &lt;2&gt; Display backup EEPROM</t>
  </si>
  <si>
    <t xml:space="preserve">[2019-03-28 03:01:51.662]                 &lt;M&gt; Main Menu            </t>
  </si>
  <si>
    <t xml:space="preserve">[2019-03-28 03:01:51.709] </t>
  </si>
  <si>
    <t>[2019-03-28 03:01:51.709]                 Selection [1] ? 1</t>
  </si>
  <si>
    <t xml:space="preserve">[2019-03-28 03:01:53.835] </t>
  </si>
  <si>
    <t>[2019-03-28 03:01:53.835]  To copy the instrument data file to a disk file, initiate</t>
  </si>
  <si>
    <t>[2019-03-28 03:01:53.897]  your communication program's file logging command now and</t>
  </si>
  <si>
    <t>[2019-03-28 03:01:53.944]  then press any key to start the transfer.  The instrument</t>
  </si>
  <si>
    <t>[2019-03-28 03:01:54.007]  data file will remain resident and is not erased by this</t>
  </si>
  <si>
    <t>[2019-03-28 03:01:54.085]  offload procedure.</t>
  </si>
  <si>
    <t xml:space="preserve">[2019-03-28 03:01:54.116] </t>
  </si>
  <si>
    <t xml:space="preserve">[2019-03-28 03:01:54.913] </t>
  </si>
  <si>
    <t>[2019-03-28 03:01:54.913] Configuration:     PST-21</t>
  </si>
  <si>
    <t>[2019-03-28 03:01:54.944] Software version:  PST-3_09.c</t>
  </si>
  <si>
    <t>[2019-03-28 03:01:54.976] Compiled:          May 16 2014 11:42:19</t>
  </si>
  <si>
    <t>[2019-03-28 03:01:55.007] Electronics S/N:   ML12993-01</t>
  </si>
  <si>
    <t xml:space="preserve">[2019-03-28 03:01:55.038] </t>
  </si>
  <si>
    <t>[2019-03-28 03:01:55.054] Data recording start time: 02/26/18 20:59:24</t>
  </si>
  <si>
    <t>[2019-03-28 03:01:55.116] Data recording  stop time: 03/06/19 00:00:32</t>
  </si>
  <si>
    <t xml:space="preserve">[2019-03-28 03:01:55.179] </t>
  </si>
  <si>
    <t>[2019-03-28 03:01:55.179]  HEADER</t>
  </si>
  <si>
    <t>[2019-03-28 03:01:55.179]  ______</t>
  </si>
  <si>
    <t xml:space="preserve">[2019-03-28 03:01:55.194] </t>
  </si>
  <si>
    <t>[2019-03-28 03:01:55.194]  SAZ20_2018_3800m_ML-12993-01_21cupsR series_no tilt</t>
  </si>
  <si>
    <t xml:space="preserve">[2019-03-28 03:01:55.241] </t>
  </si>
  <si>
    <t>[2019-03-28 03:01:55.257]  SCHEDULE</t>
  </si>
  <si>
    <t>[2019-03-28 03:01:55.257]  ________</t>
  </si>
  <si>
    <t xml:space="preserve">[2019-03-28 03:01:55.273] </t>
  </si>
  <si>
    <t>[2019-03-28 03:01:55.288]  Event 01 of 22 @ 03/14/18 00:00:00</t>
  </si>
  <si>
    <t>[2019-03-28 03:01:55.351]  Event 02 of 22 @ 03/31/18 00:00:00</t>
  </si>
  <si>
    <t>[2019-03-28 03:01:55.398]  Event 03 of 22 @ 04/17/18 00:00:00</t>
  </si>
  <si>
    <t>[2019-03-28 03:01:55.461]  Event 04 of 22 @ 05/04/18 00:00:00</t>
  </si>
  <si>
    <t>[2019-03-28 03:01:55.508]  Event 05 of 22 @ 05/21/18 00:00:00</t>
  </si>
  <si>
    <t>[2019-03-28 03:01:55.570]  Event 06 of 22 @ 06/07/18 00:00:00</t>
  </si>
  <si>
    <t>[2019-03-28 03:01:55.633]  Event 07 of 22 @ 06/24/18 00:00:00</t>
  </si>
  <si>
    <t>[2019-03-28 03:01:55.695]  Event 08 of 22 @ 07/11/18 00:00:00</t>
  </si>
  <si>
    <t>[2019-03-28 03:01:55.742]  Event 09 of 22 @ 07/28/18 00:00:00</t>
  </si>
  <si>
    <t>[2019-03-28 03:01:55.805]  Event 10 of 22 @ 08/14/18 00:00:00</t>
  </si>
  <si>
    <t>[2019-03-28 03:01:55.851]  Event 11 of 22 @ 08/31/18 00:00:00</t>
  </si>
  <si>
    <t>[2019-03-28 03:01:55.914]  Event 12 of 22 @ 09/17/18 00:00:00</t>
  </si>
  <si>
    <t>[2019-03-28 03:01:55.961]  Event 13 of 22 @ 10/04/18 00:00:00</t>
  </si>
  <si>
    <t>[2019-03-28 03:01:56.023]  Event 14 of 22 @ 10/21/18 00:00:00</t>
  </si>
  <si>
    <t>[2019-03-28 03:01:56.070]  Event 15 of 22 @ 11/07/18 00:00:00</t>
  </si>
  <si>
    <t>[2019-03-28 03:01:56.131]  Event 16 of 22 @ 11/24/18 00:00:00</t>
  </si>
  <si>
    <t>[2019-03-28 03:01:56.178]  Event 17 of 22 @ 12/11/18 00:00:00</t>
  </si>
  <si>
    <t>[2019-03-28 03:01:56.256]  Event 18 of 22 @ 12/28/18 00:00:00</t>
  </si>
  <si>
    <t>[2019-03-28 03:01:56.303]  Event 19 of 22 @ 01/14/19 00:00:00</t>
  </si>
  <si>
    <t>[2019-03-28 03:01:56.366]  Event 20 of 22 @ 01/31/19 00:00:00</t>
  </si>
  <si>
    <t>[2019-03-28 03:01:56.413]  Event 21 of 22 @ 02/17/19 00:00:00</t>
  </si>
  <si>
    <t>[2019-03-28 03:01:56.475]  Event 22 of 22 @ 03/06/19 00:00:00</t>
  </si>
  <si>
    <t xml:space="preserve">[2019-03-28 03:01:56.506] </t>
  </si>
  <si>
    <t>[2019-03-28 03:01:56.506]  DEPLOYMENT DATA</t>
  </si>
  <si>
    <t>[2019-03-28 03:01:56.522]  _______________</t>
  </si>
  <si>
    <t xml:space="preserve">[2019-03-28 03:01:56.553] </t>
  </si>
  <si>
    <t>[2019-03-28 03:01:56.553]  Event 01</t>
  </si>
  <si>
    <t>[2019-03-28 03:01:56.553]  Scheduled start time:  03/14/18 00:00:00</t>
  </si>
  <si>
    <t>[2019-03-28 03:01:56.631]  Event start time:      03/14/18 00:00:02</t>
  </si>
  <si>
    <t>[2019-03-28 03:01:56.678]  Event stop time:       03/14/18 00:00:29</t>
  </si>
  <si>
    <t>[2019-03-28 03:01:56.756]  Event duration:        27 seconds</t>
  </si>
  <si>
    <t xml:space="preserve">[2019-03-28 03:01:56.788] </t>
  </si>
  <si>
    <t>[2019-03-28 03:01:56.788]       Aligned    Battery Temperature</t>
  </si>
  <si>
    <t>[2019-03-28 03:01:56.834]  Start:     Y       20.3      1.4.C</t>
  </si>
  <si>
    <t>[2019-03-28 03:01:56.866]  Stop:      Y       19.9      1.6.C</t>
  </si>
  <si>
    <t xml:space="preserve">[2019-03-28 03:01:56.913] </t>
  </si>
  <si>
    <t>[2019-03-28 03:01:56.913]  Event 02</t>
  </si>
  <si>
    <t xml:space="preserve">[2019-03-28 03:01:56.929] </t>
  </si>
  <si>
    <t>[2019-03-28 03:01:56.929]  Scheduled start time:  03/31/18 00:00:00</t>
  </si>
  <si>
    <t>[2019-03-28 03:01:56.991]  Event start time:      03/31/18 00:00:02</t>
  </si>
  <si>
    <t>[2019-03-28 03:01:57.054]  Event stop time:       03/31/18 00:00:29</t>
  </si>
  <si>
    <t>[2019-03-28 03:01:57.101]  Event duration:        27 seconds</t>
  </si>
  <si>
    <t xml:space="preserve">[2019-03-28 03:01:57.147] </t>
  </si>
  <si>
    <t>[2019-03-28 03:01:57.147]       Aligned    Battery Temperature</t>
  </si>
  <si>
    <t>[2019-03-28 03:01:57.194]  Start:     Y       20.0      1.4.C</t>
  </si>
  <si>
    <t>[2019-03-28 03:01:57.226]  Stop:      Y       19.8      1.5.C</t>
  </si>
  <si>
    <t xml:space="preserve">[2019-03-28 03:01:57.273] </t>
  </si>
  <si>
    <t>[2019-03-28 03:01:57.273]  Event 03</t>
  </si>
  <si>
    <t>[2019-03-28 03:01:57.288]  Scheduled start time:  04/17/18 00:00:00</t>
  </si>
  <si>
    <t>[2019-03-28 03:01:57.335]  Event start time:      04/17/18 00:00:02</t>
  </si>
  <si>
    <t>[2019-03-28 03:01:57.413]  Event stop time:       04/17/18 00:00:29</t>
  </si>
  <si>
    <t>[2019-03-28 03:01:57.460]  Event duration:        27 seconds</t>
  </si>
  <si>
    <t xml:space="preserve">[2019-03-28 03:01:57.507] </t>
  </si>
  <si>
    <t>[2019-03-28 03:01:57.507]       Aligned    Battery Temperature</t>
  </si>
  <si>
    <t>[2019-03-28 03:01:57.554]  Start:     Y       19.7      1.4.C</t>
  </si>
  <si>
    <t>[2019-03-28 03:01:57.585]  Stop:      Y       19.5      1.5.C</t>
  </si>
  <si>
    <t xml:space="preserve">[2019-03-28 03:01:57.632] </t>
  </si>
  <si>
    <t>[2019-03-28 03:01:57.632]  Event 04</t>
  </si>
  <si>
    <t xml:space="preserve">[2019-03-28 03:01:57.647] </t>
  </si>
  <si>
    <t>[2019-03-28 03:01:57.647]  Scheduled start time:  05/04/18 00:00:00</t>
  </si>
  <si>
    <t>[2019-03-28 03:01:57.710]  Event start time:      05/04/18 00:00:02</t>
  </si>
  <si>
    <t>[2019-03-28 03:01:57.773]  Event stop time:       05/04/18 00:00:29</t>
  </si>
  <si>
    <t>[2019-03-28 03:01:57.819]  Event duration:        27 seconds</t>
  </si>
  <si>
    <t xml:space="preserve">[2019-03-28 03:01:57.866] </t>
  </si>
  <si>
    <t>[2019-03-28 03:01:57.866]       Aligned    Battery Temperature</t>
  </si>
  <si>
    <t>[2019-03-28 03:01:57.913]  Start:     Y       19.5      1.4.C</t>
  </si>
  <si>
    <t>[2019-03-28 03:01:57.944]  Stop:      Y       19.2      1.5.C</t>
  </si>
  <si>
    <t xml:space="preserve">[2019-03-28 03:01:57.991] </t>
  </si>
  <si>
    <t>[2019-03-28 03:01:57.991]  Event 05</t>
  </si>
  <si>
    <t>[2019-03-28 03:01:58.007]  Scheduled start time:  05/21/18 00:00:00</t>
  </si>
  <si>
    <t>[2019-03-28 03:01:58.054]  Event start time:      05/21/18 00:00:02</t>
  </si>
  <si>
    <t>[2019-03-28 03:01:58.132]  Event stop time:       05/21/18 00:00:29</t>
  </si>
  <si>
    <t>[2019-03-28 03:01:58.194]  Event duration:        27 seconds</t>
  </si>
  <si>
    <t xml:space="preserve">[2019-03-28 03:01:58.226] </t>
  </si>
  <si>
    <t>[2019-03-28 03:01:58.226]       Aligned    Battery Temperature</t>
  </si>
  <si>
    <t>[2019-03-28 03:01:58.273]  Start:     Y       19.3      1.3.C</t>
  </si>
  <si>
    <t>[2019-03-28 03:01:58.319]  Stop:      Y       19.0      1.4.C</t>
  </si>
  <si>
    <t xml:space="preserve">[2019-03-28 03:01:58.351] </t>
  </si>
  <si>
    <t>[2019-03-28 03:01:58.351]  Event 06</t>
  </si>
  <si>
    <t xml:space="preserve">[2019-03-28 03:01:58.366] </t>
  </si>
  <si>
    <t>[2019-03-28 03:01:58.366]  Scheduled start time:  06/07/18 00:00:00</t>
  </si>
  <si>
    <t>[2019-03-28 03:01:58.429]  Event start time:      06/07/18 00:00:02</t>
  </si>
  <si>
    <t>[2019-03-28 03:01:58.491]  Event stop time:       06/07/18 00:00:29</t>
  </si>
  <si>
    <t>[2019-03-28 03:01:58.554]  Event duration:        27 seconds</t>
  </si>
  <si>
    <t xml:space="preserve">[2019-03-28 03:01:58.585] </t>
  </si>
  <si>
    <t>[2019-03-28 03:01:58.585]       Aligned    Battery Temperature</t>
  </si>
  <si>
    <t>[2019-03-28 03:01:58.632]  Start:     Y       19.1      1.3.C</t>
  </si>
  <si>
    <t>[2019-03-28 03:01:58.663]  Stop:      Y       18.8      1.4.C</t>
  </si>
  <si>
    <t xml:space="preserve">[2019-03-28 03:01:58.710] </t>
  </si>
  <si>
    <t>[2019-03-28 03:01:58.710]  Event 07</t>
  </si>
  <si>
    <t>[2019-03-28 03:01:58.726]  Scheduled start time:  06/24/18 00:00:00</t>
  </si>
  <si>
    <t>[2019-03-28 03:01:58.788]  Event start time:      06/24/18 00:00:02</t>
  </si>
  <si>
    <t>[2019-03-28 03:01:58.851]  Event stop time:       06/24/18 00:00:29</t>
  </si>
  <si>
    <t>[2019-03-28 03:01:58.913]  Event duration:        27 seconds</t>
  </si>
  <si>
    <t xml:space="preserve">[2019-03-28 03:01:58.944] </t>
  </si>
  <si>
    <t>[2019-03-28 03:01:58.944]       Aligned    Battery Temperature</t>
  </si>
  <si>
    <t>[2019-03-28 03:01:58.991]  Start:     Y       18.9      1.3.C</t>
  </si>
  <si>
    <t>[2019-03-28 03:01:59.038]  Stop:      Y       18.6      1.4.C</t>
  </si>
  <si>
    <t xml:space="preserve">[2019-03-28 03:01:59.069] </t>
  </si>
  <si>
    <t>[2019-03-28 03:01:59.069]  Event 08</t>
  </si>
  <si>
    <t xml:space="preserve">[2019-03-28 03:01:59.085] </t>
  </si>
  <si>
    <t>[2019-03-28 03:01:59.085]  Scheduled start time:  07/11/18 00:00:00</t>
  </si>
  <si>
    <t>[2019-03-28 03:01:59.148]  Event start time:      07/11/18 00:00:02</t>
  </si>
  <si>
    <t>[2019-03-28 03:01:59.210]  Event stop time:       07/11/18 00:00:29</t>
  </si>
  <si>
    <t>[2019-03-28 03:01:59.273]  Event duration:        27 seconds</t>
  </si>
  <si>
    <t xml:space="preserve">[2019-03-28 03:01:59.304] </t>
  </si>
  <si>
    <t>[2019-03-28 03:01:59.304]       Aligned    Battery Temperature</t>
  </si>
  <si>
    <t>[2019-03-28 03:01:59.351]  Start:     Y       18.7      1.4.C</t>
  </si>
  <si>
    <t>[2019-03-28 03:01:59.382]  Stop:      Y       18.4      1.5.C</t>
  </si>
  <si>
    <t xml:space="preserve">[2019-03-28 03:01:59.429] </t>
  </si>
  <si>
    <t>[2019-03-28 03:01:59.429]  Event 09</t>
  </si>
  <si>
    <t xml:space="preserve">[2019-03-28 03:01:59.445] </t>
  </si>
  <si>
    <t>[2019-03-28 03:01:59.445]  Scheduled start time:  07/28/18 00:00:00</t>
  </si>
  <si>
    <t>[2019-03-28 03:01:59.507]  Event start time:      07/28/18 00:00:02</t>
  </si>
  <si>
    <t>[2019-03-28 03:01:59.570]  Event stop time:       07/28/18 00:00:29</t>
  </si>
  <si>
    <t>[2019-03-28 03:01:59.632]  Event duration:        27 seconds</t>
  </si>
  <si>
    <t xml:space="preserve">[2019-03-28 03:01:59.663] </t>
  </si>
  <si>
    <t>[2019-03-28 03:01:59.663]       Aligned    Battery Temperature</t>
  </si>
  <si>
    <t>[2019-03-28 03:01:59.710]  Start:     Y       18.5      1.4.C</t>
  </si>
  <si>
    <t>[2019-03-28 03:01:59.757]  Stop:      Y       18.3      1.5.C</t>
  </si>
  <si>
    <t xml:space="preserve">[2019-03-28 03:01:59.788] </t>
  </si>
  <si>
    <t>[2019-03-28 03:01:59.788]  Event 10</t>
  </si>
  <si>
    <t xml:space="preserve">[2019-03-28 03:01:59.804] </t>
  </si>
  <si>
    <t>[2019-03-28 03:01:59.804]  Scheduled start time:  08/14/18 00:00:00</t>
  </si>
  <si>
    <t>[2019-03-28 03:01:59.867]  Event start time:      08/14/18 00:00:02</t>
  </si>
  <si>
    <t>[2019-03-28 03:01:59.929]  Event stop time:       08/14/18 00:00:29</t>
  </si>
  <si>
    <t>[2019-03-28 03:01:59.992]  Event duration:        27 seconds</t>
  </si>
  <si>
    <t xml:space="preserve">[2019-03-28 03:02:00.023] </t>
  </si>
  <si>
    <t>[2019-03-28 03:02:00.023]       Aligned    Battery Temperature</t>
  </si>
  <si>
    <t>[2019-03-28 03:02:00.070]  Start:     Y       18.3      1.5.C</t>
  </si>
  <si>
    <t>[2019-03-28 03:02:00.101]  Stop:      Y       18.2      1.6.C</t>
  </si>
  <si>
    <t xml:space="preserve">[2019-03-28 03:02:00.148] </t>
  </si>
  <si>
    <t>[2019-03-28 03:02:00.148]  Event 11</t>
  </si>
  <si>
    <t xml:space="preserve">[2019-03-28 03:02:00.163] </t>
  </si>
  <si>
    <t>[2019-03-28 03:02:00.163]  Scheduled start time:  08/31/18 00:00:00</t>
  </si>
  <si>
    <t>[2019-03-28 03:02:00.226]  Event start time:      08/31/18 00:00:02</t>
  </si>
  <si>
    <t>[2019-03-28 03:02:00.288]  Event stop time:       08/31/18 00:00:29</t>
  </si>
  <si>
    <t>[2019-03-28 03:02:00.351]  Event duration:        27 seconds</t>
  </si>
  <si>
    <t xml:space="preserve">[2019-03-28 03:02:00.398] </t>
  </si>
  <si>
    <t>[2019-03-28 03:02:00.398]       Aligned    Battery Temperature</t>
  </si>
  <si>
    <t>[2019-03-28 03:02:00.429]  Start:     Y       18.2      1.5.C</t>
  </si>
  <si>
    <t>[2019-03-28 03:02:00.476]  Stop:      Y       18.1      1.6.C</t>
  </si>
  <si>
    <t xml:space="preserve">[2019-03-28 03:02:00.507] </t>
  </si>
  <si>
    <t>[2019-03-28 03:02:00.507]  Event 12</t>
  </si>
  <si>
    <t xml:space="preserve">[2019-03-28 03:02:00.538] </t>
  </si>
  <si>
    <t>[2019-03-28 03:02:00.538]  Scheduled start time:  09/17/18 00:00:00</t>
  </si>
  <si>
    <t>[2019-03-28 03:02:00.585]  Event start time:      09/17/18 00:00:02</t>
  </si>
  <si>
    <t>[2019-03-28 03:02:00.663]  Event stop time:       09/17/18 00:00:29</t>
  </si>
  <si>
    <t>[2019-03-28 03:02:00.710]  Event duration:        27 seconds</t>
  </si>
  <si>
    <t xml:space="preserve">[2019-03-28 03:02:00.742] </t>
  </si>
  <si>
    <t>[2019-03-28 03:02:00.742]       Aligned    Battery Temperature</t>
  </si>
  <si>
    <t>[2019-03-28 03:02:00.788]  Start:     Y       18.0      1.5.C</t>
  </si>
  <si>
    <t>[2019-03-28 03:02:00.820]  Stop:      Y       17.9      1.6.C</t>
  </si>
  <si>
    <t xml:space="preserve">[2019-03-28 03:02:00.882] </t>
  </si>
  <si>
    <t>[2019-03-28 03:02:00.882]  Event 13</t>
  </si>
  <si>
    <t xml:space="preserve">[2019-03-28 03:02:00.913] </t>
  </si>
  <si>
    <t>[2019-03-28 03:02:00.913]  Scheduled start time:  10/04/18 00:00:00</t>
  </si>
  <si>
    <t>[2019-03-28 03:02:00.945]  Event start time:      10/04/18 00:00:02</t>
  </si>
  <si>
    <t>[2019-03-28 03:02:01.007]  Event stop time:       10/04/18 00:00:29</t>
  </si>
  <si>
    <t>[2019-03-28 03:02:01.070]  Event duration:        27 seconds</t>
  </si>
  <si>
    <t xml:space="preserve">[2019-03-28 03:02:01.117] </t>
  </si>
  <si>
    <t>[2019-03-28 03:02:01.117]       Aligned    Battery Temperature</t>
  </si>
  <si>
    <t>[2019-03-28 03:02:01.148]  Start:     Y       17.1      1.5.C</t>
  </si>
  <si>
    <t>[2019-03-28 03:02:01.195]  Stop:      Y       16.8      1.6.C</t>
  </si>
  <si>
    <t xml:space="preserve">[2019-03-28 03:02:01.226] </t>
  </si>
  <si>
    <t>[2019-03-28 03:02:01.226]  Event 14</t>
  </si>
  <si>
    <t xml:space="preserve">[2019-03-28 03:02:01.257] </t>
  </si>
  <si>
    <t>[2019-03-28 03:02:01.257]  Scheduled start time:  10/21/18 00:00:00</t>
  </si>
  <si>
    <t>[2019-03-28 03:02:01.320]  Event start time:      10/21/18 00:00:02</t>
  </si>
  <si>
    <t>[2019-03-28 03:02:01.367]  Event stop time:       10/21/18 00:00:29</t>
  </si>
  <si>
    <t>[2019-03-28 03:02:01.445]  Event duration:        27 seconds</t>
  </si>
  <si>
    <t xml:space="preserve">[2019-03-28 03:02:01.476] </t>
  </si>
  <si>
    <t>[2019-03-28 03:02:01.476]       Aligned    Battery Temperature</t>
  </si>
  <si>
    <t>[2019-03-28 03:02:01.523]  Start:     Y       16.6      1.5.C</t>
  </si>
  <si>
    <t>[2019-03-28 03:02:01.554]  Stop:      Y       16.2      1.6.C</t>
  </si>
  <si>
    <t xml:space="preserve">[2019-03-28 03:02:01.601] </t>
  </si>
  <si>
    <t>[2019-03-28 03:02:01.601]  Event 15</t>
  </si>
  <si>
    <t xml:space="preserve">[2019-03-28 03:02:01.617] </t>
  </si>
  <si>
    <t>[2019-03-28 03:02:01.617]  Scheduled start time:  11/07/18 00:00:00</t>
  </si>
  <si>
    <t>[2019-03-28 03:02:01.664]  Event start time:      11/07/18 00:00:02</t>
  </si>
  <si>
    <t>[2019-03-28 03:02:01.726]  Event stop time:       11/07/18 00:00:29</t>
  </si>
  <si>
    <t>[2019-03-28 03:02:01.789]  Event duration:        27 seconds</t>
  </si>
  <si>
    <t xml:space="preserve">[2019-03-28 03:02:01.835] </t>
  </si>
  <si>
    <t>[2019-03-28 03:02:01.835]       Aligned    Battery Temperature</t>
  </si>
  <si>
    <t>[2019-03-28 03:02:01.867]  Start:     Y       16.8      1.5.C</t>
  </si>
  <si>
    <t>[2019-03-28 03:02:01.914]  Stop:      Y       16.6      1.6.C</t>
  </si>
  <si>
    <t xml:space="preserve">[2019-03-28 03:02:01.945] </t>
  </si>
  <si>
    <t>[2019-03-28 03:02:01.945]  Event 16</t>
  </si>
  <si>
    <t xml:space="preserve">[2019-03-28 03:02:01.961] </t>
  </si>
  <si>
    <t>[2019-03-28 03:02:01.961]  Scheduled start time:  11/24/18 00:00:00</t>
  </si>
  <si>
    <t>[2019-03-28 03:02:02.023]  Event start time:      11/24/18 00:00:02</t>
  </si>
  <si>
    <t>[2019-03-28 03:02:02.085]  Event stop time:       11/24/18 00:00:29</t>
  </si>
  <si>
    <t>[2019-03-28 03:02:02.164]  Event duration:        27 seconds</t>
  </si>
  <si>
    <t xml:space="preserve">[2019-03-28 03:02:02.179] </t>
  </si>
  <si>
    <t>[2019-03-28 03:02:02.179]       Aligned    Battery Temperature</t>
  </si>
  <si>
    <t>[2019-03-28 03:02:02.242]  Start:     Y       17.0      1.5.C</t>
  </si>
  <si>
    <t>[2019-03-28 03:02:02.273]  Stop:      Y       16.8      1.6.C</t>
  </si>
  <si>
    <t>3800m</t>
  </si>
  <si>
    <t>3800m trap:</t>
  </si>
  <si>
    <t xml:space="preserve">[2019-03-28 03:02:02.320] </t>
  </si>
  <si>
    <t>[2019-03-28 03:02:02.320]  Event 17</t>
  </si>
  <si>
    <t>[2019-03-28 03:02:02.320]  Scheduled start time:  12/11/18 00:00:00</t>
  </si>
  <si>
    <t>[2019-03-28 03:02:02.398]  Event start time:      12/11/18 00:00:02</t>
  </si>
  <si>
    <t>[2019-03-28 03:02:02.445]  Event stop time:       12/11/18 00:00:29</t>
  </si>
  <si>
    <t>[2019-03-28 03:02:02.507]  Event duration:        27 seconds</t>
  </si>
  <si>
    <t xml:space="preserve">[2019-03-28 03:02:02.554] </t>
  </si>
  <si>
    <t>[2019-03-28 03:02:02.554]       Aligned    Battery Temperature</t>
  </si>
  <si>
    <t>[2019-03-28 03:02:02.586]  Start:     Y       17.2      1.4.C</t>
  </si>
  <si>
    <t>[2019-03-28 03:02:02.632]  Stop:      Y       17.0      1.5.C</t>
  </si>
  <si>
    <t xml:space="preserve">[2019-03-28 03:02:02.664] </t>
  </si>
  <si>
    <t>[2019-03-28 03:02:02.664]  Event 18</t>
  </si>
  <si>
    <t xml:space="preserve">[2019-03-28 03:02:02.679] </t>
  </si>
  <si>
    <t>[2019-03-28 03:02:02.679]  Scheduled start time:  12/28/18 00:00:00</t>
  </si>
  <si>
    <t>[2019-03-28 03:02:02.742]  Event start time:      12/28/18 00:00:02</t>
  </si>
  <si>
    <t>[2019-03-28 03:02:02.804]  Event stop time:       12/28/18 00:00:29</t>
  </si>
  <si>
    <t>[2019-03-28 03:02:02.867]  Event duration:        27 seconds</t>
  </si>
  <si>
    <t xml:space="preserve">[2019-03-28 03:02:02.914] </t>
  </si>
  <si>
    <t>[2019-03-28 03:02:02.914]       Aligned    Battery Temperature</t>
  </si>
  <si>
    <t>[2019-03-28 03:02:02.945]  Start:     Y       17.3      1.4.C</t>
  </si>
  <si>
    <t>[2019-03-28 03:02:02.976]  Stop:      Y       17.1      1.6.C</t>
  </si>
  <si>
    <t xml:space="preserve">[2019-03-28 03:02:03.039] </t>
  </si>
  <si>
    <t>[2019-03-28 03:02:03.039]  Event 19</t>
  </si>
  <si>
    <t xml:space="preserve">[2019-03-28 03:02:03.054] </t>
  </si>
  <si>
    <t>[2019-03-28 03:02:03.054]  Scheduled start time:  01/14/19 00:00:00</t>
  </si>
  <si>
    <t>[2019-03-28 03:02:03.117]  Event start time:      01/14/19 00:00:02</t>
  </si>
  <si>
    <t>[2019-03-28 03:02:03.164]  Event stop time:       01/14/19 00:00:29</t>
  </si>
  <si>
    <t>[2019-03-28 03:02:03.242]  Event duration:        27 seconds</t>
  </si>
  <si>
    <t xml:space="preserve">[2019-03-28 03:02:03.289] </t>
  </si>
  <si>
    <t>[2019-03-28 03:02:03.289]       Aligned    Battery Temperature</t>
  </si>
  <si>
    <t>[2019-03-28 03:02:03.304]  Start:     Y       17.3      1.5.C</t>
  </si>
  <si>
    <t>[2019-03-28 03:02:03.351]  Stop:      Y       17.1      1.6.C</t>
  </si>
  <si>
    <t xml:space="preserve">[2019-03-28 03:02:03.382] </t>
  </si>
  <si>
    <t>[2019-03-28 03:02:03.382]  Event 20</t>
  </si>
  <si>
    <t xml:space="preserve">[2019-03-28 03:02:03.398] </t>
  </si>
  <si>
    <t>[2019-03-28 03:02:03.398]  Scheduled start time:  01/31/19 00:00:00</t>
  </si>
  <si>
    <t>[2019-03-28 03:02:03.461]  Event start time:      01/31/19 00:00:02</t>
  </si>
  <si>
    <t>[2019-03-28 03:02:03.523]  Event stop time:       01/31/19 00:00:29</t>
  </si>
  <si>
    <t>[2019-03-28 03:02:03.586]  Event duration:        27 seconds</t>
  </si>
  <si>
    <t xml:space="preserve">[2019-03-28 03:02:03.617] </t>
  </si>
  <si>
    <t>[2019-03-28 03:02:03.617]       Aligned    Battery Temperature</t>
  </si>
  <si>
    <t>[2019-03-28 03:02:03.664]  Start:     Y       17.3      1.5.C</t>
  </si>
  <si>
    <t>[2019-03-28 03:02:03.711]  Stop:      Y       17.0      1.6.C</t>
  </si>
  <si>
    <t xml:space="preserve">[2019-03-28 03:02:03.757] </t>
  </si>
  <si>
    <t>[2019-03-28 03:02:03.757]  Event 21</t>
  </si>
  <si>
    <t xml:space="preserve">[2019-03-28 03:02:03.773] </t>
  </si>
  <si>
    <t>[2019-03-28 03:02:03.773]  Scheduled start time:  02/17/19 00:00:00</t>
  </si>
  <si>
    <t>[2019-03-28 03:02:03.836]  Event start time:      02/17/19 00:00:02</t>
  </si>
  <si>
    <t>[2019-03-28 03:02:03.883]  Event stop time:       02/17/19 00:00:29</t>
  </si>
  <si>
    <t>[2019-03-28 03:02:03.945]  Event duration:        27 seconds</t>
  </si>
  <si>
    <t xml:space="preserve">[2019-03-28 03:02:03.992] </t>
  </si>
  <si>
    <t>[2019-03-28 03:02:03.992]       Aligned    Battery Temperature</t>
  </si>
  <si>
    <t>[2019-03-28 03:02:04.023]  Start:     Y       17.3      1.5.C</t>
  </si>
  <si>
    <t>[2019-03-28 03:02:04.070]  Stop:      Y       17.0      1.6.C</t>
  </si>
  <si>
    <t xml:space="preserve">[2019-03-28 03:02:04.101] </t>
  </si>
  <si>
    <t>[2019-03-28 03:02:04.117]  Event 22</t>
  </si>
  <si>
    <t xml:space="preserve">[2019-03-28 03:02:04.117] </t>
  </si>
  <si>
    <t>[2019-03-28 03:02:04.117]  Scheduled start time:  03/06/19 00:00:00</t>
  </si>
  <si>
    <t>[2019-03-28 03:02:04.180]  Event start time:      03/06/19 00:00:02</t>
  </si>
  <si>
    <t>[2019-03-28 03:02:04.258]  Event stop time:       03/06/19 00:00:29</t>
  </si>
  <si>
    <t>[2019-03-28 03:02:04.304]  Event duration:        27 seconds</t>
  </si>
  <si>
    <t xml:space="preserve">[2019-03-28 03:02:04.336] </t>
  </si>
  <si>
    <t>[2019-03-28 03:02:04.336]       Aligned    Battery Temperature</t>
  </si>
  <si>
    <t>[2019-03-28 03:02:04.383]  Start:     Y       17.2      1.6.C</t>
  </si>
  <si>
    <t>[2019-03-28 03:02:04.414]  Stop:      Y       16.9      1.7.C</t>
  </si>
  <si>
    <t xml:space="preserve">[2019-03-28 03:02:04.476] </t>
  </si>
  <si>
    <t>[2019-03-28 03:02:04.476] 03/06/19 00:00:32 Shutdown condition: Schedule completed.</t>
  </si>
  <si>
    <t xml:space="preserve">[2019-03-28 03:02:04.554] </t>
  </si>
  <si>
    <t>[2019-03-28 03:02:04.554] ________________________________________________________________</t>
  </si>
  <si>
    <t>[2019-03-28 03:02:04.617] Configuration: PST-21                   CF2 V3_09 of May 16 2014</t>
  </si>
  <si>
    <t xml:space="preserve">[2019-03-28 03:02:04.695] </t>
  </si>
  <si>
    <t>[2019-03-28 03:02:04.695]                _________________________________</t>
  </si>
  <si>
    <t>[2019-03-28 03:02:04.742]                    Offload/Display Data File</t>
  </si>
  <si>
    <t>[2019-03-28 03:02:04.804]                _________________________________</t>
  </si>
  <si>
    <t>[2019-03-28 03:02:04.851]                    Thu Mar 28 03:00:20 2019</t>
  </si>
  <si>
    <t xml:space="preserve">[2019-03-28 03:02:04.914] </t>
  </si>
  <si>
    <t xml:space="preserve">[2019-03-28 03:02:04.914]                 &lt;1&gt; Display all data     </t>
  </si>
  <si>
    <t>[2019-03-28 03:02:04.961]                 &lt;2&gt; Display backup EEPROM</t>
  </si>
  <si>
    <t xml:space="preserve">[2019-03-28 03:02:05.008]                 &lt;M&gt; Main Menu            </t>
  </si>
  <si>
    <t xml:space="preserve">[2019-03-28 03:02:05.039] </t>
  </si>
  <si>
    <t xml:space="preserve">[2019-03-28 03:02:05.039]                 Selection [1] ? </t>
  </si>
  <si>
    <t xml:space="preserve">[2019-03-28 03:02:22.983] </t>
  </si>
  <si>
    <t>[2019-03-28 03:02:22.983]  To copy the instrument data file to a disk file, initiate</t>
  </si>
  <si>
    <t>[2019-03-28 03:02:23.045]  your communication program's file logging command now and</t>
  </si>
  <si>
    <t>[2019-03-28 03:02:23.108]  then press any key to start the transfer.  The instrument</t>
  </si>
  <si>
    <t>[2019-03-28 03:02:23.170]  data file will remain resident and is not erased by this</t>
  </si>
  <si>
    <t>[2019-03-28 03:02:23.233]  offload procedure.</t>
  </si>
  <si>
    <t xml:space="preserve">[2019-03-28 03:02:23.279] </t>
  </si>
  <si>
    <t xml:space="preserve">[2019-03-28 03:02:28.921] </t>
  </si>
  <si>
    <t>[2019-03-28 03:02:28.921] Configuration:     PST-21</t>
  </si>
  <si>
    <t>[2019-03-28 03:02:28.937] Software version:  PST-3_09.c</t>
  </si>
  <si>
    <t>[2019-03-28 03:02:28.968] Compiled:          May 16 2014 11:42:19</t>
  </si>
  <si>
    <t>[2019-03-28 03:02:29.015] Electronics S/N:   ML12993-01</t>
  </si>
  <si>
    <t xml:space="preserve">[2019-03-28 03:02:29.046] </t>
  </si>
  <si>
    <t>[2019-03-28 03:02:29.062] Data recording start time: 02/26/18 20:59:24</t>
  </si>
  <si>
    <t>[2019-03-28 03:02:29.124] Data recording  stop time: 03/06/19 00:00:32</t>
  </si>
  <si>
    <t xml:space="preserve">[2019-03-28 03:02:29.171] </t>
  </si>
  <si>
    <t>[2019-03-28 03:02:29.171]  HEADER</t>
  </si>
  <si>
    <t>[2019-03-28 03:02:29.187]  ______</t>
  </si>
  <si>
    <t xml:space="preserve">[2019-03-28 03:02:29.202] </t>
  </si>
  <si>
    <t>[2019-03-28 03:02:29.202]  SAZ20_2018_3800m_ML-12993-01_21cupsR series_no tilt</t>
  </si>
  <si>
    <t xml:space="preserve">[2019-03-28 03:02:29.249] </t>
  </si>
  <si>
    <t>[2019-03-28 03:02:29.249]  SCHEDULE</t>
  </si>
  <si>
    <t>[2019-03-28 03:02:29.265]  ________</t>
  </si>
  <si>
    <t xml:space="preserve">[2019-03-28 03:02:29.281] </t>
  </si>
  <si>
    <t>[2019-03-28 03:02:29.296]  Event 01 of 22 @ 03/14/18 00:00:00</t>
  </si>
  <si>
    <t>[2019-03-28 03:02:29.359]  Event 02 of 22 @ 03/31/18 00:00:00</t>
  </si>
  <si>
    <t>[2019-03-28 03:02:29.406]  Event 03 of 22 @ 04/17/18 00:00:00</t>
  </si>
  <si>
    <t>[2019-03-28 03:02:29.452]  Event 04 of 22 @ 05/04/18 00:00:00</t>
  </si>
  <si>
    <t>[2019-03-28 03:02:29.515]  Event 05 of 22 @ 05/21/18 00:00:00</t>
  </si>
  <si>
    <t>[2019-03-28 03:02:29.562]  Event 06 of 22 @ 06/07/18 00:00:00</t>
  </si>
  <si>
    <t>[2019-03-28 03:02:29.624]  Event 07 of 22 @ 06/24/18 00:00:00</t>
  </si>
  <si>
    <t>[2019-03-28 03:02:29.687]  Event 08 of 22 @ 07/11/18 00:00:00</t>
  </si>
  <si>
    <t>[2019-03-28 03:02:29.749]  Event 09 of 22 @ 07/28/18 00:00:00</t>
  </si>
  <si>
    <t>[2019-03-28 03:02:29.796]  Event 10 of 22 @ 08/14/18 00:00:00</t>
  </si>
  <si>
    <t>[2019-03-28 03:02:29.859]  Event 11 of 22 @ 08/31/18 00:00:00</t>
  </si>
  <si>
    <t>[2019-03-28 03:02:29.906]  Event 12 of 22 @ 09/17/18 00:00:00</t>
  </si>
  <si>
    <t>[2019-03-28 03:02:29.968]  Event 13 of 22 @ 10/04/18 00:00:00</t>
  </si>
  <si>
    <t>[2019-03-28 03:02:30.015]  Event 14 of 22 @ 10/21/18 00:00:00</t>
  </si>
  <si>
    <t>[2019-03-28 03:02:30.077]  Event 15 of 22 @ 11/07/18 00:00:00</t>
  </si>
  <si>
    <t>[2019-03-28 03:02:30.124]  Event 16 of 22 @ 11/24/18 00:00:00</t>
  </si>
  <si>
    <t>[2019-03-28 03:02:30.187]  Event 17 of 22 @ 12/11/18 00:00:00</t>
  </si>
  <si>
    <t>[2019-03-28 03:02:30.234]  Event 18 of 22 @ 12/28/18 00:00:00</t>
  </si>
  <si>
    <t>[2019-03-28 03:02:30.296]  Event 19 of 22 @ 01/14/19 00:00:00</t>
  </si>
  <si>
    <t>[2019-03-28 03:02:30.359]  Event 20 of 22 @ 01/31/19 00:00:00</t>
  </si>
  <si>
    <t>[2019-03-28 03:02:30.421]  Event 21 of 22 @ 02/17/19 00:00:00</t>
  </si>
  <si>
    <t>[2019-03-28 03:02:30.468]  Event 22 of 22 @ 03/06/19 00:00:00</t>
  </si>
  <si>
    <t xml:space="preserve">[2019-03-28 03:02:30.515] </t>
  </si>
  <si>
    <t>[2019-03-28 03:02:30.515]  DEPLOYMENT DATA</t>
  </si>
  <si>
    <t>[2019-03-28 03:02:30.531]  _______________</t>
  </si>
  <si>
    <t xml:space="preserve">[2019-03-28 03:02:30.546] </t>
  </si>
  <si>
    <t>[2019-03-28 03:02:30.546]  Event 01</t>
  </si>
  <si>
    <t xml:space="preserve">[2019-03-28 03:02:30.562] </t>
  </si>
  <si>
    <t>[2019-03-28 03:02:30.562]  Scheduled start time:  03/14/18 00:00:00</t>
  </si>
  <si>
    <t>[2019-03-28 03:02:30.624]  Event start time:      03/14/18 00:00:02</t>
  </si>
  <si>
    <t>[2019-03-28 03:02:30.687]  Event stop time:       03/14/18 00:00:29</t>
  </si>
  <si>
    <t>[2019-03-28 03:02:30.749]  Event duration:        27 seconds</t>
  </si>
  <si>
    <t xml:space="preserve">[2019-03-28 03:02:30.781] </t>
  </si>
  <si>
    <t>[2019-03-28 03:02:30.781]       Aligned    Battery Temperature</t>
  </si>
  <si>
    <t>[2019-03-28 03:02:30.828]  Start:     Y       20.3      1.4.C</t>
  </si>
  <si>
    <t>[2019-03-28 03:02:30.874]  Stop:      Y       19.9      1.6.C</t>
  </si>
  <si>
    <t xml:space="preserve">[2019-03-28 03:02:30.921] </t>
  </si>
  <si>
    <t>[2019-03-28 03:02:30.921]  Event 02</t>
  </si>
  <si>
    <t xml:space="preserve">[2019-03-28 03:02:30.937] </t>
  </si>
  <si>
    <t>[2019-03-28 03:02:30.937]  Scheduled start time:  03/31/18 00:00:00</t>
  </si>
  <si>
    <t>[2019-03-28 03:02:30.999]  Event start time:      03/31/18 00:00:02</t>
  </si>
  <si>
    <t>[2019-03-28 03:02:31.046]  Event stop time:       03/31/18 00:00:29</t>
  </si>
  <si>
    <t>[2019-03-28 03:02:31.109]  Event duration:        27 seconds</t>
  </si>
  <si>
    <t xml:space="preserve">[2019-03-28 03:02:31.156] </t>
  </si>
  <si>
    <t>[2019-03-28 03:02:31.156]       Aligned    Battery Temperature</t>
  </si>
  <si>
    <t>[2019-03-28 03:02:31.187]  Start:     Y       20.0      1.4.C</t>
  </si>
  <si>
    <t>[2019-03-28 03:02:31.234]  Stop:      Y       19.8      1.5.C</t>
  </si>
  <si>
    <t xml:space="preserve">[2019-03-28 03:02:31.265] </t>
  </si>
  <si>
    <t>[2019-03-28 03:02:31.265]  Event 03</t>
  </si>
  <si>
    <t xml:space="preserve">[2019-03-28 03:02:31.281] </t>
  </si>
  <si>
    <t>[2019-03-28 03:02:31.281]  Scheduled start time:  04/17/18 00:00:00</t>
  </si>
  <si>
    <t>[2019-03-28 03:02:31.343]  Event start time:      04/17/18 00:00:02</t>
  </si>
  <si>
    <t>[2019-03-28 03:02:31.406]  Event stop time:       04/17/18 00:00:29</t>
  </si>
  <si>
    <t>[2019-03-28 03:02:31.468]  Event duration:        27 seconds</t>
  </si>
  <si>
    <t xml:space="preserve">[2019-03-28 03:02:31.500] </t>
  </si>
  <si>
    <t>[2019-03-28 03:02:31.500]       Aligned    Battery Temperature</t>
  </si>
  <si>
    <t>[2019-03-28 03:02:31.562]  Start:     Y       19.7      1.4.C</t>
  </si>
  <si>
    <t>[2019-03-28 03:02:31.593]  Stop:      Y       19.5      1.5.C</t>
  </si>
  <si>
    <t xml:space="preserve">[2019-03-28 03:02:31.640] </t>
  </si>
  <si>
    <t>[2019-03-28 03:02:31.640]  Event 04</t>
  </si>
  <si>
    <t xml:space="preserve">[2019-03-28 03:02:31.656] </t>
  </si>
  <si>
    <t>[2019-03-28 03:02:31.656]  Scheduled start time:  05/04/18 00:00:00</t>
  </si>
  <si>
    <t>[2019-03-28 03:02:31.718]  Event start time:      05/04/18 00:00:02</t>
  </si>
  <si>
    <t>[2019-03-28 03:02:31.765]  Event stop time:       05/04/18 00:00:29</t>
  </si>
  <si>
    <t>[2019-03-28 03:02:31.828]  Event duration:        27 seconds</t>
  </si>
  <si>
    <t xml:space="preserve">[2019-03-28 03:02:31.875] </t>
  </si>
  <si>
    <t>[2019-03-28 03:02:31.875]       Aligned    Battery Temperature</t>
  </si>
  <si>
    <t>[2019-03-28 03:02:31.906]  Start:     Y       19.5      1.4.C</t>
  </si>
  <si>
    <t>[2019-03-28 03:02:31.953]  Stop:      Y       19.2      1.5.C</t>
  </si>
  <si>
    <t xml:space="preserve">[2019-03-28 03:02:31.984] </t>
  </si>
  <si>
    <t>[2019-03-28 03:02:31.984]  Event 05</t>
  </si>
  <si>
    <t xml:space="preserve">[2019-03-28 03:02:32.000] </t>
  </si>
  <si>
    <t>[2019-03-28 03:02:32.000]  Scheduled start time:  05/21/18 00:00:00</t>
  </si>
  <si>
    <t>[2019-03-28 03:02:32.062]  Event start time:      05/21/18 00:00:02</t>
  </si>
  <si>
    <t>[2019-03-28 03:02:32.125]  Event stop time:       05/21/18 00:00:29</t>
  </si>
  <si>
    <t>[2019-03-28 03:02:32.203]  Event duration:        27 seconds</t>
  </si>
  <si>
    <t xml:space="preserve">[2019-03-28 03:02:32.234] </t>
  </si>
  <si>
    <t>[2019-03-28 03:02:32.234]       Aligned    Battery Temperature</t>
  </si>
  <si>
    <t>[2019-03-28 03:02:32.281]  Start:     Y       19.3      1.3.C</t>
  </si>
  <si>
    <t>[2019-03-28 03:02:32.312]  Stop:      Y       19.0      1.4.C</t>
  </si>
  <si>
    <t xml:space="preserve">[2019-03-28 03:02:32.359] </t>
  </si>
  <si>
    <t>[2019-03-28 03:02:32.359]  Event 06</t>
  </si>
  <si>
    <t xml:space="preserve">[2019-03-28 03:02:32.375] </t>
  </si>
  <si>
    <t>[2019-03-28 03:02:32.375]  Scheduled start time:  06/07/18 00:00:00</t>
  </si>
  <si>
    <t>[2019-03-28 03:02:32.437]  Event start time:      06/07/18 00:00:02</t>
  </si>
  <si>
    <t>[2019-03-28 03:02:32.484]  Event stop time:       06/07/18 00:00:29</t>
  </si>
  <si>
    <t>[2019-03-28 03:02:32.546]  Event duration:        27 seconds</t>
  </si>
  <si>
    <t xml:space="preserve">[2019-03-28 03:02:32.593] </t>
  </si>
  <si>
    <t>[2019-03-28 03:02:32.593]       Aligned    Battery Temperature</t>
  </si>
  <si>
    <t>[2019-03-28 03:02:32.625]  Start:     Y       19.1      1.3.C</t>
  </si>
  <si>
    <t>[2019-03-28 03:02:32.669]  Stop:      Y       18.8      1.4.C</t>
  </si>
  <si>
    <t xml:space="preserve">[2019-03-28 03:02:32.701] </t>
  </si>
  <si>
    <t>[2019-03-28 03:02:32.716]  Event 07</t>
  </si>
  <si>
    <t xml:space="preserve">[2019-03-28 03:02:32.716] </t>
  </si>
  <si>
    <t>[2019-03-28 03:02:32.716]  Scheduled start time:  06/24/18 00:00:00</t>
  </si>
  <si>
    <t>[2019-03-28 03:02:32.794]  Event start time:      06/24/18 00:00:02</t>
  </si>
  <si>
    <t>[2019-03-28 03:02:32.857]  Event stop time:       06/24/18 00:00:29</t>
  </si>
  <si>
    <t>[2019-03-28 03:02:32.919]  Event duration:        27 seconds</t>
  </si>
  <si>
    <t xml:space="preserve">[2019-03-28 03:02:32.951] </t>
  </si>
  <si>
    <t>[2019-03-28 03:02:32.951]       Aligned    Battery Temperature</t>
  </si>
  <si>
    <t>[2019-03-28 03:02:32.998]  Start:     Y       18.9      1.3.C</t>
  </si>
  <si>
    <t>[2019-03-28 03:02:33.029]  Stop:      Y       18.6      1.4.C</t>
  </si>
  <si>
    <t xml:space="preserve">[2019-03-28 03:02:33.076] </t>
  </si>
  <si>
    <t>[2019-03-28 03:02:33.076]  Event 08</t>
  </si>
  <si>
    <t xml:space="preserve">[2019-03-28 03:02:33.091] </t>
  </si>
  <si>
    <t>[2019-03-28 03:02:33.091]  Scheduled start time:  07/11/18 00:00:00</t>
  </si>
  <si>
    <t>[2019-03-28 03:02:33.154]  Event start time:      07/11/18 00:00:02</t>
  </si>
  <si>
    <t>[2019-03-28 03:02:33.216]  Event stop time:       07/11/18 00:00:29</t>
  </si>
  <si>
    <t>[2019-03-28 03:02:33.263]  Event duration:        27 seconds</t>
  </si>
  <si>
    <t xml:space="preserve">[2019-03-28 03:02:33.310] </t>
  </si>
  <si>
    <t>[2019-03-28 03:02:33.310]       Aligned    Battery Temperature</t>
  </si>
  <si>
    <t>[2019-03-28 03:02:33.341]  Start:     Y       18.7      1.4.C</t>
  </si>
  <si>
    <t>[2019-03-28 03:02:33.388]  Stop:      Y       18.4      1.5.C</t>
  </si>
  <si>
    <t xml:space="preserve">[2019-03-28 03:02:33.420] </t>
  </si>
  <si>
    <t>[2019-03-28 03:02:33.435]  Event 09</t>
  </si>
  <si>
    <t xml:space="preserve">[2019-03-28 03:02:33.435] </t>
  </si>
  <si>
    <t>[2019-03-28 03:02:33.435]  Scheduled start time:  07/28/18 00:00:00</t>
  </si>
  <si>
    <t>[2019-03-28 03:02:33.513]  Event start time:      07/28/18 00:00:02</t>
  </si>
  <si>
    <t>[2019-03-28 03:02:33.576]  Event stop time:       07/28/18 00:00:29</t>
  </si>
  <si>
    <t>[2019-03-28 03:02:33.638]  Event duration:        27 seconds</t>
  </si>
  <si>
    <t xml:space="preserve">[2019-03-28 03:02:33.670] </t>
  </si>
  <si>
    <t>[2019-03-28 03:02:33.670]       Aligned    Battery Temperature</t>
  </si>
  <si>
    <t>[2019-03-28 03:02:33.716]  Start:     Y       18.5      1.4.C</t>
  </si>
  <si>
    <t>[2019-03-28 03:02:33.763]  Stop:      Y       18.3      1.5.C</t>
  </si>
  <si>
    <t xml:space="preserve">[2019-03-28 03:02:33.795] </t>
  </si>
  <si>
    <t>[2019-03-28 03:02:33.795]  Event 10</t>
  </si>
  <si>
    <t xml:space="preserve">[2019-03-28 03:02:33.810] </t>
  </si>
  <si>
    <t>[2019-03-28 03:02:33.810]  Scheduled start time:  08/14/18 00:00:00</t>
  </si>
  <si>
    <t>[2019-03-28 03:02:33.873]  Event start time:      08/14/18 00:00:02</t>
  </si>
  <si>
    <t>[2019-03-28 03:02:33.935]  Event stop time:       08/14/18 00:00:29</t>
  </si>
  <si>
    <t>[2019-03-28 03:02:33.982]  Event duration:        27 seconds</t>
  </si>
  <si>
    <t xml:space="preserve">[2019-03-28 03:02:34.029] </t>
  </si>
  <si>
    <t>[2019-03-28 03:02:34.029]       Aligned    Battery Temperature</t>
  </si>
  <si>
    <t>[2019-03-28 03:02:34.060]  Start:     Y       18.3      1.5.C</t>
  </si>
  <si>
    <t>[2019-03-28 03:02:34.107]  Stop:      Y       18.2      1.6.C</t>
  </si>
  <si>
    <t xml:space="preserve">[2019-03-28 03:02:34.154] </t>
  </si>
  <si>
    <t>[2019-03-28 03:02:34.154]  Event 11</t>
  </si>
  <si>
    <t xml:space="preserve">[2019-03-28 03:02:34.170] </t>
  </si>
  <si>
    <t>[2019-03-28 03:02:34.170]  Scheduled start time:  08/31/18 00:00:00</t>
  </si>
  <si>
    <t>[2019-03-28 03:02:34.232]  Event start time:      08/31/18 00:00:02</t>
  </si>
  <si>
    <t>[2019-03-28 03:02:34.295]  Event stop time:       08/31/18 00:00:29</t>
  </si>
  <si>
    <t>[2019-03-28 03:02:34.357]  Event duration:        27 seconds</t>
  </si>
  <si>
    <t xml:space="preserve">[2019-03-28 03:02:34.388] </t>
  </si>
  <si>
    <t>[2019-03-28 03:02:34.388]       Aligned    Battery Temperature</t>
  </si>
  <si>
    <t>[2019-03-28 03:02:34.435]  Start:     Y       18.2      1.5.C</t>
  </si>
  <si>
    <t>[2019-03-28 03:02:34.482]  Stop:      Y       18.1      1.6.C</t>
  </si>
  <si>
    <t xml:space="preserve">[2019-03-28 03:02:34.514] </t>
  </si>
  <si>
    <t>[2019-03-28 03:02:34.514]  Event 12</t>
  </si>
  <si>
    <t xml:space="preserve">[2019-03-28 03:02:34.529] </t>
  </si>
  <si>
    <t>[2019-03-28 03:02:34.529]  Scheduled start time:  09/17/18 00:00:00</t>
  </si>
  <si>
    <t>[2019-03-28 03:02:34.592]  Event start time:      09/17/18 00:00:02</t>
  </si>
  <si>
    <t>[2019-03-28 03:02:34.654]  Event stop time:       09/17/18 00:00:29</t>
  </si>
  <si>
    <t>[2019-03-28 03:02:34.701]  Event duration:        27 seconds</t>
  </si>
  <si>
    <t xml:space="preserve">[2019-03-28 03:02:34.748] </t>
  </si>
  <si>
    <t>[2019-03-28 03:02:34.748]       Aligned    Battery Temperature</t>
  </si>
  <si>
    <t>[2019-03-28 03:02:34.795]  Start:     Y       18.0      1.5.C</t>
  </si>
  <si>
    <t>[2019-03-28 03:02:34.826]  Stop:      Y       17.9      1.6.C</t>
  </si>
  <si>
    <t xml:space="preserve">[2019-03-28 03:02:34.888] </t>
  </si>
  <si>
    <t>[2019-03-28 03:02:34.888]  Event 13</t>
  </si>
  <si>
    <t>[2019-03-28 03:02:34.888]  Scheduled start time:  10/04/18 00:00:00</t>
  </si>
  <si>
    <t>[2019-03-28 03:02:34.935]  Event start time:      10/04/18 00:00:02</t>
  </si>
  <si>
    <t>[2019-03-28 03:02:35.013]  Event stop time:       10/04/18 00:00:29</t>
  </si>
  <si>
    <t>[2019-03-28 03:02:35.076]  Event duration:        27 seconds</t>
  </si>
  <si>
    <t xml:space="preserve">[2019-03-28 03:02:35.107] </t>
  </si>
  <si>
    <t>[2019-03-28 03:02:35.107]       Aligned    Battery Temperature</t>
  </si>
  <si>
    <t>[2019-03-28 03:02:35.154]  Start:     Y       17.1      1.5.C</t>
  </si>
  <si>
    <t>[2019-03-28 03:02:35.201]  Stop:      Y       16.8      1.6.C</t>
  </si>
  <si>
    <t xml:space="preserve">[2019-03-28 03:02:35.232] </t>
  </si>
  <si>
    <t>[2019-03-28 03:02:35.232]  Event 14</t>
  </si>
  <si>
    <t xml:space="preserve">[2019-03-28 03:02:35.248] </t>
  </si>
  <si>
    <t>[2019-03-28 03:02:35.248]  Scheduled start time:  10/21/18 00:00:00</t>
  </si>
  <si>
    <t>[2019-03-28 03:02:35.310]  Event start time:      10/21/18 00:00:02</t>
  </si>
  <si>
    <t>[2019-03-28 03:02:35.373]  Event stop time:       10/21/18 00:00:29</t>
  </si>
  <si>
    <t>[2019-03-28 03:02:35.420]  Event duration:        27 seconds</t>
  </si>
  <si>
    <t xml:space="preserve">[2019-03-28 03:02:35.467] </t>
  </si>
  <si>
    <t>[2019-03-28 03:02:35.467]       Aligned    Battery Temperature</t>
  </si>
  <si>
    <t>[2019-03-28 03:02:35.514]  Start:     Y       16.6      1.5.C</t>
  </si>
  <si>
    <t>[2019-03-28 03:02:35.560]  Stop:      Y       16.2      1.6.C</t>
  </si>
  <si>
    <t xml:space="preserve">[2019-03-28 03:02:35.607] </t>
  </si>
  <si>
    <t>[2019-03-28 03:02:35.607]  Event 15</t>
  </si>
  <si>
    <t>[2019-03-28 03:02:35.607]  Scheduled start time:  11/07/18 00:00:00</t>
  </si>
  <si>
    <t>[2019-03-28 03:02:35.670]  Event start time:      11/07/18 00:00:02</t>
  </si>
  <si>
    <t>[2019-03-28 03:02:35.732]  Event stop time:       11/07/18 00:00:29</t>
  </si>
  <si>
    <t>[2019-03-28 03:02:35.795]  Event duration:        27 seconds</t>
  </si>
  <si>
    <t xml:space="preserve">[2019-03-28 03:02:35.826] </t>
  </si>
  <si>
    <t>[2019-03-28 03:02:35.826]       Aligned    Battery Temperature</t>
  </si>
  <si>
    <t>[2019-03-28 03:02:35.873]  Start:     Y       16.8      1.5.C</t>
  </si>
  <si>
    <t>[2019-03-28 03:02:35.920]  Stop:      Y       16.6      1.6.C</t>
  </si>
  <si>
    <t xml:space="preserve">[2019-03-28 03:02:35.951] </t>
  </si>
  <si>
    <t>[2019-03-28 03:02:35.951]  Event 16</t>
  </si>
  <si>
    <t xml:space="preserve">[2019-03-28 03:02:35.967] </t>
  </si>
  <si>
    <t>[2019-03-28 03:02:35.967]  Scheduled start time:  11/24/18 00:00:00</t>
  </si>
  <si>
    <t>[2019-03-28 03:02:36.029]  Event start time:      11/24/18 00:00:02</t>
  </si>
  <si>
    <t>[2019-03-28 03:02:36.092]  Event stop time:       11/24/18 00:00:29</t>
  </si>
  <si>
    <t>[2019-03-28 03:02:36.154]  Event duration:        27 seconds</t>
  </si>
  <si>
    <t xml:space="preserve">[2019-03-28 03:02:36.186] </t>
  </si>
  <si>
    <t>[2019-03-28 03:02:36.186]       Aligned    Battery Temperature</t>
  </si>
  <si>
    <t>[2019-03-28 03:02:36.232]  Start:     Y       17.0      1.5.C</t>
  </si>
  <si>
    <t>[2019-03-28 03:02:36.279]  Stop:      Y       16.8      1.6.C</t>
  </si>
  <si>
    <t xml:space="preserve">[2019-03-28 03:02:36.326] </t>
  </si>
  <si>
    <t>[2019-03-28 03:02:36.326]  Event 17</t>
  </si>
  <si>
    <t>[2019-03-28 03:02:36.326]  Scheduled start time:  12/11/18 00:00:00</t>
  </si>
  <si>
    <t>[2019-03-28 03:02:36.389]  Event start time:      12/11/18 00:00:02</t>
  </si>
  <si>
    <t>[2019-03-28 03:02:36.451]  Event stop time:       12/11/18 00:00:29</t>
  </si>
  <si>
    <t>[2019-03-28 03:02:36.514]  Event duration:        27 seconds</t>
  </si>
  <si>
    <t xml:space="preserve">[2019-03-28 03:02:36.545] </t>
  </si>
  <si>
    <t>[2019-03-28 03:02:36.561]       Aligned    Battery Temperature</t>
  </si>
  <si>
    <t>[2019-03-28 03:02:36.592]  Start:     Y       17.2      1.4.C</t>
  </si>
  <si>
    <t>[2019-03-28 03:02:36.641]  Stop:      Y       17.0      1.5.C</t>
  </si>
  <si>
    <t xml:space="preserve">[2019-03-28 03:02:36.670] </t>
  </si>
  <si>
    <t>[2019-03-28 03:02:36.670]  Event 18</t>
  </si>
  <si>
    <t xml:space="preserve">[2019-03-28 03:02:36.686] </t>
  </si>
  <si>
    <t>[2019-03-28 03:02:36.686]  Scheduled start time:  12/28/18 00:00:00</t>
  </si>
  <si>
    <t>[2019-03-28 03:02:36.748]  Event start time:      12/28/18 00:00:02</t>
  </si>
  <si>
    <t>[2019-03-28 03:02:36.811]  Event stop time:       12/28/18 00:00:29</t>
  </si>
  <si>
    <t>[2019-03-28 03:02:36.873]  Event duration:        27 seconds</t>
  </si>
  <si>
    <t xml:space="preserve">[2019-03-28 03:02:36.920] </t>
  </si>
  <si>
    <t>[2019-03-28 03:02:36.920]       Aligned    Battery Temperature</t>
  </si>
  <si>
    <t>[2019-03-28 03:02:36.951]  Start:     Y       17.3      1.4.C</t>
  </si>
  <si>
    <t>[2019-03-28 03:02:36.998]  Stop:      Y       17.1      1.6.C</t>
  </si>
  <si>
    <t xml:space="preserve">[2019-03-28 03:02:37.045] </t>
  </si>
  <si>
    <t>[2019-03-28 03:02:37.045]  Event 19</t>
  </si>
  <si>
    <t xml:space="preserve">[2019-03-28 03:02:37.061] </t>
  </si>
  <si>
    <t>[2019-03-28 03:02:37.061]  Scheduled start time:  01/14/19 00:00:00</t>
  </si>
  <si>
    <t>[2019-03-28 03:02:37.107]  Event start time:      01/14/19 00:00:02</t>
  </si>
  <si>
    <t>[2019-03-28 03:02:37.170]  Event stop time:       01/14/19 00:00:29</t>
  </si>
  <si>
    <t>[2019-03-28 03:02:37.233]  Event duration:        27 seconds</t>
  </si>
  <si>
    <t xml:space="preserve">[2019-03-28 03:02:37.264] </t>
  </si>
  <si>
    <t>[2019-03-28 03:02:37.279]       Aligned    Battery Temperature</t>
  </si>
  <si>
    <t>[2019-03-28 03:02:37.311]  Start:     Y       17.3      1.5.C</t>
  </si>
  <si>
    <t>[2019-03-28 03:02:37.358]  Stop:      Y       17.1      1.6.C</t>
  </si>
  <si>
    <t xml:space="preserve">[2019-03-28 03:02:37.389] </t>
  </si>
  <si>
    <t>[2019-03-28 03:02:37.389]  Event 20</t>
  </si>
  <si>
    <t xml:space="preserve">[2019-03-28 03:02:37.404] </t>
  </si>
  <si>
    <t>[2019-03-28 03:02:37.404]  Scheduled start time:  01/31/19 00:00:00</t>
  </si>
  <si>
    <t>[2019-03-28 03:02:37.467]  Event start time:      01/31/19 00:00:02</t>
  </si>
  <si>
    <t>[2019-03-28 03:02:37.545]  Event stop time:       01/31/19 00:00:29</t>
  </si>
  <si>
    <t>[2019-03-28 03:02:37.607]  Event duration:        27 seconds</t>
  </si>
  <si>
    <t xml:space="preserve">[2019-03-28 03:02:37.639] </t>
  </si>
  <si>
    <t>[2019-03-28 03:02:37.639]       Aligned    Battery Temperature</t>
  </si>
  <si>
    <t>[2019-03-28 03:02:37.670]  Start:     Y       17.3      1.5.C</t>
  </si>
  <si>
    <t>[2019-03-28 03:02:37.717]  Stop:      Y       17.0      1.6.C</t>
  </si>
  <si>
    <t xml:space="preserve">[2019-03-28 03:02:37.764] </t>
  </si>
  <si>
    <t>[2019-03-28 03:02:37.764]  Event 21</t>
  </si>
  <si>
    <t xml:space="preserve">[2019-03-28 03:02:37.779] </t>
  </si>
  <si>
    <t>[2019-03-28 03:02:37.779]  Scheduled start time:  02/17/19 00:00:00</t>
  </si>
  <si>
    <t>[2019-03-28 03:02:37.826]  Event start time:      02/17/19 00:00:02</t>
  </si>
  <si>
    <t>[2019-03-28 03:02:37.889]  Event stop time:       02/17/19 00:00:29</t>
  </si>
  <si>
    <t>[2019-03-28 03:02:37.951]  Event duration:        27 seconds</t>
  </si>
  <si>
    <t xml:space="preserve">[2019-03-28 03:02:37.998] </t>
  </si>
  <si>
    <t>[2019-03-28 03:02:37.998]       Aligned    Battery Temperature</t>
  </si>
  <si>
    <t>[2019-03-28 03:02:38.030]  Start:     Y       17.3      1.5.C</t>
  </si>
  <si>
    <t>[2019-03-28 03:02:38.076]  Stop:      Y       17.0      1.6.C</t>
  </si>
  <si>
    <t xml:space="preserve">[2019-03-28 03:02:38.108] </t>
  </si>
  <si>
    <t>[2019-03-28 03:02:38.108]  Event 22</t>
  </si>
  <si>
    <t xml:space="preserve">[2019-03-28 03:02:38.123] </t>
  </si>
  <si>
    <t>[2019-03-28 03:02:38.123]  Scheduled start time:  03/06/19 00:00:00</t>
  </si>
  <si>
    <t>[2019-03-28 03:02:38.186]  Event start time:      03/06/19 00:00:02</t>
  </si>
  <si>
    <t>[2019-03-28 03:02:38.264]  Event stop time:       03/06/19 00:00:29</t>
  </si>
  <si>
    <t>[2019-03-28 03:02:38.326]  Event duration:        27 seconds</t>
  </si>
  <si>
    <t xml:space="preserve">[2019-03-28 03:02:38.358] </t>
  </si>
  <si>
    <t>[2019-03-28 03:02:38.358]       Aligned    Battery Temperature</t>
  </si>
  <si>
    <t>[2019-03-28 03:02:38.404]  Start:     Y       17.2      1.6.C</t>
  </si>
  <si>
    <t>[2019-03-28 03:02:38.436]  Stop:      Y       16.9      1.7.C</t>
  </si>
  <si>
    <t xml:space="preserve">[2019-03-28 03:02:38.483] </t>
  </si>
  <si>
    <t>[2019-03-28 03:02:38.483] 03/06/19 00:00:32 Shutdown condition: Schedule completed.</t>
  </si>
  <si>
    <t xml:space="preserve">[2019-03-28 03:02:38.561] </t>
  </si>
  <si>
    <t>[2019-03-28 03:02:38.561] ________________________________________________________________</t>
  </si>
  <si>
    <t>[2019-03-28 03:02:38.623] Configuration: PST-21                   CF2 V3_09 of May 16 2014</t>
  </si>
  <si>
    <t xml:space="preserve">[2019-03-28 03:02:38.701] </t>
  </si>
  <si>
    <t>[2019-03-28 03:02:38.701]                _________________________________</t>
  </si>
  <si>
    <t>[2019-03-28 03:02:38.748]                    Offload/Display Data File</t>
  </si>
  <si>
    <t>[2019-03-28 03:02:38.795]                _________________________________</t>
  </si>
  <si>
    <t>[2019-03-28 03:02:38.858]                    Thu Mar 28 03:00:54 2019</t>
  </si>
  <si>
    <t xml:space="preserve">[2019-03-28 03:02:38.905] </t>
  </si>
  <si>
    <t xml:space="preserve">[2019-03-28 03:02:38.905]                 &lt;1&gt; Display all data     </t>
  </si>
  <si>
    <t>[2019-03-28 03:02:38.951]                 &lt;2&gt; Display backup EEPROM</t>
  </si>
  <si>
    <t xml:space="preserve">[2019-03-28 03:02:38.998]                 &lt;M&gt; Main Menu            </t>
  </si>
  <si>
    <t xml:space="preserve">[2019-03-28 03:02:39.045] </t>
  </si>
  <si>
    <t>[2019-03-28 03:02:39.045]                 Selection [1] ? m</t>
  </si>
  <si>
    <t xml:space="preserve">[2019-03-28 03:02:43.905] </t>
  </si>
  <si>
    <t>[2019-03-28 03:02:43.905] ________________________________________________________________</t>
  </si>
  <si>
    <t>[2019-03-28 03:02:43.999] Configuration: PST-21                   CF2 V3_09 of May 16 2014</t>
  </si>
  <si>
    <t xml:space="preserve">[2019-03-28 03:02:44.061] </t>
  </si>
  <si>
    <t>[2019-03-28 03:02:44.061]                McLane Research Laboratories, Inc.</t>
  </si>
  <si>
    <t>[2019-03-28 03:02:44.108]                      ParFlux Sediment Trap</t>
  </si>
  <si>
    <t>[2019-03-28 03:02:44.155]                            ML12993-01</t>
  </si>
  <si>
    <t>[2019-03-28 03:02:44.202]                _________________________________</t>
  </si>
  <si>
    <t>[2019-03-28 03:02:44.249]                            Main Menu</t>
  </si>
  <si>
    <t>[2019-03-28 03:02:44.296]                _________________________________</t>
  </si>
  <si>
    <t>[2019-03-28 03:02:44.358]                    Thu Mar 28 03:01:00 2019</t>
  </si>
  <si>
    <t xml:space="preserve">[2019-03-28 03:02:44.405] </t>
  </si>
  <si>
    <t>[2019-03-28 03:02:44.405]            &lt;1&gt; Set Time          &lt;5&gt; Create Schedule</t>
  </si>
  <si>
    <t xml:space="preserve">[2019-03-28 03:02:44.452]            &lt;2&gt; Diagnostics       &lt;6&gt; Deploy System  </t>
  </si>
  <si>
    <t xml:space="preserve">[2019-03-28 03:02:44.515]            &lt;3&gt; Fill Containers   &lt;7&gt; Offload Data   </t>
  </si>
  <si>
    <t xml:space="preserve">[2019-03-28 03:02:44.561]            &lt;4&gt; Sleep             &lt;8&gt; Contact McLane </t>
  </si>
  <si>
    <t xml:space="preserve">[2019-03-28 03:02:44.718] </t>
  </si>
  <si>
    <t>FSW carboy 9, IN2019_V02, GF/F filtered, 20/3/2019, UTC: 9:54, 46 49.17S, 142 47.07E, ~9L+9g Borax (CWE, 11/4/2019), cubozoans</t>
  </si>
  <si>
    <t>FSW carboy 9, IN2019_V02, GF/F filtered, 20/3/2019, UTC: 9:54, 46 49.17S, 142 47.07E, ~9L+9g Borax (CWE, 11/4/2019), 2 salps?</t>
  </si>
  <si>
    <t>FSW carboy 9, IN2019_V02, GF/F filtered, 20/3/2019, UTC: 9:54, 46 49.17S, 142 47.07E, ~9L+9g Borax (CWE, 11/4/2019), cubozoan</t>
  </si>
  <si>
    <t>dried overnight for reassemble the following day, Variseals and bearings were soaked in MQ</t>
  </si>
  <si>
    <t>all batteries were removed from inside the controller, 15/4/19</t>
  </si>
  <si>
    <t xml:space="preserve"> Software version:  PST-21C5.c          </t>
  </si>
  <si>
    <t xml:space="preserve"> Compiled:          Mar 13 2007 14:22:06</t>
  </si>
  <si>
    <t xml:space="preserve"> Electronics S/N:   ML12419-02</t>
  </si>
  <si>
    <t xml:space="preserve"> Data recording start time = 02/23/2018 04:57:08</t>
  </si>
  <si>
    <t xml:space="preserve"> Data recording stop time  = 03/06/2019 00:00:32</t>
  </si>
  <si>
    <t xml:space="preserve"> HEADER</t>
  </si>
  <si>
    <t xml:space="preserve"> ______</t>
  </si>
  <si>
    <t xml:space="preserve"> SAZ20_2018_2000m_ML-12419-02, tilt, SB37 3124_21cups S series</t>
  </si>
  <si>
    <t xml:space="preserve"> SCHEDULE</t>
  </si>
  <si>
    <t xml:space="preserve"> ________</t>
  </si>
  <si>
    <t xml:space="preserve"> Event 01 of 22 @ 03/14/2018 00:00:00</t>
  </si>
  <si>
    <t xml:space="preserve"> Event 02 of 22 @ 03/31/2018 00:00:00</t>
  </si>
  <si>
    <t xml:space="preserve"> Event 03 of 22 @ 04/17/2018 00:00:00</t>
  </si>
  <si>
    <t xml:space="preserve"> Event 04 of 22 @ 05/04/2018 00:00:00</t>
  </si>
  <si>
    <t xml:space="preserve"> Event 05 of 22 @ 05/21/2018 00:00:00</t>
  </si>
  <si>
    <t xml:space="preserve"> Event 06 of 22 @ 06/07/2018 00:00:00</t>
  </si>
  <si>
    <t xml:space="preserve"> Event 07 of 22 @ 06/24/2018 00:00:00</t>
  </si>
  <si>
    <t xml:space="preserve"> Event 08 of 22 @ 07/11/2018 00:00:00</t>
  </si>
  <si>
    <t xml:space="preserve"> Event 09 of 22 @ 07/28/2018 00:00:00</t>
  </si>
  <si>
    <t xml:space="preserve"> Event 10 of 22 @ 08/14/2018 00:00:00</t>
  </si>
  <si>
    <t xml:space="preserve"> Event 11 of 22 @ 08/31/2018 00:00:00</t>
  </si>
  <si>
    <t xml:space="preserve"> Event 12 of 22 @ 09/17/2018 00:00:00</t>
  </si>
  <si>
    <t xml:space="preserve"> Event 13 of 22 @ 10/04/2018 00:00:00</t>
  </si>
  <si>
    <t xml:space="preserve"> Event 14 of 22 @ 10/21/2018 00:00:00</t>
  </si>
  <si>
    <t xml:space="preserve"> Event 15 of 22 @ 11/07/2018 00:00:00</t>
  </si>
  <si>
    <t xml:space="preserve"> Event 16 of 22 @ 11/24/2018 00:00:00</t>
  </si>
  <si>
    <t xml:space="preserve"> Event 17 of 22 @ 12/11/2018 00:00:00</t>
  </si>
  <si>
    <t xml:space="preserve"> Event 18 of 22 @ 12/28/2018 00:00:00</t>
  </si>
  <si>
    <t xml:space="preserve"> Event 19 of 22 @ 01/14/2019 00:00:00</t>
  </si>
  <si>
    <t xml:space="preserve"> Event 20 of 22 @ 01/31/2019 00:00:00</t>
  </si>
  <si>
    <t xml:space="preserve"> Event 21 of 22 @ 02/17/2019 00:00:00</t>
  </si>
  <si>
    <t xml:space="preserve"> Event 22 of 22 @ 03/06/2019 00:00:00</t>
  </si>
  <si>
    <t xml:space="preserve"> DEPLOYMENT DATA</t>
  </si>
  <si>
    <t xml:space="preserve"> _______________</t>
  </si>
  <si>
    <t xml:space="preserve"> Event 01</t>
  </si>
  <si>
    <t xml:space="preserve"> Scheduled start time:  03/14/2018 00:00:00</t>
  </si>
  <si>
    <t xml:space="preserve"> Event start time:      03/14/2018 00:00:00</t>
  </si>
  <si>
    <t xml:space="preserve"> Event stop time:       03/14/2018 00:00:28</t>
  </si>
  <si>
    <t xml:space="preserve">         Aligned  Battery  Temperature  Tilt  Heading</t>
  </si>
  <si>
    <t xml:space="preserve"> Start:     Y       19.8        3?C       3?    337?</t>
  </si>
  <si>
    <t xml:space="preserve"> Stop:      Y       19.6        3?C       2?    339?</t>
  </si>
  <si>
    <t xml:space="preserve"> Event 02</t>
  </si>
  <si>
    <t>FSW carboy 9, IN2019_V02, GF/F filtered, 20/3/2019, UTC: 9:54, 46 49.17S, 142 47.07E, ~9L+9g Borax (CWE, 11/4/2019), so much light, "fluffy" material, it clogged the 1mm mesh, had to rinse a gap into the material so it could flow through the mesh, &lt;1mm fraction across 2 jars</t>
  </si>
  <si>
    <t>FSW carboy 9, IN2019_V02, GF/F filtered, 20/3/2019, UTC: 9:54, 46 49.17S, 142 47.07E, ~9L+9g Borax (CWE, 11/4/2019), so much light, "fluffy" material, it clogged the 1mm mesh, had to rinse a gap into the material so it could flow through the mesh, &lt;1mm fraction across 2 jars, metallic looking blobls, rinsed through 1mm mesh, took photo</t>
  </si>
  <si>
    <t>reassembled 16/4/19</t>
  </si>
  <si>
    <t xml:space="preserve">disassembled 15/4/19, rotor plate parts soaked in tap water + Neutracon all day, rinsed with MQ, all screws and bolts soaked all day in MilliQ; 17 position thread had visible sediment dirt stuck over it </t>
  </si>
  <si>
    <t>disassembled 16/4/19, rotor plate parts soaked in tap water + Neutracon all day, rinsed with MQ, all screws and bolts soaked all day in MilliQ;</t>
  </si>
  <si>
    <t>3800m controller has AAA backup batteries</t>
  </si>
  <si>
    <t>all batteries were removed from inside the controller, 16/4/19</t>
  </si>
  <si>
    <t>disassembled 16/4/19, rotor plate parts soaked in tap water + Neutracon overnight, rinsed with MQ, all screws and bolts soaked overnight in MilliQ; funnel was visibly dirty, much more than other two traps, there was quite a lot of smeared organic matter between rotating plates and stuck to Variseals</t>
  </si>
  <si>
    <t>reassembled 17/4/19</t>
  </si>
  <si>
    <t>FSW carboy 2, SOFS7.5, IN2018_V07, GF/F filtered, 22/8/2018, -47.02S, 142.25E, ~11L+11g Borax (CWE, 5/2/2019), what is that long, white "animal"?, tiny worms, &lt;1mm split across 2 jars</t>
  </si>
  <si>
    <t>Trap</t>
  </si>
  <si>
    <t>frac</t>
  </si>
  <si>
    <t>mass</t>
  </si>
  <si>
    <t>date</t>
  </si>
  <si>
    <t xml:space="preserve">date </t>
  </si>
  <si>
    <t>RH</t>
  </si>
  <si>
    <t>temp</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</si>
  <si>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</si>
  <si>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</si>
  <si>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</si>
  <si>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</si>
  <si>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</si>
  <si>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</si>
  <si>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</si>
  <si>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</si>
  <si>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</si>
  <si>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</si>
  <si>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</si>
  <si>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</si>
  <si>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</si>
  <si>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</si>
  <si>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</si>
  <si>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</si>
  <si>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</si>
  <si>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</si>
  <si>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</si>
  <si>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</si>
  <si>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</si>
  <si>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</si>
  <si>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CWE</t>
  </si>
  <si>
    <t>2018 saz20</t>
  </si>
  <si>
    <t>Poretics Corporation, Polycarbonate Membrane Filter, 0.4um 47mm</t>
  </si>
  <si>
    <t>Catalog No. 130213, Lot No. HGB1CQ11C003</t>
  </si>
  <si>
    <t>into oven at 1600 16/5/2019 @ 60C</t>
  </si>
  <si>
    <t>1_2</t>
  </si>
  <si>
    <t>2_2</t>
  </si>
  <si>
    <t>5_2</t>
  </si>
  <si>
    <t>8_2</t>
  </si>
  <si>
    <t>lots of silica spicules visible on filter</t>
  </si>
  <si>
    <t>even more silica spicules visible on filter</t>
  </si>
  <si>
    <t>Catalog No. 130213, Lot No. HGB1CQ11C004</t>
  </si>
  <si>
    <t>Catalog No. 130213, Lot No. HGB1CQ11C005</t>
  </si>
  <si>
    <t>Catalog No. 130213, Lot No. HGB1CQ11C006</t>
  </si>
  <si>
    <t>Catalog No. 130213, Lot No. HGB1CQ11C007</t>
  </si>
  <si>
    <t>Catalog No. 130213, Lot No. HGB1CQ11C008</t>
  </si>
  <si>
    <t>Catalog No. 130213, Lot No. HGB1CQ11C009</t>
  </si>
  <si>
    <t>Catalog No. 130213, Lot No. HGB1CQ11C010</t>
  </si>
  <si>
    <t>Catalog No. 130213, Lot No. HGB1CQ11C011</t>
  </si>
  <si>
    <t>Catalog No. 130213, Lot No. HGB1CQ11C012</t>
  </si>
  <si>
    <t>Catalog No. 130213, Lot No. HGB1CQ11C013</t>
  </si>
  <si>
    <t>Catalog No. 130213, Lot No. HGB1CQ11C014</t>
  </si>
  <si>
    <t>Catalog No. 130213, Lot No. HGB1CQ11C015</t>
  </si>
  <si>
    <t>Catalog No. 130213, Lot No. HGB1CQ11C016</t>
  </si>
  <si>
    <t>Catalog No. 130213, Lot No. HGB1CQ11C017</t>
  </si>
  <si>
    <t>Catalog No. 130213, Lot No. HGB1CQ11C018</t>
  </si>
  <si>
    <t>Catalog No. 130213, Lot No. HGB1CQ11C019</t>
  </si>
  <si>
    <t>Catalog No. 130213, Lot No. HGB1CQ11C020</t>
  </si>
  <si>
    <t>Catalog No. 130213, Lot No. HGB1CQ11C021</t>
  </si>
  <si>
    <t>Catalog No. 130213, Lot No. HGB1CQ11C022</t>
  </si>
  <si>
    <t>Catalog No. 130213, Lot No. HGB1CQ11C023</t>
  </si>
  <si>
    <t>Catalog No. 130213, Lot No. HGB1CQ11C024</t>
  </si>
  <si>
    <t>Catalog No. 130213, Lot No. HGB1CQ11C025</t>
  </si>
  <si>
    <t>Catalog No. 130213, Lot No. HGB1CQ11C026</t>
  </si>
  <si>
    <t>Catalog No. 130213, Lot No. HGB1CQ11C027</t>
  </si>
  <si>
    <t>into oven at 1400 17/5/2019 @ 60C</t>
  </si>
  <si>
    <t>Sterlitech Polycarbonate (PCTE) Membrane filters, 0.4um, 47mm</t>
  </si>
  <si>
    <t>PCT0447100, Lot: M/280916/R/1</t>
  </si>
  <si>
    <t>38-37%</t>
  </si>
  <si>
    <t>21.5-22</t>
  </si>
  <si>
    <t>36%-35%</t>
  </si>
  <si>
    <t>22.1-22.7</t>
  </si>
  <si>
    <t>filter only</t>
  </si>
  <si>
    <t>2_1</t>
  </si>
  <si>
    <t>into oven @60C 23/05/2019 @ 15:30</t>
  </si>
  <si>
    <t>starting to see "glass fibres" again --&gt; si spicules?</t>
  </si>
  <si>
    <t>dense "glass fibre mat" on top of filter</t>
  </si>
  <si>
    <t>"glass fibre mat" less obvious but still there</t>
  </si>
  <si>
    <t>22.1-22.5</t>
  </si>
  <si>
    <t>during filtration some fluid escaped - estimated maximum 7ml lost of a minimum of 105ml original sample filtered = a maximum of 6.7% (could be as low as 4% if original fluid filtered was closer to 175ml)</t>
  </si>
  <si>
    <t>Deployment</t>
  </si>
  <si>
    <t>Depth</t>
  </si>
  <si>
    <t>mass/cup</t>
  </si>
  <si>
    <t>Total</t>
  </si>
  <si>
    <t>PC_mol_flux</t>
  </si>
  <si>
    <t>PN_mol_flux</t>
  </si>
  <si>
    <t>POC_mol_flux</t>
  </si>
  <si>
    <t>PIC_mol_flux</t>
  </si>
  <si>
    <t>BSi_mol_flux</t>
  </si>
  <si>
    <t>PIC/PN</t>
  </si>
  <si>
    <t>salts</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</si>
  <si>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</si>
  <si>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</si>
  <si>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</si>
  <si>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</si>
  <si>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</si>
  <si>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</si>
  <si>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</si>
  <si>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</si>
  <si>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</si>
  <si>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</si>
  <si>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</si>
  <si>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</si>
  <si>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</si>
  <si>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</si>
  <si>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</si>
  <si>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</si>
  <si>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</si>
  <si>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</si>
  <si>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3_1</t>
  </si>
  <si>
    <t>3_2</t>
  </si>
  <si>
    <t>28-26%</t>
  </si>
  <si>
    <t>22.1-22.3</t>
  </si>
  <si>
    <t>"glass fibre mat" visible on filter, like in 2000m cups</t>
  </si>
  <si>
    <t>some "glass fibres" left, but much less than previous two cups</t>
  </si>
  <si>
    <t>traces of "glass fibres" left (Si spicules?)</t>
  </si>
  <si>
    <t>into oven @60C 30/05/2019 @ 12:00</t>
  </si>
  <si>
    <t>into oven @60C 31/05/2019 @ 09:45</t>
  </si>
  <si>
    <t>21.8-22.3</t>
  </si>
  <si>
    <t>height</t>
  </si>
  <si>
    <t>3900m</t>
  </si>
  <si>
    <t>average</t>
  </si>
  <si>
    <t>Date</t>
  </si>
  <si>
    <t>Temp</t>
  </si>
  <si>
    <t>Analyst</t>
  </si>
  <si>
    <t>Comment</t>
  </si>
  <si>
    <t>Calibrations</t>
  </si>
  <si>
    <t>replicate</t>
  </si>
  <si>
    <t>diff</t>
  </si>
  <si>
    <t>Cathryn</t>
  </si>
  <si>
    <t>Salinity</t>
  </si>
  <si>
    <t>reading</t>
  </si>
  <si>
    <t>temperature</t>
  </si>
  <si>
    <t>Salinity check at the end of all measurements</t>
  </si>
  <si>
    <t>duplicate pairs salts</t>
  </si>
  <si>
    <t>mean</t>
  </si>
  <si>
    <t>duplicate</t>
  </si>
  <si>
    <t>count</t>
  </si>
  <si>
    <t>best approx 95% ci from pairs</t>
  </si>
  <si>
    <t>n pair</t>
  </si>
  <si>
    <t>duplicate pairs pH</t>
  </si>
  <si>
    <r>
      <t>[</t>
    </r>
    <r>
      <rPr>
        <sz val="10"/>
        <rFont val="Calibri"/>
        <family val="2"/>
      </rPr>
      <t>°</t>
    </r>
    <r>
      <rPr>
        <sz val="12"/>
        <rFont val="Calibri"/>
        <family val="2"/>
        <charset val="204"/>
        <scheme val="minor"/>
      </rPr>
      <t>C]</t>
    </r>
  </si>
  <si>
    <r>
      <t>Calibrated with 12.88m</t>
    </r>
    <r>
      <rPr>
        <sz val="12"/>
        <rFont val="Calibri"/>
        <family val="2"/>
        <charset val="204"/>
        <scheme val="minor"/>
      </rPr>
      <t>S/cm standard</t>
    </r>
  </si>
  <si>
    <t>CC: 0.548772/cm</t>
  </si>
  <si>
    <t>50mS/cm</t>
  </si>
  <si>
    <t>53mS/cm</t>
  </si>
  <si>
    <t>12.8mS/cm</t>
  </si>
  <si>
    <r>
      <t>1413</t>
    </r>
    <r>
      <rPr>
        <sz val="10"/>
        <rFont val="Calibri"/>
        <family val="2"/>
      </rPr>
      <t>µ</t>
    </r>
    <r>
      <rPr>
        <sz val="12"/>
        <rFont val="Calibri"/>
        <family val="2"/>
        <charset val="204"/>
        <scheme val="minor"/>
      </rPr>
      <t>S</t>
    </r>
    <r>
      <rPr>
        <sz val="10"/>
        <rFont val="Arial"/>
        <family val="2"/>
      </rPr>
      <t>/cm</t>
    </r>
  </si>
  <si>
    <t>µS/cm</t>
  </si>
  <si>
    <t>Prob condition: 100%</t>
  </si>
  <si>
    <t>average slope: 99.5%</t>
  </si>
  <si>
    <t>stinks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</si>
  <si>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</si>
  <si>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</si>
  <si>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</si>
  <si>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</si>
  <si>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</si>
  <si>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</si>
  <si>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</si>
  <si>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</si>
  <si>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</si>
  <si>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NA</t>
  </si>
  <si>
    <t>CWE sed traps SAZ20 SOTS</t>
  </si>
  <si>
    <t>cathryn.wynnedwards@utas.edu.au</t>
  </si>
  <si>
    <t>Sn cups, Elemental Microanalysis PN D1008, 8x5mm supplied as preferred by CSL.</t>
  </si>
  <si>
    <t>Samples contain ~0.5% Hg w/w, originally as HgCl2, but potentially bound in other forms.</t>
  </si>
  <si>
    <t>UMX2 microbalance and antistatic</t>
  </si>
  <si>
    <t>CRM PACS-2 dried at 60dC 3 to 4mg</t>
  </si>
  <si>
    <t>submitted CSL EA 18/6/2019</t>
  </si>
  <si>
    <t>96 well#</t>
  </si>
  <si>
    <t>Sample Mass</t>
  </si>
  <si>
    <t>Person</t>
  </si>
  <si>
    <t>Humidity</t>
  </si>
  <si>
    <t>year</t>
  </si>
  <si>
    <t>ug</t>
  </si>
  <si>
    <t>weighed</t>
  </si>
  <si>
    <t>°C</t>
  </si>
  <si>
    <t>running number</t>
  </si>
  <si>
    <t>A1</t>
  </si>
  <si>
    <t>empty capsule only</t>
  </si>
  <si>
    <t>A2</t>
  </si>
  <si>
    <t>30-30%</t>
  </si>
  <si>
    <t>22-22.9</t>
  </si>
  <si>
    <t>A3</t>
  </si>
  <si>
    <t>A4</t>
  </si>
  <si>
    <t>A5</t>
  </si>
  <si>
    <t>31-31%</t>
  </si>
  <si>
    <t>22.0-23.0</t>
  </si>
  <si>
    <t>A6</t>
  </si>
  <si>
    <t>A7</t>
  </si>
  <si>
    <t>A8</t>
  </si>
  <si>
    <t>9_a</t>
  </si>
  <si>
    <t>A9</t>
  </si>
  <si>
    <t>9_b</t>
  </si>
  <si>
    <t>A10</t>
  </si>
  <si>
    <t>A11</t>
  </si>
  <si>
    <t>A12</t>
  </si>
  <si>
    <t>B1</t>
  </si>
  <si>
    <t>B2</t>
  </si>
  <si>
    <t>14_a</t>
  </si>
  <si>
    <t>B3</t>
  </si>
  <si>
    <t>14_b</t>
  </si>
  <si>
    <t>B4</t>
  </si>
  <si>
    <t>B5</t>
  </si>
  <si>
    <t>PACS-2 #1</t>
  </si>
  <si>
    <t>B6</t>
  </si>
  <si>
    <t>B7</t>
  </si>
  <si>
    <t>B8</t>
  </si>
  <si>
    <t>B9</t>
  </si>
  <si>
    <t>B10</t>
  </si>
  <si>
    <t>B11</t>
  </si>
  <si>
    <t>B12</t>
  </si>
  <si>
    <t>C1</t>
  </si>
  <si>
    <t>C2</t>
  </si>
  <si>
    <t>3_a</t>
  </si>
  <si>
    <t>C3</t>
  </si>
  <si>
    <t>3_b</t>
  </si>
  <si>
    <t>C4</t>
  </si>
  <si>
    <t>PACS-2 #2</t>
  </si>
  <si>
    <t>C5</t>
  </si>
  <si>
    <t>C6</t>
  </si>
  <si>
    <t>C7</t>
  </si>
  <si>
    <t>C8</t>
  </si>
  <si>
    <t>C9</t>
  </si>
  <si>
    <t>C10</t>
  </si>
  <si>
    <t>C11</t>
  </si>
  <si>
    <t>C12</t>
  </si>
  <si>
    <t>D1</t>
  </si>
  <si>
    <t>D2</t>
  </si>
  <si>
    <t>D3</t>
  </si>
  <si>
    <t>D4</t>
  </si>
  <si>
    <t>Acetanilide #1</t>
  </si>
  <si>
    <t>D5</t>
  </si>
  <si>
    <t>D6</t>
  </si>
  <si>
    <t>D7</t>
  </si>
  <si>
    <t>17_a</t>
  </si>
  <si>
    <t>D8</t>
  </si>
  <si>
    <t>17_b</t>
  </si>
  <si>
    <t>D9</t>
  </si>
  <si>
    <t>D10</t>
  </si>
  <si>
    <t>D11</t>
  </si>
  <si>
    <t>D12</t>
  </si>
  <si>
    <t>E1</t>
  </si>
  <si>
    <t>E2</t>
  </si>
  <si>
    <t>E3</t>
  </si>
  <si>
    <t>E4</t>
  </si>
  <si>
    <t>E5</t>
  </si>
  <si>
    <t>E6</t>
  </si>
  <si>
    <t>E7</t>
  </si>
  <si>
    <t>E8</t>
  </si>
  <si>
    <t>E9</t>
  </si>
  <si>
    <t>8_a</t>
  </si>
  <si>
    <t>E10</t>
  </si>
  <si>
    <t>8_b</t>
  </si>
  <si>
    <t>E11</t>
  </si>
  <si>
    <t>Acetanilide #2</t>
  </si>
  <si>
    <t>E12</t>
  </si>
  <si>
    <t>F1</t>
  </si>
  <si>
    <t>F2</t>
  </si>
  <si>
    <t>F3</t>
  </si>
  <si>
    <t>F4</t>
  </si>
  <si>
    <t>F5</t>
  </si>
  <si>
    <t>F6</t>
  </si>
  <si>
    <t>PACS-2 #3</t>
  </si>
  <si>
    <t>F7</t>
  </si>
  <si>
    <t>PACS-2 #4</t>
  </si>
  <si>
    <t>F8</t>
  </si>
  <si>
    <t>F9</t>
  </si>
  <si>
    <t>F10</t>
  </si>
  <si>
    <t>F11</t>
  </si>
  <si>
    <t>F12</t>
  </si>
  <si>
    <t>G1</t>
  </si>
  <si>
    <t>G2</t>
  </si>
  <si>
    <t>G3</t>
  </si>
  <si>
    <t>Acetanilide #3</t>
  </si>
  <si>
    <t>G4</t>
  </si>
  <si>
    <t>Acetanilide #4</t>
  </si>
  <si>
    <t>Samples dried in gravity convection oven at 60dC over three nights without caps.</t>
  </si>
  <si>
    <t>Sn cups, Elemental Analysis PN D1008, BN230591 8x5mm ex CSL supplied</t>
  </si>
  <si>
    <t>tilt</t>
  </si>
  <si>
    <t>average tilt</t>
  </si>
  <si>
    <t>tilt high for events 1 - 8</t>
  </si>
  <si>
    <t>CaCO3 standards: Sigma 398101, Ba 08025 EC, SB Nov 2015</t>
  </si>
  <si>
    <t>Microbalance, Mettler-Toledo (UMX2, SNR 1127231697)</t>
  </si>
  <si>
    <t>PIC analysis</t>
  </si>
  <si>
    <t>humidity and temp</t>
  </si>
  <si>
    <t>weighed (ug)</t>
  </si>
  <si>
    <t>Date weighed</t>
  </si>
  <si>
    <t>cups</t>
  </si>
  <si>
    <t>All samples were dried again @ 60C over three nights, and allowed to cool for 2h prior to weighing</t>
  </si>
  <si>
    <t>1999_54_1500_14a reference standard</t>
  </si>
  <si>
    <r>
      <t>31-31%, 21.9-23.0</t>
    </r>
    <r>
      <rPr>
        <sz val="12"/>
        <color theme="1"/>
        <rFont val="Calibri"/>
        <family val="2"/>
      </rPr>
      <t>°</t>
    </r>
    <r>
      <rPr>
        <sz val="12"/>
        <color theme="1"/>
        <rFont val="Calibri"/>
        <family val="2"/>
        <charset val="204"/>
        <scheme val="minor"/>
      </rPr>
      <t>C</t>
    </r>
  </si>
  <si>
    <t>Sercon Smooth walled tin capsules, Flat base 5.5x5mm, BN 267862, opened June '18 CWE, washed and recycled Exetainer tubes (previously blanks and CaCO3 standards)</t>
  </si>
  <si>
    <t>CaCO3 calibration standards and 1999_54_1500_14a reference material in Sercon SC1190, BN 312212 smooth walled tin capsules, 5.5x5mm</t>
  </si>
  <si>
    <r>
      <t>30-30%, 22.6-22.9</t>
    </r>
    <r>
      <rPr>
        <sz val="12"/>
        <color theme="1"/>
        <rFont val="Calibri"/>
        <family val="2"/>
      </rPr>
      <t>°</t>
    </r>
    <r>
      <rPr>
        <sz val="12"/>
        <color theme="1"/>
        <rFont val="Calibri"/>
        <family val="2"/>
        <charset val="204"/>
      </rPr>
      <t>C</t>
    </r>
  </si>
  <si>
    <t>Sercon Smooth walled tin capsules, Flat base 5.5x5mm, BN 312212, opened June '18 CWE, washed and recycled Exetainer tubes (previously blanks and CaCO3 standards)</t>
  </si>
  <si>
    <t>copied from C:\Users\cawynn\Cloudstor\sediment trap lab proc\RAW data\CHN\saz1920_2018, file name "CHN_saz20_2018_raw data.xls"</t>
  </si>
  <si>
    <t>weight [mg]</t>
  </si>
  <si>
    <t>CWE-A1</t>
  </si>
  <si>
    <t>01/07/2019</t>
  </si>
  <si>
    <t>CWE-A2</t>
  </si>
  <si>
    <t>CWE-A3</t>
  </si>
  <si>
    <t>CWE-A4</t>
  </si>
  <si>
    <t>CWE-A5</t>
  </si>
  <si>
    <t>CWE-A6</t>
  </si>
  <si>
    <t>CWE-A7</t>
  </si>
  <si>
    <t>CWE-A8</t>
  </si>
  <si>
    <t>CWE-A9</t>
  </si>
  <si>
    <t>CWE-A10</t>
  </si>
  <si>
    <t>CWE-A11</t>
  </si>
  <si>
    <t>CWE-A12</t>
  </si>
  <si>
    <t>STD207</t>
  </si>
  <si>
    <t>CWE-B1</t>
  </si>
  <si>
    <t>CWE-B2</t>
  </si>
  <si>
    <t>CWE-B3</t>
  </si>
  <si>
    <t>CWE-B5</t>
  </si>
  <si>
    <t>02/07/2019</t>
  </si>
  <si>
    <t>10:07</t>
  </si>
  <si>
    <t>CWE-B6</t>
  </si>
  <si>
    <t>10:20</t>
  </si>
  <si>
    <t>CWE-B7</t>
  </si>
  <si>
    <t>10:33</t>
  </si>
  <si>
    <t>CWE-B8</t>
  </si>
  <si>
    <t>10:46</t>
  </si>
  <si>
    <t>CWE-B9</t>
  </si>
  <si>
    <t>10:59</t>
  </si>
  <si>
    <t>CWE-B10</t>
  </si>
  <si>
    <t>11:12</t>
  </si>
  <si>
    <t>CWE-B11</t>
  </si>
  <si>
    <t>11:26</t>
  </si>
  <si>
    <t>CWE-B12</t>
  </si>
  <si>
    <t>11:39</t>
  </si>
  <si>
    <t>STD208</t>
  </si>
  <si>
    <t>11:52</t>
  </si>
  <si>
    <t>CWE-C1</t>
  </si>
  <si>
    <t>12:05</t>
  </si>
  <si>
    <t>CWE-C2</t>
  </si>
  <si>
    <t>12:18</t>
  </si>
  <si>
    <t>CWE-C3</t>
  </si>
  <si>
    <t>12:30</t>
  </si>
  <si>
    <t>CWE-C4</t>
  </si>
  <si>
    <t>12:44</t>
  </si>
  <si>
    <t>CWE-C5</t>
  </si>
  <si>
    <t>12:57</t>
  </si>
  <si>
    <t>CWE-C6</t>
  </si>
  <si>
    <t>13:10</t>
  </si>
  <si>
    <t>CWE-C7</t>
  </si>
  <si>
    <t>13:23</t>
  </si>
  <si>
    <t>CWE-C8</t>
  </si>
  <si>
    <t>13:36</t>
  </si>
  <si>
    <t>CWE-C9</t>
  </si>
  <si>
    <t>13:49</t>
  </si>
  <si>
    <t>CWE-C10</t>
  </si>
  <si>
    <t>14:02</t>
  </si>
  <si>
    <t>CWE-C11</t>
  </si>
  <si>
    <t>14:16</t>
  </si>
  <si>
    <t>CWE-C12</t>
  </si>
  <si>
    <t>14:29</t>
  </si>
  <si>
    <t>STD209</t>
  </si>
  <si>
    <t>14:42</t>
  </si>
  <si>
    <t>CWE-D1</t>
  </si>
  <si>
    <t>14:55</t>
  </si>
  <si>
    <t>CWE-D2</t>
  </si>
  <si>
    <t>15:08</t>
  </si>
  <si>
    <t>CWE-D3</t>
  </si>
  <si>
    <t>15:21</t>
  </si>
  <si>
    <t>CWE-D4</t>
  </si>
  <si>
    <t>15:34</t>
  </si>
  <si>
    <t>CWE-D5</t>
  </si>
  <si>
    <t>15:48</t>
  </si>
  <si>
    <t>CWE-D6</t>
  </si>
  <si>
    <t>16:01</t>
  </si>
  <si>
    <t>CWE-D7</t>
  </si>
  <si>
    <t>16:14</t>
  </si>
  <si>
    <t>CWE-D8</t>
  </si>
  <si>
    <t>16:26</t>
  </si>
  <si>
    <t>CWE-D9</t>
  </si>
  <si>
    <t>16:39</t>
  </si>
  <si>
    <t>CWE-D10</t>
  </si>
  <si>
    <t>16:52</t>
  </si>
  <si>
    <t>CWE-D11</t>
  </si>
  <si>
    <t>17:05</t>
  </si>
  <si>
    <t>CWE-D12</t>
  </si>
  <si>
    <t>17:18</t>
  </si>
  <si>
    <t>STD210</t>
  </si>
  <si>
    <t>17:32</t>
  </si>
  <si>
    <t>CWE-E1</t>
  </si>
  <si>
    <t>17:45</t>
  </si>
  <si>
    <t>CWE-E2</t>
  </si>
  <si>
    <t>17:58</t>
  </si>
  <si>
    <t>CWE-E3</t>
  </si>
  <si>
    <t>18:11</t>
  </si>
  <si>
    <t>CWE-E4</t>
  </si>
  <si>
    <t>18:24</t>
  </si>
  <si>
    <t>CWE-E5</t>
  </si>
  <si>
    <t>18:37</t>
  </si>
  <si>
    <t>CWE-E6</t>
  </si>
  <si>
    <t>18:50</t>
  </si>
  <si>
    <t>CWE-E7</t>
  </si>
  <si>
    <t>19:04</t>
  </si>
  <si>
    <t>CWE-E8</t>
  </si>
  <si>
    <t>19:21</t>
  </si>
  <si>
    <t>CWE-E9</t>
  </si>
  <si>
    <t>19:34</t>
  </si>
  <si>
    <t>CWE-E10</t>
  </si>
  <si>
    <t>19:47</t>
  </si>
  <si>
    <t>CWE-E11</t>
  </si>
  <si>
    <t>20:00</t>
  </si>
  <si>
    <t>CWE-E12</t>
  </si>
  <si>
    <t>20:13</t>
  </si>
  <si>
    <t>STD211</t>
  </si>
  <si>
    <t>20:25</t>
  </si>
  <si>
    <t>CWE-F1</t>
  </si>
  <si>
    <t>20:38</t>
  </si>
  <si>
    <t>CWE-F2</t>
  </si>
  <si>
    <t>20:51</t>
  </si>
  <si>
    <t>CWE-F3</t>
  </si>
  <si>
    <t>21:05</t>
  </si>
  <si>
    <t>CWE-F4</t>
  </si>
  <si>
    <t>21:18</t>
  </si>
  <si>
    <t>CWE-F5</t>
  </si>
  <si>
    <t>21:31</t>
  </si>
  <si>
    <t>CWE-F6</t>
  </si>
  <si>
    <t>21:44</t>
  </si>
  <si>
    <t>CWE-F7</t>
  </si>
  <si>
    <t>21:57</t>
  </si>
  <si>
    <t>CWE-F8</t>
  </si>
  <si>
    <t>22:10</t>
  </si>
  <si>
    <t>CWE-F9</t>
  </si>
  <si>
    <t>22:23</t>
  </si>
  <si>
    <t>CWE-F10</t>
  </si>
  <si>
    <t>22:36</t>
  </si>
  <si>
    <t>CWE-F11</t>
  </si>
  <si>
    <t>22:50</t>
  </si>
  <si>
    <t>CWE-F12</t>
  </si>
  <si>
    <t>23:03</t>
  </si>
  <si>
    <t>STD212</t>
  </si>
  <si>
    <t>23:16</t>
  </si>
  <si>
    <t>CWE-G1</t>
  </si>
  <si>
    <t>23:29</t>
  </si>
  <si>
    <t>CWE-G2</t>
  </si>
  <si>
    <t>23:42</t>
  </si>
  <si>
    <t>CWE-G3</t>
  </si>
  <si>
    <t>23:55</t>
  </si>
  <si>
    <t>CWE-G4</t>
  </si>
  <si>
    <t>03/07/2019</t>
  </si>
  <si>
    <t>00:08</t>
  </si>
  <si>
    <t xml:space="preserve">The analysis for total nitrogen, carbon and hydrogen was determined by Dr Thomas Rodemann </t>
  </si>
  <si>
    <t>at the Central Science Laboratory, University of Tasmania, using a Thermo Finnigan EA 1112 Series Flash Elemental Analyser.</t>
  </si>
  <si>
    <t>"Sample B4 got lost unfortunately. That was a first for this software but something  glitched and even though the run was completed it did not record the data. I stopped the run and continued the next day and all samples were analysed without any further issues."</t>
  </si>
  <si>
    <t>%difference between duplicates</t>
  </si>
  <si>
    <t>%N</t>
  </si>
  <si>
    <t>%C</t>
  </si>
  <si>
    <t>before next single point calibration standard</t>
  </si>
  <si>
    <t>PACS-2</t>
  </si>
  <si>
    <t>Acetanilide</t>
  </si>
  <si>
    <t>stdev.p</t>
  </si>
  <si>
    <t>n=4</t>
  </si>
  <si>
    <t>Thomas suspects this weight is wrong, no transcription error and nothing was noticed during weighing</t>
  </si>
  <si>
    <t>% difference from mean</t>
  </si>
  <si>
    <t>C/N</t>
  </si>
  <si>
    <t>All samples were dried again @ 60C over at least two nights prior to weighing</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</si>
  <si>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</si>
  <si>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</si>
  <si>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</si>
  <si>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</si>
  <si>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</si>
  <si>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</si>
  <si>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</si>
  <si>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</si>
  <si>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</si>
  <si>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</si>
  <si>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</si>
  <si>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</si>
  <si>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</si>
  <si>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</si>
  <si>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</si>
  <si>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</si>
  <si>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</si>
  <si>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</si>
  <si>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</si>
  <si>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</si>
  <si>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</si>
  <si>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</si>
  <si>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reached 123mA</t>
  </si>
  <si>
    <t>no tin cups, forgot</t>
  </si>
  <si>
    <t>blank 1</t>
  </si>
  <si>
    <t>blank 2</t>
  </si>
  <si>
    <t>blank 3</t>
  </si>
  <si>
    <t>CaCO3 Std.1  283.8</t>
  </si>
  <si>
    <t>CaCO3 Std.2  989.9</t>
  </si>
  <si>
    <t>CaCO3 Std.3  2018.5</t>
  </si>
  <si>
    <t>CaCO3 Std.4  2845.5</t>
  </si>
  <si>
    <t>CaCO3 Std.5  3773.1</t>
  </si>
  <si>
    <t>blank 4</t>
  </si>
  <si>
    <t>blank 5</t>
  </si>
  <si>
    <t>blank 6</t>
  </si>
  <si>
    <t>1999_54_1500_14a</t>
  </si>
  <si>
    <t>Blank 7</t>
  </si>
  <si>
    <t>2018_47_3800_01</t>
  </si>
  <si>
    <t>2018_47_3800_02</t>
  </si>
  <si>
    <t>2018_47_3800_03_a</t>
  </si>
  <si>
    <t>2018_47_3800_04</t>
  </si>
  <si>
    <t>2018_47_3800_05</t>
  </si>
  <si>
    <t>Blank 8</t>
  </si>
  <si>
    <t>2018_47_3800_06</t>
  </si>
  <si>
    <t>2018_47_3800_03_b</t>
  </si>
  <si>
    <t>2018_47_3800_07</t>
  </si>
  <si>
    <t>2018_47_3800_09</t>
  </si>
  <si>
    <t>2018_47_3800_10</t>
  </si>
  <si>
    <t>Blank 9</t>
  </si>
  <si>
    <t>CaCO3 Std.3  2156.4</t>
  </si>
  <si>
    <t>Blank 10</t>
  </si>
  <si>
    <t>moisture droplet visible after 0.22um filter but not after Nafion</t>
  </si>
  <si>
    <t>% difference between duplicates</t>
  </si>
  <si>
    <t>Analytical precision calculation / standard error of regression</t>
  </si>
  <si>
    <t>Estimate (ug C) from calibration curve</t>
  </si>
  <si>
    <t>standard deviation about the regression</t>
  </si>
  <si>
    <t>max precision ugC</t>
  </si>
  <si>
    <t>min precision ugC</t>
  </si>
  <si>
    <t>FLAG</t>
  </si>
  <si>
    <t>UIC ugC reading</t>
  </si>
  <si>
    <t>blanks</t>
  </si>
  <si>
    <t>% average sample</t>
  </si>
  <si>
    <t>cup #</t>
  </si>
  <si>
    <t>std curve</t>
  </si>
  <si>
    <t>% of sample average</t>
  </si>
  <si>
    <t>n</t>
  </si>
  <si>
    <t>samples</t>
  </si>
  <si>
    <t>ugC</t>
  </si>
  <si>
    <t>ugCaCO3</t>
  </si>
  <si>
    <t>2 replicates</t>
  </si>
  <si>
    <t>CaCO3 Std.1  241.2</t>
  </si>
  <si>
    <t>CaCO3 Std.2  1147.8</t>
  </si>
  <si>
    <t>CaCO3 Std.3  2114.3</t>
  </si>
  <si>
    <t>CaCO3 Std.4  2921.6</t>
  </si>
  <si>
    <t>CaCO3 Std.5  3962.9</t>
  </si>
  <si>
    <t>2018_47_3800_11</t>
  </si>
  <si>
    <t>2018_47_3800_12</t>
  </si>
  <si>
    <t>2018_47_3800_08_a</t>
  </si>
  <si>
    <t>2018_47_3800_13</t>
  </si>
  <si>
    <t>2018_47_3800_14</t>
  </si>
  <si>
    <t>2018_47_3800_15</t>
  </si>
  <si>
    <t>2018_47_3800_08_b</t>
  </si>
  <si>
    <t>2018_47_3800_16</t>
  </si>
  <si>
    <t>2018_47_3800_17</t>
  </si>
  <si>
    <t>2018_47_3800_18</t>
  </si>
  <si>
    <t>CaCO3 Std.2  1195.4</t>
  </si>
  <si>
    <t>cell reached 115mA</t>
  </si>
  <si>
    <t>first set of blanks were bad, see raw data. The same blanks were simply repeated.</t>
  </si>
  <si>
    <t>including tin cup</t>
  </si>
  <si>
    <t>2018_47_3800_19</t>
  </si>
  <si>
    <t>2018_47_3800_20</t>
  </si>
  <si>
    <t>2018_47_3800_21</t>
  </si>
  <si>
    <t>2018_47_2000_01</t>
  </si>
  <si>
    <t>2018_47_2000_03_a</t>
  </si>
  <si>
    <t>2018_47_2000_02</t>
  </si>
  <si>
    <t>2018_47_2000_03_b</t>
  </si>
  <si>
    <t>2018_47_2000_04</t>
  </si>
  <si>
    <t>2018_47_2000_05</t>
  </si>
  <si>
    <t>2018_47_2000_06</t>
  </si>
  <si>
    <t>CaCO3 Std.1  331.1</t>
  </si>
  <si>
    <t>CaCO3 Std.2  1344.2</t>
  </si>
  <si>
    <t>CaCO3 Std.3  2279.1</t>
  </si>
  <si>
    <t>CaCO3 Std.4  2985.3</t>
  </si>
  <si>
    <t>CaCO3 Std.5  3773.5</t>
  </si>
  <si>
    <t>2018_47_2000_07</t>
  </si>
  <si>
    <t>2018_47_2000_08</t>
  </si>
  <si>
    <t>2018_47_2000_09</t>
  </si>
  <si>
    <t>2018_47_2000_10</t>
  </si>
  <si>
    <t>2018_47_2000_17_a</t>
  </si>
  <si>
    <t>2018_47_2000_11</t>
  </si>
  <si>
    <t>2018_47_2000_12</t>
  </si>
  <si>
    <t>2018_47_2000_17_b</t>
  </si>
  <si>
    <t>2018_47_2000_13</t>
  </si>
  <si>
    <t>2018_47_2000_14</t>
  </si>
  <si>
    <t>CaCO3 Std.1  228.5</t>
  </si>
  <si>
    <t>CaCO3 Std.2  1071.1</t>
  </si>
  <si>
    <t>CaCO3 Std.3  2115.4</t>
  </si>
  <si>
    <t>CaCO3 Std.4  3027</t>
  </si>
  <si>
    <t>CaCO3 Std.5  3936</t>
  </si>
  <si>
    <t>cell reached 105mA</t>
  </si>
  <si>
    <t>blank</t>
  </si>
  <si>
    <t>CaCO3 Std.1  323.4</t>
  </si>
  <si>
    <t>CaCO3 Std.2  1252.9</t>
  </si>
  <si>
    <t>CaCO3 Std.3  2153.2</t>
  </si>
  <si>
    <t>CaCO3 Std.4  3092.8</t>
  </si>
  <si>
    <t>CaCO3 Std.5  3865.9</t>
  </si>
  <si>
    <t>2018_47_2000_15</t>
  </si>
  <si>
    <t>2018_47_2000_16</t>
  </si>
  <si>
    <t>2018_47_2000_18</t>
  </si>
  <si>
    <t>2018_47_1000_09_a</t>
  </si>
  <si>
    <t>2018_47_1000_01</t>
  </si>
  <si>
    <t>2018_47_2000_19</t>
  </si>
  <si>
    <t>2018_47_2000_20</t>
  </si>
  <si>
    <t>2018_47_2000_21</t>
  </si>
  <si>
    <t>2018_47_1000_09_b</t>
  </si>
  <si>
    <t>2018_47_1000_02</t>
  </si>
  <si>
    <t>CaCO3 Std.3  1947.1</t>
  </si>
  <si>
    <t>CaCO3 Std.3  2172.9</t>
  </si>
  <si>
    <t>CaCO3 Std.3  1873.8</t>
  </si>
  <si>
    <t>cell reached 107mA</t>
  </si>
  <si>
    <t>CaCO3 Std.1  260.7</t>
  </si>
  <si>
    <t>CaCO3 Std.2  1186.3</t>
  </si>
  <si>
    <t>CaCO3 Std.3  2258.6</t>
  </si>
  <si>
    <t>CaCO3 Std.4  3062.9</t>
  </si>
  <si>
    <t>CaCO3 Std.5  3874.5</t>
  </si>
  <si>
    <t>2018_47_1000_03</t>
  </si>
  <si>
    <t>2018_47_1000_04</t>
  </si>
  <si>
    <t>2018_47_1000_06</t>
  </si>
  <si>
    <t>2018_47_1000_14_a</t>
  </si>
  <si>
    <t>2018_47_1000_10</t>
  </si>
  <si>
    <t>2018_47_1000_11</t>
  </si>
  <si>
    <t>2018_47_1000_12</t>
  </si>
  <si>
    <t>2018_47_1000_13</t>
  </si>
  <si>
    <t>2018_47_1000_14_b</t>
  </si>
  <si>
    <t>2018_47_1000_15</t>
  </si>
  <si>
    <t>CaCO3 Std.3  2106.8</t>
  </si>
  <si>
    <t>_Bsi</t>
  </si>
  <si>
    <t>digest date</t>
  </si>
  <si>
    <t>digest #</t>
  </si>
  <si>
    <t>humidty temp</t>
  </si>
  <si>
    <t>date weighed</t>
  </si>
  <si>
    <t>nutrient tube</t>
  </si>
  <si>
    <t>rep</t>
  </si>
  <si>
    <t>yymmdd</t>
  </si>
  <si>
    <t>SAZ 19</t>
  </si>
  <si>
    <t>samp</t>
  </si>
  <si>
    <t>Sercon, pressed silver cups, 5.5x5mm, BN 287221, opened July '18 CWE</t>
  </si>
  <si>
    <t>Digestion steps:</t>
  </si>
  <si>
    <t>1. add 4ml 0.2M NaOH, vortex, losen cap, digest for 90 min in 95dC waterbath</t>
  </si>
  <si>
    <t>2. straight into ice slurry for 2min, then add 1ml 1M HCl, shake</t>
  </si>
  <si>
    <t>3. centrifuge for 10min (3000rpm, 215 rotor, 15.4cm radius)</t>
  </si>
  <si>
    <t>4. draw off 4ml into fresh nut. Tube, add 6ml MQ</t>
  </si>
  <si>
    <t>Bsi analysis</t>
  </si>
  <si>
    <t>3_c</t>
  </si>
  <si>
    <t>8_c</t>
  </si>
  <si>
    <t>triplicate</t>
  </si>
  <si>
    <t>31%, 21.3C</t>
  </si>
  <si>
    <t>30-29%, 22.2-22.6C</t>
  </si>
  <si>
    <t>17_c</t>
  </si>
  <si>
    <t>30%, 21.6C</t>
  </si>
  <si>
    <t>PACS-2 CRM 11.08</t>
  </si>
  <si>
    <t>repeat samples, due to losing results for 1000_15 during first run</t>
  </si>
  <si>
    <t>21.3-21.3C</t>
  </si>
  <si>
    <t>21.2-21.6C</t>
  </si>
  <si>
    <t>2018_47_1000_16</t>
  </si>
  <si>
    <t>2018_47_1000_17</t>
  </si>
  <si>
    <t>2018_47_1000_18</t>
  </si>
  <si>
    <t>2018_47_1000_07</t>
  </si>
  <si>
    <t>2018_47_1000_19</t>
  </si>
  <si>
    <t>2018_47_1000_20</t>
  </si>
  <si>
    <t>2018_47_1000_21</t>
  </si>
  <si>
    <t>I think this just failed to record the results, excluded from blank averages</t>
  </si>
  <si>
    <t>NO moisture droplet visible after 0.22um filter</t>
  </si>
  <si>
    <t>CaCO3 Std.1  334.6</t>
  </si>
  <si>
    <t>CaCO3 Std.2  1022.2</t>
  </si>
  <si>
    <t>CaCO3 Std.3  2035.1</t>
  </si>
  <si>
    <t>CaCO3 Std.4  3068</t>
  </si>
  <si>
    <t>CaCO3 Std.5  3527.1</t>
  </si>
  <si>
    <t>CaCO3 Std.3  1989.1</t>
  </si>
  <si>
    <t>copied from C:\Users\cawynn\cloudstor\sediment trap lab proc\RAW data\PIC, file name "PIC_SEDIMENT TRAP_RESULTS_CWE_2019_2.xls" and "PIC_SEDIMENT TRAP_RESULTS_CWE_2019_3.xls"</t>
  </si>
  <si>
    <t>std curve calculations - raw data calculations</t>
  </si>
  <si>
    <t>What % is the difference relative to std curve calc.</t>
  </si>
  <si>
    <t>31-31%, 21.4-22.8C</t>
  </si>
  <si>
    <t>9_c</t>
  </si>
  <si>
    <t>14_c</t>
  </si>
  <si>
    <t>21.5-22.7C</t>
  </si>
  <si>
    <r>
      <t>31-31%, 21.5-22.7</t>
    </r>
    <r>
      <rPr>
        <sz val="12"/>
        <color theme="1"/>
        <rFont val="Calibri"/>
        <family val="2"/>
      </rPr>
      <t>°</t>
    </r>
    <r>
      <rPr>
        <sz val="12"/>
        <color theme="1"/>
        <rFont val="Calibri"/>
        <family val="2"/>
        <charset val="204"/>
      </rPr>
      <t>C</t>
    </r>
  </si>
  <si>
    <t>21_a</t>
  </si>
  <si>
    <t>21_b</t>
  </si>
  <si>
    <t>21_c</t>
  </si>
  <si>
    <t>17_d</t>
  </si>
  <si>
    <t>8_d</t>
  </si>
  <si>
    <t>2 tin cups?</t>
  </si>
  <si>
    <t>15_a</t>
  </si>
  <si>
    <t>15_b</t>
  </si>
  <si>
    <t>15_c</t>
  </si>
  <si>
    <t>cell reached 101mA</t>
  </si>
  <si>
    <t>2018_47_1000_21_a</t>
  </si>
  <si>
    <t>2018_47_1000_21_b</t>
  </si>
  <si>
    <t>2018_47_1000_21_c</t>
  </si>
  <si>
    <t>CaCO3 Std.1  234.1</t>
  </si>
  <si>
    <t>CaCO3 Std.2  1105.6</t>
  </si>
  <si>
    <t>CaCO3 Std.3  2268.1</t>
  </si>
  <si>
    <t>CaCO3 Std.4  3001</t>
  </si>
  <si>
    <t>CaCO3 Std.5  3652.5</t>
  </si>
  <si>
    <t>CaCO3 Std.3  2096.9</t>
  </si>
  <si>
    <t>% diff</t>
  </si>
  <si>
    <t>% diff duplicates</t>
  </si>
  <si>
    <t>different runs</t>
  </si>
  <si>
    <t>ave</t>
  </si>
  <si>
    <t>4 replicates</t>
  </si>
  <si>
    <t>CaCO3 Std.1  298.9</t>
  </si>
  <si>
    <t>CaCO3 Std.2  1068.1</t>
  </si>
  <si>
    <t>CaCO3 Std.3  2286.8</t>
  </si>
  <si>
    <t>CaCO3 Std.4  3201.6</t>
  </si>
  <si>
    <t>CaCO3 Std.5  3858.3</t>
  </si>
  <si>
    <t>2018_47_3800_08</t>
  </si>
  <si>
    <t>2018_47_3800_15_a</t>
  </si>
  <si>
    <t>2018_47_3800_15_b</t>
  </si>
  <si>
    <t>2018_47_3800_15_c</t>
  </si>
  <si>
    <t>CaCO3 Std.3  2144.6</t>
  </si>
  <si>
    <t>3 replicates</t>
  </si>
  <si>
    <t>only result from 30/07/2019 &amp; 01/08/2019 was used</t>
  </si>
  <si>
    <t>RSD</t>
  </si>
  <si>
    <t>DISREGARDED</t>
  </si>
  <si>
    <t>1999_54_1500m_14a reference material</t>
  </si>
  <si>
    <t>mean within run</t>
  </si>
  <si>
    <t>difference / mean</t>
  </si>
  <si>
    <t>std of normalised differences</t>
  </si>
  <si>
    <t>estimated relative standard uncertainty for sinlge determinations</t>
  </si>
  <si>
    <t>standard uncertainty for single values</t>
  </si>
  <si>
    <t>max precision ugCaCO3</t>
  </si>
  <si>
    <t>difference/mean</t>
  </si>
  <si>
    <t>std</t>
  </si>
  <si>
    <t>relative std. uncertainty</t>
  </si>
  <si>
    <t>expanded uncertainty, coverage factor 2</t>
  </si>
  <si>
    <t>sample duplicates</t>
  </si>
  <si>
    <t>duplicates</t>
  </si>
  <si>
    <t>reference material</t>
  </si>
  <si>
    <t>difference between dups</t>
  </si>
  <si>
    <t>(std. of diff./mean)/sqrt(2)</t>
  </si>
  <si>
    <t>%C 71.05</t>
  </si>
  <si>
    <t>%N 10.42</t>
  </si>
  <si>
    <t>submitted CSL EA 29/7/2019</t>
  </si>
  <si>
    <t>std. uncertainty</t>
  </si>
  <si>
    <t>accuracy %C</t>
  </si>
  <si>
    <t>accuracy %N</t>
  </si>
  <si>
    <t>estimated relative std uncertainty</t>
  </si>
  <si>
    <t>combined measurement uncertainty</t>
  </si>
  <si>
    <t>% of average sample</t>
  </si>
  <si>
    <t>Pipette testing</t>
  </si>
  <si>
    <t>1-5ml Finnpipette</t>
  </si>
  <si>
    <t>22.2C</t>
  </si>
  <si>
    <t>4ml</t>
  </si>
  <si>
    <t>Brand tips (5ml)</t>
  </si>
  <si>
    <t>deviation</t>
  </si>
  <si>
    <t>10ml Eppendorf Research</t>
  </si>
  <si>
    <t>21.6C</t>
  </si>
  <si>
    <t>6ml</t>
  </si>
  <si>
    <t xml:space="preserve">2ml Eppendorf Multipipette </t>
  </si>
  <si>
    <t>0.5ml-25ml Eppendorf tips</t>
  </si>
  <si>
    <t>1ml</t>
  </si>
  <si>
    <t>digest time</t>
  </si>
  <si>
    <t>blank #2</t>
  </si>
  <si>
    <t>standard uncertainty</t>
  </si>
  <si>
    <t>blank #3</t>
  </si>
  <si>
    <t>blank #4</t>
  </si>
  <si>
    <t>CaCO3 calibration standard recovery</t>
  </si>
  <si>
    <t>mean recovery</t>
  </si>
  <si>
    <t>stdev.p recovery</t>
  </si>
  <si>
    <t>std. uncertainty of accuracy</t>
  </si>
  <si>
    <t>Relative standard uncertainty accuracy</t>
  </si>
  <si>
    <t>expanded MU, 95% confidence interval</t>
  </si>
  <si>
    <t>% error</t>
  </si>
  <si>
    <t>CSIRO Hydrochemistry Data Report - 94</t>
  </si>
  <si>
    <t>CSIRO Hydrochemistry Laboratory</t>
  </si>
  <si>
    <t>Date Issued:</t>
  </si>
  <si>
    <t>Castray Esplanade</t>
  </si>
  <si>
    <t>Sample receipt date:</t>
  </si>
  <si>
    <t>Hobart TAS 7000</t>
  </si>
  <si>
    <t>Data analysis date:</t>
  </si>
  <si>
    <t>Email: O&amp;AHydrochemistryFacility@csiro.au</t>
  </si>
  <si>
    <t>Client Details:</t>
  </si>
  <si>
    <t>Di Davies</t>
  </si>
  <si>
    <t>Analysis Type:</t>
  </si>
  <si>
    <t>CSIRO</t>
  </si>
  <si>
    <t>Nutrient</t>
  </si>
  <si>
    <t>Hydrochem SOP 001-4</t>
  </si>
  <si>
    <t>Hobart Tasmania 7004</t>
  </si>
  <si>
    <t>Phone:</t>
  </si>
  <si>
    <t>Email: di.davies@csiro.au</t>
  </si>
  <si>
    <t>Notes:</t>
  </si>
  <si>
    <t>All samples except the blanks had a 1:5 dilution in MQ water performed.  Samples 16794, 16799 and 16800 were too dilute and were also analysed neat.   The standards were made in acidified MQ water to match the pH of the samples.  The diluted samples had a pH 3.  Samples were analysed at 660 nm and 2 CRM lot CA &amp; CB were analysed with the samples. The crm was within 2% of certified value which is the acceptance criteria specified by the GO-SHIP</t>
  </si>
  <si>
    <t>Christine Rees</t>
  </si>
  <si>
    <t>Standard range was:</t>
  </si>
  <si>
    <t>CRM Results</t>
  </si>
  <si>
    <r>
      <rPr>
        <b/>
        <sz val="10"/>
        <rFont val="Calibri"/>
        <family val="2"/>
      </rPr>
      <t>µ</t>
    </r>
    <r>
      <rPr>
        <b/>
        <sz val="10"/>
        <rFont val="Arial"/>
        <family val="2"/>
      </rPr>
      <t>M</t>
    </r>
  </si>
  <si>
    <t>Cal 0</t>
  </si>
  <si>
    <r>
      <rPr>
        <sz val="10"/>
        <rFont val="Calibri"/>
        <family val="2"/>
      </rPr>
      <t>µ</t>
    </r>
    <r>
      <rPr>
        <sz val="10"/>
        <rFont val="Arial"/>
        <family val="2"/>
      </rPr>
      <t>M</t>
    </r>
  </si>
  <si>
    <t xml:space="preserve">Lot CA </t>
  </si>
  <si>
    <r>
      <rPr>
        <sz val="10"/>
        <rFont val="Calibri"/>
        <family val="2"/>
      </rPr>
      <t>±</t>
    </r>
    <r>
      <rPr>
        <sz val="10"/>
        <rFont val="Arial"/>
        <family val="2"/>
      </rPr>
      <t>0.23</t>
    </r>
  </si>
  <si>
    <t>certified value plus or minus expanded uncertainty</t>
  </si>
  <si>
    <t>Cal 1</t>
  </si>
  <si>
    <t>Cal 2</t>
  </si>
  <si>
    <t>stdev</t>
  </si>
  <si>
    <t>Cal 3</t>
  </si>
  <si>
    <t>Cal 4</t>
  </si>
  <si>
    <t>Lot CB</t>
  </si>
  <si>
    <r>
      <rPr>
        <sz val="10"/>
        <rFont val="Calibri"/>
        <family val="2"/>
      </rPr>
      <t>±</t>
    </r>
    <r>
      <rPr>
        <sz val="12"/>
        <color theme="1"/>
        <rFont val="Calibri"/>
        <family val="2"/>
        <charset val="204"/>
        <scheme val="minor"/>
      </rPr>
      <t>0.64</t>
    </r>
  </si>
  <si>
    <t>Cal 5</t>
  </si>
  <si>
    <t>Cal 6</t>
  </si>
  <si>
    <t>Cal 7</t>
  </si>
  <si>
    <t>Lab No.</t>
  </si>
  <si>
    <t>Site ID</t>
  </si>
  <si>
    <t>Nutrient ID</t>
  </si>
  <si>
    <t>Final Silicate (µM)</t>
  </si>
  <si>
    <t>47_1000 1</t>
  </si>
  <si>
    <t>47_1000 2</t>
  </si>
  <si>
    <t>47_1000 3</t>
  </si>
  <si>
    <t>47_1000 4</t>
  </si>
  <si>
    <t>47_1000 6</t>
  </si>
  <si>
    <t>47_1000 7</t>
  </si>
  <si>
    <t>47_1000 9_a</t>
  </si>
  <si>
    <t>47_1000 9_b</t>
  </si>
  <si>
    <t>47_1000 9_c</t>
  </si>
  <si>
    <t>47_1000 10</t>
  </si>
  <si>
    <t>PACS-2 1</t>
  </si>
  <si>
    <t>47_1000 11</t>
  </si>
  <si>
    <t>47_1000 12</t>
  </si>
  <si>
    <t>47_1000 13</t>
  </si>
  <si>
    <t>47_1000 14_a</t>
  </si>
  <si>
    <t>47_1000 14_b</t>
  </si>
  <si>
    <t>47_1000 14_c</t>
  </si>
  <si>
    <t>47_1000 15</t>
  </si>
  <si>
    <t>47_1000 16</t>
  </si>
  <si>
    <t>47_1000 17</t>
  </si>
  <si>
    <t>47_1000 18</t>
  </si>
  <si>
    <t>47_1000 19</t>
  </si>
  <si>
    <t>47_1000 20</t>
  </si>
  <si>
    <t>47_1000 21</t>
  </si>
  <si>
    <t>47_2000 1</t>
  </si>
  <si>
    <t>47_2000 2</t>
  </si>
  <si>
    <t>47_2000 3_a</t>
  </si>
  <si>
    <t>47_2000 3_b</t>
  </si>
  <si>
    <t>47_2000 3_c</t>
  </si>
  <si>
    <t>47_2000 4</t>
  </si>
  <si>
    <t>47_2000 5</t>
  </si>
  <si>
    <t>47_2000 6</t>
  </si>
  <si>
    <t>47_2000 7</t>
  </si>
  <si>
    <t>47_2000 8</t>
  </si>
  <si>
    <t>47_2000 9</t>
  </si>
  <si>
    <t>47_2000 10</t>
  </si>
  <si>
    <t>47_2000 11</t>
  </si>
  <si>
    <t>47_2000 12</t>
  </si>
  <si>
    <t>47_2000 13</t>
  </si>
  <si>
    <t>47_2000 14</t>
  </si>
  <si>
    <t>47_2000 15</t>
  </si>
  <si>
    <t>47_2000 16</t>
  </si>
  <si>
    <t>47_2000 17_a</t>
  </si>
  <si>
    <t>47_2000 17_b</t>
  </si>
  <si>
    <t>47_2000 17_c</t>
  </si>
  <si>
    <t>PACS-2 2</t>
  </si>
  <si>
    <t>47_2000 18</t>
  </si>
  <si>
    <t>47_2000 19</t>
  </si>
  <si>
    <t>47_2000 20</t>
  </si>
  <si>
    <t>47_2000 21</t>
  </si>
  <si>
    <t>47_3800 1</t>
  </si>
  <si>
    <t>47_3800 2</t>
  </si>
  <si>
    <t>47_3800 3_a</t>
  </si>
  <si>
    <t>47_3800 3_b</t>
  </si>
  <si>
    <t>47_3800 3_c</t>
  </si>
  <si>
    <t>47_3800 4</t>
  </si>
  <si>
    <t>PACS-2 3</t>
  </si>
  <si>
    <t>47_3800 5</t>
  </si>
  <si>
    <t>47_3800 6</t>
  </si>
  <si>
    <t>47_3800 7</t>
  </si>
  <si>
    <t>47_3800 8_a</t>
  </si>
  <si>
    <t>47_3800 8_b</t>
  </si>
  <si>
    <t>47_3800 8_c</t>
  </si>
  <si>
    <t>47_3800 9</t>
  </si>
  <si>
    <t>47_3800 10</t>
  </si>
  <si>
    <t>47_3800 11</t>
  </si>
  <si>
    <t>47_3800 12</t>
  </si>
  <si>
    <t>47_3800 13</t>
  </si>
  <si>
    <t>47_3800 14</t>
  </si>
  <si>
    <t>47_3800 15</t>
  </si>
  <si>
    <t>47_3800 16</t>
  </si>
  <si>
    <t>47_3800 17</t>
  </si>
  <si>
    <t>47_3800 18</t>
  </si>
  <si>
    <t>47_3800 19</t>
  </si>
  <si>
    <t>47_3800 20</t>
  </si>
  <si>
    <t>47_3800 21</t>
  </si>
  <si>
    <t>PACS-2 4</t>
  </si>
  <si>
    <t>PACS-2 5</t>
  </si>
  <si>
    <t>copied from "Report_94" in cloudstor under raw data / Bsi / saz20_1028</t>
  </si>
  <si>
    <t>raw data from 10mL extraction tube</t>
  </si>
  <si>
    <t>extraction blank average</t>
  </si>
  <si>
    <t>uM</t>
  </si>
  <si>
    <t>umol/L</t>
  </si>
  <si>
    <t>10ml per nutrient tube</t>
  </si>
  <si>
    <t>original digest volume 5ml, then 4ml taken off for anaysis</t>
  </si>
  <si>
    <t>sample weight ug</t>
  </si>
  <si>
    <t>final results Silicate uM minus extraction blank average</t>
  </si>
  <si>
    <t>SiO2-Si umol</t>
  </si>
  <si>
    <t>Bsi ug</t>
  </si>
  <si>
    <t>BSiO2 ug</t>
  </si>
  <si>
    <t>Bsi %</t>
  </si>
  <si>
    <t>BsiO2 %</t>
  </si>
  <si>
    <t>rep RSD Bsi%</t>
  </si>
  <si>
    <t>e.g.</t>
  </si>
  <si>
    <t>=</t>
  </si>
  <si>
    <t>average fraction CaCO3 our samples</t>
  </si>
  <si>
    <t>Ex. MU is % of average sample</t>
  </si>
  <si>
    <t>std %Bsi</t>
  </si>
  <si>
    <t>NA0</t>
  </si>
  <si>
    <t>weight ug</t>
  </si>
  <si>
    <t>% Bsi</t>
  </si>
  <si>
    <t>uM Si</t>
  </si>
  <si>
    <t>replicates</t>
  </si>
  <si>
    <t>std. uncertainty of accuracy LotCA</t>
  </si>
  <si>
    <t>Relative standard uncertainty accuracy LotCA</t>
  </si>
  <si>
    <t>std. uncertainty of accuracy LotCB</t>
  </si>
  <si>
    <t>Relative standard uncertainty accuracy LotCB</t>
  </si>
  <si>
    <t>Bsi</t>
  </si>
  <si>
    <t>average fraction BSi our samples</t>
  </si>
  <si>
    <t>pH check at the end of all measurements</t>
  </si>
  <si>
    <t>RSE</t>
  </si>
  <si>
    <t>exp mu (95% cf)</t>
  </si>
  <si>
    <t>12.88mS/cm</t>
  </si>
  <si>
    <t>mS/cm</t>
  </si>
  <si>
    <t>remnandt dry weight of 7 splits [g]</t>
  </si>
  <si>
    <t>7 splits of &lt;1mm filtered on 0.4um membrane filter, in 10ml scintillation vial, dried [g]</t>
  </si>
  <si>
    <t>smelled, had to be re-poisoned, lots of animal debris floating; this might explain the "odd" POC/PN value</t>
  </si>
  <si>
    <t>CEW2-A1</t>
  </si>
  <si>
    <t>06/08/2019</t>
  </si>
  <si>
    <t>02:33</t>
  </si>
  <si>
    <t>CEW2-A2</t>
  </si>
  <si>
    <t>02:46</t>
  </si>
  <si>
    <t>CEW2-A3</t>
  </si>
  <si>
    <t>02:59</t>
  </si>
  <si>
    <t>CEW2-A4</t>
  </si>
  <si>
    <t>03:12</t>
  </si>
  <si>
    <t>CEW2-A5</t>
  </si>
  <si>
    <t>03:26</t>
  </si>
  <si>
    <t>CEW2-A6</t>
  </si>
  <si>
    <t>03:39</t>
  </si>
  <si>
    <t>STD264</t>
  </si>
  <si>
    <t>03:52</t>
  </si>
  <si>
    <t>CEW2-A7</t>
  </si>
  <si>
    <t>04:05</t>
  </si>
  <si>
    <t>CEW2-A8</t>
  </si>
  <si>
    <t>04:18</t>
  </si>
  <si>
    <t>CEW2-A9</t>
  </si>
  <si>
    <t>04:31</t>
  </si>
  <si>
    <t>CEW2-A10</t>
  </si>
  <si>
    <t>04:44</t>
  </si>
  <si>
    <t>CEW2-A11</t>
  </si>
  <si>
    <t>04:57</t>
  </si>
  <si>
    <t>CEW2-A12</t>
  </si>
  <si>
    <t>05:10</t>
  </si>
  <si>
    <t>STD265</t>
  </si>
  <si>
    <t>05:23</t>
  </si>
  <si>
    <t>CEW2-B1</t>
  </si>
  <si>
    <t>05:36</t>
  </si>
  <si>
    <t>CEW2-B2</t>
  </si>
  <si>
    <t>05:49</t>
  </si>
  <si>
    <t>CEW2-B3</t>
  </si>
  <si>
    <t>06:02</t>
  </si>
  <si>
    <t>CEW2-B4</t>
  </si>
  <si>
    <t>06:15</t>
  </si>
  <si>
    <t>CEW2-B5</t>
  </si>
  <si>
    <t>06:28</t>
  </si>
  <si>
    <t>CEW2-B6</t>
  </si>
  <si>
    <t>06:42</t>
  </si>
  <si>
    <t>CEW2-B7</t>
  </si>
  <si>
    <t>06:55</t>
  </si>
  <si>
    <t>copied from C:\Users\cawynn\Cloudstor\sediment trap lab proc\RAW data\CHN\saz1920_2018, file name "CHN_analysis repeats raw data - August 2019.xls"</t>
  </si>
  <si>
    <t>%CV between repeats</t>
  </si>
  <si>
    <t>Sercon Smooth walled tin capsules, Flat base 5.5x5mm, BN 312212, opened June '19 CWE, washed and recycled Exetainer tubes (previously blanks and CaCO3 standards)</t>
  </si>
  <si>
    <t>30-30%, 21.2-22.1C</t>
  </si>
  <si>
    <t>previous results</t>
  </si>
  <si>
    <t>CV</t>
  </si>
  <si>
    <t>%CV between ALL repeats</t>
  </si>
  <si>
    <t>Replicates</t>
  </si>
  <si>
    <t xml:space="preserve">Most issues occur with integration of nitrogen, consistently high? Arising from integration close to injection dip from autosampler? </t>
  </si>
  <si>
    <t>note that Thomas claims 1%cv or better overall</t>
  </si>
  <si>
    <t>note that calculating %CV for small sample numbers means calculating a standard deviation for highly skewed data better described by the median and range.</t>
  </si>
  <si>
    <t>% diff C/N</t>
  </si>
  <si>
    <t xml:space="preserve">quantification of weighing errors difficult due to static and hygroscopic components hence C/N ratio consistency can reveal a weighing problem </t>
  </si>
  <si>
    <t xml:space="preserve"> Pacs easier to weigh, different material, better data consistency?</t>
  </si>
  <si>
    <t>Conte tosses out replicate at 5%CV for as yet unrevealed reason.</t>
  </si>
  <si>
    <t>% diff to median C/N</t>
  </si>
  <si>
    <t>median C/N</t>
  </si>
  <si>
    <t>Diff / mean</t>
  </si>
  <si>
    <t>CaCO3+opal + (POM=2.2*POC) + litho 3.7%</t>
  </si>
  <si>
    <t>deployment year start</t>
  </si>
  <si>
    <t>site</t>
  </si>
  <si>
    <t>depth_nominal</t>
  </si>
  <si>
    <t>metadata</t>
  </si>
  <si>
    <t>sample</t>
  </si>
  <si>
    <t>sample_qc</t>
  </si>
  <si>
    <t>sample open</t>
  </si>
  <si>
    <t>sample close</t>
  </si>
  <si>
    <t>sample mid-point</t>
  </si>
  <si>
    <t>sample_duration</t>
  </si>
  <si>
    <t>mass_flux</t>
  </si>
  <si>
    <t>mass_flux_qc</t>
  </si>
  <si>
    <t>standard_name</t>
  </si>
  <si>
    <t>long_name</t>
  </si>
  <si>
    <t>units</t>
  </si>
  <si>
    <t>sampler position</t>
  </si>
  <si>
    <t>yyyy:mm:dd hh:mm:ss UTC</t>
  </si>
  <si>
    <t>day</t>
  </si>
  <si>
    <t>comment</t>
  </si>
  <si>
    <t>supernatant</t>
  </si>
  <si>
    <t>comment_method</t>
  </si>
  <si>
    <t>dry wt 60C</t>
  </si>
  <si>
    <t>elemental analyser total carbon</t>
  </si>
  <si>
    <t>elemental analyser total nitrogen</t>
  </si>
  <si>
    <t>particulate total carbon minus particulate inorganic carbon</t>
  </si>
  <si>
    <t>comment_sample</t>
  </si>
  <si>
    <t>QC threshold 10%</t>
  </si>
  <si>
    <t>final results</t>
  </si>
  <si>
    <t>average of dup</t>
  </si>
  <si>
    <t>average of multiple</t>
  </si>
  <si>
    <t>%H</t>
  </si>
  <si>
    <t>mode</t>
  </si>
  <si>
    <t>depth actual mean 1799m</t>
  </si>
  <si>
    <t>depth actual mean 776m</t>
  </si>
  <si>
    <t>depth actual mean 3800m</t>
  </si>
  <si>
    <t>4% loss</t>
  </si>
  <si>
    <t>7% loss</t>
  </si>
  <si>
    <t>7/10th</t>
  </si>
  <si>
    <t>10/10th</t>
  </si>
  <si>
    <t>2000_19 error estimation</t>
  </si>
  <si>
    <t>2000_19 mass flux estimates</t>
  </si>
  <si>
    <t>lower limit 6.14</t>
  </si>
  <si>
    <t>lower limit 7.17</t>
  </si>
  <si>
    <t>PIC QC</t>
  </si>
  <si>
    <t>PC QC</t>
  </si>
  <si>
    <t>PN QC</t>
  </si>
  <si>
    <t>POC QC</t>
  </si>
  <si>
    <t>BSi QC</t>
  </si>
  <si>
    <t>PC mol QC</t>
  </si>
  <si>
    <t>PN mol QC</t>
  </si>
  <si>
    <t>POC mol QC</t>
  </si>
  <si>
    <t>PIC mol QC</t>
  </si>
  <si>
    <t>Bsi mol QC</t>
  </si>
  <si>
    <t>salts QC</t>
  </si>
  <si>
    <t>pH QC</t>
  </si>
  <si>
    <t>sampleQC</t>
  </si>
  <si>
    <t>mg m-2 d-1</t>
  </si>
  <si>
    <t>2000_19 fluid lost during filtration, final mass flux likely between 22.02 and 22.73 mg m-2 yr-1. Component fluxes are based on uncorrected mass flux of 21.14 mg m-2 yr-1.</t>
  </si>
  <si>
    <t>alkaline digest and segmented-flow spectrometry</t>
  </si>
  <si>
    <t>PC_mass_flux</t>
  </si>
  <si>
    <t>PN_mass_flux</t>
  </si>
  <si>
    <t>PN_mass_flux_qc</t>
  </si>
  <si>
    <t>PC_mass_flux_qc</t>
  </si>
  <si>
    <t>POC_mass_flux_qc</t>
  </si>
  <si>
    <t>PIC_mass_flux</t>
  </si>
  <si>
    <t>BSi_mass_flux</t>
  </si>
  <si>
    <t>BSi_mass_flux_qc</t>
  </si>
  <si>
    <t>PIC_mass_flux_qc</t>
  </si>
  <si>
    <t>closed system acidification and coulometry of evolved carbon dioxide</t>
  </si>
  <si>
    <t>POC_mass_flux</t>
  </si>
  <si>
    <t>sample duration</t>
  </si>
  <si>
    <t>particulate total mass flux</t>
  </si>
  <si>
    <t>sample supernatant pH NBS scale</t>
  </si>
  <si>
    <t>particulate total carbon mass flux</t>
  </si>
  <si>
    <t>particulate total nitrogen mass flux</t>
  </si>
  <si>
    <t>particulate organic carbon mass flux</t>
  </si>
  <si>
    <t>particulate inorganic carbon mass flux</t>
  </si>
  <si>
    <t>particulate biogenic silicon mass flux</t>
  </si>
  <si>
    <t>sample number</t>
  </si>
  <si>
    <t xml:space="preserve">sample supernatant practical salinity </t>
  </si>
  <si>
    <t>NaN</t>
  </si>
  <si>
    <t>SAZ47-20-2018</t>
  </si>
  <si>
    <t>mass_flux_uncertainty</t>
  </si>
  <si>
    <t>SAL_BRINE</t>
  </si>
  <si>
    <t>Supernatant pH measured potentiometrically on recovery as indicator of brine washout</t>
  </si>
  <si>
    <t>Supernatant salinity measured as conductivity on recovery as indicator of brine washout</t>
  </si>
  <si>
    <t>SAL_BRINE_uncertainty</t>
  </si>
  <si>
    <t>SAL_BRINE_qc</t>
  </si>
  <si>
    <t>pH_BRINE_uncertainty</t>
  </si>
  <si>
    <t>pH_BRINE</t>
  </si>
  <si>
    <t>pH_BRINE_qc</t>
  </si>
  <si>
    <t>PC_mass_flux_uncertainty</t>
  </si>
  <si>
    <t>PN_mass_flux_uncertainty</t>
  </si>
  <si>
    <t>POC_mass_flux_uncertainty</t>
  </si>
  <si>
    <t>PIC_mass_flux_uncertainty</t>
  </si>
  <si>
    <t>BSi_mass_flux_uncertainty</t>
  </si>
  <si>
    <t>valid_min</t>
  </si>
  <si>
    <t>valid_max</t>
  </si>
  <si>
    <t>relative_uncertainty</t>
  </si>
  <si>
    <t>pressure_actual</t>
  </si>
  <si>
    <t>actual pressure</t>
  </si>
  <si>
    <t>1</t>
  </si>
  <si>
    <r>
      <rPr>
        <sz val="11"/>
        <rFont val="1"/>
      </rPr>
      <t>1</t>
    </r>
  </si>
  <si>
    <t>McLane-PARFLUX-Mark78H-21 ; frame controller sn 12419-01, frame sn 12419-01, motor sn 12419-01, cup set O250x21</t>
  </si>
  <si>
    <t>McLane-PARFLUX-Mark78H-21 ; frame controller sn 12419-02, frame sn 12419-02, motor sn 12419-02, cup set S250x21</t>
  </si>
  <si>
    <t>McLane-PARFLUX-Mark78H-21 ; frame controller sn 12993-01, frame sn 12993-01, motor sn 12993-01, cup set R250x21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</si>
</sst>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d\-mmm\-yyyy"/>
    <numFmt numFmtId="165" formatCode="dd\.\ mmm\ yy"/>
    <numFmt numFmtId="166" formatCode="m/d/yy"/>
    <numFmt numFmtId="167" formatCode="0.0"/>
    <numFmt numFmtId="168" formatCode="dd/mm/yyyy;@"/>
    <numFmt numFmtId="169" formatCode="d\-mmm\-yy\ hh:mm"/>
    <numFmt numFmtId="170" formatCode="0.000"/>
    <numFmt numFmtId="171" formatCode="[$-F400]h:mm:ss\ AM/PM"/>
    <numFmt numFmtId="172" formatCode="0.0000"/>
    <numFmt numFmtId="173" formatCode="0.0000000000000000000000000000000000000"/>
    <numFmt numFmtId="174" formatCode="d/m/yyyy;@"/>
    <numFmt numFmtId="175" formatCode="d/mm/yyyy;@"/>
    <numFmt numFmtId="176" formatCode="0.00000"/>
    <numFmt numFmtId="177" formatCode="yyyy/mm/dd\ hh:mm:ss"/>
    <numFmt numFmtId="178" formatCode="0.0%"/>
  </numFmts>
  <fonts count="83">
    <font>
      <sz val="12"/>
      <color theme="1"/>
      <name val="Calibri"/>
      <family val="2"/>
      <charset val="204"/>
      <scheme val="minor"/>
    </font>
    <font>
      <sz val="11"/>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b/>
      <sz val="10"/>
      <color rgb="FFFF0000"/>
      <name val="Arial"/>
      <family val="2"/>
    </font>
    <font>
      <b/>
      <sz val="14"/>
      <color rgb="FFFF0000"/>
      <name val="Calibri"/>
      <family val="2"/>
      <scheme val="minor"/>
    </font>
    <font>
      <b/>
      <sz val="12"/>
      <name val="Calibri"/>
      <family val="2"/>
      <scheme val="minor"/>
    </font>
    <font>
      <sz val="12"/>
      <name val="Calibri"/>
      <family val="2"/>
      <scheme val="minor"/>
    </font>
    <font>
      <sz val="12"/>
      <name val="Arial"/>
      <family val="2"/>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4"/>
      <color theme="1"/>
      <name val="Calibri"/>
      <family val="2"/>
      <scheme val="minor"/>
    </font>
    <font>
      <sz val="12"/>
      <color rgb="FF000000"/>
      <name val="-webkit-standard"/>
    </font>
    <font>
      <sz val="10"/>
      <color theme="1"/>
      <name val="Times New Roman"/>
      <family val="1"/>
    </font>
    <font>
      <sz val="11"/>
      <color theme="1"/>
      <name val="Calibri"/>
      <family val="2"/>
    </font>
    <font>
      <sz val="12"/>
      <color theme="1"/>
      <name val="Calibri"/>
      <family val="2"/>
    </font>
    <font>
      <sz val="12"/>
      <color rgb="FF000000"/>
      <name val="Calibri"/>
      <family val="2"/>
    </font>
    <font>
      <b/>
      <sz val="12"/>
      <color theme="1"/>
      <name val="Calibri"/>
      <family val="2"/>
      <scheme val="minor"/>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11"/>
      <name val="Arial"/>
      <family val="2"/>
    </font>
    <font>
      <sz val="6"/>
      <name val="Calibri"/>
      <family val="2"/>
      <scheme val="minor"/>
    </font>
    <font>
      <sz val="8"/>
      <color theme="1"/>
      <name val="Calibri"/>
      <family val="2"/>
      <scheme val="minor"/>
    </font>
    <font>
      <sz val="12"/>
      <name val="Calibri"/>
      <family val="2"/>
      <charset val="204"/>
      <scheme val="minor"/>
    </font>
    <font>
      <b/>
      <sz val="14"/>
      <name val="Arial"/>
      <family val="2"/>
    </font>
    <font>
      <b/>
      <sz val="10"/>
      <color theme="9"/>
      <name val="Arial"/>
      <family val="2"/>
    </font>
    <font>
      <b/>
      <sz val="12"/>
      <color rgb="FFFF0000"/>
      <name val="Calibri"/>
      <family val="2"/>
      <scheme val="minor"/>
    </font>
    <font>
      <sz val="12"/>
      <color rgb="FFFF0000"/>
      <name val="Calibri"/>
      <family val="2"/>
      <charset val="204"/>
      <scheme val="minor"/>
    </font>
    <font>
      <sz val="12"/>
      <color theme="1"/>
      <name val="Calibri"/>
      <family val="2"/>
      <charset val="204"/>
      <scheme val="minor"/>
    </font>
    <font>
      <sz val="10"/>
      <name val="Calibri"/>
      <family val="2"/>
    </font>
    <font>
      <b/>
      <sz val="9"/>
      <color indexed="81"/>
      <name val="Calibri"/>
      <family val="2"/>
    </font>
    <font>
      <sz val="9"/>
      <color indexed="81"/>
      <name val="Calibri"/>
      <family val="2"/>
    </font>
    <font>
      <sz val="11"/>
      <color rgb="FFFF0000"/>
      <name val="Calibri"/>
      <family val="2"/>
      <scheme val="minor"/>
    </font>
    <font>
      <u/>
      <sz val="12"/>
      <color theme="10"/>
      <name val="Calibri"/>
      <family val="2"/>
      <charset val="204"/>
      <scheme val="minor"/>
    </font>
    <font>
      <b/>
      <sz val="12"/>
      <name val="Arial"/>
      <family val="2"/>
    </font>
    <font>
      <b/>
      <u/>
      <sz val="12"/>
      <color theme="10"/>
      <name val="Calibri"/>
      <family val="2"/>
      <scheme val="minor"/>
    </font>
    <font>
      <sz val="11"/>
      <name val="Calibri"/>
      <family val="2"/>
      <scheme val="minor"/>
    </font>
    <font>
      <sz val="10"/>
      <name val="Verdana"/>
      <family val="2"/>
    </font>
    <font>
      <sz val="10"/>
      <color theme="1"/>
      <name val="Calibri"/>
      <family val="2"/>
      <scheme val="minor"/>
    </font>
    <font>
      <b/>
      <sz val="10"/>
      <color theme="1"/>
      <name val="Calibri"/>
      <family val="2"/>
      <scheme val="minor"/>
    </font>
    <font>
      <sz val="10"/>
      <color theme="1"/>
      <name val="Calibri"/>
      <family val="2"/>
    </font>
    <font>
      <sz val="12"/>
      <color theme="1"/>
      <name val="Calibri"/>
      <family val="2"/>
      <charset val="204"/>
    </font>
    <font>
      <b/>
      <sz val="11"/>
      <color theme="1"/>
      <name val="Calibri"/>
      <family val="2"/>
      <scheme val="minor"/>
    </font>
    <font>
      <sz val="10"/>
      <color indexed="8"/>
      <name val="MS Sans Serif"/>
      <family val="2"/>
    </font>
    <font>
      <sz val="8"/>
      <name val="MS Sans Serif"/>
      <family val="2"/>
    </font>
    <font>
      <b/>
      <sz val="11"/>
      <name val="Calibri"/>
      <family val="2"/>
      <scheme val="minor"/>
    </font>
    <font>
      <sz val="8"/>
      <color rgb="FFFF0000"/>
      <name val="MS Sans Serif"/>
      <family val="2"/>
    </font>
    <font>
      <sz val="12"/>
      <color theme="1"/>
      <name val="Calibri"/>
      <family val="2"/>
      <scheme val="minor"/>
    </font>
    <font>
      <b/>
      <sz val="11"/>
      <color rgb="FFFF0000"/>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b/>
      <sz val="14"/>
      <name val="Arial"/>
      <family val="2"/>
    </font>
    <font>
      <u/>
      <sz val="10"/>
      <name val="Arial"/>
      <family val="2"/>
    </font>
    <font>
      <b/>
      <sz val="10"/>
      <name val="Arial"/>
      <family val="2"/>
    </font>
    <font>
      <i/>
      <sz val="9"/>
      <name val="Arial"/>
      <family val="2"/>
    </font>
    <font>
      <b/>
      <sz val="10"/>
      <name val="Calibri"/>
      <family val="2"/>
    </font>
    <font>
      <sz val="12"/>
      <color rgb="FF000000"/>
      <name val="Calibri"/>
      <family val="2"/>
      <charset val="204"/>
      <scheme val="minor"/>
    </font>
    <font>
      <sz val="10"/>
      <color theme="1"/>
      <name val="Calibri"/>
      <family val="2"/>
      <charset val="204"/>
      <scheme val="minor"/>
    </font>
    <font>
      <sz val="11"/>
      <name val="Calibri"/>
      <family val="2"/>
    </font>
    <font>
      <sz val="11"/>
      <color rgb="FFFF0000"/>
      <name val="Calibri"/>
      <family val="2"/>
    </font>
    <font>
      <sz val="12"/>
      <color theme="9" tint="-0.24994659260841701"/>
      <name val="Calibri"/>
      <family val="2"/>
      <charset val="204"/>
      <scheme val="minor"/>
    </font>
    <font>
      <sz val="10"/>
      <color theme="9" tint="-0.24994659260841701"/>
      <name val="Arial"/>
      <family val="2"/>
    </font>
    <font>
      <b/>
      <sz val="10"/>
      <color theme="9" tint="-0.24994659260841701"/>
      <name val="Arial"/>
      <family val="2"/>
    </font>
    <font>
      <b/>
      <sz val="12"/>
      <color theme="9" tint="-0.24994659260841701"/>
      <name val="Calibri"/>
      <family val="2"/>
      <scheme val="minor"/>
    </font>
    <font>
      <u/>
      <sz val="12"/>
      <color rgb="FFFF0000"/>
      <name val="Calibri"/>
      <family val="2"/>
      <charset val="204"/>
      <scheme val="minor"/>
    </font>
    <font>
      <sz val="10"/>
      <color rgb="FFFF0000"/>
      <name val="MS Sans Serif"/>
      <family val="2"/>
    </font>
    <font>
      <sz val="11"/>
      <name val="1"/>
    </font>
  </fonts>
  <fills count="21">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6" tint="0.79995117038483843"/>
        <bgColor indexed="64"/>
      </patternFill>
    </fill>
    <fill>
      <patternFill patternType="solid">
        <fgColor theme="0"/>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tint="-0.24994659260841701"/>
        <bgColor indexed="64"/>
      </patternFill>
    </fill>
    <fill>
      <patternFill patternType="solid">
        <fgColor rgb="FF92D050"/>
        <bgColor indexed="64"/>
      </patternFill>
    </fill>
    <fill>
      <patternFill patternType="solid">
        <fgColor theme="3" tint="0.59996337778862885"/>
        <bgColor indexed="64"/>
      </patternFill>
    </fill>
    <fill>
      <patternFill patternType="solid">
        <fgColor theme="0" tint="-0.34998626667073579"/>
        <bgColor indexed="64"/>
      </patternFill>
    </fill>
    <fill>
      <patternFill patternType="solid">
        <fgColor theme="9"/>
        <bgColor indexed="64"/>
      </patternFill>
    </fill>
    <fill>
      <patternFill patternType="solid">
        <fgColor theme="6" tint="0.59996337778862885"/>
        <bgColor indexed="64"/>
      </patternFill>
    </fill>
    <fill>
      <patternFill patternType="solid">
        <fgColor indexed="50"/>
        <bgColor indexed="64"/>
      </patternFill>
    </fill>
    <fill>
      <patternFill patternType="solid">
        <fgColor indexed="22"/>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5" tint="0.59996337778862885"/>
        <bgColor indexed="64"/>
      </patternFill>
    </fill>
  </fills>
  <borders count="45">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42" fillId="0" borderId="0" applyFont="0" applyFill="0" applyBorder="0" applyAlignment="0" applyProtection="0"/>
    <xf numFmtId="0" fontId="47" fillId="0" borderId="0" applyNumberFormat="0" applyFill="0" applyBorder="0" applyAlignment="0" applyProtection="0"/>
    <xf numFmtId="0" fontId="51" fillId="0" borderId="0"/>
    <xf numFmtId="0" fontId="57" fillId="0" borderId="0"/>
  </cellStyleXfs>
  <cellXfs count="720">
    <xf numFmtId="0" fontId="0" fillId="0" borderId="0" xfId="0"/>
    <xf numFmtId="0" fontId="2" fillId="0" borderId="0" xfId="0" applyFont="1"/>
    <xf numFmtId="0" fontId="2" fillId="0" borderId="0" xfId="0" applyFont="1" applyAlignment="1">
      <alignment horizontal="center"/>
    </xf>
    <xf numFmtId="0" fontId="2" fillId="0" borderId="0" xfId="0" applyFont="1" applyAlignme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5" xfId="0" applyFill="1" applyBorder="1" applyAlignment="1">
      <alignment horizontal="left"/>
    </xf>
    <xf numFmtId="0" fontId="6" fillId="0" borderId="0" xfId="0" applyFont="1"/>
    <xf numFmtId="0" fontId="6" fillId="0" borderId="7" xfId="0" applyFont="1" applyBorder="1"/>
    <xf numFmtId="0" fontId="6" fillId="0" borderId="10" xfId="0" applyFont="1" applyBorder="1"/>
    <xf numFmtId="0" fontId="6" fillId="0" borderId="3" xfId="0" applyFont="1" applyBorder="1"/>
    <xf numFmtId="0" fontId="7" fillId="0" borderId="0" xfId="0" applyFont="1" applyFill="1" applyBorder="1" applyAlignment="1">
      <alignment horizontal="center"/>
    </xf>
    <xf numFmtId="0" fontId="7" fillId="0" borderId="0" xfId="0" applyFont="1" applyFill="1" applyBorder="1" applyAlignment="1"/>
    <xf numFmtId="0" fontId="6" fillId="0" borderId="0" xfId="0" applyFont="1" applyFill="1" applyBorder="1"/>
    <xf numFmtId="2" fontId="6" fillId="0" borderId="0" xfId="0" applyNumberFormat="1" applyFont="1" applyFill="1" applyBorder="1"/>
    <xf numFmtId="0" fontId="8" fillId="0" borderId="0" xfId="0" applyFont="1"/>
    <xf numFmtId="0" fontId="9" fillId="0" borderId="1" xfId="0" applyFont="1" applyBorder="1"/>
    <xf numFmtId="2" fontId="10" fillId="0" borderId="1" xfId="0" applyNumberFormat="1" applyFont="1" applyBorder="1"/>
    <xf numFmtId="2" fontId="10" fillId="0" borderId="2" xfId="0" applyNumberFormat="1" applyFont="1" applyBorder="1"/>
    <xf numFmtId="2" fontId="10" fillId="0" borderId="3" xfId="0" applyNumberFormat="1" applyFont="1" applyBorder="1"/>
    <xf numFmtId="0" fontId="10" fillId="0" borderId="0" xfId="0" applyFont="1"/>
    <xf numFmtId="2" fontId="10" fillId="0" borderId="4" xfId="0" applyNumberFormat="1" applyFont="1" applyBorder="1"/>
    <xf numFmtId="2" fontId="10" fillId="0" borderId="5" xfId="0" applyNumberFormat="1" applyFont="1" applyBorder="1"/>
    <xf numFmtId="2" fontId="10" fillId="0" borderId="6" xfId="0" applyNumberFormat="1" applyFont="1" applyBorder="1"/>
    <xf numFmtId="2" fontId="10" fillId="0" borderId="4" xfId="0" applyNumberFormat="1" applyFont="1" applyBorder="1" applyAlignment="1">
      <alignment horizontal="right"/>
    </xf>
    <xf numFmtId="2" fontId="10" fillId="0" borderId="7" xfId="0" applyNumberFormat="1" applyFont="1" applyBorder="1"/>
    <xf numFmtId="2" fontId="10" fillId="0" borderId="8" xfId="0" applyNumberFormat="1" applyFont="1" applyBorder="1"/>
    <xf numFmtId="2" fontId="10" fillId="0" borderId="9" xfId="0" applyNumberFormat="1" applyFont="1" applyBorder="1"/>
    <xf numFmtId="0" fontId="10" fillId="0" borderId="9" xfId="0" applyFont="1" applyBorder="1"/>
    <xf numFmtId="0" fontId="10" fillId="0" borderId="1" xfId="0" applyFont="1" applyBorder="1"/>
    <xf numFmtId="0" fontId="10" fillId="0" borderId="4" xfId="0" applyFont="1" applyBorder="1"/>
    <xf numFmtId="0" fontId="10" fillId="0" borderId="4" xfId="0" applyFont="1" applyBorder="1" applyAlignment="1">
      <alignment horizontal="right"/>
    </xf>
    <xf numFmtId="2" fontId="10" fillId="0" borderId="0" xfId="0" applyNumberFormat="1" applyFont="1"/>
    <xf numFmtId="0" fontId="10" fillId="2" borderId="0" xfId="0" applyFont="1" applyFill="1"/>
    <xf numFmtId="0" fontId="10" fillId="0" borderId="0" xfId="0" applyFont="1" applyFill="1"/>
    <xf numFmtId="0" fontId="10" fillId="0" borderId="0" xfId="0" applyFont="1" applyBorder="1"/>
    <xf numFmtId="0" fontId="10" fillId="0" borderId="6" xfId="0" applyFont="1" applyBorder="1"/>
    <xf numFmtId="0" fontId="10" fillId="0" borderId="4" xfId="0" applyFont="1" applyBorder="1" applyAlignment="1">
      <alignment horizontal="center"/>
    </xf>
    <xf numFmtId="0" fontId="10" fillId="0" borderId="0" xfId="0" applyFont="1" applyBorder="1" applyAlignment="1">
      <alignment horizontal="center"/>
    </xf>
    <xf numFmtId="0" fontId="10" fillId="0" borderId="6" xfId="0" applyFont="1" applyBorder="1" applyAlignment="1">
      <alignment horizontal="center"/>
    </xf>
    <xf numFmtId="0" fontId="10" fillId="0" borderId="1" xfId="0" applyFont="1" applyBorder="1" applyAlignment="1">
      <alignment horizontal="left" vertical="center"/>
    </xf>
    <xf numFmtId="0" fontId="11" fillId="0" borderId="1" xfId="0" applyFont="1" applyFill="1" applyBorder="1" applyAlignment="1">
      <alignment horizontal="left" vertical="center"/>
    </xf>
    <xf numFmtId="0" fontId="10" fillId="0" borderId="4" xfId="0" applyFont="1" applyBorder="1" applyAlignment="1">
      <alignment horizontal="left" vertical="center"/>
    </xf>
    <xf numFmtId="0" fontId="10" fillId="0" borderId="4" xfId="0" applyFont="1" applyFill="1" applyBorder="1" applyAlignment="1">
      <alignment horizontal="left" vertical="center"/>
    </xf>
    <xf numFmtId="0" fontId="10" fillId="0" borderId="7" xfId="0" applyFont="1" applyBorder="1" applyAlignment="1">
      <alignment horizontal="left" vertical="center"/>
    </xf>
    <xf numFmtId="0" fontId="10" fillId="0" borderId="7" xfId="0" applyFont="1" applyFill="1" applyBorder="1" applyAlignment="1">
      <alignment horizontal="left" vertical="center"/>
    </xf>
    <xf numFmtId="0" fontId="10" fillId="0" borderId="2" xfId="0" applyFont="1" applyBorder="1" applyAlignment="1">
      <alignment horizontal="left" vertical="center"/>
    </xf>
    <xf numFmtId="0" fontId="11" fillId="0" borderId="5" xfId="0" applyFont="1" applyFill="1" applyBorder="1" applyAlignment="1">
      <alignment horizontal="left" vertical="center"/>
    </xf>
    <xf numFmtId="0" fontId="11" fillId="0" borderId="8" xfId="0" applyFont="1" applyFill="1" applyBorder="1" applyAlignment="1">
      <alignment horizontal="left" vertical="center"/>
    </xf>
    <xf numFmtId="0" fontId="12" fillId="0" borderId="0" xfId="0" applyFont="1"/>
    <xf numFmtId="0" fontId="13" fillId="0" borderId="0" xfId="0" applyFont="1"/>
    <xf numFmtId="15" fontId="14" fillId="0" borderId="0" xfId="0" applyNumberFormat="1" applyFont="1"/>
    <xf numFmtId="0" fontId="15" fillId="4" borderId="0" xfId="0" applyFont="1" applyFill="1"/>
    <xf numFmtId="15" fontId="15" fillId="4" borderId="0" xfId="0" applyNumberFormat="1" applyFont="1" applyFill="1"/>
    <xf numFmtId="15" fontId="14" fillId="4" borderId="0" xfId="0" applyNumberFormat="1" applyFont="1" applyFill="1"/>
    <xf numFmtId="0" fontId="12" fillId="4" borderId="0" xfId="0" applyFont="1" applyFill="1"/>
    <xf numFmtId="164" fontId="12" fillId="4" borderId="0" xfId="0" applyNumberFormat="1" applyFont="1" applyFill="1"/>
    <xf numFmtId="164" fontId="15" fillId="4" borderId="0" xfId="0" applyNumberFormat="1" applyFont="1" applyFill="1"/>
    <xf numFmtId="164" fontId="14" fillId="4" borderId="0" xfId="0" applyNumberFormat="1" applyFont="1" applyFill="1"/>
    <xf numFmtId="0" fontId="14" fillId="4" borderId="0" xfId="0" applyFont="1" applyFill="1"/>
    <xf numFmtId="165" fontId="14" fillId="4" borderId="0" xfId="0" applyNumberFormat="1" applyFont="1" applyFill="1"/>
    <xf numFmtId="1" fontId="12" fillId="4" borderId="0" xfId="0" applyNumberFormat="1" applyFont="1" applyFill="1"/>
    <xf numFmtId="0" fontId="13" fillId="4" borderId="0" xfId="0" applyFont="1" applyFill="1"/>
    <xf numFmtId="0" fontId="16" fillId="0" borderId="0" xfId="0" applyFont="1"/>
    <xf numFmtId="0" fontId="17" fillId="0" borderId="0" xfId="0" applyFont="1"/>
    <xf numFmtId="166" fontId="17" fillId="0" borderId="0" xfId="0" applyNumberFormat="1" applyFont="1"/>
    <xf numFmtId="14" fontId="0" fillId="0" borderId="0" xfId="0" applyNumberFormat="1"/>
    <xf numFmtId="0" fontId="19" fillId="0" borderId="0" xfId="0" applyFont="1"/>
    <xf numFmtId="0" fontId="20"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right" vertical="center"/>
    </xf>
    <xf numFmtId="0" fontId="21" fillId="0" borderId="0" xfId="0" applyFont="1"/>
    <xf numFmtId="0" fontId="22" fillId="0" borderId="0" xfId="0" applyFont="1" applyAlignment="1">
      <alignment vertical="center" wrapText="1"/>
    </xf>
    <xf numFmtId="0" fontId="22" fillId="0" borderId="0" xfId="0" applyFont="1" applyAlignment="1">
      <alignment vertical="center"/>
    </xf>
    <xf numFmtId="0" fontId="24" fillId="0" borderId="0" xfId="0" applyFont="1" applyAlignment="1">
      <alignment horizontal="right" vertical="center"/>
    </xf>
    <xf numFmtId="0" fontId="25" fillId="0" borderId="0" xfId="0" applyFont="1"/>
    <xf numFmtId="1" fontId="16" fillId="0" borderId="0" xfId="0" applyNumberFormat="1" applyFont="1" applyAlignment="1">
      <alignment horizontal="left"/>
    </xf>
    <xf numFmtId="2" fontId="2" fillId="0" borderId="0" xfId="0" applyNumberFormat="1" applyFont="1"/>
    <xf numFmtId="1" fontId="2" fillId="0" borderId="0" xfId="0" applyNumberFormat="1" applyFont="1"/>
    <xf numFmtId="167" fontId="26"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27" fillId="0" borderId="0" xfId="0" applyNumberFormat="1" applyFont="1" applyAlignment="1">
      <alignment horizontal="left"/>
    </xf>
    <xf numFmtId="2" fontId="0" fillId="0" borderId="0" xfId="0" applyNumberFormat="1"/>
    <xf numFmtId="2" fontId="28" fillId="0" borderId="0" xfId="0" applyNumberFormat="1" applyFont="1"/>
    <xf numFmtId="167" fontId="27" fillId="5" borderId="0" xfId="0" applyNumberFormat="1" applyFont="1" applyFill="1" applyAlignment="1">
      <alignment horizontal="right"/>
    </xf>
    <xf numFmtId="2" fontId="27" fillId="0" borderId="0" xfId="0" applyNumberFormat="1" applyFont="1"/>
    <xf numFmtId="0" fontId="2" fillId="0" borderId="0" xfId="0" applyFont="1" applyAlignment="1">
      <alignment horizontal="left"/>
    </xf>
    <xf numFmtId="0" fontId="26" fillId="0" borderId="0" xfId="0" applyFont="1"/>
    <xf numFmtId="1" fontId="29" fillId="0" borderId="0" xfId="0" applyNumberFormat="1" applyFont="1" applyAlignment="1">
      <alignment horizontal="left"/>
    </xf>
    <xf numFmtId="1" fontId="0" fillId="0" borderId="0" xfId="0" applyNumberFormat="1"/>
    <xf numFmtId="167" fontId="28"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27" fillId="5" borderId="0" xfId="0" applyNumberFormat="1" applyFont="1" applyFill="1" applyAlignment="1">
      <alignment horizontal="right"/>
    </xf>
    <xf numFmtId="0" fontId="27" fillId="0" borderId="0" xfId="0" applyFont="1"/>
    <xf numFmtId="1" fontId="0" fillId="0" borderId="0" xfId="0" applyNumberFormat="1" applyAlignment="1">
      <alignment horizontal="left"/>
    </xf>
    <xf numFmtId="15" fontId="0" fillId="0" borderId="0" xfId="0" applyNumberFormat="1" applyAlignment="1">
      <alignment horizontal="left"/>
    </xf>
    <xf numFmtId="0" fontId="30"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8" fillId="0" borderId="0" xfId="0" applyNumberFormat="1" applyFont="1" applyAlignment="1">
      <alignment horizontal="left"/>
    </xf>
    <xf numFmtId="1" fontId="26" fillId="6" borderId="0" xfId="0" applyNumberFormat="1" applyFont="1" applyFill="1"/>
    <xf numFmtId="0" fontId="7" fillId="0" borderId="0" xfId="0" applyFont="1"/>
    <xf numFmtId="167" fontId="31" fillId="0" borderId="0" xfId="0" applyNumberFormat="1" applyFont="1"/>
    <xf numFmtId="2" fontId="2" fillId="0" borderId="0" xfId="0" applyNumberFormat="1" applyFont="1" applyAlignment="1">
      <alignment horizontal="left"/>
    </xf>
    <xf numFmtId="0" fontId="32" fillId="0" borderId="0" xfId="0" applyFont="1"/>
    <xf numFmtId="0" fontId="29" fillId="0" borderId="0" xfId="0" applyFont="1" applyAlignment="1">
      <alignment horizontal="left"/>
    </xf>
    <xf numFmtId="1" fontId="32" fillId="0" borderId="0" xfId="0" applyNumberFormat="1" applyFont="1"/>
    <xf numFmtId="167" fontId="32" fillId="0" borderId="0" xfId="0" applyNumberFormat="1" applyFont="1"/>
    <xf numFmtId="2" fontId="32" fillId="0" borderId="0" xfId="0" applyNumberFormat="1" applyFont="1" applyAlignment="1">
      <alignment horizontal="center"/>
    </xf>
    <xf numFmtId="167" fontId="32" fillId="0" borderId="0" xfId="0" quotePrefix="1" applyNumberFormat="1" applyFont="1"/>
    <xf numFmtId="168" fontId="32" fillId="0" borderId="0" xfId="0" applyNumberFormat="1" applyFont="1" applyAlignment="1">
      <alignment horizontal="right"/>
    </xf>
    <xf numFmtId="169" fontId="32" fillId="0" borderId="0" xfId="0" applyNumberFormat="1" applyFont="1"/>
    <xf numFmtId="0" fontId="0" fillId="0" borderId="0" xfId="0" applyAlignment="1">
      <alignment wrapText="1"/>
    </xf>
    <xf numFmtId="0" fontId="28" fillId="0" borderId="0" xfId="0" applyFont="1"/>
    <xf numFmtId="0" fontId="27" fillId="0" borderId="0" xfId="0" applyFont="1" applyAlignment="1">
      <alignment horizontal="right"/>
    </xf>
    <xf numFmtId="1" fontId="27" fillId="0" borderId="0" xfId="0" applyNumberFormat="1" applyFont="1" applyAlignment="1">
      <alignment horizontal="left"/>
    </xf>
    <xf numFmtId="0" fontId="28" fillId="5" borderId="0" xfId="0" applyFont="1" applyFill="1"/>
    <xf numFmtId="0" fontId="27" fillId="5" borderId="0" xfId="0" applyFont="1" applyFill="1" applyAlignment="1">
      <alignment horizontal="left"/>
    </xf>
    <xf numFmtId="0" fontId="30" fillId="5" borderId="0" xfId="0" applyFont="1" applyFill="1"/>
    <xf numFmtId="0" fontId="0" fillId="5" borderId="0" xfId="0" applyFill="1"/>
    <xf numFmtId="2" fontId="33" fillId="5" borderId="0" xfId="0" applyNumberFormat="1" applyFont="1" applyFill="1"/>
    <xf numFmtId="1" fontId="33" fillId="5" borderId="0" xfId="0" applyNumberFormat="1" applyFont="1" applyFill="1"/>
    <xf numFmtId="1" fontId="27" fillId="5" borderId="0" xfId="0" applyNumberFormat="1" applyFont="1" applyFill="1"/>
    <xf numFmtId="0" fontId="27" fillId="5" borderId="0" xfId="0" applyFont="1" applyFill="1"/>
    <xf numFmtId="0" fontId="33" fillId="5" borderId="0" xfId="0" applyFont="1" applyFill="1"/>
    <xf numFmtId="2" fontId="33" fillId="5" borderId="0" xfId="0" applyNumberFormat="1" applyFont="1" applyFill="1" applyAlignment="1">
      <alignment horizontal="center"/>
    </xf>
    <xf numFmtId="167" fontId="33" fillId="5" borderId="0" xfId="0" applyNumberFormat="1" applyFont="1" applyFill="1"/>
    <xf numFmtId="168" fontId="33" fillId="5" borderId="0" xfId="0" applyNumberFormat="1" applyFont="1" applyFill="1" applyAlignment="1">
      <alignment horizontal="right"/>
    </xf>
    <xf numFmtId="15" fontId="33" fillId="5" borderId="0" xfId="0" applyNumberFormat="1" applyFont="1" applyFill="1"/>
    <xf numFmtId="164" fontId="33" fillId="5" borderId="0" xfId="0" applyNumberFormat="1" applyFont="1" applyFill="1"/>
    <xf numFmtId="0" fontId="33" fillId="0" borderId="0" xfId="0" applyFont="1" applyFill="1"/>
    <xf numFmtId="0" fontId="0" fillId="0" borderId="0" xfId="0" applyFill="1"/>
    <xf numFmtId="170" fontId="0" fillId="0" borderId="0" xfId="0" applyNumberFormat="1"/>
    <xf numFmtId="2" fontId="28" fillId="0" borderId="0" xfId="0" applyNumberFormat="1" applyFont="1" applyFill="1"/>
    <xf numFmtId="167" fontId="30" fillId="0" borderId="0" xfId="0" applyNumberFormat="1" applyFont="1"/>
    <xf numFmtId="167" fontId="27" fillId="0" borderId="0" xfId="0" applyNumberFormat="1" applyFont="1"/>
    <xf numFmtId="0" fontId="27" fillId="0" borderId="0" xfId="0" applyFont="1" applyAlignment="1">
      <alignment horizontal="left"/>
    </xf>
    <xf numFmtId="2" fontId="33" fillId="0" borderId="0" xfId="0" applyNumberFormat="1" applyFont="1"/>
    <xf numFmtId="1" fontId="33" fillId="0" borderId="0" xfId="0" applyNumberFormat="1" applyFont="1"/>
    <xf numFmtId="1" fontId="27" fillId="0" borderId="0" xfId="0" applyNumberFormat="1" applyFont="1"/>
    <xf numFmtId="0" fontId="33" fillId="0" borderId="0" xfId="0" applyFont="1"/>
    <xf numFmtId="1" fontId="27" fillId="0" borderId="0" xfId="0" applyNumberFormat="1" applyFont="1" applyAlignment="1">
      <alignment horizontal="right"/>
    </xf>
    <xf numFmtId="1" fontId="33" fillId="0" borderId="0" xfId="0" applyNumberFormat="1" applyFont="1" applyAlignment="1">
      <alignment horizontal="left"/>
    </xf>
    <xf numFmtId="167" fontId="33" fillId="0" borderId="0" xfId="0" applyNumberFormat="1" applyFont="1"/>
    <xf numFmtId="20" fontId="30" fillId="0" borderId="0" xfId="0" applyNumberFormat="1" applyFont="1"/>
    <xf numFmtId="15" fontId="30" fillId="0" borderId="0" xfId="0" applyNumberFormat="1" applyFont="1"/>
    <xf numFmtId="1" fontId="30" fillId="0" borderId="0" xfId="0" applyNumberFormat="1" applyFont="1"/>
    <xf numFmtId="1" fontId="30" fillId="0" borderId="0" xfId="0" applyNumberFormat="1" applyFont="1" applyAlignment="1">
      <alignment horizontal="left"/>
    </xf>
    <xf numFmtId="2" fontId="30" fillId="0" borderId="0" xfId="0" applyNumberFormat="1" applyFont="1"/>
    <xf numFmtId="0" fontId="34" fillId="0" borderId="1" xfId="0" applyFont="1" applyBorder="1" applyAlignment="1">
      <alignment vertical="center"/>
    </xf>
    <xf numFmtId="1" fontId="34" fillId="0" borderId="10" xfId="0" applyNumberFormat="1" applyFont="1" applyBorder="1" applyAlignment="1">
      <alignment vertical="center"/>
    </xf>
    <xf numFmtId="0" fontId="34" fillId="0" borderId="10" xfId="0" applyFont="1" applyBorder="1" applyAlignment="1">
      <alignment horizontal="left" vertical="center"/>
    </xf>
    <xf numFmtId="0" fontId="34" fillId="0" borderId="3" xfId="0" applyFont="1" applyBorder="1" applyAlignment="1">
      <alignment vertical="center"/>
    </xf>
    <xf numFmtId="0" fontId="34" fillId="0" borderId="10" xfId="0" applyFont="1" applyBorder="1" applyAlignment="1">
      <alignment vertical="center"/>
    </xf>
    <xf numFmtId="0" fontId="35" fillId="0" borderId="0" xfId="0" applyFont="1" applyAlignment="1">
      <alignment horizontal="center" vertical="center" wrapText="1"/>
    </xf>
    <xf numFmtId="0" fontId="0" fillId="7" borderId="0" xfId="0" applyFill="1"/>
    <xf numFmtId="0" fontId="36" fillId="7" borderId="0" xfId="0" applyFont="1" applyFill="1" applyAlignment="1">
      <alignment horizontal="center" vertical="center"/>
    </xf>
    <xf numFmtId="0" fontId="36" fillId="7" borderId="0" xfId="0" applyFont="1" applyFill="1" applyAlignment="1">
      <alignment horizontal="center"/>
    </xf>
    <xf numFmtId="0" fontId="0" fillId="7" borderId="0" xfId="0" applyFill="1" applyAlignment="1">
      <alignment horizontal="center"/>
    </xf>
    <xf numFmtId="0" fontId="36" fillId="7" borderId="0" xfId="0" applyFont="1" applyFill="1"/>
    <xf numFmtId="0" fontId="19" fillId="0" borderId="0" xfId="0" applyFont="1" applyAlignment="1">
      <alignment horizontal="center" vertical="center"/>
    </xf>
    <xf numFmtId="0" fontId="36" fillId="0" borderId="0" xfId="0" applyFont="1" applyAlignment="1">
      <alignment horizontal="center"/>
    </xf>
    <xf numFmtId="0" fontId="36" fillId="0" borderId="0" xfId="0" applyFont="1"/>
    <xf numFmtId="0" fontId="0" fillId="0" borderId="0" xfId="0" applyAlignment="1">
      <alignment horizontal="left" vertical="center"/>
    </xf>
    <xf numFmtId="1" fontId="17" fillId="0" borderId="0" xfId="0" applyNumberFormat="1" applyFont="1" applyAlignment="1">
      <alignment horizontal="left"/>
    </xf>
    <xf numFmtId="0" fontId="13" fillId="5" borderId="0" xfId="0" applyFont="1" applyFill="1"/>
    <xf numFmtId="171" fontId="13" fillId="0" borderId="0" xfId="0" applyNumberFormat="1" applyFont="1"/>
    <xf numFmtId="14" fontId="13" fillId="0" borderId="0" xfId="0" applyNumberFormat="1" applyFont="1"/>
    <xf numFmtId="0" fontId="37" fillId="0" borderId="0" xfId="0" applyFont="1"/>
    <xf numFmtId="21" fontId="0" fillId="0" borderId="0" xfId="0" applyNumberFormat="1"/>
    <xf numFmtId="0" fontId="38" fillId="0" borderId="0" xfId="0" applyFont="1"/>
    <xf numFmtId="0" fontId="0" fillId="0" borderId="1" xfId="0" applyBorder="1"/>
    <xf numFmtId="0" fontId="0" fillId="0" borderId="10" xfId="0" applyBorder="1"/>
    <xf numFmtId="0" fontId="18" fillId="0" borderId="10" xfId="0" applyFont="1" applyBorder="1"/>
    <xf numFmtId="0" fontId="0" fillId="0" borderId="3" xfId="0" applyBorder="1"/>
    <xf numFmtId="0" fontId="25" fillId="0" borderId="4" xfId="0" applyFont="1" applyBorder="1"/>
    <xf numFmtId="0" fontId="0" fillId="0" borderId="0" xfId="0" applyBorder="1"/>
    <xf numFmtId="21" fontId="0" fillId="0" borderId="6" xfId="0" applyNumberFormat="1" applyBorder="1"/>
    <xf numFmtId="0" fontId="25" fillId="0" borderId="0" xfId="0" applyFont="1" applyBorder="1"/>
    <xf numFmtId="21" fontId="0" fillId="0" borderId="0" xfId="0" applyNumberFormat="1" applyBorder="1"/>
    <xf numFmtId="0" fontId="0" fillId="0" borderId="6" xfId="0" applyBorder="1"/>
    <xf numFmtId="0" fontId="0" fillId="0" borderId="4" xfId="0" applyBorder="1"/>
    <xf numFmtId="0" fontId="0" fillId="0" borderId="7" xfId="0" applyBorder="1"/>
    <xf numFmtId="0" fontId="0" fillId="0" borderId="12" xfId="0" applyBorder="1"/>
    <xf numFmtId="0" fontId="0" fillId="0" borderId="9" xfId="0" applyBorder="1"/>
    <xf numFmtId="0" fontId="0" fillId="3" borderId="0" xfId="0" applyFill="1"/>
    <xf numFmtId="0" fontId="25" fillId="0" borderId="4" xfId="0" applyFont="1" applyFill="1" applyBorder="1"/>
    <xf numFmtId="14" fontId="0" fillId="0" borderId="0" xfId="0" applyNumberFormat="1" applyBorder="1"/>
    <xf numFmtId="14" fontId="27" fillId="0" borderId="0" xfId="0" applyNumberFormat="1" applyFont="1"/>
    <xf numFmtId="2" fontId="13" fillId="0" borderId="0" xfId="0" applyNumberFormat="1" applyFont="1"/>
    <xf numFmtId="15" fontId="0" fillId="0" borderId="0" xfId="0" applyNumberFormat="1"/>
    <xf numFmtId="2" fontId="25" fillId="0" borderId="0" xfId="0" applyNumberFormat="1" applyFont="1"/>
    <xf numFmtId="0" fontId="18" fillId="0" borderId="0" xfId="0" applyFont="1"/>
    <xf numFmtId="167" fontId="25" fillId="0" borderId="0" xfId="0" applyNumberFormat="1" applyFont="1"/>
    <xf numFmtId="1" fontId="13" fillId="0" borderId="0" xfId="0" applyNumberFormat="1" applyFont="1"/>
    <xf numFmtId="15" fontId="13" fillId="0" borderId="0" xfId="0" applyNumberFormat="1" applyFont="1"/>
    <xf numFmtId="167" fontId="13" fillId="0" borderId="0" xfId="0" applyNumberFormat="1" applyFont="1"/>
    <xf numFmtId="0" fontId="28" fillId="8" borderId="0" xfId="0" applyFont="1" applyFill="1"/>
    <xf numFmtId="0" fontId="13" fillId="8" borderId="0" xfId="0" applyFont="1" applyFill="1" applyAlignment="1">
      <alignment horizontal="left"/>
    </xf>
    <xf numFmtId="0" fontId="30" fillId="8" borderId="0" xfId="0" applyFont="1" applyFill="1"/>
    <xf numFmtId="0" fontId="0" fillId="8" borderId="0" xfId="0" applyFill="1"/>
    <xf numFmtId="2" fontId="33" fillId="8" borderId="0" xfId="0" applyNumberFormat="1" applyFont="1" applyFill="1"/>
    <xf numFmtId="15" fontId="33" fillId="8" borderId="0" xfId="0" applyNumberFormat="1" applyFont="1" applyFill="1"/>
    <xf numFmtId="1" fontId="33" fillId="8" borderId="0" xfId="0" applyNumberFormat="1" applyFont="1" applyFill="1"/>
    <xf numFmtId="167" fontId="33" fillId="8" borderId="0" xfId="0" applyNumberFormat="1" applyFont="1" applyFill="1"/>
    <xf numFmtId="0" fontId="33" fillId="8" borderId="0" xfId="0" applyFont="1" applyFill="1"/>
    <xf numFmtId="0" fontId="39" fillId="8" borderId="0" xfId="0" applyFont="1" applyFill="1"/>
    <xf numFmtId="0" fontId="13" fillId="8" borderId="0" xfId="0" applyFont="1" applyFill="1"/>
    <xf numFmtId="9" fontId="0" fillId="0" borderId="0" xfId="0" applyNumberFormat="1"/>
    <xf numFmtId="0" fontId="0" fillId="0" borderId="13" xfId="0" applyBorder="1"/>
    <xf numFmtId="14" fontId="0" fillId="0" borderId="13" xfId="0" applyNumberFormat="1" applyBorder="1"/>
    <xf numFmtId="9" fontId="0" fillId="0" borderId="13" xfId="0" applyNumberFormat="1" applyBorder="1"/>
    <xf numFmtId="167" fontId="0" fillId="0" borderId="13" xfId="0" applyNumberFormat="1" applyBorder="1"/>
    <xf numFmtId="0" fontId="0" fillId="0" borderId="0" xfId="0" applyFill="1" applyBorder="1"/>
    <xf numFmtId="0" fontId="40" fillId="0" borderId="0" xfId="0" applyFont="1"/>
    <xf numFmtId="9" fontId="0" fillId="0" borderId="0" xfId="0" applyNumberFormat="1" applyBorder="1"/>
    <xf numFmtId="0" fontId="41" fillId="0" borderId="0" xfId="0" applyFont="1"/>
    <xf numFmtId="0" fontId="0" fillId="9" borderId="0" xfId="0" applyFill="1"/>
    <xf numFmtId="9" fontId="0" fillId="0" borderId="13" xfId="37" applyFont="1" applyBorder="1"/>
    <xf numFmtId="14" fontId="13" fillId="10" borderId="0" xfId="0" applyNumberFormat="1" applyFont="1" applyFill="1"/>
    <xf numFmtId="167" fontId="13" fillId="10" borderId="0" xfId="0" applyNumberFormat="1" applyFont="1" applyFill="1" applyAlignment="1">
      <alignment horizontal="center"/>
    </xf>
    <xf numFmtId="0" fontId="37" fillId="0" borderId="4" xfId="0" applyFont="1" applyBorder="1"/>
    <xf numFmtId="0" fontId="43" fillId="0" borderId="0" xfId="0" applyFont="1"/>
    <xf numFmtId="0" fontId="13" fillId="0" borderId="12" xfId="0" applyFont="1" applyBorder="1"/>
    <xf numFmtId="0" fontId="37" fillId="0" borderId="7" xfId="0" applyFont="1" applyBorder="1"/>
    <xf numFmtId="0" fontId="37" fillId="0" borderId="12" xfId="0" applyFont="1" applyBorder="1"/>
    <xf numFmtId="14" fontId="13" fillId="0" borderId="12" xfId="0" applyNumberFormat="1" applyFont="1" applyBorder="1"/>
    <xf numFmtId="0" fontId="37" fillId="0" borderId="0" xfId="0" applyFont="1" applyBorder="1"/>
    <xf numFmtId="0" fontId="37" fillId="10" borderId="0" xfId="0" applyFont="1" applyFill="1"/>
    <xf numFmtId="2" fontId="37" fillId="10" borderId="0" xfId="0" applyNumberFormat="1" applyFont="1" applyFill="1"/>
    <xf numFmtId="167" fontId="37" fillId="10" borderId="0" xfId="0" applyNumberFormat="1" applyFont="1" applyFill="1"/>
    <xf numFmtId="167" fontId="37" fillId="10" borderId="0" xfId="0" applyNumberFormat="1" applyFont="1" applyFill="1" applyAlignment="1">
      <alignment horizontal="center"/>
    </xf>
    <xf numFmtId="2" fontId="37" fillId="10" borderId="4" xfId="0" applyNumberFormat="1" applyFont="1" applyFill="1" applyBorder="1"/>
    <xf numFmtId="14" fontId="37" fillId="10" borderId="0" xfId="0" applyNumberFormat="1" applyFont="1" applyFill="1"/>
    <xf numFmtId="169" fontId="37" fillId="10" borderId="0" xfId="0" applyNumberFormat="1" applyFont="1" applyFill="1"/>
    <xf numFmtId="0" fontId="37" fillId="10" borderId="4" xfId="0" applyFont="1" applyFill="1" applyBorder="1"/>
    <xf numFmtId="167" fontId="37" fillId="10" borderId="0" xfId="0" quotePrefix="1" applyNumberFormat="1" applyFont="1" applyFill="1"/>
    <xf numFmtId="0" fontId="13" fillId="0" borderId="4" xfId="0" applyFont="1" applyBorder="1"/>
    <xf numFmtId="0" fontId="13" fillId="0" borderId="0" xfId="0" applyFont="1" applyAlignment="1">
      <alignment horizontal="center"/>
    </xf>
    <xf numFmtId="169" fontId="13" fillId="0" borderId="0" xfId="0" applyNumberFormat="1" applyFont="1"/>
    <xf numFmtId="0" fontId="13" fillId="0" borderId="0" xfId="0" applyFont="1" applyBorder="1"/>
    <xf numFmtId="0" fontId="37" fillId="0" borderId="0" xfId="0" applyFont="1" applyFill="1"/>
    <xf numFmtId="170" fontId="37" fillId="0" borderId="0" xfId="0" applyNumberFormat="1" applyFont="1" applyFill="1"/>
    <xf numFmtId="172" fontId="37" fillId="0" borderId="0" xfId="0" applyNumberFormat="1" applyFont="1" applyFill="1"/>
    <xf numFmtId="0" fontId="13" fillId="0" borderId="12" xfId="0" applyFont="1" applyBorder="1" applyAlignment="1">
      <alignment horizontal="center"/>
    </xf>
    <xf numFmtId="0" fontId="43" fillId="0" borderId="12" xfId="0" applyFont="1" applyBorder="1"/>
    <xf numFmtId="0" fontId="41" fillId="0" borderId="1" xfId="0" applyFont="1" applyBorder="1"/>
    <xf numFmtId="0" fontId="41" fillId="0" borderId="10" xfId="0" applyFont="1" applyBorder="1"/>
    <xf numFmtId="0" fontId="41" fillId="0" borderId="4" xfId="0" applyFont="1" applyBorder="1"/>
    <xf numFmtId="0" fontId="41" fillId="0" borderId="0" xfId="0" applyFont="1" applyBorder="1"/>
    <xf numFmtId="170" fontId="41" fillId="0" borderId="5" xfId="0" applyNumberFormat="1" applyFont="1" applyBorder="1"/>
    <xf numFmtId="173" fontId="41" fillId="0" borderId="0" xfId="0" applyNumberFormat="1" applyFont="1" applyBorder="1"/>
    <xf numFmtId="0" fontId="41" fillId="0" borderId="5" xfId="0" applyFont="1" applyBorder="1"/>
    <xf numFmtId="0" fontId="41" fillId="0" borderId="0" xfId="0" applyFont="1" applyFill="1"/>
    <xf numFmtId="170" fontId="41" fillId="0" borderId="0" xfId="0" applyNumberFormat="1" applyFont="1" applyFill="1"/>
    <xf numFmtId="172" fontId="41" fillId="0" borderId="0" xfId="0" applyNumberFormat="1" applyFont="1" applyFill="1"/>
    <xf numFmtId="0" fontId="48" fillId="0" borderId="0" xfId="0" applyFont="1"/>
    <xf numFmtId="1" fontId="11" fillId="0" borderId="0" xfId="0" applyNumberFormat="1" applyFont="1"/>
    <xf numFmtId="0" fontId="49" fillId="0" borderId="0" xfId="38" applyFont="1"/>
    <xf numFmtId="0" fontId="50" fillId="0" borderId="0" xfId="0" applyFont="1"/>
    <xf numFmtId="0" fontId="13" fillId="0" borderId="0" xfId="39" applyFont="1"/>
    <xf numFmtId="0" fontId="52" fillId="0" borderId="14" xfId="0" applyFont="1" applyBorder="1"/>
    <xf numFmtId="0" fontId="52" fillId="0" borderId="15" xfId="0" applyFont="1" applyBorder="1"/>
    <xf numFmtId="172" fontId="52" fillId="0" borderId="15" xfId="0" applyNumberFormat="1" applyFont="1" applyBorder="1"/>
    <xf numFmtId="174" fontId="52" fillId="0" borderId="15" xfId="0" applyNumberFormat="1" applyFont="1" applyBorder="1"/>
    <xf numFmtId="0" fontId="52" fillId="0" borderId="16" xfId="0" applyFont="1" applyBorder="1"/>
    <xf numFmtId="0" fontId="52" fillId="0" borderId="0" xfId="0" applyFont="1"/>
    <xf numFmtId="172" fontId="53" fillId="0" borderId="15" xfId="0" applyNumberFormat="1" applyFont="1" applyBorder="1"/>
    <xf numFmtId="0" fontId="54" fillId="0" borderId="16" xfId="0" applyFont="1" applyBorder="1"/>
    <xf numFmtId="0" fontId="28" fillId="0" borderId="15" xfId="0" applyFont="1" applyFill="1" applyBorder="1"/>
    <xf numFmtId="172" fontId="26" fillId="0" borderId="15" xfId="0" applyNumberFormat="1" applyFont="1" applyFill="1" applyBorder="1"/>
    <xf numFmtId="174" fontId="28" fillId="0" borderId="15" xfId="0" applyNumberFormat="1" applyFont="1" applyFill="1" applyBorder="1"/>
    <xf numFmtId="0" fontId="13" fillId="0" borderId="15" xfId="0" applyFont="1" applyFill="1" applyBorder="1"/>
    <xf numFmtId="167" fontId="13" fillId="0" borderId="15" xfId="0" applyNumberFormat="1" applyFont="1" applyFill="1" applyBorder="1"/>
    <xf numFmtId="14" fontId="0" fillId="0" borderId="15" xfId="0" applyNumberFormat="1" applyBorder="1"/>
    <xf numFmtId="0" fontId="0" fillId="0" borderId="15" xfId="0" applyBorder="1"/>
    <xf numFmtId="0" fontId="50" fillId="0" borderId="12" xfId="0" applyFont="1" applyBorder="1"/>
    <xf numFmtId="0" fontId="46" fillId="0" borderId="0" xfId="0" applyFont="1" applyBorder="1"/>
    <xf numFmtId="0" fontId="46" fillId="0" borderId="0" xfId="0" applyFont="1"/>
    <xf numFmtId="2" fontId="0" fillId="10" borderId="0" xfId="0" applyNumberFormat="1" applyFill="1"/>
    <xf numFmtId="0" fontId="0" fillId="10" borderId="0" xfId="0" applyFill="1"/>
    <xf numFmtId="2" fontId="41" fillId="0" borderId="0" xfId="0" applyNumberFormat="1" applyFont="1"/>
    <xf numFmtId="2" fontId="41" fillId="10" borderId="0" xfId="0" applyNumberFormat="1" applyFont="1" applyFill="1"/>
    <xf numFmtId="174" fontId="0" fillId="0" borderId="10" xfId="0" applyNumberFormat="1" applyBorder="1"/>
    <xf numFmtId="0" fontId="0" fillId="0" borderId="11" xfId="0" applyBorder="1"/>
    <xf numFmtId="14" fontId="0" fillId="0" borderId="11" xfId="0" applyNumberFormat="1" applyBorder="1"/>
    <xf numFmtId="0" fontId="25" fillId="0" borderId="5" xfId="0" applyFont="1" applyBorder="1"/>
    <xf numFmtId="0" fontId="0" fillId="0" borderId="5" xfId="0" applyBorder="1"/>
    <xf numFmtId="0" fontId="0" fillId="0" borderId="8" xfId="0" applyBorder="1"/>
    <xf numFmtId="14" fontId="0" fillId="0" borderId="8" xfId="0" applyNumberFormat="1" applyBorder="1"/>
    <xf numFmtId="0" fontId="0" fillId="0" borderId="17" xfId="0" applyBorder="1"/>
    <xf numFmtId="14" fontId="0" fillId="0" borderId="17" xfId="0" applyNumberFormat="1" applyBorder="1"/>
    <xf numFmtId="0" fontId="0" fillId="0" borderId="18" xfId="0" applyBorder="1"/>
    <xf numFmtId="0" fontId="0" fillId="0" borderId="19" xfId="0" applyBorder="1"/>
    <xf numFmtId="0" fontId="56" fillId="0" borderId="9" xfId="0" applyFont="1" applyBorder="1" applyAlignment="1">
      <alignment horizontal="center"/>
    </xf>
    <xf numFmtId="0" fontId="56" fillId="0" borderId="8" xfId="0" applyFont="1" applyBorder="1" applyAlignment="1">
      <alignment horizontal="center"/>
    </xf>
    <xf numFmtId="0" fontId="56" fillId="0" borderId="7" xfId="0" applyFont="1" applyBorder="1" applyAlignment="1">
      <alignment horizontal="center"/>
    </xf>
    <xf numFmtId="0" fontId="58" fillId="0" borderId="6" xfId="40" applyFont="1" applyBorder="1" applyAlignment="1">
      <alignment horizontal="center" vertical="top"/>
    </xf>
    <xf numFmtId="0" fontId="58" fillId="0" borderId="5" xfId="40" applyFont="1" applyBorder="1" applyAlignment="1">
      <alignment horizontal="center" vertical="top"/>
    </xf>
    <xf numFmtId="20" fontId="58" fillId="0" borderId="5" xfId="40" applyNumberFormat="1" applyFont="1" applyBorder="1" applyAlignment="1">
      <alignment horizontal="center" vertical="top"/>
    </xf>
    <xf numFmtId="2" fontId="58" fillId="0" borderId="5" xfId="40" applyNumberFormat="1" applyFont="1" applyFill="1" applyBorder="1" applyAlignment="1" applyProtection="1">
      <alignment horizontal="center" vertical="top"/>
    </xf>
    <xf numFmtId="2" fontId="58" fillId="0" borderId="4" xfId="40" applyNumberFormat="1" applyFont="1" applyFill="1" applyBorder="1" applyAlignment="1" applyProtection="1">
      <alignment horizontal="center" vertical="top"/>
    </xf>
    <xf numFmtId="0" fontId="58" fillId="9" borderId="5" xfId="40" applyFont="1" applyFill="1" applyBorder="1" applyAlignment="1">
      <alignment horizontal="center" vertical="top"/>
    </xf>
    <xf numFmtId="2" fontId="58" fillId="9" borderId="5" xfId="40" applyNumberFormat="1" applyFont="1" applyFill="1" applyBorder="1" applyAlignment="1" applyProtection="1">
      <alignment horizontal="center" vertical="top"/>
    </xf>
    <xf numFmtId="2" fontId="58" fillId="9" borderId="4" xfId="40" applyNumberFormat="1" applyFont="1" applyFill="1" applyBorder="1" applyAlignment="1" applyProtection="1">
      <alignment horizontal="center" vertical="top"/>
    </xf>
    <xf numFmtId="0" fontId="58" fillId="9" borderId="6" xfId="40" applyFont="1" applyFill="1" applyBorder="1" applyAlignment="1">
      <alignment horizontal="left" vertical="top"/>
    </xf>
    <xf numFmtId="167" fontId="0" fillId="0" borderId="10" xfId="0" applyNumberFormat="1" applyBorder="1"/>
    <xf numFmtId="167" fontId="0" fillId="0" borderId="12" xfId="0" applyNumberFormat="1" applyBorder="1"/>
    <xf numFmtId="0" fontId="58" fillId="3" borderId="6" xfId="40" applyFont="1" applyFill="1" applyBorder="1" applyAlignment="1">
      <alignment horizontal="center" vertical="top"/>
    </xf>
    <xf numFmtId="0" fontId="58" fillId="3" borderId="5" xfId="40" applyFont="1" applyFill="1" applyBorder="1" applyAlignment="1">
      <alignment horizontal="center" vertical="top"/>
    </xf>
    <xf numFmtId="2" fontId="58" fillId="3" borderId="5" xfId="40" applyNumberFormat="1" applyFont="1" applyFill="1" applyBorder="1" applyAlignment="1" applyProtection="1">
      <alignment horizontal="center" vertical="top"/>
    </xf>
    <xf numFmtId="2" fontId="58" fillId="3" borderId="4" xfId="40" applyNumberFormat="1" applyFont="1" applyFill="1" applyBorder="1" applyAlignment="1" applyProtection="1">
      <alignment horizontal="center" vertical="top"/>
    </xf>
    <xf numFmtId="0" fontId="13" fillId="3" borderId="15" xfId="0" applyFont="1" applyFill="1" applyBorder="1"/>
    <xf numFmtId="0" fontId="0" fillId="3" borderId="15" xfId="0" applyFill="1" applyBorder="1"/>
    <xf numFmtId="20" fontId="58" fillId="3" borderId="5" xfId="40" applyNumberFormat="1" applyFont="1" applyFill="1" applyBorder="1" applyAlignment="1">
      <alignment horizontal="center" vertical="top"/>
    </xf>
    <xf numFmtId="0" fontId="58" fillId="11" borderId="6" xfId="40" applyFont="1" applyFill="1" applyBorder="1" applyAlignment="1">
      <alignment horizontal="center" vertical="top"/>
    </xf>
    <xf numFmtId="0" fontId="58" fillId="11" borderId="5" xfId="40" applyFont="1" applyFill="1" applyBorder="1" applyAlignment="1">
      <alignment horizontal="center" vertical="top"/>
    </xf>
    <xf numFmtId="20" fontId="58" fillId="11" borderId="5" xfId="40" applyNumberFormat="1" applyFont="1" applyFill="1" applyBorder="1" applyAlignment="1">
      <alignment horizontal="center" vertical="top"/>
    </xf>
    <xf numFmtId="2" fontId="58" fillId="11" borderId="5" xfId="40" applyNumberFormat="1" applyFont="1" applyFill="1" applyBorder="1" applyAlignment="1" applyProtection="1">
      <alignment horizontal="center" vertical="top"/>
    </xf>
    <xf numFmtId="2" fontId="58" fillId="11" borderId="4" xfId="40" applyNumberFormat="1" applyFont="1" applyFill="1" applyBorder="1" applyAlignment="1" applyProtection="1">
      <alignment horizontal="center" vertical="top"/>
    </xf>
    <xf numFmtId="0" fontId="13" fillId="11" borderId="15" xfId="0" applyFont="1" applyFill="1" applyBorder="1"/>
    <xf numFmtId="0" fontId="0" fillId="11" borderId="15" xfId="0" applyFill="1" applyBorder="1"/>
    <xf numFmtId="0" fontId="58" fillId="12" borderId="6" xfId="40" applyFont="1" applyFill="1" applyBorder="1" applyAlignment="1">
      <alignment horizontal="center" vertical="top"/>
    </xf>
    <xf numFmtId="0" fontId="58" fillId="12" borderId="5" xfId="40" applyFont="1" applyFill="1" applyBorder="1" applyAlignment="1">
      <alignment horizontal="center" vertical="top"/>
    </xf>
    <xf numFmtId="2" fontId="58" fillId="12" borderId="5" xfId="40" applyNumberFormat="1" applyFont="1" applyFill="1" applyBorder="1" applyAlignment="1" applyProtection="1">
      <alignment horizontal="center" vertical="top"/>
    </xf>
    <xf numFmtId="2" fontId="58" fillId="12" borderId="4" xfId="40" applyNumberFormat="1" applyFont="1" applyFill="1" applyBorder="1" applyAlignment="1" applyProtection="1">
      <alignment horizontal="center" vertical="top"/>
    </xf>
    <xf numFmtId="0" fontId="2" fillId="12" borderId="15" xfId="0" applyFont="1" applyFill="1" applyBorder="1"/>
    <xf numFmtId="0" fontId="0" fillId="12" borderId="0" xfId="0" applyFill="1"/>
    <xf numFmtId="0" fontId="0" fillId="12" borderId="15" xfId="0" applyFill="1" applyBorder="1"/>
    <xf numFmtId="0" fontId="26" fillId="12" borderId="15" xfId="0" applyFont="1" applyFill="1" applyBorder="1"/>
    <xf numFmtId="0" fontId="56" fillId="0" borderId="0" xfId="0" applyFont="1"/>
    <xf numFmtId="2" fontId="56" fillId="11" borderId="0" xfId="0" applyNumberFormat="1" applyFont="1" applyFill="1"/>
    <xf numFmtId="0" fontId="56" fillId="11" borderId="0" xfId="0" applyFont="1" applyFill="1"/>
    <xf numFmtId="0" fontId="0" fillId="11" borderId="0" xfId="0" applyFill="1"/>
    <xf numFmtId="0" fontId="59" fillId="0" borderId="0" xfId="0" applyFont="1"/>
    <xf numFmtId="2" fontId="56" fillId="0" borderId="0" xfId="0" applyNumberFormat="1" applyFont="1"/>
    <xf numFmtId="0" fontId="56" fillId="13" borderId="0" xfId="0" applyFont="1" applyFill="1"/>
    <xf numFmtId="2" fontId="60" fillId="12" borderId="5" xfId="40" applyNumberFormat="1" applyFont="1" applyFill="1" applyBorder="1" applyAlignment="1" applyProtection="1">
      <alignment horizontal="center" vertical="top"/>
    </xf>
    <xf numFmtId="0" fontId="41" fillId="12" borderId="15" xfId="0" applyFont="1" applyFill="1" applyBorder="1"/>
    <xf numFmtId="0" fontId="60" fillId="12" borderId="6" xfId="40" applyFont="1" applyFill="1" applyBorder="1" applyAlignment="1">
      <alignment horizontal="center" vertical="top"/>
    </xf>
    <xf numFmtId="0" fontId="60" fillId="12" borderId="5" xfId="40" applyFont="1" applyFill="1" applyBorder="1" applyAlignment="1">
      <alignment horizontal="center" vertical="top"/>
    </xf>
    <xf numFmtId="2" fontId="60" fillId="12" borderId="4" xfId="40" applyNumberFormat="1" applyFont="1" applyFill="1" applyBorder="1" applyAlignment="1" applyProtection="1">
      <alignment horizontal="center" vertical="top"/>
    </xf>
    <xf numFmtId="0" fontId="7" fillId="12" borderId="15" xfId="0" applyFont="1" applyFill="1" applyBorder="1"/>
    <xf numFmtId="0" fontId="41" fillId="12" borderId="0" xfId="0" applyFont="1" applyFill="1"/>
    <xf numFmtId="170" fontId="25" fillId="0" borderId="0" xfId="0" applyNumberFormat="1" applyFont="1"/>
    <xf numFmtId="0" fontId="2" fillId="0" borderId="0" xfId="0" applyFont="1" applyFill="1" applyBorder="1"/>
    <xf numFmtId="0" fontId="61" fillId="0" borderId="0" xfId="0" applyFont="1"/>
    <xf numFmtId="170" fontId="40" fillId="0" borderId="0" xfId="0" applyNumberFormat="1" applyFont="1"/>
    <xf numFmtId="0" fontId="62" fillId="0" borderId="0" xfId="0" applyFont="1"/>
    <xf numFmtId="2" fontId="62" fillId="11" borderId="0" xfId="0" applyNumberFormat="1" applyFont="1" applyFill="1"/>
    <xf numFmtId="0" fontId="62" fillId="11" borderId="0" xfId="0" applyFont="1" applyFill="1"/>
    <xf numFmtId="0" fontId="25" fillId="14" borderId="0" xfId="0" applyFont="1" applyFill="1"/>
    <xf numFmtId="0" fontId="0" fillId="14" borderId="0" xfId="0" applyFill="1"/>
    <xf numFmtId="175"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5" fontId="50" fillId="0" borderId="0" xfId="0" applyNumberFormat="1" applyFont="1"/>
    <xf numFmtId="172" fontId="0" fillId="0" borderId="0" xfId="0" applyNumberFormat="1" applyBorder="1"/>
    <xf numFmtId="2" fontId="0" fillId="0" borderId="0" xfId="0" applyNumberFormat="1" applyBorder="1"/>
    <xf numFmtId="2" fontId="0" fillId="0" borderId="4" xfId="0" applyNumberFormat="1" applyBorder="1"/>
    <xf numFmtId="2" fontId="0" fillId="0" borderId="6" xfId="0" applyNumberFormat="1" applyBorder="1"/>
    <xf numFmtId="175" fontId="0" fillId="0" borderId="0" xfId="0" applyNumberFormat="1"/>
    <xf numFmtId="2" fontId="46" fillId="0" borderId="0" xfId="0" applyNumberFormat="1" applyFont="1" applyBorder="1"/>
    <xf numFmtId="2" fontId="50" fillId="0" borderId="0" xfId="0" applyNumberFormat="1" applyFont="1" applyBorder="1"/>
    <xf numFmtId="2" fontId="50" fillId="0" borderId="4" xfId="0" applyNumberFormat="1" applyFont="1" applyBorder="1"/>
    <xf numFmtId="2" fontId="50" fillId="0" borderId="6" xfId="0" applyNumberFormat="1" applyFont="1" applyBorder="1"/>
    <xf numFmtId="2" fontId="50" fillId="0" borderId="0" xfId="0" applyNumberFormat="1" applyFont="1"/>
    <xf numFmtId="2" fontId="0" fillId="0" borderId="0" xfId="0" applyNumberFormat="1" applyFill="1"/>
    <xf numFmtId="1" fontId="56" fillId="0" borderId="0" xfId="0" applyNumberFormat="1" applyFont="1"/>
    <xf numFmtId="172" fontId="56" fillId="0" borderId="0" xfId="0" applyNumberFormat="1" applyFont="1" applyBorder="1"/>
    <xf numFmtId="2" fontId="56" fillId="0" borderId="0" xfId="0" applyNumberFormat="1" applyFont="1" applyBorder="1"/>
    <xf numFmtId="175" fontId="0" fillId="3" borderId="0" xfId="0" applyNumberFormat="1" applyFill="1"/>
    <xf numFmtId="1" fontId="0" fillId="3" borderId="0" xfId="0" applyNumberFormat="1" applyFill="1"/>
    <xf numFmtId="2" fontId="0" fillId="3" borderId="0" xfId="0" applyNumberFormat="1" applyFill="1"/>
    <xf numFmtId="2" fontId="50" fillId="3" borderId="0" xfId="0" applyNumberFormat="1" applyFont="1" applyFill="1" applyBorder="1"/>
    <xf numFmtId="2" fontId="0" fillId="3" borderId="0" xfId="0" applyNumberFormat="1" applyFill="1" applyBorder="1"/>
    <xf numFmtId="2" fontId="50" fillId="3" borderId="4" xfId="0" applyNumberFormat="1" applyFont="1" applyFill="1" applyBorder="1"/>
    <xf numFmtId="2" fontId="50" fillId="3" borderId="6" xfId="0" applyNumberFormat="1" applyFont="1" applyFill="1" applyBorder="1"/>
    <xf numFmtId="2" fontId="50" fillId="3" borderId="0" xfId="0" applyNumberFormat="1" applyFont="1" applyFill="1"/>
    <xf numFmtId="2" fontId="46" fillId="3" borderId="0" xfId="0" applyNumberFormat="1" applyFont="1" applyFill="1" applyBorder="1"/>
    <xf numFmtId="175" fontId="0" fillId="15" borderId="0" xfId="0" applyNumberFormat="1" applyFill="1"/>
    <xf numFmtId="1" fontId="0" fillId="15" borderId="0" xfId="0" applyNumberFormat="1" applyFill="1"/>
    <xf numFmtId="0" fontId="0" fillId="15" borderId="0" xfId="0" applyFill="1"/>
    <xf numFmtId="2" fontId="0" fillId="15" borderId="0" xfId="0" applyNumberFormat="1" applyFill="1"/>
    <xf numFmtId="2" fontId="50" fillId="15" borderId="0" xfId="0" applyNumberFormat="1" applyFont="1" applyFill="1" applyBorder="1"/>
    <xf numFmtId="2" fontId="0" fillId="15" borderId="0" xfId="0" applyNumberFormat="1" applyFill="1" applyBorder="1"/>
    <xf numFmtId="2" fontId="50" fillId="15" borderId="4" xfId="0" applyNumberFormat="1" applyFont="1" applyFill="1" applyBorder="1"/>
    <xf numFmtId="2" fontId="50" fillId="15" borderId="6" xfId="0" applyNumberFormat="1" applyFont="1" applyFill="1" applyBorder="1"/>
    <xf numFmtId="2" fontId="50" fillId="15" borderId="0" xfId="0" applyNumberFormat="1" applyFont="1" applyFill="1"/>
    <xf numFmtId="2" fontId="46" fillId="15" borderId="0" xfId="0" applyNumberFormat="1" applyFont="1" applyFill="1" applyBorder="1"/>
    <xf numFmtId="0" fontId="25" fillId="0" borderId="20" xfId="0" applyFont="1" applyBorder="1" applyAlignment="1">
      <alignment vertical="top"/>
    </xf>
    <xf numFmtId="0" fontId="0" fillId="0" borderId="21" xfId="0" applyBorder="1" applyAlignment="1">
      <alignment vertical="top"/>
    </xf>
    <xf numFmtId="0" fontId="0" fillId="0" borderId="22" xfId="0" applyBorder="1"/>
    <xf numFmtId="0" fontId="25" fillId="0" borderId="23" xfId="0" applyFont="1" applyBorder="1" applyAlignment="1">
      <alignment vertical="top" wrapText="1"/>
    </xf>
    <xf numFmtId="2" fontId="56" fillId="0" borderId="4" xfId="0" applyNumberFormat="1" applyFont="1" applyBorder="1" applyAlignment="1">
      <alignment vertical="top" wrapText="1"/>
    </xf>
    <xf numFmtId="0" fontId="25" fillId="0" borderId="0" xfId="0" applyFont="1" applyBorder="1" applyAlignment="1">
      <alignment vertical="center" wrapText="1"/>
    </xf>
    <xf numFmtId="0" fontId="0" fillId="16" borderId="0" xfId="0" applyFill="1"/>
    <xf numFmtId="2" fontId="0" fillId="16" borderId="0" xfId="0" applyNumberFormat="1" applyFill="1"/>
    <xf numFmtId="0" fontId="0" fillId="0" borderId="0" xfId="0" applyBorder="1" applyAlignment="1">
      <alignment vertical="top"/>
    </xf>
    <xf numFmtId="14" fontId="0" fillId="0" borderId="0" xfId="0" applyNumberFormat="1" applyFont="1"/>
    <xf numFmtId="10" fontId="0" fillId="0" borderId="0" xfId="37" applyNumberFormat="1" applyFont="1"/>
    <xf numFmtId="14" fontId="37" fillId="0" borderId="0" xfId="0" applyNumberFormat="1" applyFont="1"/>
    <xf numFmtId="175" fontId="0" fillId="10" borderId="0" xfId="0" applyNumberFormat="1" applyFill="1"/>
    <xf numFmtId="0" fontId="56" fillId="3" borderId="0" xfId="0" applyFont="1" applyFill="1"/>
    <xf numFmtId="1" fontId="0" fillId="10" borderId="0" xfId="0" applyNumberFormat="1" applyFill="1"/>
    <xf numFmtId="2" fontId="50" fillId="10" borderId="0" xfId="0" applyNumberFormat="1" applyFont="1" applyFill="1" applyBorder="1"/>
    <xf numFmtId="2" fontId="0" fillId="10" borderId="0" xfId="0" applyNumberFormat="1" applyFill="1" applyBorder="1"/>
    <xf numFmtId="2" fontId="50" fillId="10" borderId="4" xfId="0" applyNumberFormat="1" applyFont="1" applyFill="1" applyBorder="1"/>
    <xf numFmtId="2" fontId="50" fillId="10" borderId="6" xfId="0" applyNumberFormat="1" applyFont="1" applyFill="1" applyBorder="1"/>
    <xf numFmtId="2" fontId="50" fillId="10" borderId="0" xfId="0" applyNumberFormat="1" applyFont="1" applyFill="1"/>
    <xf numFmtId="2" fontId="46" fillId="10" borderId="0" xfId="0" applyNumberFormat="1" applyFont="1" applyFill="1" applyBorder="1"/>
    <xf numFmtId="175" fontId="0" fillId="0" borderId="0" xfId="0" applyNumberFormat="1" applyFill="1"/>
    <xf numFmtId="1" fontId="0" fillId="0" borderId="0" xfId="0" applyNumberFormat="1" applyFill="1"/>
    <xf numFmtId="2" fontId="50" fillId="0" borderId="4" xfId="0" applyNumberFormat="1" applyFont="1" applyFill="1" applyBorder="1"/>
    <xf numFmtId="2" fontId="50" fillId="0" borderId="6" xfId="0" applyNumberFormat="1" applyFont="1" applyFill="1" applyBorder="1"/>
    <xf numFmtId="2" fontId="50" fillId="0" borderId="0" xfId="0" applyNumberFormat="1" applyFont="1" applyFill="1"/>
    <xf numFmtId="2" fontId="46" fillId="0" borderId="0" xfId="0" applyNumberFormat="1" applyFont="1" applyFill="1" applyBorder="1"/>
    <xf numFmtId="2" fontId="0" fillId="0" borderId="0" xfId="0" applyNumberFormat="1" applyFill="1" applyBorder="1"/>
    <xf numFmtId="1" fontId="59" fillId="0" borderId="0" xfId="0" applyNumberFormat="1" applyFont="1"/>
    <xf numFmtId="2" fontId="37" fillId="0" borderId="0" xfId="0" applyNumberFormat="1" applyFont="1"/>
    <xf numFmtId="172" fontId="0" fillId="3" borderId="0" xfId="0" applyNumberFormat="1" applyFill="1" applyBorder="1"/>
    <xf numFmtId="14" fontId="0" fillId="10" borderId="0" xfId="0" applyNumberFormat="1" applyFill="1"/>
    <xf numFmtId="14" fontId="0" fillId="3" borderId="0" xfId="0" applyNumberFormat="1" applyFill="1"/>
    <xf numFmtId="14" fontId="10" fillId="0" borderId="0" xfId="0" applyNumberFormat="1" applyFont="1"/>
    <xf numFmtId="0" fontId="9" fillId="0" borderId="0" xfId="0" applyFont="1"/>
    <xf numFmtId="2" fontId="9" fillId="0" borderId="0" xfId="0" applyNumberFormat="1" applyFont="1"/>
    <xf numFmtId="2" fontId="56" fillId="0" borderId="0" xfId="0" applyNumberFormat="1" applyFont="1" applyFill="1"/>
    <xf numFmtId="2" fontId="13" fillId="0" borderId="11" xfId="0" applyNumberFormat="1" applyFont="1" applyBorder="1"/>
    <xf numFmtId="0" fontId="0" fillId="0" borderId="14" xfId="0" applyBorder="1"/>
    <xf numFmtId="0" fontId="0" fillId="0" borderId="27" xfId="0" applyBorder="1"/>
    <xf numFmtId="0" fontId="0" fillId="0" borderId="5" xfId="0" applyFill="1" applyBorder="1"/>
    <xf numFmtId="9" fontId="28" fillId="0" borderId="15" xfId="0" applyNumberFormat="1" applyFont="1" applyFill="1" applyBorder="1"/>
    <xf numFmtId="0" fontId="56" fillId="0" borderId="0" xfId="0" applyFont="1" applyFill="1"/>
    <xf numFmtId="2" fontId="50" fillId="0" borderId="0" xfId="0" applyNumberFormat="1" applyFont="1" applyFill="1" applyBorder="1"/>
    <xf numFmtId="2" fontId="46" fillId="0" borderId="0" xfId="0" applyNumberFormat="1" applyFont="1" applyFill="1"/>
    <xf numFmtId="2" fontId="46" fillId="3" borderId="0" xfId="0" applyNumberFormat="1" applyFont="1" applyFill="1"/>
    <xf numFmtId="2" fontId="46" fillId="0" borderId="0" xfId="0" applyNumberFormat="1" applyFont="1"/>
    <xf numFmtId="0" fontId="10" fillId="0" borderId="23" xfId="0" applyFont="1" applyBorder="1" applyAlignment="1">
      <alignment vertical="top"/>
    </xf>
    <xf numFmtId="0" fontId="10" fillId="0" borderId="0" xfId="0" applyFont="1" applyBorder="1" applyAlignment="1">
      <alignment vertical="top"/>
    </xf>
    <xf numFmtId="2" fontId="9" fillId="0" borderId="0" xfId="0" applyNumberFormat="1" applyFont="1" applyBorder="1" applyAlignment="1">
      <alignment vertical="top"/>
    </xf>
    <xf numFmtId="2" fontId="9" fillId="0" borderId="18" xfId="0" applyNumberFormat="1" applyFont="1" applyBorder="1"/>
    <xf numFmtId="2" fontId="50" fillId="14" borderId="6" xfId="0" applyNumberFormat="1" applyFont="1" applyFill="1" applyBorder="1"/>
    <xf numFmtId="0" fontId="25" fillId="0" borderId="0" xfId="0" applyFont="1" applyAlignment="1">
      <alignment wrapText="1"/>
    </xf>
    <xf numFmtId="2" fontId="25" fillId="3" borderId="0" xfId="0" applyNumberFormat="1" applyFont="1" applyFill="1"/>
    <xf numFmtId="0" fontId="0" fillId="0" borderId="15" xfId="0" applyFill="1" applyBorder="1"/>
    <xf numFmtId="2" fontId="62" fillId="0" borderId="0" xfId="0" applyNumberFormat="1" applyFont="1"/>
    <xf numFmtId="0" fontId="25" fillId="0" borderId="0" xfId="0" applyFont="1" applyFill="1"/>
    <xf numFmtId="2" fontId="0" fillId="14" borderId="0" xfId="0" applyNumberFormat="1" applyFill="1"/>
    <xf numFmtId="2" fontId="46" fillId="14" borderId="0" xfId="0" applyNumberFormat="1" applyFont="1" applyFill="1"/>
    <xf numFmtId="2" fontId="50" fillId="14" borderId="0" xfId="0" applyNumberFormat="1" applyFont="1" applyFill="1" applyBorder="1"/>
    <xf numFmtId="2" fontId="0" fillId="14" borderId="0" xfId="0" applyNumberFormat="1" applyFill="1" applyBorder="1"/>
    <xf numFmtId="2" fontId="50" fillId="14" borderId="4" xfId="0" applyNumberFormat="1" applyFont="1" applyFill="1" applyBorder="1"/>
    <xf numFmtId="2" fontId="50" fillId="14" borderId="0" xfId="0" applyNumberFormat="1" applyFont="1" applyFill="1"/>
    <xf numFmtId="2" fontId="6" fillId="0" borderId="0" xfId="0" applyNumberFormat="1" applyFont="1" applyFill="1"/>
    <xf numFmtId="170" fontId="9" fillId="0" borderId="0" xfId="0" applyNumberFormat="1" applyFont="1"/>
    <xf numFmtId="0" fontId="0" fillId="3" borderId="0" xfId="0" applyFill="1" applyBorder="1"/>
    <xf numFmtId="0" fontId="10" fillId="0" borderId="0" xfId="0" applyFont="1" applyFill="1" applyBorder="1"/>
    <xf numFmtId="0" fontId="10" fillId="3" borderId="0" xfId="0" applyFont="1" applyFill="1" applyBorder="1"/>
    <xf numFmtId="2" fontId="6" fillId="0" borderId="0" xfId="0" applyNumberFormat="1" applyFont="1"/>
    <xf numFmtId="175" fontId="6" fillId="0" borderId="0" xfId="0" applyNumberFormat="1" applyFont="1"/>
    <xf numFmtId="0" fontId="40" fillId="14" borderId="0" xfId="0" applyFont="1" applyFill="1"/>
    <xf numFmtId="2" fontId="40" fillId="0" borderId="0" xfId="0" applyNumberFormat="1" applyFont="1"/>
    <xf numFmtId="0" fontId="6" fillId="14" borderId="0" xfId="0" applyFont="1" applyFill="1"/>
    <xf numFmtId="175" fontId="6" fillId="10" borderId="0" xfId="0" applyNumberFormat="1" applyFont="1" applyFill="1"/>
    <xf numFmtId="0" fontId="6" fillId="8" borderId="0" xfId="0" applyFont="1" applyFill="1"/>
    <xf numFmtId="175" fontId="6" fillId="3" borderId="0" xfId="0" applyNumberFormat="1" applyFont="1" applyFill="1"/>
    <xf numFmtId="0" fontId="6" fillId="3" borderId="0" xfId="0" applyFont="1" applyFill="1"/>
    <xf numFmtId="14" fontId="6" fillId="0" borderId="0" xfId="0" applyNumberFormat="1" applyFont="1"/>
    <xf numFmtId="0" fontId="9" fillId="0" borderId="0" xfId="0" applyFont="1" applyFill="1" applyBorder="1" applyAlignment="1">
      <alignment horizontal="left"/>
    </xf>
    <xf numFmtId="0" fontId="9" fillId="0" borderId="0" xfId="0" applyFont="1" applyBorder="1"/>
    <xf numFmtId="0" fontId="25" fillId="0" borderId="24" xfId="0" applyFont="1" applyBorder="1" applyAlignment="1">
      <alignment wrapText="1"/>
    </xf>
    <xf numFmtId="2" fontId="25" fillId="0" borderId="24" xfId="0" applyNumberFormat="1" applyFont="1" applyBorder="1"/>
    <xf numFmtId="2" fontId="25" fillId="0" borderId="26" xfId="0" applyNumberFormat="1" applyFont="1" applyBorder="1"/>
    <xf numFmtId="2" fontId="25" fillId="0" borderId="0" xfId="0" applyNumberFormat="1" applyFont="1" applyFill="1"/>
    <xf numFmtId="2" fontId="61" fillId="0" borderId="0" xfId="0" applyNumberFormat="1" applyFont="1" applyFill="1"/>
    <xf numFmtId="0" fontId="9" fillId="0" borderId="10" xfId="0" applyFont="1" applyBorder="1"/>
    <xf numFmtId="0" fontId="10" fillId="0" borderId="10" xfId="0" applyFont="1" applyBorder="1"/>
    <xf numFmtId="2" fontId="37" fillId="0" borderId="0" xfId="0" applyNumberFormat="1" applyFont="1" applyBorder="1"/>
    <xf numFmtId="0" fontId="37" fillId="0" borderId="10" xfId="0" applyFont="1" applyBorder="1"/>
    <xf numFmtId="2" fontId="37" fillId="0" borderId="0" xfId="0" applyNumberFormat="1" applyFont="1" applyFill="1" applyBorder="1"/>
    <xf numFmtId="0" fontId="37" fillId="0" borderId="3" xfId="0" applyFont="1" applyBorder="1"/>
    <xf numFmtId="170" fontId="37" fillId="0" borderId="5" xfId="0" applyNumberFormat="1" applyFont="1" applyBorder="1"/>
    <xf numFmtId="172" fontId="37" fillId="0" borderId="5" xfId="0" applyNumberFormat="1" applyFont="1" applyBorder="1"/>
    <xf numFmtId="0" fontId="37" fillId="5" borderId="4" xfId="0" applyFont="1" applyFill="1" applyBorder="1"/>
    <xf numFmtId="0" fontId="37" fillId="5" borderId="0" xfId="0" applyFont="1" applyFill="1" applyBorder="1"/>
    <xf numFmtId="170" fontId="37" fillId="0" borderId="0" xfId="0" applyNumberFormat="1" applyFont="1" applyBorder="1"/>
    <xf numFmtId="170" fontId="37" fillId="0" borderId="6" xfId="0" applyNumberFormat="1" applyFont="1" applyBorder="1"/>
    <xf numFmtId="173" fontId="37" fillId="0" borderId="0" xfId="0" applyNumberFormat="1" applyFont="1" applyBorder="1"/>
    <xf numFmtId="0" fontId="37" fillId="0" borderId="6" xfId="0" applyFont="1" applyBorder="1"/>
    <xf numFmtId="0" fontId="0" fillId="0" borderId="4" xfId="0" applyFill="1" applyBorder="1"/>
    <xf numFmtId="172" fontId="0" fillId="0" borderId="0" xfId="0" applyNumberFormat="1" applyFill="1"/>
    <xf numFmtId="0" fontId="25" fillId="0" borderId="0" xfId="0" applyFont="1" applyFill="1" applyBorder="1"/>
    <xf numFmtId="172" fontId="25" fillId="0" borderId="0" xfId="0" applyNumberFormat="1" applyFont="1" applyFill="1"/>
    <xf numFmtId="167" fontId="25" fillId="0" borderId="0" xfId="0" applyNumberFormat="1" applyFont="1" applyFill="1"/>
    <xf numFmtId="171" fontId="0" fillId="0" borderId="0" xfId="0" applyNumberFormat="1"/>
    <xf numFmtId="172" fontId="0" fillId="0" borderId="0" xfId="0" applyNumberFormat="1"/>
    <xf numFmtId="176" fontId="0" fillId="0" borderId="0" xfId="0" applyNumberFormat="1"/>
    <xf numFmtId="0" fontId="0" fillId="0" borderId="2" xfId="0" applyBorder="1"/>
    <xf numFmtId="20" fontId="0" fillId="0" borderId="0" xfId="0" applyNumberFormat="1"/>
    <xf numFmtId="170" fontId="37" fillId="5" borderId="0" xfId="0" applyNumberFormat="1" applyFont="1" applyFill="1" applyBorder="1"/>
    <xf numFmtId="0" fontId="25" fillId="0" borderId="0" xfId="0" applyFont="1" applyAlignment="1">
      <alignment horizontal="left"/>
    </xf>
    <xf numFmtId="0" fontId="0" fillId="0" borderId="28" xfId="0" applyBorder="1" applyAlignment="1">
      <alignment horizontal="left"/>
    </xf>
    <xf numFmtId="0" fontId="0" fillId="0" borderId="31" xfId="0" applyBorder="1" applyAlignment="1">
      <alignment horizontal="left"/>
    </xf>
    <xf numFmtId="0" fontId="0" fillId="0" borderId="33" xfId="0" applyBorder="1" applyAlignment="1">
      <alignment horizontal="left"/>
    </xf>
    <xf numFmtId="0" fontId="68" fillId="0" borderId="0" xfId="0" applyFont="1" applyAlignment="1">
      <alignment horizontal="left"/>
    </xf>
    <xf numFmtId="0" fontId="13" fillId="0" borderId="0" xfId="0" applyFont="1" applyAlignment="1">
      <alignment horizontal="left"/>
    </xf>
    <xf numFmtId="0" fontId="69" fillId="0" borderId="0" xfId="0" applyFont="1" applyAlignment="1">
      <alignment horizontal="left"/>
    </xf>
    <xf numFmtId="0" fontId="2" fillId="3" borderId="0" xfId="40" applyFont="1" applyFill="1"/>
    <xf numFmtId="0" fontId="25" fillId="3" borderId="0" xfId="0" applyFont="1" applyFill="1"/>
    <xf numFmtId="0" fontId="2" fillId="0" borderId="0" xfId="0" applyFont="1" applyAlignment="1">
      <alignment wrapText="1"/>
    </xf>
    <xf numFmtId="0" fontId="2" fillId="0" borderId="0" xfId="40" applyFont="1"/>
    <xf numFmtId="2" fontId="9" fillId="3" borderId="0" xfId="0" applyNumberFormat="1" applyFont="1" applyFill="1"/>
    <xf numFmtId="0" fontId="0" fillId="15" borderId="20" xfId="0" applyFill="1" applyBorder="1"/>
    <xf numFmtId="0" fontId="0" fillId="15" borderId="21" xfId="0" applyFill="1" applyBorder="1"/>
    <xf numFmtId="0" fontId="0" fillId="15" borderId="22" xfId="0" applyFill="1" applyBorder="1"/>
    <xf numFmtId="0" fontId="0" fillId="15" borderId="23" xfId="0" applyFill="1" applyBorder="1"/>
    <xf numFmtId="0" fontId="0" fillId="15" borderId="0" xfId="0" applyFill="1" applyBorder="1"/>
    <xf numFmtId="0" fontId="0" fillId="15" borderId="24" xfId="0" applyFill="1" applyBorder="1"/>
    <xf numFmtId="0" fontId="25" fillId="15" borderId="0" xfId="0" applyFont="1" applyFill="1" applyBorder="1"/>
    <xf numFmtId="170" fontId="0" fillId="15" borderId="0" xfId="0" applyNumberFormat="1" applyFill="1" applyBorder="1"/>
    <xf numFmtId="0" fontId="25" fillId="15" borderId="0" xfId="0" applyFont="1" applyFill="1" applyBorder="1" applyAlignment="1">
      <alignment horizontal="right"/>
    </xf>
    <xf numFmtId="2" fontId="25" fillId="15" borderId="0" xfId="0" applyNumberFormat="1" applyFont="1" applyFill="1" applyBorder="1"/>
    <xf numFmtId="0" fontId="0" fillId="15" borderId="0" xfId="0" quotePrefix="1" applyFill="1" applyBorder="1"/>
    <xf numFmtId="0" fontId="0" fillId="15" borderId="25" xfId="0" applyFill="1" applyBorder="1"/>
    <xf numFmtId="0" fontId="0" fillId="15" borderId="18" xfId="0" applyFill="1" applyBorder="1"/>
    <xf numFmtId="0" fontId="0" fillId="15" borderId="26" xfId="0" applyFill="1" applyBorder="1"/>
    <xf numFmtId="0" fontId="25" fillId="15" borderId="23" xfId="0" applyFont="1" applyFill="1" applyBorder="1"/>
    <xf numFmtId="170" fontId="25" fillId="3" borderId="0" xfId="0" applyNumberFormat="1" applyFont="1" applyFill="1"/>
    <xf numFmtId="172" fontId="25" fillId="3" borderId="0" xfId="0" applyNumberFormat="1" applyFont="1" applyFill="1"/>
    <xf numFmtId="0" fontId="6" fillId="15" borderId="23" xfId="0" applyFont="1" applyFill="1" applyBorder="1"/>
    <xf numFmtId="0" fontId="40" fillId="15" borderId="0" xfId="0" applyFont="1" applyFill="1" applyBorder="1"/>
    <xf numFmtId="0" fontId="40" fillId="15" borderId="0" xfId="0" applyFont="1" applyFill="1" applyBorder="1" applyAlignment="1">
      <alignment horizontal="right"/>
    </xf>
    <xf numFmtId="2" fontId="40" fillId="15" borderId="0" xfId="0" applyNumberFormat="1" applyFont="1" applyFill="1" applyBorder="1"/>
    <xf numFmtId="170" fontId="6" fillId="0" borderId="0" xfId="0" applyNumberFormat="1" applyFont="1"/>
    <xf numFmtId="176" fontId="6" fillId="0" borderId="0" xfId="0" applyNumberFormat="1" applyFont="1"/>
    <xf numFmtId="176" fontId="37" fillId="0" borderId="0" xfId="0" applyNumberFormat="1" applyFont="1"/>
    <xf numFmtId="176" fontId="41" fillId="0" borderId="0" xfId="0" applyNumberFormat="1" applyFont="1"/>
    <xf numFmtId="0" fontId="56" fillId="0" borderId="36" xfId="0" applyFont="1" applyBorder="1" applyAlignment="1">
      <alignment horizontal="center"/>
    </xf>
    <xf numFmtId="0" fontId="56" fillId="0" borderId="37" xfId="0" applyFont="1" applyBorder="1" applyAlignment="1">
      <alignment horizontal="center"/>
    </xf>
    <xf numFmtId="0" fontId="56" fillId="0" borderId="38" xfId="0" applyFont="1" applyBorder="1" applyAlignment="1">
      <alignment horizontal="center"/>
    </xf>
    <xf numFmtId="0" fontId="58" fillId="0" borderId="6" xfId="0" applyFont="1" applyBorder="1" applyAlignment="1">
      <alignment horizontal="center" vertical="top"/>
    </xf>
    <xf numFmtId="0" fontId="58" fillId="0" borderId="5" xfId="0" applyFont="1" applyBorder="1" applyAlignment="1">
      <alignment horizontal="center" vertical="top"/>
    </xf>
    <xf numFmtId="2" fontId="58" fillId="0" borderId="5" xfId="0" applyNumberFormat="1" applyFont="1" applyFill="1" applyBorder="1" applyAlignment="1" applyProtection="1">
      <alignment horizontal="center" vertical="top"/>
    </xf>
    <xf numFmtId="2" fontId="58" fillId="0" borderId="4" xfId="0" applyNumberFormat="1" applyFont="1" applyFill="1" applyBorder="1" applyAlignment="1" applyProtection="1">
      <alignment horizontal="center" vertical="top"/>
    </xf>
    <xf numFmtId="0" fontId="58" fillId="18" borderId="6" xfId="0" applyFont="1" applyFill="1" applyBorder="1" applyAlignment="1">
      <alignment horizontal="center" vertical="top"/>
    </xf>
    <xf numFmtId="0" fontId="58" fillId="18" borderId="5" xfId="0" applyFont="1" applyFill="1" applyBorder="1" applyAlignment="1">
      <alignment horizontal="center" vertical="top"/>
    </xf>
    <xf numFmtId="2" fontId="58" fillId="18" borderId="5" xfId="0" applyNumberFormat="1" applyFont="1" applyFill="1" applyBorder="1" applyAlignment="1" applyProtection="1">
      <alignment horizontal="center" vertical="top"/>
    </xf>
    <xf numFmtId="2" fontId="58" fillId="18" borderId="4" xfId="0" applyNumberFormat="1" applyFont="1" applyFill="1" applyBorder="1" applyAlignment="1" applyProtection="1">
      <alignment horizontal="center" vertical="top"/>
    </xf>
    <xf numFmtId="0" fontId="13" fillId="18" borderId="15" xfId="0" applyFont="1" applyFill="1" applyBorder="1"/>
    <xf numFmtId="167" fontId="13" fillId="18" borderId="15" xfId="0" applyNumberFormat="1" applyFont="1" applyFill="1" applyBorder="1"/>
    <xf numFmtId="170" fontId="0" fillId="18" borderId="0" xfId="0" applyNumberFormat="1" applyFill="1"/>
    <xf numFmtId="0" fontId="0" fillId="18" borderId="15" xfId="0" applyFill="1" applyBorder="1"/>
    <xf numFmtId="0" fontId="58" fillId="15" borderId="6" xfId="0" applyFont="1" applyFill="1" applyBorder="1" applyAlignment="1">
      <alignment horizontal="center" vertical="top"/>
    </xf>
    <xf numFmtId="0" fontId="58" fillId="15" borderId="5" xfId="0" applyFont="1" applyFill="1" applyBorder="1" applyAlignment="1">
      <alignment horizontal="center" vertical="top"/>
    </xf>
    <xf numFmtId="2" fontId="58" fillId="15" borderId="5" xfId="0" applyNumberFormat="1" applyFont="1" applyFill="1" applyBorder="1" applyAlignment="1" applyProtection="1">
      <alignment horizontal="center" vertical="top"/>
    </xf>
    <xf numFmtId="2" fontId="58" fillId="15" borderId="4" xfId="0" applyNumberFormat="1" applyFont="1" applyFill="1" applyBorder="1" applyAlignment="1" applyProtection="1">
      <alignment horizontal="center" vertical="top"/>
    </xf>
    <xf numFmtId="0" fontId="13" fillId="15" borderId="15" xfId="0" applyFont="1" applyFill="1" applyBorder="1"/>
    <xf numFmtId="0" fontId="0" fillId="15" borderId="15" xfId="0" applyFill="1" applyBorder="1"/>
    <xf numFmtId="170" fontId="0" fillId="15" borderId="0" xfId="0" applyNumberFormat="1" applyFill="1"/>
    <xf numFmtId="0" fontId="58" fillId="19" borderId="6" xfId="0" applyFont="1" applyFill="1" applyBorder="1" applyAlignment="1">
      <alignment horizontal="center" vertical="top"/>
    </xf>
    <xf numFmtId="0" fontId="58" fillId="19" borderId="5" xfId="0" applyFont="1" applyFill="1" applyBorder="1" applyAlignment="1">
      <alignment horizontal="center" vertical="top"/>
    </xf>
    <xf numFmtId="2" fontId="58" fillId="19" borderId="5" xfId="0" applyNumberFormat="1" applyFont="1" applyFill="1" applyBorder="1" applyAlignment="1" applyProtection="1">
      <alignment horizontal="center" vertical="top"/>
    </xf>
    <xf numFmtId="2" fontId="58" fillId="19" borderId="4" xfId="0" applyNumberFormat="1" applyFont="1" applyFill="1" applyBorder="1" applyAlignment="1" applyProtection="1">
      <alignment horizontal="center" vertical="top"/>
    </xf>
    <xf numFmtId="0" fontId="13" fillId="19" borderId="15" xfId="0" applyFont="1" applyFill="1" applyBorder="1"/>
    <xf numFmtId="0" fontId="0" fillId="19" borderId="15" xfId="0" applyFill="1" applyBorder="1"/>
    <xf numFmtId="170" fontId="0" fillId="19" borderId="0" xfId="0" applyNumberFormat="1" applyFill="1"/>
    <xf numFmtId="1" fontId="13" fillId="5" borderId="0" xfId="0" applyNumberFormat="1" applyFont="1" applyFill="1" applyAlignment="1">
      <alignment horizontal="right"/>
    </xf>
    <xf numFmtId="0" fontId="0" fillId="11" borderId="0" xfId="0" applyFill="1" applyBorder="1"/>
    <xf numFmtId="0" fontId="58" fillId="3" borderId="6" xfId="0" applyFont="1" applyFill="1" applyBorder="1" applyAlignment="1">
      <alignment horizontal="center" vertical="top"/>
    </xf>
    <xf numFmtId="0" fontId="58" fillId="3" borderId="5" xfId="0" applyFont="1" applyFill="1" applyBorder="1" applyAlignment="1">
      <alignment horizontal="center" vertical="top"/>
    </xf>
    <xf numFmtId="2" fontId="58" fillId="3" borderId="5" xfId="0" applyNumberFormat="1" applyFont="1" applyFill="1" applyBorder="1" applyAlignment="1" applyProtection="1">
      <alignment horizontal="center" vertical="top"/>
    </xf>
    <xf numFmtId="2" fontId="58" fillId="3" borderId="4" xfId="0" applyNumberFormat="1" applyFont="1" applyFill="1" applyBorder="1" applyAlignment="1" applyProtection="1">
      <alignment horizontal="center" vertical="top"/>
    </xf>
    <xf numFmtId="0" fontId="0" fillId="0" borderId="0" xfId="0" applyNumberFormat="1"/>
    <xf numFmtId="0" fontId="72" fillId="0" borderId="0" xfId="0" applyFont="1"/>
    <xf numFmtId="0" fontId="0" fillId="0" borderId="0" xfId="0" applyAlignment="1">
      <alignment horizontal="left"/>
    </xf>
    <xf numFmtId="170" fontId="0" fillId="0" borderId="0" xfId="0" applyNumberFormat="1" applyFill="1"/>
    <xf numFmtId="0" fontId="73" fillId="0" borderId="0" xfId="0" applyFont="1"/>
    <xf numFmtId="0" fontId="73" fillId="0" borderId="0" xfId="0" applyFont="1" applyAlignment="1">
      <alignment horizontal="right"/>
    </xf>
    <xf numFmtId="170" fontId="73" fillId="0" borderId="0" xfId="0" applyNumberFormat="1" applyFont="1"/>
    <xf numFmtId="170" fontId="41" fillId="0" borderId="0" xfId="0" applyNumberFormat="1" applyFont="1"/>
    <xf numFmtId="170" fontId="58" fillId="18" borderId="5" xfId="0" applyNumberFormat="1" applyFont="1" applyFill="1" applyBorder="1" applyAlignment="1" applyProtection="1">
      <alignment horizontal="center" vertical="top"/>
    </xf>
    <xf numFmtId="170" fontId="58" fillId="18" borderId="4" xfId="0" applyNumberFormat="1" applyFont="1" applyFill="1" applyBorder="1" applyAlignment="1" applyProtection="1">
      <alignment horizontal="center" vertical="top"/>
    </xf>
    <xf numFmtId="172" fontId="0" fillId="15" borderId="0" xfId="0" applyNumberFormat="1" applyFill="1" applyBorder="1"/>
    <xf numFmtId="14" fontId="13" fillId="0" borderId="0" xfId="0" applyNumberFormat="1" applyFont="1" applyFill="1" applyAlignment="1">
      <alignment horizontal="left"/>
    </xf>
    <xf numFmtId="14" fontId="28" fillId="0" borderId="0" xfId="0" applyNumberFormat="1" applyFont="1" applyFill="1" applyAlignment="1">
      <alignment horizontal="left"/>
    </xf>
    <xf numFmtId="0" fontId="74" fillId="0" borderId="0" xfId="0" applyFont="1" applyFill="1" applyAlignment="1">
      <alignment horizontal="left"/>
    </xf>
    <xf numFmtId="0" fontId="22" fillId="0" borderId="0" xfId="0" applyFont="1" applyFill="1" applyAlignment="1">
      <alignment horizontal="left"/>
    </xf>
    <xf numFmtId="0" fontId="74" fillId="0" borderId="0" xfId="0" applyFont="1" applyFill="1" applyAlignment="1">
      <alignment horizontal="right"/>
    </xf>
    <xf numFmtId="0" fontId="0" fillId="0" borderId="0" xfId="0" applyFill="1" applyAlignment="1">
      <alignment horizontal="center" vertical="center"/>
    </xf>
    <xf numFmtId="177" fontId="0" fillId="0" borderId="0" xfId="0" applyNumberFormat="1" applyFill="1"/>
    <xf numFmtId="167" fontId="74" fillId="0" borderId="0" xfId="0" applyNumberFormat="1" applyFont="1" applyFill="1" applyAlignment="1">
      <alignment horizontal="right"/>
    </xf>
    <xf numFmtId="0" fontId="22" fillId="0" borderId="0" xfId="0" applyFont="1" applyFill="1" applyAlignment="1">
      <alignment horizontal="right"/>
    </xf>
    <xf numFmtId="0" fontId="75" fillId="0" borderId="0" xfId="0" applyFont="1" applyFill="1"/>
    <xf numFmtId="1" fontId="74" fillId="0" borderId="0" xfId="0" applyNumberFormat="1" applyFont="1" applyFill="1"/>
    <xf numFmtId="0" fontId="74" fillId="0" borderId="0" xfId="0" applyFont="1" applyFill="1"/>
    <xf numFmtId="167" fontId="10" fillId="0" borderId="0" xfId="0" applyNumberFormat="1" applyFont="1" applyFill="1"/>
    <xf numFmtId="0" fontId="10" fillId="0" borderId="0" xfId="0" applyFont="1" applyFill="1" applyAlignment="1">
      <alignment horizontal="left"/>
    </xf>
    <xf numFmtId="10" fontId="37" fillId="0" borderId="0" xfId="37" applyNumberFormat="1" applyFont="1"/>
    <xf numFmtId="170" fontId="37" fillId="0" borderId="0" xfId="0" applyNumberFormat="1" applyFont="1"/>
    <xf numFmtId="170" fontId="37" fillId="0" borderId="12" xfId="0" applyNumberFormat="1" applyFont="1" applyBorder="1"/>
    <xf numFmtId="0" fontId="75" fillId="0" borderId="0" xfId="0" applyFont="1" applyFill="1" applyAlignment="1">
      <alignment horizontal="left"/>
    </xf>
    <xf numFmtId="1" fontId="13" fillId="5" borderId="0" xfId="0" applyNumberFormat="1" applyFont="1" applyFill="1"/>
    <xf numFmtId="2" fontId="0" fillId="13" borderId="0" xfId="0" applyNumberFormat="1" applyFill="1"/>
    <xf numFmtId="2" fontId="33" fillId="13" borderId="0" xfId="0" applyNumberFormat="1" applyFont="1" applyFill="1"/>
    <xf numFmtId="0" fontId="0" fillId="13" borderId="0" xfId="0" applyFill="1"/>
    <xf numFmtId="0" fontId="0" fillId="13" borderId="13" xfId="0" applyFill="1" applyBorder="1"/>
    <xf numFmtId="1" fontId="0" fillId="0" borderId="0" xfId="0" applyNumberFormat="1" applyFill="1" applyAlignment="1">
      <alignment horizontal="left"/>
    </xf>
    <xf numFmtId="1" fontId="13" fillId="0" borderId="0" xfId="0" applyNumberFormat="1" applyFont="1" applyFill="1" applyAlignment="1">
      <alignment horizontal="left"/>
    </xf>
    <xf numFmtId="9" fontId="0" fillId="0" borderId="0" xfId="37" applyFont="1"/>
    <xf numFmtId="0" fontId="0" fillId="0" borderId="39" xfId="0" applyBorder="1"/>
    <xf numFmtId="167" fontId="0" fillId="0" borderId="40" xfId="0" applyNumberFormat="1" applyBorder="1"/>
    <xf numFmtId="0" fontId="0" fillId="0" borderId="41" xfId="0" applyBorder="1"/>
    <xf numFmtId="0" fontId="0" fillId="0" borderId="42" xfId="0" applyBorder="1"/>
    <xf numFmtId="2" fontId="0" fillId="0" borderId="42" xfId="0" applyNumberFormat="1" applyBorder="1"/>
    <xf numFmtId="0" fontId="0" fillId="0" borderId="43" xfId="0" applyBorder="1"/>
    <xf numFmtId="2" fontId="0" fillId="0" borderId="44" xfId="0" applyNumberFormat="1" applyBorder="1"/>
    <xf numFmtId="2" fontId="0" fillId="0" borderId="8" xfId="0" applyNumberFormat="1" applyBorder="1"/>
    <xf numFmtId="2" fontId="30" fillId="0" borderId="0" xfId="0" applyNumberFormat="1" applyFont="1" applyFill="1"/>
    <xf numFmtId="0" fontId="76" fillId="0" borderId="0" xfId="0" applyFont="1"/>
    <xf numFmtId="1" fontId="76" fillId="0" borderId="0" xfId="0" applyNumberFormat="1" applyFont="1"/>
    <xf numFmtId="2" fontId="76" fillId="0" borderId="0" xfId="0" applyNumberFormat="1" applyFont="1"/>
    <xf numFmtId="14" fontId="76" fillId="0" borderId="0" xfId="0" applyNumberFormat="1" applyFont="1"/>
    <xf numFmtId="14" fontId="77" fillId="0" borderId="0" xfId="0" applyNumberFormat="1" applyFont="1"/>
    <xf numFmtId="2" fontId="77" fillId="0" borderId="0" xfId="0" applyNumberFormat="1" applyFont="1" applyFill="1"/>
    <xf numFmtId="2" fontId="78" fillId="20" borderId="0" xfId="0" applyNumberFormat="1" applyFont="1" applyFill="1"/>
    <xf numFmtId="0" fontId="79" fillId="0" borderId="0" xfId="0" applyFont="1"/>
    <xf numFmtId="14" fontId="0" fillId="0" borderId="0" xfId="0" applyNumberFormat="1" applyFill="1"/>
    <xf numFmtId="167" fontId="0" fillId="3" borderId="0" xfId="0" applyNumberFormat="1" applyFill="1"/>
    <xf numFmtId="0" fontId="0" fillId="0" borderId="0" xfId="0" applyFill="1" applyAlignment="1">
      <alignment horizontal="left"/>
    </xf>
    <xf numFmtId="0" fontId="13" fillId="0" borderId="0" xfId="0" applyFont="1" applyFill="1" applyAlignment="1">
      <alignment horizontal="left"/>
    </xf>
    <xf numFmtId="0" fontId="0" fillId="0" borderId="0" xfId="0" applyFill="1" applyAlignment="1">
      <alignment horizontal="left" vertical="center"/>
    </xf>
    <xf numFmtId="177" fontId="0" fillId="0" borderId="0" xfId="0" applyNumberFormat="1" applyFill="1" applyAlignment="1">
      <alignment horizontal="left"/>
    </xf>
    <xf numFmtId="167" fontId="74" fillId="0" borderId="0" xfId="0" applyNumberFormat="1" applyFont="1" applyFill="1" applyAlignment="1">
      <alignment horizontal="left"/>
    </xf>
    <xf numFmtId="1" fontId="74" fillId="0" borderId="0" xfId="0" applyNumberFormat="1" applyFont="1" applyFill="1" applyAlignment="1">
      <alignment horizontal="left"/>
    </xf>
    <xf numFmtId="0" fontId="37" fillId="0" borderId="0" xfId="38" applyFont="1" applyFill="1"/>
    <xf numFmtId="178" fontId="74" fillId="0" borderId="0" xfId="37" applyNumberFormat="1" applyFont="1" applyFill="1" applyAlignment="1">
      <alignment horizontal="left"/>
    </xf>
    <xf numFmtId="2" fontId="74" fillId="0" borderId="0" xfId="0" applyNumberFormat="1" applyFont="1" applyFill="1" applyAlignment="1">
      <alignment horizontal="left"/>
    </xf>
    <xf numFmtId="178" fontId="74" fillId="0" borderId="0" xfId="0" applyNumberFormat="1" applyFont="1" applyFill="1" applyAlignment="1">
      <alignment horizontal="left"/>
    </xf>
    <xf numFmtId="167" fontId="0" fillId="0" borderId="0" xfId="0" applyNumberFormat="1" applyFill="1" applyAlignment="1">
      <alignment horizontal="center"/>
    </xf>
    <xf numFmtId="0" fontId="0" fillId="0" borderId="0" xfId="0" applyFill="1" applyAlignment="1">
      <alignment horizontal="center"/>
    </xf>
    <xf numFmtId="0" fontId="13" fillId="0" borderId="0" xfId="0" applyFont="1" applyFill="1" applyAlignment="1">
      <alignment horizontal="center"/>
    </xf>
    <xf numFmtId="0" fontId="81" fillId="0" borderId="0" xfId="40" applyFont="1" applyFill="1" applyAlignment="1">
      <alignment horizontal="left"/>
    </xf>
    <xf numFmtId="0" fontId="80" fillId="0" borderId="0" xfId="38" applyFont="1" applyFill="1"/>
    <xf numFmtId="10" fontId="74" fillId="0" borderId="0" xfId="0" applyNumberFormat="1" applyFont="1" applyFill="1" applyAlignment="1">
      <alignment horizontal="right"/>
    </xf>
    <xf numFmtId="0" fontId="37" fillId="0" borderId="0" xfId="0" applyFont="1" applyFill="1" applyAlignment="1">
      <alignment horizontal="left" vertical="center"/>
    </xf>
    <xf numFmtId="0" fontId="30" fillId="0" borderId="0" xfId="0" applyFont="1" applyFill="1" applyAlignment="1">
      <alignment horizontal="left" vertical="center"/>
    </xf>
    <xf numFmtId="2" fontId="74" fillId="0" borderId="0" xfId="0" applyNumberFormat="1" applyFont="1" applyFill="1" applyAlignment="1">
      <alignment horizontal="right"/>
    </xf>
    <xf numFmtId="0" fontId="1" fillId="0" borderId="0" xfId="0" applyFont="1"/>
    <xf numFmtId="1" fontId="10" fillId="0" borderId="0" xfId="0" applyNumberFormat="1" applyFont="1" applyFill="1"/>
    <xf numFmtId="167" fontId="0" fillId="0" borderId="0" xfId="0" applyNumberFormat="1" applyFill="1"/>
    <xf numFmtId="0" fontId="10" fillId="0" borderId="0" xfId="0" applyFont="1" applyFill="1" applyAlignment="1">
      <alignment horizontal="left" vertical="center"/>
    </xf>
    <xf numFmtId="177" fontId="10" fillId="0" borderId="0" xfId="0" applyNumberFormat="1" applyFont="1" applyFill="1" applyAlignment="1">
      <alignment horizontal="left"/>
    </xf>
    <xf numFmtId="0" fontId="10" fillId="3" borderId="0" xfId="0" applyFont="1" applyFill="1" applyAlignment="1">
      <alignment horizontal="left"/>
    </xf>
    <xf numFmtId="0" fontId="0" fillId="3" borderId="0" xfId="0" applyFill="1" applyAlignment="1">
      <alignment horizontal="left"/>
    </xf>
    <xf numFmtId="167" fontId="10" fillId="3" borderId="0" xfId="0" applyNumberFormat="1" applyFont="1" applyFill="1"/>
    <xf numFmtId="1" fontId="0" fillId="3" borderId="0" xfId="0" applyNumberFormat="1" applyFill="1" applyAlignment="1">
      <alignment horizontal="left"/>
    </xf>
    <xf numFmtId="0" fontId="74" fillId="0" borderId="0" xfId="0" quotePrefix="1" applyFont="1" applyFill="1" applyAlignment="1">
      <alignment horizontal="left"/>
    </xf>
    <xf numFmtId="0" fontId="23" fillId="0" borderId="0" xfId="0" applyFont="1" applyAlignment="1">
      <alignment vertical="center"/>
    </xf>
    <xf numFmtId="0" fontId="0" fillId="0" borderId="0" xfId="0" applyAlignment="1">
      <alignment vertic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0" fontId="9" fillId="0" borderId="0" xfId="0" applyFont="1" applyAlignment="1">
      <alignment horizontal="center" vertical="center" wrapText="1"/>
    </xf>
    <xf numFmtId="0" fontId="9" fillId="0" borderId="25" xfId="0" applyFont="1" applyBorder="1" applyAlignment="1">
      <alignment horizontal="center" vertical="center"/>
    </xf>
    <xf numFmtId="0" fontId="9" fillId="0" borderId="18" xfId="0" applyFont="1" applyBorder="1" applyAlignment="1">
      <alignment horizontal="center" vertical="center"/>
    </xf>
    <xf numFmtId="0" fontId="0" fillId="17" borderId="31" xfId="0" applyFill="1" applyBorder="1" applyAlignment="1">
      <alignment horizontal="left"/>
    </xf>
    <xf numFmtId="0" fontId="0" fillId="0" borderId="0" xfId="0"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17" borderId="34" xfId="0" applyFill="1" applyBorder="1" applyAlignment="1">
      <alignment horizontal="left"/>
    </xf>
    <xf numFmtId="0" fontId="0" fillId="17" borderId="35" xfId="0" applyFill="1" applyBorder="1" applyAlignment="1">
      <alignment horizontal="left"/>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xf numFmtId="0" fontId="70" fillId="0" borderId="0" xfId="0" applyFont="1" applyAlignment="1">
      <alignment horizontal="left"/>
    </xf>
    <xf numFmtId="0" fontId="67" fillId="0" borderId="0" xfId="0" applyFont="1" applyAlignment="1">
      <alignment horizontal="left" vertical="center"/>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15" fontId="0" fillId="0" borderId="29" xfId="0" applyNumberFormat="1" applyBorder="1" applyAlignment="1">
      <alignment horizontal="left"/>
    </xf>
    <xf numFmtId="0" fontId="0" fillId="0" borderId="31" xfId="0" applyBorder="1" applyAlignment="1">
      <alignment horizontal="left"/>
    </xf>
    <xf numFmtId="0" fontId="0" fillId="0" borderId="32" xfId="0" applyBorder="1" applyAlignment="1">
      <alignment horizontal="left"/>
    </xf>
    <xf numFmtId="15" fontId="0" fillId="0" borderId="0" xfId="0" applyNumberFormat="1" applyAlignment="1">
      <alignment horizontal="left"/>
    </xf>
    <xf numFmtId="15" fontId="0" fillId="0" borderId="34" xfId="0" applyNumberFormat="1"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17" borderId="28" xfId="0" applyFill="1" applyBorder="1" applyAlignment="1">
      <alignment horizontal="left"/>
    </xf>
    <xf numFmtId="0" fontId="0" fillId="17" borderId="29" xfId="0" applyFill="1" applyBorder="1" applyAlignment="1">
      <alignment horizontal="left"/>
    </xf>
    <xf numFmtId="0" fontId="0" fillId="17" borderId="30" xfId="0" applyFill="1" applyBorder="1" applyAlignment="1">
      <alignment horizontal="left"/>
    </xf>
    <xf numFmtId="0" fontId="69" fillId="0" borderId="0" xfId="0" applyFont="1" applyAlignment="1">
      <alignment horizontal="left"/>
    </xf>
    <xf numFmtId="0" fontId="13" fillId="5" borderId="0" xfId="0" applyFont="1" applyFill="1" applyAlignment="1">
      <alignment horizontal="left"/>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cellStyle name="Normal" xfId="0" builtinId="0"/>
    <cellStyle name="Normal 2" xfId="40" xr:uid="{6418117A-B99F-4668-9931-F849093B6C54}"/>
    <cellStyle name="Normal_CHN_saz_2004_2005_results2008" xfId="39" xr:uid="{017CD34E-3DDE-404D-A4B6-D7EAE1EAFB83}"/>
    <cellStyle name="Percent" xfId="37" builtinId="5"/>
  </cellStyles>
  <dxfs count="5">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data'!$G$12:$G$16,'PIC data'!$G$47:$G$51,'PIC data'!$G$83:$G$87,'PIC data'!$G$119:$G$123,'PIC data'!$G$157:$G$161,'PIC data'!$G$195:$G$199,'PIC data'!$G$232:$G$236)</c:f>
              <c:numCache>
                <c:formatCode>0.00</c:formatCode>
                <c:ptCount val="35"/>
                <c:pt idx="0">
                  <c:v>283.74324000000001</c:v>
                </c:pt>
                <c:pt idx="1">
                  <c:v>989.70201999999995</c:v>
                </c:pt>
                <c:pt idx="2">
                  <c:v>2018.0963000000002</c:v>
                </c:pt>
                <c:pt idx="3">
                  <c:v>2844.9308999999998</c:v>
                </c:pt>
                <c:pt idx="4">
                  <c:v>3772.3453800000002</c:v>
                </c:pt>
                <c:pt idx="5" formatCode="General">
                  <c:v>241.15176</c:v>
                </c:pt>
                <c:pt idx="6" formatCode="General">
                  <c:v>1147.57044</c:v>
                </c:pt>
                <c:pt idx="7" formatCode="General">
                  <c:v>2113.8771400000001</c:v>
                </c:pt>
                <c:pt idx="8" formatCode="General">
                  <c:v>2921.01568</c:v>
                </c:pt>
                <c:pt idx="9" formatCode="General">
                  <c:v>3962.1074200000003</c:v>
                </c:pt>
                <c:pt idx="10">
                  <c:v>331.03378000000004</c:v>
                </c:pt>
                <c:pt idx="11">
                  <c:v>1343.9311600000001</c:v>
                </c:pt>
                <c:pt idx="12">
                  <c:v>2278.6441799999998</c:v>
                </c:pt>
                <c:pt idx="13">
                  <c:v>2984.7029400000001</c:v>
                </c:pt>
                <c:pt idx="14">
                  <c:v>3772.7453</c:v>
                </c:pt>
                <c:pt idx="15">
                  <c:v>228.45430000000002</c:v>
                </c:pt>
                <c:pt idx="16">
                  <c:v>1070.8857799999998</c:v>
                </c:pt>
                <c:pt idx="17">
                  <c:v>2114.9769200000001</c:v>
                </c:pt>
                <c:pt idx="18">
                  <c:v>3026.3946000000001</c:v>
                </c:pt>
                <c:pt idx="19">
                  <c:v>3935.2128000000002</c:v>
                </c:pt>
                <c:pt idx="20" formatCode="General">
                  <c:v>323.33531999999997</c:v>
                </c:pt>
                <c:pt idx="21" formatCode="General">
                  <c:v>1252.6494200000002</c:v>
                </c:pt>
                <c:pt idx="22" formatCode="General">
                  <c:v>2152.7693599999998</c:v>
                </c:pt>
                <c:pt idx="23" formatCode="General">
                  <c:v>3092.1814400000003</c:v>
                </c:pt>
                <c:pt idx="24" formatCode="General">
                  <c:v>3865.12682</c:v>
                </c:pt>
                <c:pt idx="25" formatCode="General">
                  <c:v>260.64785999999998</c:v>
                </c:pt>
                <c:pt idx="26" formatCode="General">
                  <c:v>1186.0627400000001</c:v>
                </c:pt>
                <c:pt idx="27" formatCode="General">
                  <c:v>2258.1482799999999</c:v>
                </c:pt>
                <c:pt idx="28" formatCode="General">
                  <c:v>3062.2874200000001</c:v>
                </c:pt>
                <c:pt idx="29" formatCode="General">
                  <c:v>3873.7251000000001</c:v>
                </c:pt>
                <c:pt idx="30">
                  <c:v>334.53308000000004</c:v>
                </c:pt>
                <c:pt idx="31">
                  <c:v>1021.9955600000001</c:v>
                </c:pt>
                <c:pt idx="32">
                  <c:v>2034.69298</c:v>
                </c:pt>
                <c:pt idx="33">
                  <c:v>3067.3863999999999</c:v>
                </c:pt>
                <c:pt idx="34">
                  <c:v>3526.3945800000001</c:v>
                </c:pt>
              </c:numCache>
            </c:numRef>
          </c:xVal>
          <c:yVal>
            <c:numRef>
              <c:f>('PIC data'!$Y$8:$Y$13,'PIC data'!$Y$9:$Y$13,'PIC data'!$Y$48:$Y$52,'PIC data'!$Y$81:$Y$85,'PIC data'!$Y$118:$Y$122,'PIC data'!$Y$156:$Y$160,'PIC data'!$Y$194:$Y$198,'PIC data'!$Y$231:$Y$236)</c:f>
              <c:numCache>
                <c:formatCode>0.00</c:formatCode>
                <c:ptCount val="42"/>
                <c:pt idx="0">
                  <c:v>0.19199190201097524</c:v>
                </c:pt>
                <c:pt idx="1">
                  <c:v>0.45321808287815224</c:v>
                </c:pt>
                <c:pt idx="2">
                  <c:v>1.6251103730491432</c:v>
                </c:pt>
                <c:pt idx="3">
                  <c:v>4.6282198397231573</c:v>
                </c:pt>
                <c:pt idx="4">
                  <c:v>8.1206521601968369</c:v>
                </c:pt>
                <c:pt idx="5">
                  <c:v>13.226708769892543</c:v>
                </c:pt>
                <c:pt idx="6">
                  <c:v>0.45321808287815224</c:v>
                </c:pt>
                <c:pt idx="7">
                  <c:v>1.6251103730491432</c:v>
                </c:pt>
                <c:pt idx="8">
                  <c:v>4.6282198397231573</c:v>
                </c:pt>
                <c:pt idx="9">
                  <c:v>8.1206521601968369</c:v>
                </c:pt>
                <c:pt idx="10">
                  <c:v>13.226708769892543</c:v>
                </c:pt>
                <c:pt idx="11">
                  <c:v>3.9091143034447637</c:v>
                </c:pt>
                <c:pt idx="12">
                  <c:v>107.23346962717666</c:v>
                </c:pt>
                <c:pt idx="13">
                  <c:v>373.56025858592659</c:v>
                </c:pt>
                <c:pt idx="14">
                  <c:v>711.72950031592018</c:v>
                </c:pt>
                <c:pt idx="15">
                  <c:v>1320.4056323588441</c:v>
                </c:pt>
                <c:pt idx="16">
                  <c:v>0.73043019528048125</c:v>
                </c:pt>
                <c:pt idx="17">
                  <c:v>4.0047376136494703</c:v>
                </c:pt>
                <c:pt idx="18">
                  <c:v>9.3446439817570273</c:v>
                </c:pt>
                <c:pt idx="19">
                  <c:v>15.111889851610218</c:v>
                </c:pt>
                <c:pt idx="20">
                  <c:v>22.843886641362488</c:v>
                </c:pt>
                <c:pt idx="21">
                  <c:v>0.46942094861986311</c:v>
                </c:pt>
                <c:pt idx="22">
                  <c:v>2.4156564326751058</c:v>
                </c:pt>
                <c:pt idx="23">
                  <c:v>7.11644308788674</c:v>
                </c:pt>
                <c:pt idx="24">
                  <c:v>13.173674266247463</c:v>
                </c:pt>
                <c:pt idx="25">
                  <c:v>21.028893523650229</c:v>
                </c:pt>
                <c:pt idx="26">
                  <c:v>0.39509059133384716</c:v>
                </c:pt>
                <c:pt idx="27">
                  <c:v>3.3914336283222015</c:v>
                </c:pt>
                <c:pt idx="28">
                  <c:v>9.0903372415745842</c:v>
                </c:pt>
                <c:pt idx="29">
                  <c:v>18.080622870844298</c:v>
                </c:pt>
                <c:pt idx="30">
                  <c:v>27.513316530479731</c:v>
                </c:pt>
                <c:pt idx="31">
                  <c:v>3.9994640010058202E-2</c:v>
                </c:pt>
                <c:pt idx="32">
                  <c:v>2.9084953446244253</c:v>
                </c:pt>
                <c:pt idx="33">
                  <c:v>11.888237660925585</c:v>
                </c:pt>
                <c:pt idx="34">
                  <c:v>22.467998182424292</c:v>
                </c:pt>
                <c:pt idx="35">
                  <c:v>36.497383393266112</c:v>
                </c:pt>
                <c:pt idx="36">
                  <c:v>1.064539785916222</c:v>
                </c:pt>
                <c:pt idx="37">
                  <c:v>1.8690019834591052</c:v>
                </c:pt>
                <c:pt idx="38">
                  <c:v>4.266169007783974</c:v>
                </c:pt>
                <c:pt idx="39">
                  <c:v>9.6463543757811827</c:v>
                </c:pt>
                <c:pt idx="40">
                  <c:v>17.333674423580359</c:v>
                </c:pt>
                <c:pt idx="41">
                  <c:v>21.538159543076212</c:v>
                </c:pt>
              </c:numCache>
            </c:numRef>
          </c:yVal>
          <c:smooth val="0"/>
          <c:extLst>
            <c:ext xmlns:c16="http://schemas.microsoft.com/office/drawing/2014/chart" uri="{C3380CC4-5D6E-409C-BE32-E72D297353CC}">
              <c16:uniqueId val="{00000000-0660-4002-9C93-2FA5E22D9243}"/>
            </c:ext>
          </c:extLst>
        </c:ser>
        <c:dLbls>
          <c:showLegendKey val="0"/>
          <c:showVal val="0"/>
          <c:showCatName val="0"/>
          <c:showSerName val="0"/>
          <c:showPercent val="0"/>
          <c:showBubbleSize val="0"/>
        </c:dLbls>
        <c:axId val="748472392"/>
        <c:axId val="748467144"/>
      </c:scatterChart>
      <c:valAx>
        <c:axId val="748472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CaCO3 weight ug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67144"/>
        <c:crosses val="autoZero"/>
        <c:crossBetween val="midCat"/>
      </c:valAx>
      <c:valAx>
        <c:axId val="74846714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aseline="0"/>
                  <a:t>Variance around regression ugC</a:t>
                </a:r>
                <a:endParaRPr lang="en-AU"/>
              </a:p>
            </c:rich>
          </c:tx>
          <c:layout>
            <c:manualLayout>
              <c:xMode val="edge"/>
              <c:yMode val="edge"/>
              <c:x val="1.2339330953486985E-2"/>
              <c:y val="0.226936221579897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72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2"/>
          <c:order val="0"/>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report_47!$Q$6:$Q$26</c:f>
              <c:numCache>
                <c:formatCode>0.0</c:formatCode>
                <c:ptCount val="21"/>
                <c:pt idx="0">
                  <c:v>0.72726795979746273</c:v>
                </c:pt>
                <c:pt idx="1">
                  <c:v>0.97503974549089178</c:v>
                </c:pt>
                <c:pt idx="2">
                  <c:v>1.0852373537359719</c:v>
                </c:pt>
                <c:pt idx="3">
                  <c:v>0.51097100519527894</c:v>
                </c:pt>
                <c:pt idx="4">
                  <c:v>0</c:v>
                </c:pt>
                <c:pt idx="5">
                  <c:v>4.9422723399627916E-2</c:v>
                </c:pt>
                <c:pt idx="6">
                  <c:v>7.8370967984593795E-2</c:v>
                </c:pt>
                <c:pt idx="7">
                  <c:v>0</c:v>
                </c:pt>
                <c:pt idx="8">
                  <c:v>0.44140727653122314</c:v>
                </c:pt>
                <c:pt idx="9">
                  <c:v>0.4993650495061564</c:v>
                </c:pt>
                <c:pt idx="10">
                  <c:v>1.0444823492752786</c:v>
                </c:pt>
                <c:pt idx="11">
                  <c:v>1.437687979387716</c:v>
                </c:pt>
                <c:pt idx="12">
                  <c:v>1.8579897028005457</c:v>
                </c:pt>
                <c:pt idx="13">
                  <c:v>2.5021289946472716</c:v>
                </c:pt>
                <c:pt idx="14">
                  <c:v>1.4995202143042485</c:v>
                </c:pt>
                <c:pt idx="15">
                  <c:v>0.41680429198258667</c:v>
                </c:pt>
                <c:pt idx="16">
                  <c:v>0.32066788279462183</c:v>
                </c:pt>
                <c:pt idx="17">
                  <c:v>0.76253957541700335</c:v>
                </c:pt>
                <c:pt idx="18">
                  <c:v>0.69095293693580473</c:v>
                </c:pt>
                <c:pt idx="19">
                  <c:v>0.89985481512153276</c:v>
                </c:pt>
                <c:pt idx="20">
                  <c:v>1.3173020567736846</c:v>
                </c:pt>
              </c:numCache>
            </c:numRef>
          </c:val>
          <c:smooth val="0"/>
          <c:extLst>
            <c:ext xmlns:c16="http://schemas.microsoft.com/office/drawing/2014/chart" uri="{C3380CC4-5D6E-409C-BE32-E72D297353CC}">
              <c16:uniqueId val="{00000002-BEA4-43C8-ADC4-54F04941F90E}"/>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report_47!$Q$27:$Q$47</c:f>
              <c:numCache>
                <c:formatCode>0.0</c:formatCode>
                <c:ptCount val="21"/>
                <c:pt idx="0">
                  <c:v>1.8850379779488589</c:v>
                </c:pt>
                <c:pt idx="1">
                  <c:v>3.1539273406684063</c:v>
                </c:pt>
                <c:pt idx="2">
                  <c:v>3.9236797302218491</c:v>
                </c:pt>
                <c:pt idx="3">
                  <c:v>1.7430044626923169</c:v>
                </c:pt>
                <c:pt idx="4">
                  <c:v>1.0186203400244334</c:v>
                </c:pt>
                <c:pt idx="5">
                  <c:v>1.0852133304049947</c:v>
                </c:pt>
                <c:pt idx="6">
                  <c:v>0.38596079438288494</c:v>
                </c:pt>
                <c:pt idx="7">
                  <c:v>0.6440654640098542</c:v>
                </c:pt>
                <c:pt idx="8">
                  <c:v>1.2503728782677948</c:v>
                </c:pt>
                <c:pt idx="9">
                  <c:v>1.0605550294132768</c:v>
                </c:pt>
                <c:pt idx="10">
                  <c:v>1.3973613309234612</c:v>
                </c:pt>
                <c:pt idx="11">
                  <c:v>2.4533047646171462</c:v>
                </c:pt>
                <c:pt idx="12">
                  <c:v>2.0665415170372285</c:v>
                </c:pt>
                <c:pt idx="13">
                  <c:v>1.577908560348527</c:v>
                </c:pt>
                <c:pt idx="14">
                  <c:v>1.7266756964050594</c:v>
                </c:pt>
                <c:pt idx="15">
                  <c:v>1.5585463823259227</c:v>
                </c:pt>
                <c:pt idx="16">
                  <c:v>1.0288736995519088</c:v>
                </c:pt>
                <c:pt idx="17">
                  <c:v>1.7460028461631789</c:v>
                </c:pt>
                <c:pt idx="18">
                  <c:v>1.7306602176185861</c:v>
                </c:pt>
                <c:pt idx="19">
                  <c:v>2.0879644895627081</c:v>
                </c:pt>
                <c:pt idx="20">
                  <c:v>2.0843780696207146</c:v>
                </c:pt>
              </c:numCache>
            </c:numRef>
          </c:val>
          <c:smooth val="0"/>
          <c:extLst>
            <c:ext xmlns:c16="http://schemas.microsoft.com/office/drawing/2014/chart" uri="{C3380CC4-5D6E-409C-BE32-E72D297353CC}">
              <c16:uniqueId val="{00000001-BEA4-43C8-ADC4-54F04941F90E}"/>
            </c:ext>
          </c:extLst>
        </c:ser>
        <c:ser>
          <c:idx val="0"/>
          <c:order val="2"/>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report_47!$Q$48:$Q$68</c:f>
              <c:numCache>
                <c:formatCode>0.0</c:formatCode>
                <c:ptCount val="21"/>
                <c:pt idx="0">
                  <c:v>1.574063963193415</c:v>
                </c:pt>
                <c:pt idx="1">
                  <c:v>1.9696144956935031</c:v>
                </c:pt>
                <c:pt idx="2">
                  <c:v>2.7444390506393064</c:v>
                </c:pt>
                <c:pt idx="3">
                  <c:v>2.1036059353798282</c:v>
                </c:pt>
                <c:pt idx="4">
                  <c:v>1.3963735354344804</c:v>
                </c:pt>
                <c:pt idx="5">
                  <c:v>0.98329592233351393</c:v>
                </c:pt>
                <c:pt idx="6">
                  <c:v>1.1873916597804781</c:v>
                </c:pt>
                <c:pt idx="7">
                  <c:v>0.93738528742038874</c:v>
                </c:pt>
                <c:pt idx="8">
                  <c:v>1.0138651023111098</c:v>
                </c:pt>
                <c:pt idx="9">
                  <c:v>0.77744700542520007</c:v>
                </c:pt>
                <c:pt idx="10">
                  <c:v>1.0321956412748625</c:v>
                </c:pt>
                <c:pt idx="11">
                  <c:v>1.6600397538469185</c:v>
                </c:pt>
                <c:pt idx="12">
                  <c:v>1.8869235846734707</c:v>
                </c:pt>
                <c:pt idx="13">
                  <c:v>1.3602319135469914</c:v>
                </c:pt>
                <c:pt idx="14">
                  <c:v>2.5819681729911568</c:v>
                </c:pt>
                <c:pt idx="15">
                  <c:v>1.3969362455360459</c:v>
                </c:pt>
                <c:pt idx="16">
                  <c:v>1.5852176768754778</c:v>
                </c:pt>
                <c:pt idx="17">
                  <c:v>1.7116295286123762</c:v>
                </c:pt>
                <c:pt idx="18">
                  <c:v>2.1570865916726873</c:v>
                </c:pt>
                <c:pt idx="19">
                  <c:v>3.226688818240357</c:v>
                </c:pt>
                <c:pt idx="20">
                  <c:v>2.8518836241381065</c:v>
                </c:pt>
              </c:numCache>
            </c:numRef>
          </c:val>
          <c:smooth val="0"/>
          <c:extLst>
            <c:ext xmlns:c16="http://schemas.microsoft.com/office/drawing/2014/chart" uri="{C3380CC4-5D6E-409C-BE32-E72D297353CC}">
              <c16:uniqueId val="{00000000-BEA4-43C8-ADC4-54F04941F90E}"/>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2"/>
          <c:order val="0"/>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report_47!$T$6:$T$26</c:f>
              <c:numCache>
                <c:formatCode>0.0</c:formatCode>
                <c:ptCount val="21"/>
                <c:pt idx="0">
                  <c:v>0.19325491963518354</c:v>
                </c:pt>
                <c:pt idx="1">
                  <c:v>0.97508141491729672</c:v>
                </c:pt>
                <c:pt idx="2">
                  <c:v>0.16581330755858092</c:v>
                </c:pt>
                <c:pt idx="3">
                  <c:v>0.17750060016749308</c:v>
                </c:pt>
                <c:pt idx="4">
                  <c:v>0</c:v>
                </c:pt>
                <c:pt idx="5">
                  <c:v>0.12494232244414562</c:v>
                </c:pt>
                <c:pt idx="6">
                  <c:v>7.3680188709153285E-2</c:v>
                </c:pt>
                <c:pt idx="7">
                  <c:v>0</c:v>
                </c:pt>
                <c:pt idx="8">
                  <c:v>0.51310865490164526</c:v>
                </c:pt>
                <c:pt idx="9">
                  <c:v>0.499618139388324</c:v>
                </c:pt>
                <c:pt idx="10">
                  <c:v>1.3807110713786335</c:v>
                </c:pt>
                <c:pt idx="11">
                  <c:v>1.291542941168617</c:v>
                </c:pt>
                <c:pt idx="12">
                  <c:v>1.5833590561777651</c:v>
                </c:pt>
                <c:pt idx="13">
                  <c:v>1.6991487915220622</c:v>
                </c:pt>
                <c:pt idx="14">
                  <c:v>1.3569654045062893</c:v>
                </c:pt>
                <c:pt idx="15">
                  <c:v>0.95562825762767134</c:v>
                </c:pt>
                <c:pt idx="16">
                  <c:v>0.80222530047511931</c:v>
                </c:pt>
                <c:pt idx="17">
                  <c:v>1.1927521994566501</c:v>
                </c:pt>
                <c:pt idx="18">
                  <c:v>1.7855002660624131</c:v>
                </c:pt>
                <c:pt idx="19">
                  <c:v>1.1592886845197254</c:v>
                </c:pt>
                <c:pt idx="20">
                  <c:v>0.96411242573909495</c:v>
                </c:pt>
              </c:numCache>
            </c:numRef>
          </c:val>
          <c:smooth val="0"/>
          <c:extLst>
            <c:ext xmlns:c16="http://schemas.microsoft.com/office/drawing/2014/chart" uri="{C3380CC4-5D6E-409C-BE32-E72D297353CC}">
              <c16:uniqueId val="{00000002-D749-4EBF-96FC-E701DF0CD0E3}"/>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report_47!$T$27:$T$47</c:f>
              <c:numCache>
                <c:formatCode>0.0</c:formatCode>
                <c:ptCount val="21"/>
                <c:pt idx="0">
                  <c:v>1.2616195700586215</c:v>
                </c:pt>
                <c:pt idx="1">
                  <c:v>3.8430289013769894</c:v>
                </c:pt>
                <c:pt idx="2">
                  <c:v>4.347033887978454</c:v>
                </c:pt>
                <c:pt idx="3">
                  <c:v>1.5432896772487623</c:v>
                </c:pt>
                <c:pt idx="4">
                  <c:v>0.88698141547791109</c:v>
                </c:pt>
                <c:pt idx="5">
                  <c:v>0.53409339072352502</c:v>
                </c:pt>
                <c:pt idx="6">
                  <c:v>0.22533964903949269</c:v>
                </c:pt>
                <c:pt idx="7">
                  <c:v>0.42694751591272107</c:v>
                </c:pt>
                <c:pt idx="8">
                  <c:v>0.70160795475238391</c:v>
                </c:pt>
                <c:pt idx="9">
                  <c:v>0.66807288988751623</c:v>
                </c:pt>
                <c:pt idx="10">
                  <c:v>0.83878429653177755</c:v>
                </c:pt>
                <c:pt idx="11">
                  <c:v>1.3905184818325096</c:v>
                </c:pt>
                <c:pt idx="12">
                  <c:v>1.0947723341179765</c:v>
                </c:pt>
                <c:pt idx="13">
                  <c:v>1.4223197813541668</c:v>
                </c:pt>
                <c:pt idx="14">
                  <c:v>0.67275071670522524</c:v>
                </c:pt>
                <c:pt idx="15">
                  <c:v>0.69392822095777174</c:v>
                </c:pt>
                <c:pt idx="16">
                  <c:v>0.42866289754800879</c:v>
                </c:pt>
                <c:pt idx="17">
                  <c:v>0.79684637532751235</c:v>
                </c:pt>
                <c:pt idx="18">
                  <c:v>1.0417913234779652</c:v>
                </c:pt>
                <c:pt idx="19">
                  <c:v>1.0951423059484453</c:v>
                </c:pt>
                <c:pt idx="20">
                  <c:v>1.8976199592388259</c:v>
                </c:pt>
              </c:numCache>
            </c:numRef>
          </c:val>
          <c:smooth val="0"/>
          <c:extLst>
            <c:ext xmlns:c16="http://schemas.microsoft.com/office/drawing/2014/chart" uri="{C3380CC4-5D6E-409C-BE32-E72D297353CC}">
              <c16:uniqueId val="{00000001-D749-4EBF-96FC-E701DF0CD0E3}"/>
            </c:ext>
          </c:extLst>
        </c:ser>
        <c:ser>
          <c:idx val="0"/>
          <c:order val="2"/>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report_47!$T$48:$T$68</c:f>
              <c:numCache>
                <c:formatCode>0.0</c:formatCode>
                <c:ptCount val="21"/>
                <c:pt idx="0">
                  <c:v>0.97276420299274979</c:v>
                </c:pt>
                <c:pt idx="1">
                  <c:v>1.5549819273335725</c:v>
                </c:pt>
                <c:pt idx="2">
                  <c:v>2.767024045278478</c:v>
                </c:pt>
                <c:pt idx="3">
                  <c:v>1.3970406554106281</c:v>
                </c:pt>
                <c:pt idx="4">
                  <c:v>0.6531220571561962</c:v>
                </c:pt>
                <c:pt idx="5">
                  <c:v>0.59245064011519599</c:v>
                </c:pt>
                <c:pt idx="6">
                  <c:v>0.65481396375642531</c:v>
                </c:pt>
                <c:pt idx="7">
                  <c:v>0.49391970149377151</c:v>
                </c:pt>
                <c:pt idx="8">
                  <c:v>0.45257200983876167</c:v>
                </c:pt>
                <c:pt idx="9">
                  <c:v>0.50070471246845649</c:v>
                </c:pt>
                <c:pt idx="10">
                  <c:v>0.37415445864827135</c:v>
                </c:pt>
                <c:pt idx="11">
                  <c:v>0.56404124174434933</c:v>
                </c:pt>
                <c:pt idx="12">
                  <c:v>0.76644068259775533</c:v>
                </c:pt>
                <c:pt idx="13">
                  <c:v>0.51064148322403091</c:v>
                </c:pt>
                <c:pt idx="14">
                  <c:v>0.87444925641948934</c:v>
                </c:pt>
                <c:pt idx="15">
                  <c:v>0.49693651643215792</c:v>
                </c:pt>
                <c:pt idx="16">
                  <c:v>0.47595615678589803</c:v>
                </c:pt>
                <c:pt idx="17">
                  <c:v>0.50693082891691954</c:v>
                </c:pt>
                <c:pt idx="18">
                  <c:v>0.52517003696403719</c:v>
                </c:pt>
                <c:pt idx="19">
                  <c:v>0.88166987608499481</c:v>
                </c:pt>
                <c:pt idx="20">
                  <c:v>0.8442610159832129</c:v>
                </c:pt>
              </c:numCache>
            </c:numRef>
          </c:val>
          <c:smooth val="0"/>
          <c:extLst>
            <c:ext xmlns:c16="http://schemas.microsoft.com/office/drawing/2014/chart" uri="{C3380CC4-5D6E-409C-BE32-E72D297353CC}">
              <c16:uniqueId val="{00000000-D749-4EBF-96FC-E701DF0CD0E3}"/>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report_47!$S$48:$S$68</c:f>
              <c:numCache>
                <c:formatCode>0.0</c:formatCode>
                <c:ptCount val="21"/>
                <c:pt idx="0">
                  <c:v>0.12884929258626127</c:v>
                </c:pt>
                <c:pt idx="1">
                  <c:v>0.23445350436039086</c:v>
                </c:pt>
                <c:pt idx="2">
                  <c:v>0.4142018183528306</c:v>
                </c:pt>
                <c:pt idx="3">
                  <c:v>0.21412800862014419</c:v>
                </c:pt>
                <c:pt idx="4">
                  <c:v>9.6518444464177636E-2</c:v>
                </c:pt>
                <c:pt idx="5">
                  <c:v>9.278743219824398E-2</c:v>
                </c:pt>
                <c:pt idx="6">
                  <c:v>9.9757157047333858E-2</c:v>
                </c:pt>
                <c:pt idx="7">
                  <c:v>7.3045043901935211E-2</c:v>
                </c:pt>
                <c:pt idx="8">
                  <c:v>6.7868130538623866E-2</c:v>
                </c:pt>
                <c:pt idx="9">
                  <c:v>8.4209927111608643E-2</c:v>
                </c:pt>
                <c:pt idx="10">
                  <c:v>5.3746846133038401E-2</c:v>
                </c:pt>
                <c:pt idx="11">
                  <c:v>8.1645476364622341E-2</c:v>
                </c:pt>
                <c:pt idx="12">
                  <c:v>0.1167038755296103</c:v>
                </c:pt>
                <c:pt idx="13">
                  <c:v>7.6392187789269858E-2</c:v>
                </c:pt>
                <c:pt idx="14">
                  <c:v>0.10188975617197257</c:v>
                </c:pt>
                <c:pt idx="15">
                  <c:v>7.8086181253416445E-2</c:v>
                </c:pt>
                <c:pt idx="16">
                  <c:v>6.2288376216180677E-2</c:v>
                </c:pt>
                <c:pt idx="17">
                  <c:v>6.6702195690504645E-2</c:v>
                </c:pt>
                <c:pt idx="18">
                  <c:v>8.7910381446932168E-2</c:v>
                </c:pt>
                <c:pt idx="19">
                  <c:v>0.15897341697842762</c:v>
                </c:pt>
                <c:pt idx="20">
                  <c:v>0.16118422437664776</c:v>
                </c:pt>
              </c:numCache>
            </c:numRef>
          </c:val>
          <c:smooth val="0"/>
          <c:extLst>
            <c:ext xmlns:c16="http://schemas.microsoft.com/office/drawing/2014/chart" uri="{C3380CC4-5D6E-409C-BE32-E72D297353CC}">
              <c16:uniqueId val="{00000000-84E3-4479-A7A5-FFA8C77EF458}"/>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report_47!$S$27:$S$47</c:f>
              <c:numCache>
                <c:formatCode>0.0</c:formatCode>
                <c:ptCount val="21"/>
                <c:pt idx="0">
                  <c:v>0.21061703187150366</c:v>
                </c:pt>
                <c:pt idx="1">
                  <c:v>0.59232570885698088</c:v>
                </c:pt>
                <c:pt idx="2">
                  <c:v>0.71427845588976147</c:v>
                </c:pt>
                <c:pt idx="3">
                  <c:v>0.26708777737546818</c:v>
                </c:pt>
                <c:pt idx="4">
                  <c:v>0.13800988897969996</c:v>
                </c:pt>
                <c:pt idx="5">
                  <c:v>9.7767850534463629E-2</c:v>
                </c:pt>
                <c:pt idx="6">
                  <c:v>3.5596949492495103E-2</c:v>
                </c:pt>
                <c:pt idx="7">
                  <c:v>7.7691911438683509E-2</c:v>
                </c:pt>
                <c:pt idx="8">
                  <c:v>0.10225718339554278</c:v>
                </c:pt>
                <c:pt idx="9">
                  <c:v>0.11319315962820746</c:v>
                </c:pt>
                <c:pt idx="10">
                  <c:v>0.12798814025285163</c:v>
                </c:pt>
                <c:pt idx="11">
                  <c:v>0.21866241367844177</c:v>
                </c:pt>
                <c:pt idx="12">
                  <c:v>0.17106461263674097</c:v>
                </c:pt>
                <c:pt idx="13">
                  <c:v>0.23254521180892193</c:v>
                </c:pt>
                <c:pt idx="14">
                  <c:v>0.11003760487783483</c:v>
                </c:pt>
                <c:pt idx="15">
                  <c:v>9.9070817329880351E-2</c:v>
                </c:pt>
                <c:pt idx="16">
                  <c:v>6.2817878652557863E-2</c:v>
                </c:pt>
                <c:pt idx="17">
                  <c:v>0.12147426918851977</c:v>
                </c:pt>
                <c:pt idx="18">
                  <c:v>0.17900704458730562</c:v>
                </c:pt>
                <c:pt idx="19">
                  <c:v>0.16897409559802123</c:v>
                </c:pt>
                <c:pt idx="20">
                  <c:v>0.31813255570017046</c:v>
                </c:pt>
              </c:numCache>
            </c:numRef>
          </c:val>
          <c:smooth val="0"/>
          <c:extLst>
            <c:ext xmlns:c16="http://schemas.microsoft.com/office/drawing/2014/chart" uri="{C3380CC4-5D6E-409C-BE32-E72D297353CC}">
              <c16:uniqueId val="{00000001-84E3-4479-A7A5-FFA8C77EF458}"/>
            </c:ext>
          </c:extLst>
        </c:ser>
        <c:ser>
          <c:idx val="2"/>
          <c:order val="2"/>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report_47!$S$6:$S$26</c:f>
              <c:numCache>
                <c:formatCode>0.0</c:formatCode>
                <c:ptCount val="21"/>
                <c:pt idx="0">
                  <c:v>2.8666609590979185E-2</c:v>
                </c:pt>
                <c:pt idx="1">
                  <c:v>0.11937588286107578</c:v>
                </c:pt>
                <c:pt idx="2">
                  <c:v>2.4843810056999455E-2</c:v>
                </c:pt>
                <c:pt idx="3">
                  <c:v>2.7512421296154752E-2</c:v>
                </c:pt>
                <c:pt idx="4">
                  <c:v>0</c:v>
                </c:pt>
                <c:pt idx="5">
                  <c:v>2.0607958287877197E-2</c:v>
                </c:pt>
                <c:pt idx="6">
                  <c:v>1.7651378767362665E-2</c:v>
                </c:pt>
                <c:pt idx="7">
                  <c:v>0</c:v>
                </c:pt>
                <c:pt idx="8">
                  <c:v>9.558581554022158E-2</c:v>
                </c:pt>
                <c:pt idx="9">
                  <c:v>9.4391995989319175E-2</c:v>
                </c:pt>
                <c:pt idx="10">
                  <c:v>0.23262528576353217</c:v>
                </c:pt>
                <c:pt idx="11">
                  <c:v>0.22406679708292104</c:v>
                </c:pt>
                <c:pt idx="12">
                  <c:v>0.26444399265278784</c:v>
                </c:pt>
                <c:pt idx="13">
                  <c:v>0.27609663611590113</c:v>
                </c:pt>
                <c:pt idx="14">
                  <c:v>0.22204862726980751</c:v>
                </c:pt>
                <c:pt idx="15">
                  <c:v>0.16991593012723602</c:v>
                </c:pt>
                <c:pt idx="16">
                  <c:v>0.14001349945942393</c:v>
                </c:pt>
                <c:pt idx="17">
                  <c:v>0.20695425283862767</c:v>
                </c:pt>
                <c:pt idx="18">
                  <c:v>0.32715002779087105</c:v>
                </c:pt>
                <c:pt idx="19">
                  <c:v>0.19907591989143056</c:v>
                </c:pt>
                <c:pt idx="20">
                  <c:v>0.12295405488403208</c:v>
                </c:pt>
              </c:numCache>
            </c:numRef>
          </c:val>
          <c:smooth val="0"/>
          <c:extLst>
            <c:ext xmlns:c16="http://schemas.microsoft.com/office/drawing/2014/chart" uri="{C3380CC4-5D6E-409C-BE32-E72D297353CC}">
              <c16:uniqueId val="{00000002-84E3-4479-A7A5-FFA8C77EF458}"/>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val>
          <c:smooth val="0"/>
          <c:extLst>
            <c:ext xmlns:c16="http://schemas.microsoft.com/office/drawing/2014/chart" uri="{C3380CC4-5D6E-409C-BE32-E72D297353CC}">
              <c16:uniqueId val="{00000000-8A2B-4850-8952-84CFC2F79F46}"/>
            </c:ext>
          </c:extLst>
        </c:ser>
        <c:ser>
          <c:idx val="1"/>
          <c:order val="1"/>
          <c:tx>
            <c:v>2000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val>
          <c:smooth val="0"/>
          <c:extLst>
            <c:ext xmlns:c16="http://schemas.microsoft.com/office/drawing/2014/chart" uri="{C3380CC4-5D6E-409C-BE32-E72D297353CC}">
              <c16:uniqueId val="{00000001-8A2B-4850-8952-84CFC2F79F46}"/>
            </c:ext>
          </c:extLst>
        </c:ser>
        <c:ser>
          <c:idx val="2"/>
          <c:order val="2"/>
          <c:tx>
            <c:v>1000</c:v>
          </c:tx>
          <c:cat>
            <c:numRef>
              <c:f>main!$U$7:$U$27</c:f>
              <c:numCache>
                <c:formatCode>m/d/yyyy</c:formatCode>
                <c:ptCount val="21"/>
                <c:pt idx="0">
                  <c:v>43190</c:v>
                </c:pt>
                <c:pt idx="1">
                  <c:v>43207</c:v>
                </c:pt>
                <c:pt idx="2">
                  <c:v>43224</c:v>
                </c:pt>
                <c:pt idx="3">
                  <c:v>43241</c:v>
                </c:pt>
                <c:pt idx="4">
                  <c:v>43258</c:v>
                </c:pt>
                <c:pt idx="5">
                  <c:v>43275</c:v>
                </c:pt>
                <c:pt idx="6">
                  <c:v>43292</c:v>
                </c:pt>
                <c:pt idx="7">
                  <c:v>43309</c:v>
                </c:pt>
                <c:pt idx="8">
                  <c:v>43326</c:v>
                </c:pt>
                <c:pt idx="9">
                  <c:v>43343</c:v>
                </c:pt>
                <c:pt idx="10">
                  <c:v>43360</c:v>
                </c:pt>
                <c:pt idx="11">
                  <c:v>43377</c:v>
                </c:pt>
                <c:pt idx="12">
                  <c:v>43394</c:v>
                </c:pt>
                <c:pt idx="13">
                  <c:v>43411</c:v>
                </c:pt>
                <c:pt idx="14">
                  <c:v>43428</c:v>
                </c:pt>
                <c:pt idx="15">
                  <c:v>43445</c:v>
                </c:pt>
                <c:pt idx="16">
                  <c:v>43462</c:v>
                </c:pt>
                <c:pt idx="17">
                  <c:v>43479</c:v>
                </c:pt>
                <c:pt idx="18">
                  <c:v>43496</c:v>
                </c:pt>
                <c:pt idx="19">
                  <c:v>43513</c:v>
                </c:pt>
                <c:pt idx="20">
                  <c:v>43530</c:v>
                </c:pt>
              </c:numCache>
            </c:numRef>
          </c:cat>
          <c:val>
            <c:numRef>
              <c:f>report_47!$AL$6:$AL$26</c:f>
              <c:numCache>
                <c:formatCode>0.0</c:formatCode>
                <c:ptCount val="21"/>
                <c:pt idx="0">
                  <c:v>0.97177813753763154</c:v>
                </c:pt>
                <c:pt idx="1">
                  <c:v>2.6341853505467352</c:v>
                </c:pt>
                <c:pt idx="2">
                  <c:v>0.37742916268687032</c:v>
                </c:pt>
                <c:pt idx="3">
                  <c:v>0.49326190028687072</c:v>
                </c:pt>
                <c:pt idx="4">
                  <c:v>0</c:v>
                </c:pt>
                <c:pt idx="5">
                  <c:v>0.13642113997451119</c:v>
                </c:pt>
                <c:pt idx="6">
                  <c:v>0.32503493007125039</c:v>
                </c:pt>
                <c:pt idx="7">
                  <c:v>0</c:v>
                </c:pt>
                <c:pt idx="8">
                  <c:v>5.5121332729152037</c:v>
                </c:pt>
                <c:pt idx="9">
                  <c:v>3.6207864130493048</c:v>
                </c:pt>
                <c:pt idx="10">
                  <c:v>21.220991449025782</c:v>
                </c:pt>
                <c:pt idx="11">
                  <c:v>32.862452330826486</c:v>
                </c:pt>
                <c:pt idx="12">
                  <c:v>42.80853205204955</c:v>
                </c:pt>
                <c:pt idx="13">
                  <c:v>39.695754945953951</c:v>
                </c:pt>
                <c:pt idx="14">
                  <c:v>20.364319338112185</c:v>
                </c:pt>
                <c:pt idx="15">
                  <c:v>5.541423697093891</c:v>
                </c:pt>
                <c:pt idx="16">
                  <c:v>5.5014637191074502</c:v>
                </c:pt>
                <c:pt idx="17">
                  <c:v>24.273846479755182</c:v>
                </c:pt>
                <c:pt idx="18">
                  <c:v>20.652970914508224</c:v>
                </c:pt>
                <c:pt idx="19">
                  <c:v>31.430107942635615</c:v>
                </c:pt>
                <c:pt idx="20">
                  <c:v>36.128933106176213</c:v>
                </c:pt>
              </c:numCache>
            </c:numRef>
          </c:val>
          <c:smooth val="0"/>
          <c:extLst>
            <c:ext xmlns:c16="http://schemas.microsoft.com/office/drawing/2014/chart" uri="{C3380CC4-5D6E-409C-BE32-E72D297353CC}">
              <c16:uniqueId val="{00000002-8A2B-4850-8952-84CFC2F79F46}"/>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8.6164384802877789E-2"/>
          <c:y val="6.0185185185185203E-2"/>
          <c:w val="0.854057791107527"/>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report_47!$AL$6:$AL$26</c:f>
              <c:strCache>
                <c:ptCount val="21"/>
                <c:pt idx="0">
                  <c:v>1.0</c:v>
                </c:pt>
                <c:pt idx="1">
                  <c:v>2.6</c:v>
                </c:pt>
                <c:pt idx="2">
                  <c:v>0.4</c:v>
                </c:pt>
                <c:pt idx="3">
                  <c:v>0.5</c:v>
                </c:pt>
                <c:pt idx="4">
                  <c:v>NA</c:v>
                </c:pt>
                <c:pt idx="5">
                  <c:v>0.1</c:v>
                </c:pt>
                <c:pt idx="6">
                  <c:v>0.3</c:v>
                </c:pt>
                <c:pt idx="7">
                  <c:v>NA</c:v>
                </c:pt>
                <c:pt idx="8">
                  <c:v>5.5</c:v>
                </c:pt>
                <c:pt idx="9">
                  <c:v>3.6</c:v>
                </c:pt>
                <c:pt idx="10">
                  <c:v>21.2</c:v>
                </c:pt>
                <c:pt idx="11">
                  <c:v>32.9</c:v>
                </c:pt>
                <c:pt idx="12">
                  <c:v>42.8</c:v>
                </c:pt>
                <c:pt idx="13">
                  <c:v>39.7</c:v>
                </c:pt>
                <c:pt idx="14">
                  <c:v>20.4</c:v>
                </c:pt>
                <c:pt idx="15">
                  <c:v>5.5</c:v>
                </c:pt>
                <c:pt idx="16">
                  <c:v>5.5</c:v>
                </c:pt>
                <c:pt idx="17">
                  <c:v>24.3</c:v>
                </c:pt>
                <c:pt idx="18">
                  <c:v>20.7</c:v>
                </c:pt>
                <c:pt idx="19">
                  <c:v>31.4</c:v>
                </c:pt>
                <c:pt idx="20">
                  <c:v>36.1</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553C-4AC4-B1A3-3D3144A9C967}"/>
            </c:ext>
          </c:extLst>
        </c:ser>
        <c:ser>
          <c:idx val="1"/>
          <c:order val="1"/>
          <c:tx>
            <c:v>2000</c:v>
          </c:tx>
          <c:spPr>
            <a:ln w="47625">
              <a:noFill/>
            </a:ln>
          </c:spPr>
          <c:trendline>
            <c:spPr>
              <a:ln>
                <a:solidFill>
                  <a:schemeClr val="accent2"/>
                </a:solidFill>
              </a:ln>
            </c:spPr>
            <c:trendlineType val="linear"/>
            <c:dispRSqr val="0"/>
            <c:dispEq val="0"/>
          </c:trendline>
          <c:xVal>
            <c:numRef>
              <c:f>report_47!$AL$27:$AL$47</c:f>
              <c:numCache>
                <c:formatCode>0.0</c:formatCode>
                <c:ptCount val="21"/>
                <c:pt idx="0">
                  <c:v>27.71698229130191</c:v>
                </c:pt>
                <c:pt idx="1">
                  <c:v>41.185362377262379</c:v>
                </c:pt>
                <c:pt idx="2">
                  <c:v>72.482324537118686</c:v>
                </c:pt>
                <c:pt idx="3">
                  <c:v>31.059353531907711</c:v>
                </c:pt>
                <c:pt idx="4">
                  <c:v>16.985553739057682</c:v>
                </c:pt>
                <c:pt idx="5">
                  <c:v>16.312095409996832</c:v>
                </c:pt>
                <c:pt idx="6">
                  <c:v>5.9321646947315561</c:v>
                </c:pt>
                <c:pt idx="7">
                  <c:v>11.846643240997814</c:v>
                </c:pt>
                <c:pt idx="8">
                  <c:v>23.604642520991977</c:v>
                </c:pt>
                <c:pt idx="9">
                  <c:v>21.76212594150833</c:v>
                </c:pt>
                <c:pt idx="10">
                  <c:v>35.195369932514097</c:v>
                </c:pt>
                <c:pt idx="11">
                  <c:v>84.496527023062029</c:v>
                </c:pt>
                <c:pt idx="12">
                  <c:v>67.528572692456009</c:v>
                </c:pt>
                <c:pt idx="13">
                  <c:v>35.280086180869731</c:v>
                </c:pt>
                <c:pt idx="14">
                  <c:v>27.054100048814032</c:v>
                </c:pt>
                <c:pt idx="15">
                  <c:v>24.520696303948345</c:v>
                </c:pt>
                <c:pt idx="16">
                  <c:v>16.578838266943368</c:v>
                </c:pt>
                <c:pt idx="17">
                  <c:v>33.661152937906415</c:v>
                </c:pt>
                <c:pt idx="18">
                  <c:v>46.206562423820749</c:v>
                </c:pt>
                <c:pt idx="19">
                  <c:v>74.994235045674628</c:v>
                </c:pt>
                <c:pt idx="20">
                  <c:v>75.511385271124297</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553C-4AC4-B1A3-3D3144A9C967}"/>
            </c:ext>
          </c:extLst>
        </c:ser>
        <c:ser>
          <c:idx val="2"/>
          <c:order val="2"/>
          <c:tx>
            <c:v>3800</c:v>
          </c:tx>
          <c:spPr>
            <a:ln w="47625">
              <a:noFill/>
            </a:ln>
          </c:spPr>
          <c:trendline>
            <c:spPr>
              <a:ln>
                <a:solidFill>
                  <a:schemeClr val="accent3"/>
                </a:solidFill>
              </a:ln>
            </c:spPr>
            <c:trendlineType val="linear"/>
            <c:dispRSqr val="0"/>
            <c:dispEq val="0"/>
          </c:trendline>
          <c:xVal>
            <c:numRef>
              <c:f>report_47!$AL$48:$AL$68</c:f>
              <c:numCache>
                <c:formatCode>0.0</c:formatCode>
                <c:ptCount val="21"/>
                <c:pt idx="0">
                  <c:v>22.488940998544955</c:v>
                </c:pt>
                <c:pt idx="1">
                  <c:v>21.069406057035298</c:v>
                </c:pt>
                <c:pt idx="2">
                  <c:v>43.2593680312605</c:v>
                </c:pt>
                <c:pt idx="3">
                  <c:v>33.799634716386556</c:v>
                </c:pt>
                <c:pt idx="4">
                  <c:v>21.903818832306328</c:v>
                </c:pt>
                <c:pt idx="5">
                  <c:v>13.86443265424982</c:v>
                </c:pt>
                <c:pt idx="6">
                  <c:v>16.187573894154873</c:v>
                </c:pt>
                <c:pt idx="7">
                  <c:v>13.541563069178899</c:v>
                </c:pt>
                <c:pt idx="8">
                  <c:v>16.24568144223586</c:v>
                </c:pt>
                <c:pt idx="9">
                  <c:v>12.658341523709129</c:v>
                </c:pt>
                <c:pt idx="10">
                  <c:v>17.44573735172639</c:v>
                </c:pt>
                <c:pt idx="11">
                  <c:v>37.247298707293503</c:v>
                </c:pt>
                <c:pt idx="12">
                  <c:v>46.68560103340937</c:v>
                </c:pt>
                <c:pt idx="13">
                  <c:v>28.593524283514554</c:v>
                </c:pt>
                <c:pt idx="14">
                  <c:v>40.644297642731715</c:v>
                </c:pt>
                <c:pt idx="15">
                  <c:v>20.331286204101563</c:v>
                </c:pt>
                <c:pt idx="16">
                  <c:v>22.478930189080739</c:v>
                </c:pt>
                <c:pt idx="17">
                  <c:v>26.022121825673185</c:v>
                </c:pt>
                <c:pt idx="18">
                  <c:v>40.188361090763301</c:v>
                </c:pt>
                <c:pt idx="19">
                  <c:v>97.445150041634193</c:v>
                </c:pt>
                <c:pt idx="20">
                  <c:v>103.73144802640483</c:v>
                </c:pt>
              </c:numCache>
            </c:numRef>
          </c:xVal>
          <c:y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yVal>
          <c:smooth val="0"/>
          <c:extLst>
            <c:ext xmlns:c16="http://schemas.microsoft.com/office/drawing/2014/chart" uri="{C3380CC4-5D6E-409C-BE32-E72D297353CC}">
              <c16:uniqueId val="{00000005-553C-4AC4-B1A3-3D3144A9C967}"/>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a:t>
                </a:r>
                <a:r>
                  <a:rPr lang="en-AU" baseline="0"/>
                  <a:t> mol m-2 yr-1</a:t>
                </a:r>
                <a:endParaRPr lang="en-AU"/>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a:t>
                </a:r>
                <a:r>
                  <a:rPr lang="en-AU" baseline="0"/>
                  <a:t> m-2 yr-1</a:t>
                </a:r>
                <a:endParaRPr lang="en-AU"/>
              </a:p>
            </c:rich>
          </c:tx>
          <c:overlay val="0"/>
        </c:title>
        <c:numFmt formatCode="0" sourceLinked="0"/>
        <c:majorTickMark val="out"/>
        <c:minorTickMark val="none"/>
        <c:tickLblPos val="nextTo"/>
        <c:crossAx val="-2092571864"/>
        <c:crosses val="autoZero"/>
        <c:crossBetween val="midCat"/>
      </c:valAx>
    </c:plotArea>
    <c:legend>
      <c:legendPos val="r"/>
      <c:layout>
        <c:manualLayout>
          <c:xMode val="edge"/>
          <c:yMode val="edge"/>
          <c:x val="0.82885323060308336"/>
          <c:y val="6.2562247286656755E-2"/>
          <c:w val="0.17114676939691648"/>
          <c:h val="0.45113297428258059"/>
        </c:manualLayout>
      </c:layout>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0581189428616107"/>
          <c:y val="2.653650943474337E-2"/>
          <c:w val="0.817233814523185"/>
          <c:h val="0.7915642001703429"/>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report_47!$AK$6:$AK$26</c:f>
              <c:numCache>
                <c:formatCode>0.0</c:formatCode>
                <c:ptCount val="21"/>
                <c:pt idx="0">
                  <c:v>60.555200649247517</c:v>
                </c:pt>
                <c:pt idx="1">
                  <c:v>81.185657409732869</c:v>
                </c:pt>
                <c:pt idx="2">
                  <c:v>90.361145190339045</c:v>
                </c:pt>
                <c:pt idx="3">
                  <c:v>42.545462547483673</c:v>
                </c:pt>
                <c:pt idx="4">
                  <c:v>0</c:v>
                </c:pt>
                <c:pt idx="5">
                  <c:v>4.1151310074627743</c:v>
                </c:pt>
                <c:pt idx="6">
                  <c:v>6.5254761019645127</c:v>
                </c:pt>
                <c:pt idx="7">
                  <c:v>0</c:v>
                </c:pt>
                <c:pt idx="8">
                  <c:v>36.753311950976112</c:v>
                </c:pt>
                <c:pt idx="9">
                  <c:v>41.579104871453488</c:v>
                </c:pt>
                <c:pt idx="10">
                  <c:v>86.967722670714281</c:v>
                </c:pt>
                <c:pt idx="11">
                  <c:v>119.7075753028906</c:v>
                </c:pt>
                <c:pt idx="12">
                  <c:v>154.70355560370905</c:v>
                </c:pt>
                <c:pt idx="13">
                  <c:v>208.33713527454384</c:v>
                </c:pt>
                <c:pt idx="14">
                  <c:v>124.85597121600738</c:v>
                </c:pt>
                <c:pt idx="15">
                  <c:v>34.704770356585072</c:v>
                </c:pt>
                <c:pt idx="16">
                  <c:v>26.700073504964351</c:v>
                </c:pt>
                <c:pt idx="17">
                  <c:v>63.492054572606442</c:v>
                </c:pt>
                <c:pt idx="18">
                  <c:v>57.531468520882989</c:v>
                </c:pt>
                <c:pt idx="19">
                  <c:v>74.925463373982751</c:v>
                </c:pt>
                <c:pt idx="20">
                  <c:v>109.68376825759239</c:v>
                </c:pt>
              </c:numCache>
            </c:numRef>
          </c:yVal>
          <c:smooth val="0"/>
          <c:extLst>
            <c:ext xmlns:c16="http://schemas.microsoft.com/office/drawing/2014/chart" uri="{C3380CC4-5D6E-409C-BE32-E72D297353CC}">
              <c16:uniqueId val="{00000001-63D4-4AC3-9552-889CFAFD786F}"/>
            </c:ext>
          </c:extLst>
        </c:ser>
        <c:ser>
          <c:idx val="1"/>
          <c:order val="1"/>
          <c:tx>
            <c:v>2000</c:v>
          </c:tx>
          <c:spPr>
            <a:ln w="47625">
              <a:noFill/>
            </a:ln>
          </c:spPr>
          <c:trendline>
            <c:trendlineType val="linear"/>
            <c:dispRSqr val="0"/>
            <c:dispEq val="0"/>
          </c:trendline>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yVal>
          <c:smooth val="0"/>
          <c:extLst>
            <c:ext xmlns:c16="http://schemas.microsoft.com/office/drawing/2014/chart" uri="{C3380CC4-5D6E-409C-BE32-E72D297353CC}">
              <c16:uniqueId val="{00000003-63D4-4AC3-9552-889CFAFD786F}"/>
            </c:ext>
          </c:extLst>
        </c:ser>
        <c:ser>
          <c:idx val="2"/>
          <c:order val="2"/>
          <c:tx>
            <c:v>3800</c:v>
          </c:tx>
          <c:spPr>
            <a:ln w="47625">
              <a:noFill/>
            </a:ln>
          </c:spPr>
          <c:trendline>
            <c:trendlineType val="linear"/>
            <c:dispRSqr val="0"/>
            <c:dispEq val="0"/>
          </c:trendline>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63D4-4AC3-9552-889CFAFD786F}"/>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 mol m-2 yr-1</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r>
                  <a:rPr lang="en-AU" baseline="0"/>
                  <a:t> mol m-2 yr-1</a:t>
                </a:r>
                <a:endParaRPr lang="en-AU"/>
              </a:p>
            </c:rich>
          </c:tx>
          <c:overlay val="0"/>
        </c:title>
        <c:numFmt formatCode="0" sourceLinked="0"/>
        <c:majorTickMark val="out"/>
        <c:minorTickMark val="none"/>
        <c:tickLblPos val="nextTo"/>
        <c:crossAx val="-2136458632"/>
        <c:crosses val="autoZero"/>
        <c:crossBetween val="midCat"/>
      </c:valAx>
    </c:plotArea>
    <c:legend>
      <c:legendPos val="r"/>
      <c:layout>
        <c:manualLayout>
          <c:xMode val="edge"/>
          <c:yMode val="edge"/>
          <c:x val="0.80761095684295503"/>
          <c:y val="0.1121819551735844"/>
          <c:w val="0.17950659549198864"/>
          <c:h val="0.45635112645619613"/>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strRef>
              <c:f>report_47!$AK$6:$AK$26</c:f>
              <c:strCache>
                <c:ptCount val="21"/>
                <c:pt idx="0">
                  <c:v>60.6</c:v>
                </c:pt>
                <c:pt idx="1">
                  <c:v>81.2</c:v>
                </c:pt>
                <c:pt idx="2">
                  <c:v>90.4</c:v>
                </c:pt>
                <c:pt idx="3">
                  <c:v>42.5</c:v>
                </c:pt>
                <c:pt idx="4">
                  <c:v>NA</c:v>
                </c:pt>
                <c:pt idx="5">
                  <c:v>4.1</c:v>
                </c:pt>
                <c:pt idx="6">
                  <c:v>6.5</c:v>
                </c:pt>
                <c:pt idx="7">
                  <c:v>NA</c:v>
                </c:pt>
                <c:pt idx="8">
                  <c:v>36.8</c:v>
                </c:pt>
                <c:pt idx="9">
                  <c:v>41.6</c:v>
                </c:pt>
                <c:pt idx="10">
                  <c:v>87.0</c:v>
                </c:pt>
                <c:pt idx="11">
                  <c:v>119.7</c:v>
                </c:pt>
                <c:pt idx="12">
                  <c:v>154.7</c:v>
                </c:pt>
                <c:pt idx="13">
                  <c:v>208.3</c:v>
                </c:pt>
                <c:pt idx="14">
                  <c:v>124.9</c:v>
                </c:pt>
                <c:pt idx="15">
                  <c:v>34.7</c:v>
                </c:pt>
                <c:pt idx="16">
                  <c:v>26.7</c:v>
                </c:pt>
                <c:pt idx="17">
                  <c:v>63.5</c:v>
                </c:pt>
                <c:pt idx="18">
                  <c:v>57.5</c:v>
                </c:pt>
                <c:pt idx="19">
                  <c:v>74.9</c:v>
                </c:pt>
                <c:pt idx="20">
                  <c:v>109.7</c:v>
                </c:pt>
              </c:strCache>
            </c:strRef>
          </c:xVal>
          <c:yVal>
            <c:numRef>
              <c:f>report_47!$AI$6:$AI$26</c:f>
              <c:numCache>
                <c:formatCode>0.0</c:formatCode>
                <c:ptCount val="21"/>
                <c:pt idx="0">
                  <c:v>2.0461534326180719</c:v>
                </c:pt>
                <c:pt idx="1">
                  <c:v>8.520762516850521</c:v>
                </c:pt>
                <c:pt idx="2">
                  <c:v>1.7732912246252288</c:v>
                </c:pt>
                <c:pt idx="3">
                  <c:v>1.9637702566848501</c:v>
                </c:pt>
                <c:pt idx="4">
                  <c:v>0</c:v>
                </c:pt>
                <c:pt idx="5">
                  <c:v>1.4709463446022268</c:v>
                </c:pt>
                <c:pt idx="6">
                  <c:v>1.2599128313606471</c:v>
                </c:pt>
                <c:pt idx="7">
                  <c:v>0</c:v>
                </c:pt>
                <c:pt idx="8">
                  <c:v>6.822684906511177</c:v>
                </c:pt>
                <c:pt idx="9">
                  <c:v>6.7374729471319892</c:v>
                </c:pt>
                <c:pt idx="10">
                  <c:v>16.604231674770318</c:v>
                </c:pt>
                <c:pt idx="11">
                  <c:v>15.993347400636761</c:v>
                </c:pt>
                <c:pt idx="12">
                  <c:v>18.875374207907768</c:v>
                </c:pt>
                <c:pt idx="13">
                  <c:v>19.707111785574671</c:v>
                </c:pt>
                <c:pt idx="14">
                  <c:v>15.849295308337439</c:v>
                </c:pt>
                <c:pt idx="15">
                  <c:v>12.12818915968851</c:v>
                </c:pt>
                <c:pt idx="16">
                  <c:v>9.9938258001016376</c:v>
                </c:pt>
                <c:pt idx="17">
                  <c:v>14.771895277560862</c:v>
                </c:pt>
                <c:pt idx="18">
                  <c:v>23.351179713838047</c:v>
                </c:pt>
                <c:pt idx="19">
                  <c:v>14.209558878760211</c:v>
                </c:pt>
                <c:pt idx="20">
                  <c:v>8.7761638032856588</c:v>
                </c:pt>
              </c:numCache>
            </c:numRef>
          </c:yVal>
          <c:smooth val="0"/>
          <c:extLst>
            <c:ext xmlns:c16="http://schemas.microsoft.com/office/drawing/2014/chart" uri="{C3380CC4-5D6E-409C-BE32-E72D297353CC}">
              <c16:uniqueId val="{00000001-A8C6-4EC0-835E-E54D51B68B14}"/>
            </c:ext>
          </c:extLst>
        </c:ser>
        <c:ser>
          <c:idx val="1"/>
          <c:order val="1"/>
          <c:tx>
            <c:v>2000</c:v>
          </c:tx>
          <c:spPr>
            <a:ln w="47625">
              <a:noFill/>
            </a:ln>
          </c:spPr>
          <c:trendline>
            <c:spPr>
              <a:ln>
                <a:solidFill>
                  <a:schemeClr val="accent2">
                    <a:lumMod val="60000"/>
                    <a:lumOff val="40000"/>
                  </a:schemeClr>
                </a:solidFill>
              </a:ln>
            </c:spPr>
            <c:trendlineType val="linear"/>
            <c:dispRSqr val="0"/>
            <c:dispEq val="0"/>
          </c:trendline>
          <c:xVal>
            <c:numRef>
              <c:f>report_47!$AK$27:$AK$47</c:f>
              <c:numCache>
                <c:formatCode>0.0</c:formatCode>
                <c:ptCount val="21"/>
                <c:pt idx="0">
                  <c:v>156.95570174428465</c:v>
                </c:pt>
                <c:pt idx="1">
                  <c:v>262.60843802401382</c:v>
                </c:pt>
                <c:pt idx="2">
                  <c:v>326.70105996851368</c:v>
                </c:pt>
                <c:pt idx="3">
                  <c:v>145.12943069877744</c:v>
                </c:pt>
                <c:pt idx="4">
                  <c:v>84.814349710610614</c:v>
                </c:pt>
                <c:pt idx="5">
                  <c:v>90.359144912988725</c:v>
                </c:pt>
                <c:pt idx="6">
                  <c:v>32.136619016060358</c:v>
                </c:pt>
                <c:pt idx="7">
                  <c:v>53.627432473759718</c:v>
                </c:pt>
                <c:pt idx="8">
                  <c:v>104.11098070506202</c:v>
                </c:pt>
                <c:pt idx="9">
                  <c:v>88.305997453228713</c:v>
                </c:pt>
                <c:pt idx="10">
                  <c:v>116.34981939412665</c:v>
                </c:pt>
                <c:pt idx="11">
                  <c:v>204.27183718710626</c:v>
                </c:pt>
                <c:pt idx="12">
                  <c:v>172.06840275081004</c:v>
                </c:pt>
                <c:pt idx="13">
                  <c:v>131.38289428380742</c:v>
                </c:pt>
                <c:pt idx="14">
                  <c:v>143.76983317277765</c:v>
                </c:pt>
                <c:pt idx="15">
                  <c:v>129.77072292472297</c:v>
                </c:pt>
                <c:pt idx="16">
                  <c:v>85.668084891915797</c:v>
                </c:pt>
                <c:pt idx="17">
                  <c:v>145.37908794031466</c:v>
                </c:pt>
                <c:pt idx="18">
                  <c:v>144.10160013476985</c:v>
                </c:pt>
                <c:pt idx="19">
                  <c:v>173.85216399356437</c:v>
                </c:pt>
                <c:pt idx="20">
                  <c:v>173.55354451463072</c:v>
                </c:pt>
              </c:numCache>
            </c:numRef>
          </c:xVal>
          <c:y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yVal>
          <c:smooth val="0"/>
          <c:extLst>
            <c:ext xmlns:c16="http://schemas.microsoft.com/office/drawing/2014/chart" uri="{C3380CC4-5D6E-409C-BE32-E72D297353CC}">
              <c16:uniqueId val="{00000003-A8C6-4EC0-835E-E54D51B68B14}"/>
            </c:ext>
          </c:extLst>
        </c:ser>
        <c:ser>
          <c:idx val="2"/>
          <c:order val="2"/>
          <c:tx>
            <c:v>3800</c:v>
          </c:tx>
          <c:spPr>
            <a:ln w="47625">
              <a:noFill/>
            </a:ln>
          </c:spPr>
          <c:trendline>
            <c:spPr>
              <a:ln>
                <a:solidFill>
                  <a:srgbClr val="92D050"/>
                </a:solidFill>
              </a:ln>
            </c:spPr>
            <c:trendlineType val="linear"/>
            <c:dispRSqr val="0"/>
            <c:dispEq val="0"/>
          </c:trendline>
          <c:x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xVal>
          <c:y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yVal>
          <c:smooth val="0"/>
          <c:extLst>
            <c:ext xmlns:c16="http://schemas.microsoft.com/office/drawing/2014/chart" uri="{C3380CC4-5D6E-409C-BE32-E72D297353CC}">
              <c16:uniqueId val="{00000005-A8C6-4EC0-835E-E54D51B68B14}"/>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title>
          <c:tx>
            <c:rich>
              <a:bodyPr/>
              <a:lstStyle/>
              <a:p>
                <a:pPr>
                  <a:defRPr/>
                </a:pPr>
                <a:r>
                  <a:rPr lang="en-AU"/>
                  <a:t>PIC mol m-2 yr-1</a:t>
                </a:r>
              </a:p>
            </c:rich>
          </c:tx>
          <c:overlay val="0"/>
        </c:title>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title>
          <c:tx>
            <c:rich>
              <a:bodyPr/>
              <a:lstStyle/>
              <a:p>
                <a:pPr>
                  <a:defRPr/>
                </a:pPr>
                <a:r>
                  <a:rPr lang="en-AU"/>
                  <a:t>PN</a:t>
                </a:r>
              </a:p>
            </c:rich>
          </c:tx>
          <c:overlay val="0"/>
        </c:title>
        <c:numFmt formatCode="0.0" sourceLinked="1"/>
        <c:majorTickMark val="out"/>
        <c:minorTickMark val="none"/>
        <c:tickLblPos val="nextTo"/>
        <c:crossAx val="-2136503544"/>
        <c:crosses val="autoZero"/>
        <c:crossBetween val="midCat"/>
      </c:valAx>
    </c:plotArea>
    <c:legend>
      <c:legendPos val="r"/>
      <c:layout>
        <c:manualLayout>
          <c:xMode val="edge"/>
          <c:yMode val="edge"/>
          <c:x val="0.80583922675971031"/>
          <c:y val="0.11011655457961374"/>
          <c:w val="0.18115968981667108"/>
          <c:h val="0.43970610056721632"/>
        </c:manualLayout>
      </c:layout>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38642805640749661"/>
                  <c:y val="-0.37307569676040803"/>
                </c:manualLayout>
              </c:layout>
              <c:numFmt formatCode="General" sourceLinked="0"/>
            </c:trendlineLbl>
          </c:trendline>
          <c:xVal>
            <c:strRef>
              <c:f>report_47!$AI$6:$AI$27</c:f>
              <c:strCache>
                <c:ptCount val="22"/>
                <c:pt idx="0">
                  <c:v>2.0</c:v>
                </c:pt>
                <c:pt idx="1">
                  <c:v>8.5</c:v>
                </c:pt>
                <c:pt idx="2">
                  <c:v>1.8</c:v>
                </c:pt>
                <c:pt idx="3">
                  <c:v>2.0</c:v>
                </c:pt>
                <c:pt idx="4">
                  <c:v>NA</c:v>
                </c:pt>
                <c:pt idx="5">
                  <c:v>1.5</c:v>
                </c:pt>
                <c:pt idx="6">
                  <c:v>1.3</c:v>
                </c:pt>
                <c:pt idx="7">
                  <c:v>NA</c:v>
                </c:pt>
                <c:pt idx="8">
                  <c:v>6.8</c:v>
                </c:pt>
                <c:pt idx="9">
                  <c:v>6.7</c:v>
                </c:pt>
                <c:pt idx="10">
                  <c:v>16.6</c:v>
                </c:pt>
                <c:pt idx="11">
                  <c:v>16.0</c:v>
                </c:pt>
                <c:pt idx="12">
                  <c:v>18.9</c:v>
                </c:pt>
                <c:pt idx="13">
                  <c:v>19.7</c:v>
                </c:pt>
                <c:pt idx="14">
                  <c:v>15.8</c:v>
                </c:pt>
                <c:pt idx="15">
                  <c:v>12.1</c:v>
                </c:pt>
                <c:pt idx="16">
                  <c:v>10.0</c:v>
                </c:pt>
                <c:pt idx="17">
                  <c:v>14.8</c:v>
                </c:pt>
                <c:pt idx="18">
                  <c:v>23.4</c:v>
                </c:pt>
                <c:pt idx="19">
                  <c:v>14.2</c:v>
                </c:pt>
                <c:pt idx="20">
                  <c:v>8.8</c:v>
                </c:pt>
                <c:pt idx="21">
                  <c:v>15.0</c:v>
                </c:pt>
              </c:strCache>
            </c:strRef>
          </c:xVal>
          <c:yVal>
            <c:numRef>
              <c:f>report_47!$AJ$6:$AJ$26</c:f>
              <c:numCache>
                <c:formatCode>0.0</c:formatCode>
                <c:ptCount val="21"/>
                <c:pt idx="0">
                  <c:v>16.091167330156832</c:v>
                </c:pt>
                <c:pt idx="1">
                  <c:v>81.189126970632529</c:v>
                </c:pt>
                <c:pt idx="2">
                  <c:v>13.806270404544625</c:v>
                </c:pt>
                <c:pt idx="3">
                  <c:v>14.779400513529815</c:v>
                </c:pt>
                <c:pt idx="4">
                  <c:v>0</c:v>
                </c:pt>
                <c:pt idx="5">
                  <c:v>10.403190877947178</c:v>
                </c:pt>
                <c:pt idx="6">
                  <c:v>6.1349033063408234</c:v>
                </c:pt>
                <c:pt idx="7">
                  <c:v>0</c:v>
                </c:pt>
                <c:pt idx="8">
                  <c:v>42.723451698721504</c:v>
                </c:pt>
                <c:pt idx="9">
                  <c:v>41.600178133915406</c:v>
                </c:pt>
                <c:pt idx="10">
                  <c:v>114.96345307066056</c:v>
                </c:pt>
                <c:pt idx="11">
                  <c:v>107.53896262852764</c:v>
                </c:pt>
                <c:pt idx="12">
                  <c:v>131.83672407808203</c:v>
                </c:pt>
                <c:pt idx="13">
                  <c:v>141.47783443147895</c:v>
                </c:pt>
                <c:pt idx="14">
                  <c:v>112.98629512958279</c:v>
                </c:pt>
                <c:pt idx="15">
                  <c:v>79.569380318707033</c:v>
                </c:pt>
                <c:pt idx="16">
                  <c:v>66.796444669035751</c:v>
                </c:pt>
                <c:pt idx="17">
                  <c:v>99.313255575074948</c:v>
                </c:pt>
                <c:pt idx="18">
                  <c:v>148.66779900602938</c:v>
                </c:pt>
                <c:pt idx="19">
                  <c:v>96.526951250601627</c:v>
                </c:pt>
                <c:pt idx="20">
                  <c:v>80.275805640224391</c:v>
                </c:pt>
              </c:numCache>
            </c:numRef>
          </c:yVal>
          <c:smooth val="0"/>
          <c:extLst>
            <c:ext xmlns:c16="http://schemas.microsoft.com/office/drawing/2014/chart" uri="{C3380CC4-5D6E-409C-BE32-E72D297353CC}">
              <c16:uniqueId val="{00000001-1439-4AA3-AFFD-06DCE5B526A0}"/>
            </c:ext>
          </c:extLst>
        </c:ser>
        <c:ser>
          <c:idx val="1"/>
          <c:order val="1"/>
          <c:tx>
            <c:v>2000</c:v>
          </c:tx>
          <c:spPr>
            <a:ln w="47625">
              <a:noFill/>
            </a:ln>
          </c:spPr>
          <c:trendline>
            <c:spPr>
              <a:ln>
                <a:solidFill>
                  <a:schemeClr val="accent2"/>
                </a:solidFill>
              </a:ln>
            </c:spPr>
            <c:trendlineType val="linear"/>
            <c:dispRSqr val="0"/>
            <c:dispEq val="1"/>
            <c:trendlineLbl>
              <c:layout>
                <c:manualLayout>
                  <c:x val="-9.5221285522459776E-3"/>
                  <c:y val="-0.22161596474221343"/>
                </c:manualLayout>
              </c:layout>
              <c:numFmt formatCode="General" sourceLinked="0"/>
            </c:trendlineLbl>
          </c:trendline>
          <c:xVal>
            <c:numRef>
              <c:f>report_47!$AI$27:$AI$47</c:f>
              <c:numCache>
                <c:formatCode>0.0</c:formatCode>
                <c:ptCount val="21"/>
                <c:pt idx="0">
                  <c:v>15.033335608244373</c:v>
                </c:pt>
                <c:pt idx="1">
                  <c:v>42.278780075444743</c:v>
                </c:pt>
                <c:pt idx="2">
                  <c:v>50.983472940025806</c:v>
                </c:pt>
                <c:pt idx="3">
                  <c:v>19.064081183116933</c:v>
                </c:pt>
                <c:pt idx="4">
                  <c:v>9.8508129178943591</c:v>
                </c:pt>
                <c:pt idx="5">
                  <c:v>6.9784333001044709</c:v>
                </c:pt>
                <c:pt idx="6">
                  <c:v>2.5408243749104282</c:v>
                </c:pt>
                <c:pt idx="7">
                  <c:v>5.5454612019046046</c:v>
                </c:pt>
                <c:pt idx="8">
                  <c:v>7.2988710489323898</c:v>
                </c:pt>
                <c:pt idx="9">
                  <c:v>8.0794546486943215</c:v>
                </c:pt>
                <c:pt idx="10">
                  <c:v>9.1354846718666405</c:v>
                </c:pt>
                <c:pt idx="11">
                  <c:v>15.607595551637528</c:v>
                </c:pt>
                <c:pt idx="12">
                  <c:v>12.210179345948678</c:v>
                </c:pt>
                <c:pt idx="13">
                  <c:v>16.598516189073656</c:v>
                </c:pt>
                <c:pt idx="14">
                  <c:v>7.8542187635856404</c:v>
                </c:pt>
                <c:pt idx="15">
                  <c:v>7.0714359264725442</c:v>
                </c:pt>
                <c:pt idx="16">
                  <c:v>4.4837886261640163</c:v>
                </c:pt>
                <c:pt idx="17">
                  <c:v>8.6705402704154011</c:v>
                </c:pt>
                <c:pt idx="18">
                  <c:v>12.777090976966853</c:v>
                </c:pt>
                <c:pt idx="19">
                  <c:v>12.060963283227782</c:v>
                </c:pt>
                <c:pt idx="20">
                  <c:v>22.707534311218449</c:v>
                </c:pt>
              </c:numCache>
            </c:numRef>
          </c:xVal>
          <c:y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yVal>
          <c:smooth val="0"/>
          <c:extLst>
            <c:ext xmlns:c16="http://schemas.microsoft.com/office/drawing/2014/chart" uri="{C3380CC4-5D6E-409C-BE32-E72D297353CC}">
              <c16:uniqueId val="{00000003-1439-4AA3-AFFD-06DCE5B526A0}"/>
            </c:ext>
          </c:extLst>
        </c:ser>
        <c:ser>
          <c:idx val="2"/>
          <c:order val="2"/>
          <c:tx>
            <c:v>3800</c:v>
          </c:tx>
          <c:spPr>
            <a:ln w="47625">
              <a:noFill/>
            </a:ln>
          </c:spPr>
          <c:trendline>
            <c:spPr>
              <a:ln>
                <a:solidFill>
                  <a:schemeClr val="accent3"/>
                </a:solidFill>
              </a:ln>
            </c:spPr>
            <c:trendlineType val="linear"/>
            <c:dispRSqr val="0"/>
            <c:dispEq val="1"/>
            <c:trendlineLbl>
              <c:layout>
                <c:manualLayout>
                  <c:x val="0.28428694492484052"/>
                  <c:y val="0.3490741359759531"/>
                </c:manualLayout>
              </c:layout>
              <c:numFmt formatCode="General" sourceLinked="0"/>
            </c:trendlineLbl>
          </c:trendline>
          <c:xVal>
            <c:numRef>
              <c:f>report_47!$AI$48:$AI$68</c:f>
              <c:numCache>
                <c:formatCode>0.0</c:formatCode>
                <c:ptCount val="21"/>
                <c:pt idx="0">
                  <c:v>9.1969516478416331</c:v>
                </c:pt>
                <c:pt idx="1">
                  <c:v>16.734725507522548</c:v>
                </c:pt>
                <c:pt idx="2">
                  <c:v>29.564726506269139</c:v>
                </c:pt>
                <c:pt idx="3">
                  <c:v>15.283940658111648</c:v>
                </c:pt>
                <c:pt idx="4">
                  <c:v>6.8892537090776331</c:v>
                </c:pt>
                <c:pt idx="5">
                  <c:v>6.6229430548354022</c:v>
                </c:pt>
                <c:pt idx="6">
                  <c:v>7.1204251996669425</c:v>
                </c:pt>
                <c:pt idx="7">
                  <c:v>5.2137790079896655</c:v>
                </c:pt>
                <c:pt idx="8">
                  <c:v>4.8442634217433174</c:v>
                </c:pt>
                <c:pt idx="9">
                  <c:v>6.0107014355181043</c:v>
                </c:pt>
                <c:pt idx="10">
                  <c:v>3.8363202093532047</c:v>
                </c:pt>
                <c:pt idx="11">
                  <c:v>5.8276571280958134</c:v>
                </c:pt>
                <c:pt idx="12">
                  <c:v>8.3300410799150821</c:v>
                </c:pt>
                <c:pt idx="13">
                  <c:v>5.4526900634739377</c:v>
                </c:pt>
                <c:pt idx="14">
                  <c:v>7.2726449801550732</c:v>
                </c:pt>
                <c:pt idx="15">
                  <c:v>5.5736032300796898</c:v>
                </c:pt>
                <c:pt idx="16">
                  <c:v>4.44599401971311</c:v>
                </c:pt>
                <c:pt idx="17">
                  <c:v>4.761041805175207</c:v>
                </c:pt>
                <c:pt idx="18">
                  <c:v>6.2748309383962999</c:v>
                </c:pt>
                <c:pt idx="19">
                  <c:v>11.347138970622957</c:v>
                </c:pt>
                <c:pt idx="20">
                  <c:v>11.504941068996985</c:v>
                </c:pt>
              </c:numCache>
            </c:numRef>
          </c:xVal>
          <c:yVal>
            <c:numRef>
              <c:f>report_47!$AK$48:$AK$68</c:f>
              <c:numCache>
                <c:formatCode>0.0</c:formatCode>
                <c:ptCount val="21"/>
                <c:pt idx="0">
                  <c:v>131.06277795115861</c:v>
                </c:pt>
                <c:pt idx="1">
                  <c:v>163.99787641078294</c:v>
                </c:pt>
                <c:pt idx="2">
                  <c:v>228.51282686422203</c:v>
                </c:pt>
                <c:pt idx="3">
                  <c:v>175.15453250456522</c:v>
                </c:pt>
                <c:pt idx="4">
                  <c:v>116.26757164317073</c:v>
                </c:pt>
                <c:pt idx="5">
                  <c:v>81.873099278394179</c:v>
                </c:pt>
                <c:pt idx="6">
                  <c:v>98.866915885135555</c:v>
                </c:pt>
                <c:pt idx="7">
                  <c:v>78.05039861951613</c:v>
                </c:pt>
                <c:pt idx="8">
                  <c:v>84.418409851049944</c:v>
                </c:pt>
                <c:pt idx="9">
                  <c:v>64.733306030408002</c:v>
                </c:pt>
                <c:pt idx="10">
                  <c:v>85.94468287051312</c:v>
                </c:pt>
                <c:pt idx="11">
                  <c:v>138.22146160257441</c:v>
                </c:pt>
                <c:pt idx="12">
                  <c:v>157.11270480212079</c:v>
                </c:pt>
                <c:pt idx="13">
                  <c:v>113.25827756427904</c:v>
                </c:pt>
                <c:pt idx="14">
                  <c:v>214.98486036562505</c:v>
                </c:pt>
                <c:pt idx="15">
                  <c:v>116.31442510708126</c:v>
                </c:pt>
                <c:pt idx="16">
                  <c:v>131.99148017281249</c:v>
                </c:pt>
                <c:pt idx="17">
                  <c:v>142.5170298594818</c:v>
                </c:pt>
                <c:pt idx="18">
                  <c:v>179.60754302020712</c:v>
                </c:pt>
                <c:pt idx="19">
                  <c:v>268.66684581518382</c:v>
                </c:pt>
                <c:pt idx="20">
                  <c:v>237.45908610642019</c:v>
                </c:pt>
              </c:numCache>
            </c:numRef>
          </c:yVal>
          <c:smooth val="0"/>
          <c:extLst>
            <c:ext xmlns:c16="http://schemas.microsoft.com/office/drawing/2014/chart" uri="{C3380CC4-5D6E-409C-BE32-E72D297353CC}">
              <c16:uniqueId val="{00000005-1439-4AA3-AFFD-06DCE5B526A0}"/>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 sourceLinked="1"/>
        <c:majorTickMark val="out"/>
        <c:minorTickMark val="none"/>
        <c:tickLblPos val="nextTo"/>
        <c:crossAx val="-2091490536"/>
        <c:crosses val="autoZero"/>
        <c:crossBetween val="midCat"/>
      </c:valAx>
    </c:plotArea>
    <c:legend>
      <c:legendPos val="r"/>
      <c:layout>
        <c:manualLayout>
          <c:xMode val="edge"/>
          <c:yMode val="edge"/>
          <c:x val="0.80589905325691114"/>
          <c:y val="9.9136811628487018E-2"/>
          <c:w val="0.1733648174175649"/>
          <c:h val="0.44288158865744254"/>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main!$R$7:$R$27</c:f>
              <c:numCache>
                <c:formatCode>0.00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1-FF95-4551-8808-BF040BF6DC95}"/>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0.00"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strRef>
              <c:f>main!$AK$7:$AK$27</c:f>
              <c:strCache>
                <c:ptCount val="21"/>
                <c:pt idx="0">
                  <c:v>7.86</c:v>
                </c:pt>
                <c:pt idx="1">
                  <c:v>9.53</c:v>
                </c:pt>
                <c:pt idx="2">
                  <c:v>7.79</c:v>
                </c:pt>
                <c:pt idx="3">
                  <c:v>7.53</c:v>
                </c:pt>
                <c:pt idx="4">
                  <c:v>NA</c:v>
                </c:pt>
                <c:pt idx="5">
                  <c:v>7.07</c:v>
                </c:pt>
                <c:pt idx="6">
                  <c:v>4.87</c:v>
                </c:pt>
                <c:pt idx="7">
                  <c:v>NA</c:v>
                </c:pt>
                <c:pt idx="8">
                  <c:v>6.26</c:v>
                </c:pt>
                <c:pt idx="9">
                  <c:v>6.17</c:v>
                </c:pt>
                <c:pt idx="10">
                  <c:v>6.92</c:v>
                </c:pt>
                <c:pt idx="11">
                  <c:v>6.72</c:v>
                </c:pt>
                <c:pt idx="12">
                  <c:v>6.98</c:v>
                </c:pt>
                <c:pt idx="13">
                  <c:v>7.18</c:v>
                </c:pt>
                <c:pt idx="14">
                  <c:v>7.13</c:v>
                </c:pt>
                <c:pt idx="15">
                  <c:v>6.56</c:v>
                </c:pt>
                <c:pt idx="16">
                  <c:v>6.68</c:v>
                </c:pt>
                <c:pt idx="17">
                  <c:v>6.72</c:v>
                </c:pt>
                <c:pt idx="18">
                  <c:v>6.37</c:v>
                </c:pt>
                <c:pt idx="19">
                  <c:v>6.79</c:v>
                </c:pt>
                <c:pt idx="20">
                  <c:v>9.15</c:v>
                </c:pt>
              </c:strCache>
            </c:strRef>
          </c:xVal>
          <c:y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yVal>
          <c:smooth val="0"/>
          <c:extLst>
            <c:ext xmlns:c16="http://schemas.microsoft.com/office/drawing/2014/chart" uri="{C3380CC4-5D6E-409C-BE32-E72D297353CC}">
              <c16:uniqueId val="{00000001-DD84-4364-A17D-33C6A43472F0}"/>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 weighting</c:v>
          </c:tx>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data'!$O$367:$O$414</c:f>
              <c:numCache>
                <c:formatCode>0.0000</c:formatCode>
                <c:ptCount val="48"/>
                <c:pt idx="0">
                  <c:v>1.3585573993189059E-2</c:v>
                </c:pt>
                <c:pt idx="1">
                  <c:v>1.0344079486407588E-3</c:v>
                </c:pt>
                <c:pt idx="2">
                  <c:v>-1.6439485859804557E-3</c:v>
                </c:pt>
                <c:pt idx="3">
                  <c:v>2.5283284247078398E-4</c:v>
                </c:pt>
                <c:pt idx="4">
                  <c:v>1.7862953729245307E-4</c:v>
                </c:pt>
                <c:pt idx="5">
                  <c:v>-9.8296141587503089E-4</c:v>
                </c:pt>
                <c:pt idx="6">
                  <c:v>-9.2965111646758983E-3</c:v>
                </c:pt>
                <c:pt idx="7">
                  <c:v>3.3647616684761117E-3</c:v>
                </c:pt>
                <c:pt idx="8">
                  <c:v>5.9529940108105552E-3</c:v>
                </c:pt>
                <c:pt idx="9">
                  <c:v>-2.8703794970432054E-3</c:v>
                </c:pt>
                <c:pt idx="10">
                  <c:v>-7.304640310017745E-4</c:v>
                </c:pt>
                <c:pt idx="11">
                  <c:v>-6.9741106898705885E-2</c:v>
                </c:pt>
                <c:pt idx="12">
                  <c:v>-2.2055432239699309E-2</c:v>
                </c:pt>
                <c:pt idx="13">
                  <c:v>1.1542869899718953E-2</c:v>
                </c:pt>
                <c:pt idx="14">
                  <c:v>-2.4467882310909056E-4</c:v>
                </c:pt>
                <c:pt idx="15">
                  <c:v>-7.3251137656798256E-4</c:v>
                </c:pt>
                <c:pt idx="16">
                  <c:v>-2.7654961547634368E-4</c:v>
                </c:pt>
                <c:pt idx="17">
                  <c:v>-8.0950701429099959E-4</c:v>
                </c:pt>
                <c:pt idx="18">
                  <c:v>5.6673805708675725E-3</c:v>
                </c:pt>
                <c:pt idx="19">
                  <c:v>9.6493913593119777E-4</c:v>
                </c:pt>
                <c:pt idx="20">
                  <c:v>8.0827435578152771E-4</c:v>
                </c:pt>
                <c:pt idx="21">
                  <c:v>-2.3454976705883208E-3</c:v>
                </c:pt>
                <c:pt idx="22">
                  <c:v>1.1094420341995464E-3</c:v>
                </c:pt>
                <c:pt idx="23">
                  <c:v>1.8027381212629315E-3</c:v>
                </c:pt>
                <c:pt idx="24">
                  <c:v>6.8955694387618461E-3</c:v>
                </c:pt>
                <c:pt idx="25">
                  <c:v>-2.4029317520132686E-3</c:v>
                </c:pt>
                <c:pt idx="26">
                  <c:v>-3.2240199880847892E-3</c:v>
                </c:pt>
                <c:pt idx="27">
                  <c:v>-4.5954756881580434E-4</c:v>
                </c:pt>
                <c:pt idx="28">
                  <c:v>1.5768180805655191E-3</c:v>
                </c:pt>
                <c:pt idx="29">
                  <c:v>-2.5277108224697246E-3</c:v>
                </c:pt>
                <c:pt idx="30">
                  <c:v>2.1025160562609339E-3</c:v>
                </c:pt>
                <c:pt idx="31">
                  <c:v>5.8983031758966875E-3</c:v>
                </c:pt>
                <c:pt idx="32">
                  <c:v>1.2296281650652256E-3</c:v>
                </c:pt>
                <c:pt idx="33">
                  <c:v>7.3074007026631763E-4</c:v>
                </c:pt>
                <c:pt idx="34">
                  <c:v>-1.4765831135582325E-3</c:v>
                </c:pt>
                <c:pt idx="35">
                  <c:v>-3.6836704608830505E-3</c:v>
                </c:pt>
                <c:pt idx="36">
                  <c:v>-1.1068642791370407E-2</c:v>
                </c:pt>
                <c:pt idx="37">
                  <c:v>8.0263067568178068E-3</c:v>
                </c:pt>
                <c:pt idx="38">
                  <c:v>3.3685170796590708E-4</c:v>
                </c:pt>
                <c:pt idx="39">
                  <c:v>3.0186340479998832E-4</c:v>
                </c:pt>
                <c:pt idx="40">
                  <c:v>-1.0236162643922811E-3</c:v>
                </c:pt>
                <c:pt idx="41">
                  <c:v>-2.281718402746873E-3</c:v>
                </c:pt>
                <c:pt idx="42">
                  <c:v>-3.5402271449313954E-3</c:v>
                </c:pt>
                <c:pt idx="43">
                  <c:v>9.5961139833370158E-3</c:v>
                </c:pt>
                <c:pt idx="44">
                  <c:v>4.6705622631318762E-3</c:v>
                </c:pt>
                <c:pt idx="45">
                  <c:v>3.3428235456333245E-3</c:v>
                </c:pt>
                <c:pt idx="46">
                  <c:v>3.7920636947037963E-3</c:v>
                </c:pt>
                <c:pt idx="47">
                  <c:v>9.6488382318816908E-3</c:v>
                </c:pt>
              </c:numCache>
            </c:numRef>
          </c:yVal>
          <c:smooth val="0"/>
          <c:extLst>
            <c:ext xmlns:c16="http://schemas.microsoft.com/office/drawing/2014/chart" uri="{C3380CC4-5D6E-409C-BE32-E72D297353CC}">
              <c16:uniqueId val="{00000006-7ECD-4DC8-B93E-0521752E61CF}"/>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strRef>
              <c:f>report_47!$AJ$6:$AJ$26</c:f>
              <c:strCache>
                <c:ptCount val="21"/>
                <c:pt idx="0">
                  <c:v>16.1</c:v>
                </c:pt>
                <c:pt idx="1">
                  <c:v>81.2</c:v>
                </c:pt>
                <c:pt idx="2">
                  <c:v>13.8</c:v>
                </c:pt>
                <c:pt idx="3">
                  <c:v>14.8</c:v>
                </c:pt>
                <c:pt idx="4">
                  <c:v>NA</c:v>
                </c:pt>
                <c:pt idx="5">
                  <c:v>10.4</c:v>
                </c:pt>
                <c:pt idx="6">
                  <c:v>6.1</c:v>
                </c:pt>
                <c:pt idx="7">
                  <c:v>NA</c:v>
                </c:pt>
                <c:pt idx="8">
                  <c:v>42.7</c:v>
                </c:pt>
                <c:pt idx="9">
                  <c:v>41.6</c:v>
                </c:pt>
                <c:pt idx="10">
                  <c:v>115.0</c:v>
                </c:pt>
                <c:pt idx="11">
                  <c:v>107.5</c:v>
                </c:pt>
                <c:pt idx="12">
                  <c:v>131.8</c:v>
                </c:pt>
                <c:pt idx="13">
                  <c:v>141.5</c:v>
                </c:pt>
                <c:pt idx="14">
                  <c:v>113.0</c:v>
                </c:pt>
                <c:pt idx="15">
                  <c:v>79.6</c:v>
                </c:pt>
                <c:pt idx="16">
                  <c:v>66.8</c:v>
                </c:pt>
                <c:pt idx="17">
                  <c:v>99.3</c:v>
                </c:pt>
                <c:pt idx="18">
                  <c:v>148.7</c:v>
                </c:pt>
                <c:pt idx="19">
                  <c:v>96.5</c:v>
                </c:pt>
                <c:pt idx="20">
                  <c:v>80.3</c:v>
                </c:pt>
              </c:strCache>
            </c:strRef>
          </c:xVal>
          <c:yVal>
            <c:numRef>
              <c:f>report_47!$AO$6:$AO$26</c:f>
              <c:numCache>
                <c:formatCode>0.0</c:formatCode>
                <c:ptCount val="21"/>
                <c:pt idx="0">
                  <c:v>34.19</c:v>
                </c:pt>
                <c:pt idx="1">
                  <c:v>34.409999999999997</c:v>
                </c:pt>
                <c:pt idx="2">
                  <c:v>34.22</c:v>
                </c:pt>
                <c:pt idx="3">
                  <c:v>34.26</c:v>
                </c:pt>
                <c:pt idx="4">
                  <c:v>34.555</c:v>
                </c:pt>
                <c:pt idx="5">
                  <c:v>34.21</c:v>
                </c:pt>
                <c:pt idx="6">
                  <c:v>34.14</c:v>
                </c:pt>
                <c:pt idx="7">
                  <c:v>34.42</c:v>
                </c:pt>
                <c:pt idx="8">
                  <c:v>37.67</c:v>
                </c:pt>
                <c:pt idx="9">
                  <c:v>36.22</c:v>
                </c:pt>
                <c:pt idx="10">
                  <c:v>38.04</c:v>
                </c:pt>
                <c:pt idx="11">
                  <c:v>38.29</c:v>
                </c:pt>
                <c:pt idx="12">
                  <c:v>39.01</c:v>
                </c:pt>
                <c:pt idx="13">
                  <c:v>39.729999999999997</c:v>
                </c:pt>
                <c:pt idx="14">
                  <c:v>37.72</c:v>
                </c:pt>
                <c:pt idx="15">
                  <c:v>38.19</c:v>
                </c:pt>
                <c:pt idx="16">
                  <c:v>37.445</c:v>
                </c:pt>
                <c:pt idx="17">
                  <c:v>39.44</c:v>
                </c:pt>
                <c:pt idx="18">
                  <c:v>38.979999999999997</c:v>
                </c:pt>
                <c:pt idx="19">
                  <c:v>39.76</c:v>
                </c:pt>
                <c:pt idx="20">
                  <c:v>39.979999999999997</c:v>
                </c:pt>
              </c:numCache>
            </c:numRef>
          </c:yVal>
          <c:smooth val="0"/>
          <c:extLst>
            <c:ext xmlns:c16="http://schemas.microsoft.com/office/drawing/2014/chart" uri="{C3380CC4-5D6E-409C-BE32-E72D297353CC}">
              <c16:uniqueId val="{00000000-4587-4B66-AF77-333E15176BE5}"/>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General"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0.0"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0-7A6B-4E62-B81B-1BEF03E3FA67}"/>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8.0990000000000002</c:v>
                </c:pt>
                <c:pt idx="1">
                  <c:v>8.0449999999999999</c:v>
                </c:pt>
                <c:pt idx="2">
                  <c:v>8.1460000000000008</c:v>
                </c:pt>
                <c:pt idx="3">
                  <c:v>8.0690000000000008</c:v>
                </c:pt>
                <c:pt idx="4">
                  <c:v>7.4964999999999993</c:v>
                </c:pt>
                <c:pt idx="5">
                  <c:v>7.88</c:v>
                </c:pt>
                <c:pt idx="6">
                  <c:v>7.944</c:v>
                </c:pt>
                <c:pt idx="7">
                  <c:v>7.4980000000000002</c:v>
                </c:pt>
                <c:pt idx="8">
                  <c:v>8.0449999999999999</c:v>
                </c:pt>
                <c:pt idx="9">
                  <c:v>8.4139999999999997</c:v>
                </c:pt>
                <c:pt idx="10">
                  <c:v>8.2799999999999994</c:v>
                </c:pt>
                <c:pt idx="11">
                  <c:v>8.3680000000000003</c:v>
                </c:pt>
                <c:pt idx="12">
                  <c:v>8.4489999999999998</c:v>
                </c:pt>
                <c:pt idx="13">
                  <c:v>8.4209999999999994</c:v>
                </c:pt>
                <c:pt idx="14">
                  <c:v>8.266</c:v>
                </c:pt>
                <c:pt idx="15">
                  <c:v>8.3539999999999992</c:v>
                </c:pt>
                <c:pt idx="16">
                  <c:v>8.3795000000000002</c:v>
                </c:pt>
                <c:pt idx="17">
                  <c:v>8.4499999999999993</c:v>
                </c:pt>
                <c:pt idx="18">
                  <c:v>8.3770000000000007</c:v>
                </c:pt>
                <c:pt idx="19">
                  <c:v>8.4849999999999994</c:v>
                </c:pt>
                <c:pt idx="20">
                  <c:v>8.5739999999999998</c:v>
                </c:pt>
              </c:numCache>
            </c:numRef>
          </c:val>
          <c:smooth val="0"/>
          <c:extLst>
            <c:ext xmlns:c16="http://schemas.microsoft.com/office/drawing/2014/chart" uri="{C3380CC4-5D6E-409C-BE32-E72D297353CC}">
              <c16:uniqueId val="{00000001-7A6B-4E62-B81B-1BEF03E3FA67}"/>
            </c:ext>
          </c:extLst>
        </c:ser>
        <c:ser>
          <c:idx val="2"/>
          <c:order val="2"/>
          <c:tx>
            <c:v>POC/PN</c:v>
          </c:tx>
          <c:marker>
            <c:symbol val="none"/>
          </c:marker>
          <c:val>
            <c:numRef>
              <c:f>main!$AK$7:$AK$27</c:f>
              <c:numCache>
                <c:formatCode>0.00</c:formatCode>
                <c:ptCount val="21"/>
                <c:pt idx="0">
                  <c:v>7.8641059236540425</c:v>
                </c:pt>
                <c:pt idx="1">
                  <c:v>9.5283874899780674</c:v>
                </c:pt>
                <c:pt idx="2">
                  <c:v>7.7856757044869891</c:v>
                </c:pt>
                <c:pt idx="3">
                  <c:v>7.5260333856363335</c:v>
                </c:pt>
                <c:pt idx="4">
                  <c:v>0</c:v>
                </c:pt>
                <c:pt idx="5">
                  <c:v>7.0724475546797807</c:v>
                </c:pt>
                <c:pt idx="6">
                  <c:v>4.8693077438662282</c:v>
                </c:pt>
                <c:pt idx="7">
                  <c:v>0</c:v>
                </c:pt>
                <c:pt idx="8">
                  <c:v>6.2619705122170757</c:v>
                </c:pt>
                <c:pt idx="9">
                  <c:v>6.174448262775404</c:v>
                </c:pt>
                <c:pt idx="10">
                  <c:v>6.9237442190923195</c:v>
                </c:pt>
                <c:pt idx="11">
                  <c:v>6.7239809112285061</c:v>
                </c:pt>
                <c:pt idx="12">
                  <c:v>6.9845886299223388</c:v>
                </c:pt>
                <c:pt idx="13">
                  <c:v>7.1790243020308386</c:v>
                </c:pt>
                <c:pt idx="14">
                  <c:v>7.1287898251316548</c:v>
                </c:pt>
                <c:pt idx="15">
                  <c:v>6.5606975015840385</c:v>
                </c:pt>
                <c:pt idx="16">
                  <c:v>6.6837711608257599</c:v>
                </c:pt>
                <c:pt idx="17">
                  <c:v>6.7231220983495623</c:v>
                </c:pt>
                <c:pt idx="18">
                  <c:v>6.3666076330151311</c:v>
                </c:pt>
                <c:pt idx="19">
                  <c:v>6.7930997770019177</c:v>
                </c:pt>
                <c:pt idx="20">
                  <c:v>9.1470268148562095</c:v>
                </c:pt>
              </c:numCache>
            </c:numRef>
          </c:val>
          <c:smooth val="0"/>
          <c:extLst>
            <c:ext xmlns:c16="http://schemas.microsoft.com/office/drawing/2014/chart" uri="{C3380CC4-5D6E-409C-BE32-E72D297353CC}">
              <c16:uniqueId val="{00000002-7A6B-4E62-B81B-1BEF03E3FA67}"/>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0.00" sourceLinked="1"/>
        <c:majorTickMark val="out"/>
        <c:minorTickMark val="none"/>
        <c:tickLblPos val="nextTo"/>
        <c:crossAx val="-2091567496"/>
        <c:crosses val="autoZero"/>
        <c:crossBetween val="between"/>
      </c:valAx>
      <c:valAx>
        <c:axId val="-2091573880"/>
        <c:scaling>
          <c:orientation val="minMax"/>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val>
          <c:smooth val="0"/>
          <c:extLst>
            <c:ext xmlns:c16="http://schemas.microsoft.com/office/drawing/2014/chart" uri="{C3380CC4-5D6E-409C-BE32-E72D297353CC}">
              <c16:uniqueId val="{00000000-5DE3-4E46-9C0E-5C736125A9B5}"/>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val>
          <c:smooth val="0"/>
          <c:extLst>
            <c:ext xmlns:c16="http://schemas.microsoft.com/office/drawing/2014/chart" uri="{C3380CC4-5D6E-409C-BE32-E72D297353CC}">
              <c16:uniqueId val="{00000001-5DE3-4E46-9C0E-5C736125A9B5}"/>
            </c:ext>
          </c:extLst>
        </c:ser>
        <c:ser>
          <c:idx val="2"/>
          <c:order val="2"/>
          <c:tx>
            <c:v>POC/PN</c:v>
          </c:tx>
          <c:marker>
            <c:symbol val="none"/>
          </c:marker>
          <c: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val>
          <c:smooth val="0"/>
          <c:extLst>
            <c:ext xmlns:c16="http://schemas.microsoft.com/office/drawing/2014/chart" uri="{C3380CC4-5D6E-409C-BE32-E72D297353CC}">
              <c16:uniqueId val="{00000002-5DE3-4E46-9C0E-5C736125A9B5}"/>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min val="38"/>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val>
          <c:smooth val="0"/>
          <c:extLst>
            <c:ext xmlns:c16="http://schemas.microsoft.com/office/drawing/2014/chart" uri="{C3380CC4-5D6E-409C-BE32-E72D297353CC}">
              <c16:uniqueId val="{00000000-EE0F-49F5-8BCC-FF11F280D0C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val>
          <c:smooth val="0"/>
          <c:extLst>
            <c:ext xmlns:c16="http://schemas.microsoft.com/office/drawing/2014/chart" uri="{C3380CC4-5D6E-409C-BE32-E72D297353CC}">
              <c16:uniqueId val="{00000001-EE0F-49F5-8BCC-FF11F280D0C4}"/>
            </c:ext>
          </c:extLst>
        </c:ser>
        <c:ser>
          <c:idx val="2"/>
          <c:order val="2"/>
          <c:tx>
            <c:v>POC/PN</c:v>
          </c:tx>
          <c:marker>
            <c:symbol val="none"/>
          </c:marker>
          <c: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val>
          <c:smooth val="0"/>
          <c:extLst>
            <c:ext xmlns:c16="http://schemas.microsoft.com/office/drawing/2014/chart" uri="{C3380CC4-5D6E-409C-BE32-E72D297353CC}">
              <c16:uniqueId val="{00000002-EE0F-49F5-8BCC-FF11F280D0C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main!$S$31:$S$51</c:f>
              <c:numCache>
                <c:formatCode>0.00</c:formatCode>
                <c:ptCount val="21"/>
                <c:pt idx="0">
                  <c:v>8.5389999999999997</c:v>
                </c:pt>
                <c:pt idx="1">
                  <c:v>8.4949999999999992</c:v>
                </c:pt>
                <c:pt idx="2">
                  <c:v>8.423</c:v>
                </c:pt>
                <c:pt idx="3">
                  <c:v>8.6419999999999995</c:v>
                </c:pt>
                <c:pt idx="4">
                  <c:v>8.4845000000000006</c:v>
                </c:pt>
                <c:pt idx="5">
                  <c:v>8.6669999999999998</c:v>
                </c:pt>
                <c:pt idx="6">
                  <c:v>8.5950000000000006</c:v>
                </c:pt>
                <c:pt idx="7">
                  <c:v>8.65</c:v>
                </c:pt>
                <c:pt idx="8">
                  <c:v>8.6980000000000004</c:v>
                </c:pt>
                <c:pt idx="9">
                  <c:v>8.7279999999999998</c:v>
                </c:pt>
                <c:pt idx="10">
                  <c:v>8.6869999999999994</c:v>
                </c:pt>
                <c:pt idx="11">
                  <c:v>8.6370000000000005</c:v>
                </c:pt>
                <c:pt idx="12">
                  <c:v>8.5920000000000005</c:v>
                </c:pt>
                <c:pt idx="13">
                  <c:v>8.2270000000000003</c:v>
                </c:pt>
                <c:pt idx="14">
                  <c:v>8.5150000000000006</c:v>
                </c:pt>
                <c:pt idx="15">
                  <c:v>8.6809999999999992</c:v>
                </c:pt>
                <c:pt idx="16">
                  <c:v>8.6840000000000011</c:v>
                </c:pt>
                <c:pt idx="17">
                  <c:v>8.6980000000000004</c:v>
                </c:pt>
                <c:pt idx="18">
                  <c:v>8.6910000000000007</c:v>
                </c:pt>
                <c:pt idx="19">
                  <c:v>8.6620000000000008</c:v>
                </c:pt>
                <c:pt idx="20">
                  <c:v>8.6809999999999992</c:v>
                </c:pt>
              </c:numCache>
            </c:numRef>
          </c:yVal>
          <c:smooth val="0"/>
          <c:extLst>
            <c:ext xmlns:c16="http://schemas.microsoft.com/office/drawing/2014/chart" uri="{C3380CC4-5D6E-409C-BE32-E72D297353CC}">
              <c16:uniqueId val="{00000001-C39F-4A10-BA3A-E33D8545156D}"/>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main!$S$55:$S$75</c:f>
              <c:numCache>
                <c:formatCode>0.00</c:formatCode>
                <c:ptCount val="21"/>
                <c:pt idx="0">
                  <c:v>8.6329999999999991</c:v>
                </c:pt>
                <c:pt idx="1">
                  <c:v>8.6050000000000004</c:v>
                </c:pt>
                <c:pt idx="2">
                  <c:v>8.548</c:v>
                </c:pt>
                <c:pt idx="3">
                  <c:v>8.5380000000000003</c:v>
                </c:pt>
                <c:pt idx="4">
                  <c:v>8.6754999999999995</c:v>
                </c:pt>
                <c:pt idx="5">
                  <c:v>8.6750000000000007</c:v>
                </c:pt>
                <c:pt idx="6">
                  <c:v>8.6389999999999993</c:v>
                </c:pt>
                <c:pt idx="7">
                  <c:v>8.6780000000000008</c:v>
                </c:pt>
                <c:pt idx="8">
                  <c:v>8.6489999999999991</c:v>
                </c:pt>
                <c:pt idx="9">
                  <c:v>8.6920000000000002</c:v>
                </c:pt>
                <c:pt idx="10">
                  <c:v>8.7289999999999992</c:v>
                </c:pt>
                <c:pt idx="11">
                  <c:v>8.7430000000000003</c:v>
                </c:pt>
                <c:pt idx="12">
                  <c:v>8.6579999999999995</c:v>
                </c:pt>
                <c:pt idx="13">
                  <c:v>8.7270000000000003</c:v>
                </c:pt>
                <c:pt idx="14">
                  <c:v>8.6950000000000003</c:v>
                </c:pt>
                <c:pt idx="15">
                  <c:v>8.4930000000000003</c:v>
                </c:pt>
                <c:pt idx="16">
                  <c:v>8.7195</c:v>
                </c:pt>
                <c:pt idx="17">
                  <c:v>8.7110000000000003</c:v>
                </c:pt>
                <c:pt idx="18">
                  <c:v>8.6980000000000004</c:v>
                </c:pt>
                <c:pt idx="19">
                  <c:v>8.6229999999999993</c:v>
                </c:pt>
                <c:pt idx="20">
                  <c:v>8.6319999999999997</c:v>
                </c:pt>
              </c:numCache>
            </c:numRef>
          </c:yVal>
          <c:smooth val="0"/>
          <c:extLst>
            <c:ext xmlns:c16="http://schemas.microsoft.com/office/drawing/2014/chart" uri="{C3380CC4-5D6E-409C-BE32-E72D297353CC}">
              <c16:uniqueId val="{00000001-C90C-4C66-90C8-0CBA7B0352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main!$AK$31:$AK$51</c:f>
              <c:numCache>
                <c:formatCode>0.00</c:formatCode>
                <c:ptCount val="21"/>
                <c:pt idx="0">
                  <c:v>6.9876325114035662</c:v>
                </c:pt>
                <c:pt idx="1">
                  <c:v>7.568471774312548</c:v>
                </c:pt>
                <c:pt idx="2">
                  <c:v>7.0993829397548316</c:v>
                </c:pt>
                <c:pt idx="3">
                  <c:v>6.7404449347389024</c:v>
                </c:pt>
                <c:pt idx="4">
                  <c:v>7.4972059593080056</c:v>
                </c:pt>
                <c:pt idx="5">
                  <c:v>6.3725942072520381</c:v>
                </c:pt>
                <c:pt idx="6">
                  <c:v>7.3844806885473551</c:v>
                </c:pt>
                <c:pt idx="7">
                  <c:v>6.4105281633153881</c:v>
                </c:pt>
                <c:pt idx="8">
                  <c:v>8.0037922255268654</c:v>
                </c:pt>
                <c:pt idx="9">
                  <c:v>6.8849183418211162</c:v>
                </c:pt>
                <c:pt idx="10">
                  <c:v>7.6449683270320996</c:v>
                </c:pt>
                <c:pt idx="11">
                  <c:v>7.4181866379743706</c:v>
                </c:pt>
                <c:pt idx="12">
                  <c:v>7.4654976561832855</c:v>
                </c:pt>
                <c:pt idx="13">
                  <c:v>7.1348521236336628</c:v>
                </c:pt>
                <c:pt idx="14">
                  <c:v>7.1319480029364737</c:v>
                </c:pt>
                <c:pt idx="15">
                  <c:v>8.1707878020695652</c:v>
                </c:pt>
                <c:pt idx="16">
                  <c:v>7.9602692353023548</c:v>
                </c:pt>
                <c:pt idx="17">
                  <c:v>7.6521845309420158</c:v>
                </c:pt>
                <c:pt idx="18">
                  <c:v>6.7889989512088986</c:v>
                </c:pt>
                <c:pt idx="19">
                  <c:v>7.5604135807576061</c:v>
                </c:pt>
                <c:pt idx="20">
                  <c:v>6.9581895153571169</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1-6CFD-4EF1-8294-CFD45E4930AE}"/>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main!$AK$55:$AK$75</c:f>
              <c:numCache>
                <c:formatCode>0.00</c:formatCode>
                <c:ptCount val="21"/>
                <c:pt idx="0">
                  <c:v>8.8068514288032844</c:v>
                </c:pt>
                <c:pt idx="1">
                  <c:v>7.7368423088855032</c:v>
                </c:pt>
                <c:pt idx="2">
                  <c:v>7.7928453897746506</c:v>
                </c:pt>
                <c:pt idx="3">
                  <c:v>7.6108067472493346</c:v>
                </c:pt>
                <c:pt idx="4">
                  <c:v>7.8936736052012053</c:v>
                </c:pt>
                <c:pt idx="5">
                  <c:v>7.4483168765097281</c:v>
                </c:pt>
                <c:pt idx="6">
                  <c:v>7.6571824652315001</c:v>
                </c:pt>
                <c:pt idx="7">
                  <c:v>7.8878877761610982</c:v>
                </c:pt>
                <c:pt idx="8">
                  <c:v>7.7788774947703647</c:v>
                </c:pt>
                <c:pt idx="9">
                  <c:v>6.936070763821534</c:v>
                </c:pt>
                <c:pt idx="10">
                  <c:v>8.1206925403791743</c:v>
                </c:pt>
                <c:pt idx="11">
                  <c:v>8.0588646282962006</c:v>
                </c:pt>
                <c:pt idx="12">
                  <c:v>7.6610517932366928</c:v>
                </c:pt>
                <c:pt idx="13">
                  <c:v>7.7976236963193717</c:v>
                </c:pt>
                <c:pt idx="14">
                  <c:v>10.011501522036102</c:v>
                </c:pt>
                <c:pt idx="15">
                  <c:v>7.4237246382538808</c:v>
                </c:pt>
                <c:pt idx="16">
                  <c:v>8.9136395370108641</c:v>
                </c:pt>
                <c:pt idx="17">
                  <c:v>8.8655095360133487</c:v>
                </c:pt>
                <c:pt idx="18">
                  <c:v>6.9687502980282998</c:v>
                </c:pt>
                <c:pt idx="19">
                  <c:v>6.4695879524484257</c:v>
                </c:pt>
                <c:pt idx="20">
                  <c:v>6.1101142390459939</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1-B427-4057-8D4E-A120A2A8E04D}"/>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report_47!$AJ$27:$AJ$47</c:f>
              <c:numCache>
                <c:formatCode>0.0</c:formatCode>
                <c:ptCount val="21"/>
                <c:pt idx="0">
                  <c:v>105.04742465100929</c:v>
                </c:pt>
                <c:pt idx="1">
                  <c:v>319.98575365337126</c:v>
                </c:pt>
                <c:pt idx="2">
                  <c:v>361.95119799987128</c:v>
                </c:pt>
                <c:pt idx="3">
                  <c:v>128.50038944619172</c:v>
                </c:pt>
                <c:pt idx="4">
                  <c:v>73.853573312065862</c:v>
                </c:pt>
                <c:pt idx="5">
                  <c:v>44.470723623940465</c:v>
                </c:pt>
                <c:pt idx="6">
                  <c:v>18.762668529516461</c:v>
                </c:pt>
                <c:pt idx="7">
                  <c:v>35.549335213382271</c:v>
                </c:pt>
                <c:pt idx="8">
                  <c:v>58.418647356568187</c:v>
                </c:pt>
                <c:pt idx="9">
                  <c:v>55.626385502707429</c:v>
                </c:pt>
                <c:pt idx="10">
                  <c:v>69.840490968507709</c:v>
                </c:pt>
                <c:pt idx="11">
                  <c:v>115.78005677206575</c:v>
                </c:pt>
                <c:pt idx="12">
                  <c:v>91.155065288757413</c:v>
                </c:pt>
                <c:pt idx="13">
                  <c:v>118.42795848077992</c:v>
                </c:pt>
                <c:pt idx="14">
                  <c:v>56.015879825580789</c:v>
                </c:pt>
                <c:pt idx="15">
                  <c:v>57.779202411138364</c:v>
                </c:pt>
                <c:pt idx="16">
                  <c:v>35.692164658452022</c:v>
                </c:pt>
                <c:pt idx="17">
                  <c:v>66.348574132182549</c:v>
                </c:pt>
                <c:pt idx="18">
                  <c:v>86.743657242128663</c:v>
                </c:pt>
                <c:pt idx="19">
                  <c:v>91.18587060353417</c:v>
                </c:pt>
                <c:pt idx="20">
                  <c:v>158.00332716393223</c:v>
                </c:pt>
              </c:numCache>
            </c:numRef>
          </c:xVal>
          <c:yVal>
            <c:numRef>
              <c:f>main!$R$31:$R$51</c:f>
              <c:numCache>
                <c:formatCode>General</c:formatCode>
                <c:ptCount val="21"/>
                <c:pt idx="0">
                  <c:v>38.75</c:v>
                </c:pt>
                <c:pt idx="1">
                  <c:v>38.14</c:v>
                </c:pt>
                <c:pt idx="2">
                  <c:v>38.549999999999997</c:v>
                </c:pt>
                <c:pt idx="3">
                  <c:v>39.76</c:v>
                </c:pt>
                <c:pt idx="4">
                  <c:v>39.465000000000003</c:v>
                </c:pt>
                <c:pt idx="5">
                  <c:v>38.39</c:v>
                </c:pt>
                <c:pt idx="6">
                  <c:v>37.01</c:v>
                </c:pt>
                <c:pt idx="7">
                  <c:v>39.08</c:v>
                </c:pt>
                <c:pt idx="8">
                  <c:v>39.520000000000003</c:v>
                </c:pt>
                <c:pt idx="9">
                  <c:v>40.21</c:v>
                </c:pt>
                <c:pt idx="10">
                  <c:v>40.299999999999997</c:v>
                </c:pt>
                <c:pt idx="11">
                  <c:v>40.049999999999997</c:v>
                </c:pt>
                <c:pt idx="12">
                  <c:v>39.909999999999997</c:v>
                </c:pt>
                <c:pt idx="13">
                  <c:v>40.22</c:v>
                </c:pt>
                <c:pt idx="14">
                  <c:v>40.03</c:v>
                </c:pt>
                <c:pt idx="15">
                  <c:v>39.75</c:v>
                </c:pt>
                <c:pt idx="16">
                  <c:v>39.9</c:v>
                </c:pt>
                <c:pt idx="17">
                  <c:v>40.17</c:v>
                </c:pt>
                <c:pt idx="18">
                  <c:v>39.96</c:v>
                </c:pt>
                <c:pt idx="19">
                  <c:v>39.869999999999997</c:v>
                </c:pt>
                <c:pt idx="20">
                  <c:v>40.14</c:v>
                </c:pt>
              </c:numCache>
            </c:numRef>
          </c:yVal>
          <c:smooth val="0"/>
          <c:extLst>
            <c:ext xmlns:c16="http://schemas.microsoft.com/office/drawing/2014/chart" uri="{C3380CC4-5D6E-409C-BE32-E72D297353CC}">
              <c16:uniqueId val="{00000000-8240-4BA5-B5DC-35F6C285E1A2}"/>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report_47!$AJ$48:$AJ$68</c:f>
              <c:numCache>
                <c:formatCode>0.0</c:formatCode>
                <c:ptCount val="21"/>
                <c:pt idx="0">
                  <c:v>80.996186760428785</c:v>
                </c:pt>
                <c:pt idx="1">
                  <c:v>129.47393233418589</c:v>
                </c:pt>
                <c:pt idx="2">
                  <c:v>230.39334265432791</c:v>
                </c:pt>
                <c:pt idx="3">
                  <c:v>116.32311868531457</c:v>
                </c:pt>
                <c:pt idx="4">
                  <c:v>54.381520162880612</c:v>
                </c:pt>
                <c:pt idx="5">
                  <c:v>49.329778527493424</c:v>
                </c:pt>
                <c:pt idx="6">
                  <c:v>54.522394983882208</c:v>
                </c:pt>
                <c:pt idx="7">
                  <c:v>41.125703704727016</c:v>
                </c:pt>
                <c:pt idx="8">
                  <c:v>37.682931710138362</c:v>
                </c:pt>
                <c:pt idx="9">
                  <c:v>41.69065049695724</c:v>
                </c:pt>
                <c:pt idx="10">
                  <c:v>31.153576906600446</c:v>
                </c:pt>
                <c:pt idx="11">
                  <c:v>46.964299895449571</c:v>
                </c:pt>
                <c:pt idx="12">
                  <c:v>63.816876153018761</c:v>
                </c:pt>
                <c:pt idx="13">
                  <c:v>42.518025247629552</c:v>
                </c:pt>
                <c:pt idx="14">
                  <c:v>72.810096288050744</c:v>
                </c:pt>
                <c:pt idx="15">
                  <c:v>41.376895622993999</c:v>
                </c:pt>
                <c:pt idx="16">
                  <c:v>39.629988075428649</c:v>
                </c:pt>
                <c:pt idx="17">
                  <c:v>42.209061525139013</c:v>
                </c:pt>
                <c:pt idx="18">
                  <c:v>43.72772997202641</c:v>
                </c:pt>
                <c:pt idx="19">
                  <c:v>73.411313579100309</c:v>
                </c:pt>
                <c:pt idx="20">
                  <c:v>70.296504245063517</c:v>
                </c:pt>
              </c:numCache>
            </c:numRef>
          </c:xVal>
          <c:yVal>
            <c:numRef>
              <c:f>main!$R$55:$R$75</c:f>
              <c:numCache>
                <c:formatCode>General</c:formatCode>
                <c:ptCount val="21"/>
                <c:pt idx="0">
                  <c:v>39.130000000000003</c:v>
                </c:pt>
                <c:pt idx="1">
                  <c:v>38.5</c:v>
                </c:pt>
                <c:pt idx="2">
                  <c:v>39.47</c:v>
                </c:pt>
                <c:pt idx="3">
                  <c:v>40.06</c:v>
                </c:pt>
                <c:pt idx="4" formatCode="0.00">
                  <c:v>40.07</c:v>
                </c:pt>
                <c:pt idx="5">
                  <c:v>40.1</c:v>
                </c:pt>
                <c:pt idx="6">
                  <c:v>40.200000000000003</c:v>
                </c:pt>
                <c:pt idx="7">
                  <c:v>39.96</c:v>
                </c:pt>
                <c:pt idx="8">
                  <c:v>40.159999999999997</c:v>
                </c:pt>
                <c:pt idx="9">
                  <c:v>40.08</c:v>
                </c:pt>
                <c:pt idx="10">
                  <c:v>40.119999999999997</c:v>
                </c:pt>
                <c:pt idx="11">
                  <c:v>39.770000000000003</c:v>
                </c:pt>
                <c:pt idx="12">
                  <c:v>39.6</c:v>
                </c:pt>
                <c:pt idx="13">
                  <c:v>40.17</c:v>
                </c:pt>
                <c:pt idx="14">
                  <c:v>40.26</c:v>
                </c:pt>
                <c:pt idx="15">
                  <c:v>40.07</c:v>
                </c:pt>
                <c:pt idx="16" formatCode="0.00">
                  <c:v>39.97</c:v>
                </c:pt>
                <c:pt idx="17">
                  <c:v>40.17</c:v>
                </c:pt>
                <c:pt idx="18">
                  <c:v>40</c:v>
                </c:pt>
                <c:pt idx="19">
                  <c:v>39.83</c:v>
                </c:pt>
                <c:pt idx="20">
                  <c:v>39.880000000000003</c:v>
                </c:pt>
              </c:numCache>
            </c:numRef>
          </c:yVal>
          <c:smooth val="0"/>
          <c:extLst>
            <c:ext xmlns:c16="http://schemas.microsoft.com/office/drawing/2014/chart" uri="{C3380CC4-5D6E-409C-BE32-E72D297353CC}">
              <c16:uniqueId val="{00000000-BEF9-4F25-AF34-620356A12E54}"/>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'PIC data'!$D$367:$D$414</c:f>
              <c:numCache>
                <c:formatCode>0.00</c:formatCode>
                <c:ptCount val="48"/>
                <c:pt idx="0">
                  <c:v>283.8</c:v>
                </c:pt>
                <c:pt idx="1">
                  <c:v>989.9</c:v>
                </c:pt>
                <c:pt idx="2">
                  <c:v>2018.5</c:v>
                </c:pt>
                <c:pt idx="3">
                  <c:v>2845.5</c:v>
                </c:pt>
                <c:pt idx="4">
                  <c:v>3773.1</c:v>
                </c:pt>
                <c:pt idx="5">
                  <c:v>2156.4</c:v>
                </c:pt>
                <c:pt idx="6">
                  <c:v>331.1</c:v>
                </c:pt>
                <c:pt idx="7">
                  <c:v>1344.2</c:v>
                </c:pt>
                <c:pt idx="8">
                  <c:v>2279.1</c:v>
                </c:pt>
                <c:pt idx="9">
                  <c:v>2985.3</c:v>
                </c:pt>
                <c:pt idx="10">
                  <c:v>3773.5</c:v>
                </c:pt>
                <c:pt idx="11">
                  <c:v>2172.9</c:v>
                </c:pt>
                <c:pt idx="12">
                  <c:v>228.5</c:v>
                </c:pt>
                <c:pt idx="13">
                  <c:v>1071.0999999999999</c:v>
                </c:pt>
                <c:pt idx="14">
                  <c:v>2115.4</c:v>
                </c:pt>
                <c:pt idx="15">
                  <c:v>3027</c:v>
                </c:pt>
                <c:pt idx="16">
                  <c:v>3936</c:v>
                </c:pt>
                <c:pt idx="17">
                  <c:v>1873.8</c:v>
                </c:pt>
                <c:pt idx="18">
                  <c:v>323.39999999999998</c:v>
                </c:pt>
                <c:pt idx="19">
                  <c:v>1252.9000000000001</c:v>
                </c:pt>
                <c:pt idx="20">
                  <c:v>2153.1999999999998</c:v>
                </c:pt>
                <c:pt idx="21">
                  <c:v>3092.8</c:v>
                </c:pt>
                <c:pt idx="22">
                  <c:v>3865.9</c:v>
                </c:pt>
                <c:pt idx="23">
                  <c:v>1947.1</c:v>
                </c:pt>
                <c:pt idx="24">
                  <c:v>260.7</c:v>
                </c:pt>
                <c:pt idx="25">
                  <c:v>1186.3</c:v>
                </c:pt>
                <c:pt idx="26">
                  <c:v>2258.6</c:v>
                </c:pt>
                <c:pt idx="27">
                  <c:v>3062.9</c:v>
                </c:pt>
                <c:pt idx="28">
                  <c:v>3874.5</c:v>
                </c:pt>
                <c:pt idx="29">
                  <c:v>2106.8000000000002</c:v>
                </c:pt>
                <c:pt idx="30">
                  <c:v>334.6</c:v>
                </c:pt>
                <c:pt idx="31">
                  <c:v>1022.2</c:v>
                </c:pt>
                <c:pt idx="32">
                  <c:v>2035.1</c:v>
                </c:pt>
                <c:pt idx="33">
                  <c:v>3068</c:v>
                </c:pt>
                <c:pt idx="34">
                  <c:v>3527.1</c:v>
                </c:pt>
                <c:pt idx="35">
                  <c:v>1989.1</c:v>
                </c:pt>
                <c:pt idx="36">
                  <c:v>234.1</c:v>
                </c:pt>
                <c:pt idx="37">
                  <c:v>1105.5999999999999</c:v>
                </c:pt>
                <c:pt idx="38">
                  <c:v>2268.1</c:v>
                </c:pt>
                <c:pt idx="39">
                  <c:v>3001</c:v>
                </c:pt>
                <c:pt idx="40">
                  <c:v>3652.5</c:v>
                </c:pt>
                <c:pt idx="41">
                  <c:v>2096.9</c:v>
                </c:pt>
                <c:pt idx="42">
                  <c:v>298.89999999999998</c:v>
                </c:pt>
                <c:pt idx="43">
                  <c:v>1068.0999999999999</c:v>
                </c:pt>
                <c:pt idx="44">
                  <c:v>2286.8000000000002</c:v>
                </c:pt>
                <c:pt idx="45">
                  <c:v>3201.6</c:v>
                </c:pt>
                <c:pt idx="46">
                  <c:v>3858.3</c:v>
                </c:pt>
                <c:pt idx="47">
                  <c:v>2144.6</c:v>
                </c:pt>
              </c:numCache>
            </c:numRef>
          </c:xVal>
          <c:yVal>
            <c:numRef>
              <c:f>'PIC data'!$P$367:$P$414</c:f>
              <c:numCache>
                <c:formatCode>0.0000</c:formatCode>
                <c:ptCount val="48"/>
                <c:pt idx="0">
                  <c:v>3.8555858992670551</c:v>
                </c:pt>
                <c:pt idx="1">
                  <c:v>1.0239604283594872</c:v>
                </c:pt>
                <c:pt idx="2">
                  <c:v>-3.3183102208015498</c:v>
                </c:pt>
                <c:pt idx="3">
                  <c:v>0.71943585325061576</c:v>
                </c:pt>
                <c:pt idx="4">
                  <c:v>0.67398710715815469</c:v>
                </c:pt>
                <c:pt idx="5">
                  <c:v>-2.1196579971929168</c:v>
                </c:pt>
                <c:pt idx="6">
                  <c:v>-3.0780748466241903</c:v>
                </c:pt>
                <c:pt idx="7">
                  <c:v>4.5229126347655892</c:v>
                </c:pt>
                <c:pt idx="8">
                  <c:v>13.567468650038336</c:v>
                </c:pt>
                <c:pt idx="9">
                  <c:v>-8.568943912523082</c:v>
                </c:pt>
                <c:pt idx="10">
                  <c:v>-2.7564060209851959</c:v>
                </c:pt>
                <c:pt idx="11">
                  <c:v>-151.54045118019803</c:v>
                </c:pt>
                <c:pt idx="12">
                  <c:v>-5.0396662667712917</c:v>
                </c:pt>
                <c:pt idx="13">
                  <c:v>12.363567949588969</c:v>
                </c:pt>
                <c:pt idx="14">
                  <c:v>-0.51759358240497022</c:v>
                </c:pt>
                <c:pt idx="15">
                  <c:v>-2.2173119368712833</c:v>
                </c:pt>
                <c:pt idx="16">
                  <c:v>-1.0884992865148888</c:v>
                </c:pt>
                <c:pt idx="17">
                  <c:v>-1.5168542433784751</c:v>
                </c:pt>
                <c:pt idx="18">
                  <c:v>1.8328308766185728</c:v>
                </c:pt>
                <c:pt idx="19">
                  <c:v>1.2089722434081978</c:v>
                </c:pt>
                <c:pt idx="20">
                  <c:v>1.7403763428687853</c:v>
                </c:pt>
                <c:pt idx="21">
                  <c:v>-7.2541551955955583</c:v>
                </c:pt>
                <c:pt idx="22">
                  <c:v>4.2889919600120265</c:v>
                </c:pt>
                <c:pt idx="23">
                  <c:v>3.5101113959110535</c:v>
                </c:pt>
                <c:pt idx="24">
                  <c:v>1.7976749526852132</c:v>
                </c:pt>
                <c:pt idx="25">
                  <c:v>-2.8505979374133403</c:v>
                </c:pt>
                <c:pt idx="26">
                  <c:v>-7.2817715450883043</c:v>
                </c:pt>
                <c:pt idx="27">
                  <c:v>-1.4075482485259272</c:v>
                </c:pt>
                <c:pt idx="28">
                  <c:v>6.1093816531511038</c:v>
                </c:pt>
                <c:pt idx="29">
                  <c:v>-5.3253811607792159</c:v>
                </c:pt>
                <c:pt idx="30">
                  <c:v>0.70350187242490847</c:v>
                </c:pt>
                <c:pt idx="31">
                  <c:v>6.029245506401594</c:v>
                </c:pt>
                <c:pt idx="32">
                  <c:v>2.5024162787242403</c:v>
                </c:pt>
                <c:pt idx="33">
                  <c:v>2.2419105355770625</c:v>
                </c:pt>
                <c:pt idx="34">
                  <c:v>-5.2080562998312416</c:v>
                </c:pt>
                <c:pt idx="35">
                  <c:v>-7.3271889137424751</c:v>
                </c:pt>
                <c:pt idx="36">
                  <c:v>-2.5911692774598123</c:v>
                </c:pt>
                <c:pt idx="37">
                  <c:v>8.8738847503377656</c:v>
                </c:pt>
                <c:pt idx="38">
                  <c:v>0.76401335883747379</c:v>
                </c:pt>
                <c:pt idx="39">
                  <c:v>0.90589207780476499</c:v>
                </c:pt>
                <c:pt idx="40">
                  <c:v>-3.7387584056928063</c:v>
                </c:pt>
                <c:pt idx="41">
                  <c:v>-4.784535318719918</c:v>
                </c:pt>
                <c:pt idx="42">
                  <c:v>-1.058173893619994</c:v>
                </c:pt>
                <c:pt idx="43">
                  <c:v>10.249609345602266</c:v>
                </c:pt>
                <c:pt idx="44">
                  <c:v>10.680641783329975</c:v>
                </c:pt>
                <c:pt idx="45">
                  <c:v>10.702383863699652</c:v>
                </c:pt>
                <c:pt idx="46">
                  <c:v>14.630919353275658</c:v>
                </c:pt>
                <c:pt idx="47">
                  <c:v>20.692898472093475</c:v>
                </c:pt>
              </c:numCache>
            </c:numRef>
          </c:yVal>
          <c:smooth val="0"/>
          <c:extLst>
            <c:ext xmlns:c16="http://schemas.microsoft.com/office/drawing/2014/chart" uri="{C3380CC4-5D6E-409C-BE32-E72D297353CC}">
              <c16:uniqueId val="{00000000-343C-47F5-AF45-8DCB5AAEBF2D}"/>
            </c:ext>
          </c:extLst>
        </c:ser>
        <c:dLbls>
          <c:showLegendKey val="0"/>
          <c:showVal val="0"/>
          <c:showCatName val="0"/>
          <c:showSerName val="0"/>
          <c:showPercent val="0"/>
          <c:showBubbleSize val="0"/>
        </c:dLbls>
        <c:axId val="504565648"/>
        <c:axId val="504566304"/>
      </c:scatterChart>
      <c:valAx>
        <c:axId val="504565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6304"/>
        <c:crosses val="autoZero"/>
        <c:crossBetween val="midCat"/>
      </c:valAx>
      <c:valAx>
        <c:axId val="504566304"/>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6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0-5143-4646-80B2-E11CFF352C62}"/>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1-5143-4646-80B2-E11CFF352C62}"/>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main!#REF!</c:f>
              <c:numCache>
                <c:formatCode>General</c:formatCode>
                <c:ptCount val="1"/>
                <c:pt idx="0">
                  <c:v>1</c:v>
                </c:pt>
              </c:numCache>
            </c:numRef>
          </c:yVal>
          <c:smooth val="0"/>
          <c:extLst>
            <c:ext xmlns:c16="http://schemas.microsoft.com/office/drawing/2014/chart" uri="{C3380CC4-5D6E-409C-BE32-E72D297353CC}">
              <c16:uniqueId val="{00000002-5143-4646-80B2-E11CFF352C62}"/>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477B-4480-B8BF-7987A163E26B}"/>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477B-4480-B8BF-7987A163E26B}"/>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477B-4480-B8BF-7987A163E26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6002-4393-BB03-719476D11D79}"/>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6002-4393-BB03-719476D11D79}"/>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6002-4393-BB03-719476D11D79}"/>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SAZ20 %PIC</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main!$AG$7:$AG$27</c:f>
              <c:numCache>
                <c:formatCode>0.00</c:formatCode>
                <c:ptCount val="21"/>
                <c:pt idx="0">
                  <c:v>10.83731190936267</c:v>
                </c:pt>
                <c:pt idx="1">
                  <c:v>9.2319699746178809</c:v>
                </c:pt>
                <c:pt idx="2">
                  <c:v>11.406378967513756</c:v>
                </c:pt>
                <c:pt idx="3">
                  <c:v>10.633400733539439</c:v>
                </c:pt>
                <c:pt idx="4">
                  <c:v>0</c:v>
                </c:pt>
                <c:pt idx="5">
                  <c:v>6.3344347038804578</c:v>
                </c:pt>
                <c:pt idx="6">
                  <c:v>7.4878574632862316</c:v>
                </c:pt>
                <c:pt idx="7">
                  <c:v>0</c:v>
                </c:pt>
                <c:pt idx="8">
                  <c:v>7.8671971488033208</c:v>
                </c:pt>
                <c:pt idx="9" formatCode="General">
                  <c:v>8.5530045352195465</c:v>
                </c:pt>
                <c:pt idx="10" formatCode="General">
                  <c:v>7.2924906101268654</c:v>
                </c:pt>
                <c:pt idx="11" formatCode="General">
                  <c:v>7.7715165376298314</c:v>
                </c:pt>
                <c:pt idx="12" formatCode="General">
                  <c:v>8.1752009543419195</c:v>
                </c:pt>
                <c:pt idx="13" formatCode="General">
                  <c:v>8.7206273498355689</c:v>
                </c:pt>
                <c:pt idx="14" formatCode="General">
                  <c:v>8.365869538123782</c:v>
                </c:pt>
                <c:pt idx="15" formatCode="General">
                  <c:v>6.4634272778326052</c:v>
                </c:pt>
                <c:pt idx="16" formatCode="General">
                  <c:v>6.3743109836944196</c:v>
                </c:pt>
                <c:pt idx="17" formatCode="General">
                  <c:v>6.5863899691464391</c:v>
                </c:pt>
                <c:pt idx="18" formatCode="General">
                  <c:v>5.1023435863338769</c:v>
                </c:pt>
                <c:pt idx="19" formatCode="General">
                  <c:v>6.963812766088525</c:v>
                </c:pt>
                <c:pt idx="20" formatCode="General">
                  <c:v>7.8027525323685447</c:v>
                </c:pt>
              </c:numCache>
            </c:numRef>
          </c:yVal>
          <c:smooth val="0"/>
          <c:extLst>
            <c:ext xmlns:c16="http://schemas.microsoft.com/office/drawing/2014/chart" uri="{C3380CC4-5D6E-409C-BE32-E72D297353CC}">
              <c16:uniqueId val="{00000000-A29F-4A69-8965-91149E5BC476}"/>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main!$AG$31:$AG$51</c:f>
              <c:numCache>
                <c:formatCode>General</c:formatCode>
                <c:ptCount val="21"/>
                <c:pt idx="0">
                  <c:v>9.1749585092539565</c:v>
                </c:pt>
                <c:pt idx="1">
                  <c:v>7.890370205118387</c:v>
                </c:pt>
                <c:pt idx="2">
                  <c:v>7.9288430477535972</c:v>
                </c:pt>
                <c:pt idx="3">
                  <c:v>8.3054706566629726</c:v>
                </c:pt>
                <c:pt idx="4">
                  <c:v>8.4899163332625971</c:v>
                </c:pt>
                <c:pt idx="5">
                  <c:v>9.2746211723365022</c:v>
                </c:pt>
                <c:pt idx="6">
                  <c:v>8.6400759035106631</c:v>
                </c:pt>
                <c:pt idx="7">
                  <c:v>8.2874905756269257</c:v>
                </c:pt>
                <c:pt idx="8">
                  <c:v>8.5143332756744421</c:v>
                </c:pt>
                <c:pt idx="9">
                  <c:v>8.2845815965054594</c:v>
                </c:pt>
                <c:pt idx="10">
                  <c:v>8.1329495793603606</c:v>
                </c:pt>
                <c:pt idx="11">
                  <c:v>7.9731975034410301</c:v>
                </c:pt>
                <c:pt idx="12">
                  <c:v>8.110535523746881</c:v>
                </c:pt>
                <c:pt idx="13">
                  <c:v>7.9956654392613959</c:v>
                </c:pt>
                <c:pt idx="14">
                  <c:v>9.4215084462972829</c:v>
                </c:pt>
                <c:pt idx="15">
                  <c:v>9.2333895573392901</c:v>
                </c:pt>
                <c:pt idx="16">
                  <c:v>9.2610072249184316</c:v>
                </c:pt>
                <c:pt idx="17">
                  <c:v>8.9994484533717323</c:v>
                </c:pt>
                <c:pt idx="18">
                  <c:v>8.1855937989774965</c:v>
                </c:pt>
                <c:pt idx="19">
                  <c:v>7.9954360655499785</c:v>
                </c:pt>
                <c:pt idx="20">
                  <c:v>8.0524962706908649</c:v>
                </c:pt>
              </c:numCache>
            </c:numRef>
          </c:yVal>
          <c:smooth val="0"/>
          <c:extLst>
            <c:ext xmlns:c16="http://schemas.microsoft.com/office/drawing/2014/chart" uri="{C3380CC4-5D6E-409C-BE32-E72D297353CC}">
              <c16:uniqueId val="{00000001-A29F-4A69-8965-91149E5BC476}"/>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main!$AG$55:$AG$75</c:f>
              <c:numCache>
                <c:formatCode>General</c:formatCode>
                <c:ptCount val="21"/>
                <c:pt idx="0">
                  <c:v>8.5293669795831839</c:v>
                </c:pt>
                <c:pt idx="1">
                  <c:v>8.6518641106696652</c:v>
                </c:pt>
                <c:pt idx="2">
                  <c:v>7.9250340275152853</c:v>
                </c:pt>
                <c:pt idx="3">
                  <c:v>8.5225166101302605</c:v>
                </c:pt>
                <c:pt idx="4">
                  <c:v>8.9285320797434462</c:v>
                </c:pt>
                <c:pt idx="5">
                  <c:v>8.7818526392107188</c:v>
                </c:pt>
                <c:pt idx="6">
                  <c:v>8.9434353997901983</c:v>
                </c:pt>
                <c:pt idx="7">
                  <c:v>8.8893964545984847</c:v>
                </c:pt>
                <c:pt idx="8">
                  <c:v>8.9907880468312644</c:v>
                </c:pt>
                <c:pt idx="9">
                  <c:v>8.4510721204814025</c:v>
                </c:pt>
                <c:pt idx="10">
                  <c:v>8.9999925125436508</c:v>
                </c:pt>
                <c:pt idx="11">
                  <c:v>8.8460581691544569</c:v>
                </c:pt>
                <c:pt idx="12">
                  <c:v>8.6116393702752596</c:v>
                </c:pt>
                <c:pt idx="13">
                  <c:v>8.9032732603510389</c:v>
                </c:pt>
                <c:pt idx="14">
                  <c:v>9.3816629243870668</c:v>
                </c:pt>
                <c:pt idx="15">
                  <c:v>9.4209844117220634</c:v>
                </c:pt>
                <c:pt idx="16">
                  <c:v>9.5663970931447828</c:v>
                </c:pt>
                <c:pt idx="17">
                  <c:v>9.4646327904039893</c:v>
                </c:pt>
                <c:pt idx="18">
                  <c:v>9.7911332933190831</c:v>
                </c:pt>
                <c:pt idx="19">
                  <c:v>9.0511150427137395</c:v>
                </c:pt>
                <c:pt idx="20">
                  <c:v>8.7269257743357205</c:v>
                </c:pt>
              </c:numCache>
            </c:numRef>
          </c:yVal>
          <c:smooth val="0"/>
          <c:extLst>
            <c:ext xmlns:c16="http://schemas.microsoft.com/office/drawing/2014/chart" uri="{C3380CC4-5D6E-409C-BE32-E72D297353CC}">
              <c16:uniqueId val="{00000002-A29F-4A69-8965-91149E5BC476}"/>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932861648633066"/>
                  <c:y val="0.128676514380293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data'!$E$5:$E$15,'CHN data'!$E$17:$E$19,'CHN data'!$E$22:$E$27)</c:f>
              <c:numCache>
                <c:formatCode>0.00</c:formatCode>
                <c:ptCount val="20"/>
                <c:pt idx="0">
                  <c:v>0.42717266082763672</c:v>
                </c:pt>
                <c:pt idx="1">
                  <c:v>1.1302868127822876</c:v>
                </c:pt>
                <c:pt idx="2">
                  <c:v>0.26112067699432373</c:v>
                </c:pt>
                <c:pt idx="3">
                  <c:v>0.57253855466842651</c:v>
                </c:pt>
                <c:pt idx="4">
                  <c:v>2.6412904262542725</c:v>
                </c:pt>
                <c:pt idx="5">
                  <c:v>1.6864792108535767</c:v>
                </c:pt>
                <c:pt idx="6">
                  <c:v>1.6903629302978516</c:v>
                </c:pt>
                <c:pt idx="7">
                  <c:v>1.7168869972229004</c:v>
                </c:pt>
                <c:pt idx="8">
                  <c:v>1.6167234182357788</c:v>
                </c:pt>
                <c:pt idx="9">
                  <c:v>1.6241707801818848</c:v>
                </c:pt>
                <c:pt idx="10">
                  <c:v>1.2112077474594116</c:v>
                </c:pt>
                <c:pt idx="11">
                  <c:v>1.163560152053833</c:v>
                </c:pt>
                <c:pt idx="12">
                  <c:v>0.96906042098999023</c:v>
                </c:pt>
                <c:pt idx="13">
                  <c:v>0.95548933744430542</c:v>
                </c:pt>
                <c:pt idx="14">
                  <c:v>2.6349039077758789</c:v>
                </c:pt>
                <c:pt idx="15">
                  <c:v>2.7832210063934326</c:v>
                </c:pt>
                <c:pt idx="16">
                  <c:v>1.7875549793243408</c:v>
                </c:pt>
                <c:pt idx="17">
                  <c:v>2.4158401489257813</c:v>
                </c:pt>
                <c:pt idx="18">
                  <c:v>1.5406123399734497</c:v>
                </c:pt>
                <c:pt idx="19">
                  <c:v>0.72829163074493408</c:v>
                </c:pt>
              </c:numCache>
            </c:numRef>
          </c:xVal>
          <c:yVal>
            <c:numRef>
              <c:f>('CHN data'!$F$5:$F$15,'CHN data'!$F$17:$F$19,'CHN data'!$F$22:$F$27)</c:f>
              <c:numCache>
                <c:formatCode>0.00</c:formatCode>
                <c:ptCount val="20"/>
                <c:pt idx="0">
                  <c:v>13.717081069946289</c:v>
                </c:pt>
                <c:pt idx="1">
                  <c:v>18.464334487915039</c:v>
                </c:pt>
                <c:pt idx="2">
                  <c:v>13.149158477783203</c:v>
                </c:pt>
                <c:pt idx="3">
                  <c:v>14.327220916748047</c:v>
                </c:pt>
                <c:pt idx="4">
                  <c:v>22.348100662231445</c:v>
                </c:pt>
                <c:pt idx="5">
                  <c:v>14.52754020690918</c:v>
                </c:pt>
                <c:pt idx="6">
                  <c:v>17.051334381103516</c:v>
                </c:pt>
                <c:pt idx="7">
                  <c:v>16.973320007324219</c:v>
                </c:pt>
                <c:pt idx="8">
                  <c:v>17.110343933105469</c:v>
                </c:pt>
                <c:pt idx="9">
                  <c:v>16.932502746582031</c:v>
                </c:pt>
                <c:pt idx="10">
                  <c:v>14.753036499023438</c:v>
                </c:pt>
                <c:pt idx="11">
                  <c:v>15.142020225524902</c:v>
                </c:pt>
                <c:pt idx="12">
                  <c:v>14.712458610534668</c:v>
                </c:pt>
                <c:pt idx="13">
                  <c:v>14.572824478149414</c:v>
                </c:pt>
                <c:pt idx="14">
                  <c:v>21.282453536987305</c:v>
                </c:pt>
                <c:pt idx="15">
                  <c:v>22.321132659912109</c:v>
                </c:pt>
                <c:pt idx="16">
                  <c:v>16.888715744018555</c:v>
                </c:pt>
                <c:pt idx="17">
                  <c:v>18.287374496459961</c:v>
                </c:pt>
                <c:pt idx="18">
                  <c:v>15.935337066650391</c:v>
                </c:pt>
                <c:pt idx="19">
                  <c:v>13.513463020324707</c:v>
                </c:pt>
              </c:numCache>
            </c:numRef>
          </c:yVal>
          <c:smooth val="0"/>
          <c:extLst>
            <c:ext xmlns:c16="http://schemas.microsoft.com/office/drawing/2014/chart" uri="{C3380CC4-5D6E-409C-BE32-E72D297353CC}">
              <c16:uniqueId val="{00000000-65D0-4F62-A2BF-A05974AB8343}"/>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40190361876211966"/>
                  <c:y val="7.36833357571728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data'!$E$28,'CHN data'!$E$30:$E$32,'CHN data'!$E$34:$E$41,'CHN data'!$E$43:$E$45,'CHN data'!$E$47:$E$54)</c:f>
              <c:numCache>
                <c:formatCode>0.00</c:formatCode>
                <c:ptCount val="23"/>
                <c:pt idx="0">
                  <c:v>1.025126576423645</c:v>
                </c:pt>
                <c:pt idx="1">
                  <c:v>1.4818569421768188</c:v>
                </c:pt>
                <c:pt idx="2">
                  <c:v>1.4327236413955688</c:v>
                </c:pt>
                <c:pt idx="3">
                  <c:v>1.4540572166442871</c:v>
                </c:pt>
                <c:pt idx="4">
                  <c:v>1.2726815938949585</c:v>
                </c:pt>
                <c:pt idx="5">
                  <c:v>1.1502739191055298</c:v>
                </c:pt>
                <c:pt idx="6">
                  <c:v>0.83555901050567627</c:v>
                </c:pt>
                <c:pt idx="7">
                  <c:v>0.79686939716339111</c:v>
                </c:pt>
                <c:pt idx="8">
                  <c:v>0.99969804286956787</c:v>
                </c:pt>
                <c:pt idx="9">
                  <c:v>0.69631367921829224</c:v>
                </c:pt>
                <c:pt idx="10">
                  <c:v>0.88421434164047241</c:v>
                </c:pt>
                <c:pt idx="11">
                  <c:v>0.7449190616607666</c:v>
                </c:pt>
                <c:pt idx="12">
                  <c:v>0.71064901351928711</c:v>
                </c:pt>
                <c:pt idx="13">
                  <c:v>0.67137563228607178</c:v>
                </c:pt>
                <c:pt idx="14">
                  <c:v>1.17836594581604</c:v>
                </c:pt>
                <c:pt idx="15">
                  <c:v>0.600413978099823</c:v>
                </c:pt>
                <c:pt idx="16">
                  <c:v>0.58693116903305054</c:v>
                </c:pt>
                <c:pt idx="17">
                  <c:v>0.5507436990737915</c:v>
                </c:pt>
                <c:pt idx="18">
                  <c:v>0.57325541973114014</c:v>
                </c:pt>
                <c:pt idx="19">
                  <c:v>0.62611663341522217</c:v>
                </c:pt>
                <c:pt idx="20">
                  <c:v>0.84665894508361816</c:v>
                </c:pt>
                <c:pt idx="21">
                  <c:v>0.64705199003219604</c:v>
                </c:pt>
                <c:pt idx="22">
                  <c:v>1.2290290594100952</c:v>
                </c:pt>
              </c:numCache>
            </c:numRef>
          </c:xVal>
          <c:yVal>
            <c:numRef>
              <c:f>('CHN data'!$F$28,'CHN data'!$F$30:$F$32,'CHN data'!$F$34:$F$41,'CHN data'!$F$43:$F$45,'CHN data'!$F$47:$F$54)</c:f>
              <c:numCache>
                <c:formatCode>0.00</c:formatCode>
                <c:ptCount val="23"/>
                <c:pt idx="0">
                  <c:v>15.315581321716309</c:v>
                </c:pt>
                <c:pt idx="1">
                  <c:v>17.504707336425781</c:v>
                </c:pt>
                <c:pt idx="2">
                  <c:v>16.675384521484375</c:v>
                </c:pt>
                <c:pt idx="3">
                  <c:v>16.750988006591797</c:v>
                </c:pt>
                <c:pt idx="4">
                  <c:v>15.659294128417969</c:v>
                </c:pt>
                <c:pt idx="5">
                  <c:v>15.882658958435059</c:v>
                </c:pt>
                <c:pt idx="6">
                  <c:v>13.839174270629883</c:v>
                </c:pt>
                <c:pt idx="7">
                  <c:v>13.684504508972168</c:v>
                </c:pt>
                <c:pt idx="8">
                  <c:v>13.781223297119141</c:v>
                </c:pt>
                <c:pt idx="9">
                  <c:v>13.291887283325195</c:v>
                </c:pt>
                <c:pt idx="10">
                  <c:v>13.503268241882324</c:v>
                </c:pt>
                <c:pt idx="11">
                  <c:v>13.014858245849609</c:v>
                </c:pt>
                <c:pt idx="12">
                  <c:v>12.492358207702637</c:v>
                </c:pt>
                <c:pt idx="13">
                  <c:v>12.407177925109863</c:v>
                </c:pt>
                <c:pt idx="14">
                  <c:v>15.202922821044922</c:v>
                </c:pt>
                <c:pt idx="15">
                  <c:v>13.092334747314453</c:v>
                </c:pt>
                <c:pt idx="16">
                  <c:v>13.344470024108887</c:v>
                </c:pt>
                <c:pt idx="17">
                  <c:v>12.733370780944824</c:v>
                </c:pt>
                <c:pt idx="18">
                  <c:v>13.150975227355957</c:v>
                </c:pt>
                <c:pt idx="19">
                  <c:v>13.106645584106445</c:v>
                </c:pt>
                <c:pt idx="20">
                  <c:v>13.113008499145508</c:v>
                </c:pt>
                <c:pt idx="21">
                  <c:v>12.189061164855957</c:v>
                </c:pt>
                <c:pt idx="22">
                  <c:v>15.38349723815918</c:v>
                </c:pt>
              </c:numCache>
            </c:numRef>
          </c:yVal>
          <c:smooth val="0"/>
          <c:extLst>
            <c:ext xmlns:c16="http://schemas.microsoft.com/office/drawing/2014/chart" uri="{C3380CC4-5D6E-409C-BE32-E72D297353CC}">
              <c16:uniqueId val="{00000001-65D0-4F62-A2BF-A05974AB8343}"/>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6388881096180279"/>
                  <c:y val="0.10421540315376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data'!$E$56:$E$65,'CHN data'!$E$67,'CHN data'!$E$69:$E$73,'CHN data'!$E$76:$E$80,'CHN data'!$E$82:$E$83)</c:f>
              <c:numCache>
                <c:formatCode>0.00</c:formatCode>
                <c:ptCount val="23"/>
                <c:pt idx="0">
                  <c:v>0.69819456338882446</c:v>
                </c:pt>
                <c:pt idx="1">
                  <c:v>1.0298765897750854</c:v>
                </c:pt>
                <c:pt idx="2">
                  <c:v>1.1970739364624023</c:v>
                </c:pt>
                <c:pt idx="3">
                  <c:v>1.1950823068618774</c:v>
                </c:pt>
                <c:pt idx="4">
                  <c:v>0.86751490831375122</c:v>
                </c:pt>
                <c:pt idx="5">
                  <c:v>0.61714720726013184</c:v>
                </c:pt>
                <c:pt idx="6">
                  <c:v>0.82868802547454834</c:v>
                </c:pt>
                <c:pt idx="7">
                  <c:v>0.75137102603912354</c:v>
                </c:pt>
                <c:pt idx="8">
                  <c:v>0.68823897838592529</c:v>
                </c:pt>
                <c:pt idx="9">
                  <c:v>0.78936183452606201</c:v>
                </c:pt>
                <c:pt idx="10">
                  <c:v>0.60184335708618164</c:v>
                </c:pt>
                <c:pt idx="11">
                  <c:v>0.91538608074188232</c:v>
                </c:pt>
                <c:pt idx="12">
                  <c:v>0.4686332643032074</c:v>
                </c:pt>
                <c:pt idx="13">
                  <c:v>0.43507429957389832</c:v>
                </c:pt>
                <c:pt idx="14">
                  <c:v>0.5326191782951355</c:v>
                </c:pt>
                <c:pt idx="15">
                  <c:v>0.50001806020736694</c:v>
                </c:pt>
                <c:pt idx="16">
                  <c:v>0.3702196478843689</c:v>
                </c:pt>
                <c:pt idx="17">
                  <c:v>0.52661579847335815</c:v>
                </c:pt>
                <c:pt idx="18">
                  <c:v>0.37589496374130249</c:v>
                </c:pt>
                <c:pt idx="19">
                  <c:v>0.36883670091629028</c:v>
                </c:pt>
                <c:pt idx="20">
                  <c:v>0.39902999997138977</c:v>
                </c:pt>
                <c:pt idx="21">
                  <c:v>0.44593289494514465</c:v>
                </c:pt>
                <c:pt idx="22">
                  <c:v>0.49323287606239319</c:v>
                </c:pt>
              </c:numCache>
            </c:numRef>
          </c:xVal>
          <c:yVal>
            <c:numRef>
              <c:f>('CHN data'!$F$56:$F$65,'CHN data'!$F$67,'CHN data'!$F$69:$F$73,'CHN data'!$F$76:$F$80,'CHN data'!$F$82:$F$83)</c:f>
              <c:numCache>
                <c:formatCode>0.00</c:formatCode>
                <c:ptCount val="23"/>
                <c:pt idx="0">
                  <c:v>13.80047607421875</c:v>
                </c:pt>
                <c:pt idx="1">
                  <c:v>15.48238468170166</c:v>
                </c:pt>
                <c:pt idx="2">
                  <c:v>15.902324676513672</c:v>
                </c:pt>
                <c:pt idx="3">
                  <c:v>15.928247451782227</c:v>
                </c:pt>
                <c:pt idx="4">
                  <c:v>14.182465553283691</c:v>
                </c:pt>
                <c:pt idx="5">
                  <c:v>13.104650497436523</c:v>
                </c:pt>
                <c:pt idx="6">
                  <c:v>14.073051452636719</c:v>
                </c:pt>
                <c:pt idx="7">
                  <c:v>13.875494956970215</c:v>
                </c:pt>
                <c:pt idx="8">
                  <c:v>13.466116905212402</c:v>
                </c:pt>
                <c:pt idx="9">
                  <c:v>13.653002738952637</c:v>
                </c:pt>
                <c:pt idx="10">
                  <c:v>13.004121780395508</c:v>
                </c:pt>
                <c:pt idx="11">
                  <c:v>13.893876075744629</c:v>
                </c:pt>
                <c:pt idx="12">
                  <c:v>12.262346267700195</c:v>
                </c:pt>
                <c:pt idx="13">
                  <c:v>11.851734161376953</c:v>
                </c:pt>
                <c:pt idx="14">
                  <c:v>12.109560966491699</c:v>
                </c:pt>
                <c:pt idx="15">
                  <c:v>12.245630264282227</c:v>
                </c:pt>
                <c:pt idx="16">
                  <c:v>12.559001922607422</c:v>
                </c:pt>
                <c:pt idx="17">
                  <c:v>12.772340774536133</c:v>
                </c:pt>
                <c:pt idx="18">
                  <c:v>12.438674926757813</c:v>
                </c:pt>
                <c:pt idx="19">
                  <c:v>12.267759323120117</c:v>
                </c:pt>
                <c:pt idx="20">
                  <c:v>12.174908638000488</c:v>
                </c:pt>
                <c:pt idx="21">
                  <c:v>11.52426815032959</c:v>
                </c:pt>
                <c:pt idx="22">
                  <c:v>11.310412406921387</c:v>
                </c:pt>
              </c:numCache>
            </c:numRef>
          </c:yVal>
          <c:smooth val="0"/>
          <c:extLst>
            <c:ext xmlns:c16="http://schemas.microsoft.com/office/drawing/2014/chart" uri="{C3380CC4-5D6E-409C-BE32-E72D297353CC}">
              <c16:uniqueId val="{00000002-65D0-4F62-A2BF-A05974AB8343}"/>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data'!$E$21,'CHN data'!$E$33,'CHN data'!$E$74:$E$75)</c:f>
              <c:numCache>
                <c:formatCode>0.00</c:formatCode>
                <c:ptCount val="4"/>
                <c:pt idx="0">
                  <c:v>0.27058932185173035</c:v>
                </c:pt>
                <c:pt idx="1">
                  <c:v>0.27356550097465515</c:v>
                </c:pt>
                <c:pt idx="2">
                  <c:v>0.2781582772731781</c:v>
                </c:pt>
                <c:pt idx="3">
                  <c:v>0.2880232036113739</c:v>
                </c:pt>
              </c:numCache>
            </c:numRef>
          </c:xVal>
          <c:yVal>
            <c:numRef>
              <c:f>('CHN data'!$F$21,'CHN data'!$F$33,'CHN data'!$F$74:$F$75)</c:f>
              <c:numCache>
                <c:formatCode>0.00</c:formatCode>
                <c:ptCount val="4"/>
                <c:pt idx="0">
                  <c:v>3.2299375534057617</c:v>
                </c:pt>
                <c:pt idx="1">
                  <c:v>3.2393419742584229</c:v>
                </c:pt>
                <c:pt idx="2">
                  <c:v>3.3529341220855713</c:v>
                </c:pt>
                <c:pt idx="3">
                  <c:v>3.363440990447998</c:v>
                </c:pt>
              </c:numCache>
            </c:numRef>
          </c:yVal>
          <c:smooth val="0"/>
          <c:extLst>
            <c:ext xmlns:c16="http://schemas.microsoft.com/office/drawing/2014/chart" uri="{C3380CC4-5D6E-409C-BE32-E72D297353CC}">
              <c16:uniqueId val="{00000003-65D0-4F62-A2BF-A05974AB8343}"/>
            </c:ext>
          </c:extLst>
        </c:ser>
        <c:ser>
          <c:idx val="4"/>
          <c:order val="4"/>
          <c:tx>
            <c:v>1000M_repeats</c:v>
          </c:tx>
          <c:spPr>
            <a:ln w="25400" cap="rnd">
              <a:noFill/>
              <a:round/>
            </a:ln>
            <a:effectLst/>
          </c:spPr>
          <c:marker>
            <c:symbol val="circle"/>
            <c:size val="5"/>
            <c:spPr>
              <a:solidFill>
                <a:schemeClr val="accent5"/>
              </a:solidFill>
              <a:ln w="9525">
                <a:solidFill>
                  <a:schemeClr val="accent5"/>
                </a:solidFill>
              </a:ln>
              <a:effectLst/>
            </c:spPr>
          </c:marker>
          <c:xVal>
            <c:numRef>
              <c:f>('CHN data'!$E$152,'CHN data'!$E$159:$E$160)</c:f>
              <c:numCache>
                <c:formatCode>0.00</c:formatCode>
                <c:ptCount val="3"/>
                <c:pt idx="0">
                  <c:v>0.29735133051872253</c:v>
                </c:pt>
                <c:pt idx="1">
                  <c:v>0.24067139625549316</c:v>
                </c:pt>
                <c:pt idx="2">
                  <c:v>0.2518734335899353</c:v>
                </c:pt>
              </c:numCache>
            </c:numRef>
          </c:xVal>
          <c:yVal>
            <c:numRef>
              <c:f>('CHN data'!$F$152,'CHN data'!$F$159:$F$160)</c:f>
              <c:numCache>
                <c:formatCode>0.00</c:formatCode>
                <c:ptCount val="3"/>
                <c:pt idx="0">
                  <c:v>13.355057716369629</c:v>
                </c:pt>
                <c:pt idx="1">
                  <c:v>13.093507766723633</c:v>
                </c:pt>
                <c:pt idx="2">
                  <c:v>13.146101951599121</c:v>
                </c:pt>
              </c:numCache>
            </c:numRef>
          </c:yVal>
          <c:smooth val="0"/>
          <c:extLst>
            <c:ext xmlns:c16="http://schemas.microsoft.com/office/drawing/2014/chart" uri="{C3380CC4-5D6E-409C-BE32-E72D297353CC}">
              <c16:uniqueId val="{00000003-6D42-4103-8497-5DD19791B606}"/>
            </c:ext>
          </c:extLst>
        </c:ser>
        <c:ser>
          <c:idx val="5"/>
          <c:order val="5"/>
          <c:tx>
            <c:v>2000m_repeats</c:v>
          </c:tx>
          <c:spPr>
            <a:ln w="25400" cap="rnd">
              <a:noFill/>
              <a:round/>
            </a:ln>
            <a:effectLst/>
          </c:spPr>
          <c:marker>
            <c:symbol val="circle"/>
            <c:size val="5"/>
            <c:spPr>
              <a:solidFill>
                <a:schemeClr val="accent6"/>
              </a:solidFill>
              <a:ln w="9525">
                <a:solidFill>
                  <a:schemeClr val="accent6"/>
                </a:solidFill>
              </a:ln>
              <a:effectLst/>
            </c:spPr>
          </c:marker>
          <c:xVal>
            <c:numRef>
              <c:f>('CHN data'!$E$151,'CHN data'!$E$161,'CHN data'!$E$163:$E$164)</c:f>
              <c:numCache>
                <c:formatCode>0.00</c:formatCode>
                <c:ptCount val="4"/>
                <c:pt idx="0">
                  <c:v>0.55449682474136353</c:v>
                </c:pt>
                <c:pt idx="1">
                  <c:v>0.57835513353347778</c:v>
                </c:pt>
                <c:pt idx="2">
                  <c:v>0.54857450723648071</c:v>
                </c:pt>
                <c:pt idx="3">
                  <c:v>0.5871589183807373</c:v>
                </c:pt>
              </c:numCache>
            </c:numRef>
          </c:xVal>
          <c:yVal>
            <c:numRef>
              <c:f>('CHN data'!$F$151,'CHN data'!$F$161,'CHN data'!$F$163:$F$164)</c:f>
              <c:numCache>
                <c:formatCode>0.00</c:formatCode>
                <c:ptCount val="4"/>
                <c:pt idx="0">
                  <c:v>13.084274291992188</c:v>
                </c:pt>
                <c:pt idx="1">
                  <c:v>13.261061668395996</c:v>
                </c:pt>
                <c:pt idx="2">
                  <c:v>13.223430633544922</c:v>
                </c:pt>
                <c:pt idx="3">
                  <c:v>13.263586807250899</c:v>
                </c:pt>
              </c:numCache>
            </c:numRef>
          </c:yVal>
          <c:smooth val="0"/>
          <c:extLst>
            <c:ext xmlns:c16="http://schemas.microsoft.com/office/drawing/2014/chart" uri="{C3380CC4-5D6E-409C-BE32-E72D297353CC}">
              <c16:uniqueId val="{00000004-6D42-4103-8497-5DD19791B606}"/>
            </c:ext>
          </c:extLst>
        </c:ser>
        <c:ser>
          <c:idx val="6"/>
          <c:order val="6"/>
          <c:tx>
            <c:v>3800m_repeats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('CHN data'!$E$150,'CHN data'!$E$165:$E$167)</c:f>
              <c:numCache>
                <c:formatCode>0.00</c:formatCode>
                <c:ptCount val="4"/>
                <c:pt idx="0">
                  <c:v>0.68326973915100098</c:v>
                </c:pt>
                <c:pt idx="1">
                  <c:v>0.6996116042137146</c:v>
                </c:pt>
                <c:pt idx="2">
                  <c:v>0.68155908584594727</c:v>
                </c:pt>
                <c:pt idx="3">
                  <c:v>0.70635771751403809</c:v>
                </c:pt>
              </c:numCache>
            </c:numRef>
          </c:xVal>
          <c:yVal>
            <c:numRef>
              <c:f>('CHN data'!$F$150,'CHN data'!$F$165:$F$167)</c:f>
              <c:numCache>
                <c:formatCode>0.00</c:formatCode>
                <c:ptCount val="4"/>
                <c:pt idx="0">
                  <c:v>13.469342994689899</c:v>
                </c:pt>
                <c:pt idx="1">
                  <c:v>13.621490478515625</c:v>
                </c:pt>
                <c:pt idx="2">
                  <c:v>13.533973693847656</c:v>
                </c:pt>
                <c:pt idx="3">
                  <c:v>13.668502807617188</c:v>
                </c:pt>
              </c:numCache>
            </c:numRef>
          </c:yVal>
          <c:smooth val="0"/>
          <c:extLst>
            <c:ext xmlns:c16="http://schemas.microsoft.com/office/drawing/2014/chart" uri="{C3380CC4-5D6E-409C-BE32-E72D297353CC}">
              <c16:uniqueId val="{00000005-6D42-4103-8497-5DD19791B606}"/>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data'!$E$46,'CHN data'!$E$66,'CHN data'!$E$84:$E$85)</c:f>
              <c:numCache>
                <c:formatCode>0.00</c:formatCode>
                <c:ptCount val="4"/>
                <c:pt idx="0">
                  <c:v>10.351252555847168</c:v>
                </c:pt>
                <c:pt idx="1">
                  <c:v>10.2618099212646</c:v>
                </c:pt>
                <c:pt idx="2">
                  <c:v>11.911705017089844</c:v>
                </c:pt>
                <c:pt idx="3">
                  <c:v>10.2958986282348</c:v>
                </c:pt>
              </c:numCache>
            </c:numRef>
          </c:xVal>
          <c:yVal>
            <c:numRef>
              <c:f>('CHN data'!$F$46,'CHN data'!$F$66,'CHN data'!$F$84:$F$85)</c:f>
              <c:numCache>
                <c:formatCode>0.00</c:formatCode>
                <c:ptCount val="4"/>
                <c:pt idx="0">
                  <c:v>71.135795593261719</c:v>
                </c:pt>
                <c:pt idx="1">
                  <c:v>70.944828796386702</c:v>
                </c:pt>
                <c:pt idx="2">
                  <c:v>81.734233093261693</c:v>
                </c:pt>
                <c:pt idx="3">
                  <c:v>70.991414489746006</c:v>
                </c:pt>
              </c:numCache>
            </c:numRef>
          </c:yVal>
          <c:smooth val="0"/>
          <c:extLst>
            <c:ext xmlns:c16="http://schemas.microsoft.com/office/drawing/2014/chart" uri="{C3380CC4-5D6E-409C-BE32-E72D297353CC}">
              <c16:uniqueId val="{00000001-AB95-4B88-A61D-541746B9389B}"/>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SAZ20 %BSi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main!$AB$7:$AB$27</c:f>
              <c:numCache>
                <c:formatCode>General</c:formatCode>
                <c:ptCount val="21"/>
                <c:pt idx="0">
                  <c:v>0.40676725214504</c:v>
                </c:pt>
                <c:pt idx="1">
                  <c:v>0.70060000092503527</c:v>
                </c:pt>
                <c:pt idx="2">
                  <c:v>0.11143208474468959</c:v>
                </c:pt>
                <c:pt idx="3">
                  <c:v>0.28834022634973727</c:v>
                </c:pt>
                <c:pt idx="4">
                  <c:v>0</c:v>
                </c:pt>
                <c:pt idx="5">
                  <c:v>0.49115051534407933</c:v>
                </c:pt>
                <c:pt idx="6">
                  <c:v>0.87233667623988664</c:v>
                </c:pt>
                <c:pt idx="7">
                  <c:v>0</c:v>
                </c:pt>
                <c:pt idx="8">
                  <c:v>2.7596372216964755</c:v>
                </c:pt>
                <c:pt idx="9">
                  <c:v>1.7420282981914221</c:v>
                </c:pt>
                <c:pt idx="10">
                  <c:v>4.1619051934427338</c:v>
                </c:pt>
                <c:pt idx="11">
                  <c:v>4.989911490032636</c:v>
                </c:pt>
                <c:pt idx="12">
                  <c:v>5.2909932683023175</c:v>
                </c:pt>
                <c:pt idx="13">
                  <c:v>3.8862777681241218</c:v>
                </c:pt>
                <c:pt idx="14">
                  <c:v>3.1913938289543204</c:v>
                </c:pt>
                <c:pt idx="15">
                  <c:v>2.4138138849839077</c:v>
                </c:pt>
                <c:pt idx="16">
                  <c:v>3.0719049634190676</c:v>
                </c:pt>
                <c:pt idx="17">
                  <c:v>5.8894588655587841</c:v>
                </c:pt>
                <c:pt idx="18">
                  <c:v>4.2840596150028123</c:v>
                </c:pt>
                <c:pt idx="19">
                  <c:v>6.8323837752053782</c:v>
                </c:pt>
                <c:pt idx="20">
                  <c:v>6.0113129714439664</c:v>
                </c:pt>
              </c:numCache>
            </c:numRef>
          </c:yVal>
          <c:smooth val="0"/>
          <c:extLst>
            <c:ext xmlns:c16="http://schemas.microsoft.com/office/drawing/2014/chart" uri="{C3380CC4-5D6E-409C-BE32-E72D297353CC}">
              <c16:uniqueId val="{00000000-15DD-471A-BA77-23ACD2171E12}"/>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main!$AB$31:$AB$51</c:f>
              <c:numCache>
                <c:formatCode>General</c:formatCode>
                <c:ptCount val="21"/>
                <c:pt idx="0">
                  <c:v>3.7894980519616905</c:v>
                </c:pt>
                <c:pt idx="1">
                  <c:v>2.8942785566524658</c:v>
                </c:pt>
                <c:pt idx="2">
                  <c:v>4.1143394714809558</c:v>
                </c:pt>
                <c:pt idx="3">
                  <c:v>4.1572859777582041</c:v>
                </c:pt>
                <c:pt idx="4">
                  <c:v>3.976697124404676</c:v>
                </c:pt>
                <c:pt idx="5">
                  <c:v>3.9159988171518298</c:v>
                </c:pt>
                <c:pt idx="6">
                  <c:v>3.7302617346461475</c:v>
                </c:pt>
                <c:pt idx="7">
                  <c:v>4.2819351401976178</c:v>
                </c:pt>
                <c:pt idx="8">
                  <c:v>4.515026126421235</c:v>
                </c:pt>
                <c:pt idx="9">
                  <c:v>4.7751875154016767</c:v>
                </c:pt>
                <c:pt idx="10">
                  <c:v>5.7540897631468635</c:v>
                </c:pt>
                <c:pt idx="11">
                  <c:v>7.7138576097263618</c:v>
                </c:pt>
                <c:pt idx="12">
                  <c:v>7.4446572151482302</c:v>
                </c:pt>
                <c:pt idx="13">
                  <c:v>5.0217392437140722</c:v>
                </c:pt>
                <c:pt idx="14">
                  <c:v>4.1466224682896895</c:v>
                </c:pt>
                <c:pt idx="15">
                  <c:v>4.0806182274664495</c:v>
                </c:pt>
                <c:pt idx="16">
                  <c:v>4.1918138793433686</c:v>
                </c:pt>
                <c:pt idx="17">
                  <c:v>4.8736200989290257</c:v>
                </c:pt>
                <c:pt idx="18">
                  <c:v>6.1389455013610688</c:v>
                </c:pt>
                <c:pt idx="19">
                  <c:v>8.0667512564647978</c:v>
                </c:pt>
                <c:pt idx="20">
                  <c:v>8.194419891678379</c:v>
                </c:pt>
              </c:numCache>
            </c:numRef>
          </c:yVal>
          <c:smooth val="0"/>
          <c:extLst>
            <c:ext xmlns:c16="http://schemas.microsoft.com/office/drawing/2014/chart" uri="{C3380CC4-5D6E-409C-BE32-E72D297353CC}">
              <c16:uniqueId val="{00000001-15DD-471A-BA77-23ACD2171E12}"/>
            </c:ext>
          </c:extLst>
        </c:ser>
        <c:ser>
          <c:idx val="3"/>
          <c:order val="2"/>
          <c:tx>
            <c:v>47_3800</c:v>
          </c:tx>
          <c:spPr>
            <a:ln w="28575">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xVal>
          <c:yVal>
            <c:numRef>
              <c:f>main!$AB$55:$AB$75</c:f>
              <c:numCache>
                <c:formatCode>General</c:formatCode>
                <c:ptCount val="21"/>
                <c:pt idx="0">
                  <c:v>3.4230651777853867</c:v>
                </c:pt>
                <c:pt idx="1">
                  <c:v>2.599755406638391</c:v>
                </c:pt>
                <c:pt idx="2">
                  <c:v>3.5089683834913665</c:v>
                </c:pt>
                <c:pt idx="3">
                  <c:v>3.8465130903490761</c:v>
                </c:pt>
                <c:pt idx="4">
                  <c:v>3.9341420051180456</c:v>
                </c:pt>
                <c:pt idx="5">
                  <c:v>3.4782095955131229</c:v>
                </c:pt>
                <c:pt idx="6">
                  <c:v>3.4248683597168843</c:v>
                </c:pt>
                <c:pt idx="7">
                  <c:v>3.6072370145516657</c:v>
                </c:pt>
                <c:pt idx="8">
                  <c:v>4.0467582150447088</c:v>
                </c:pt>
                <c:pt idx="9">
                  <c:v>3.8651785512901471</c:v>
                </c:pt>
                <c:pt idx="10">
                  <c:v>4.2728849205456028</c:v>
                </c:pt>
                <c:pt idx="11">
                  <c:v>5.57542301392668</c:v>
                </c:pt>
                <c:pt idx="12">
                  <c:v>5.9850283969520008</c:v>
                </c:pt>
                <c:pt idx="13">
                  <c:v>5.2572202210734718</c:v>
                </c:pt>
                <c:pt idx="14">
                  <c:v>4.1483969163449652</c:v>
                </c:pt>
                <c:pt idx="15">
                  <c:v>3.8515566720413403</c:v>
                </c:pt>
                <c:pt idx="16">
                  <c:v>3.8105430751459139</c:v>
                </c:pt>
                <c:pt idx="17">
                  <c:v>4.0419267949207569</c:v>
                </c:pt>
                <c:pt idx="18">
                  <c:v>5.1240978987708639</c:v>
                </c:pt>
                <c:pt idx="19">
                  <c:v>7.6781566565481354</c:v>
                </c:pt>
                <c:pt idx="20">
                  <c:v>8.9164435077159077</c:v>
                </c:pt>
              </c:numCache>
            </c:numRef>
          </c:yVal>
          <c:smooth val="0"/>
          <c:extLst>
            <c:ext xmlns:c16="http://schemas.microsoft.com/office/drawing/2014/chart" uri="{C3380CC4-5D6E-409C-BE32-E72D297353CC}">
              <c16:uniqueId val="{00000002-15DD-471A-BA77-23ACD2171E1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'quicklook plots'!$Z$2:$Z$22</c:f>
              <c:numCache>
                <c:formatCode>General</c:formatCode>
                <c:ptCount val="21"/>
                <c:pt idx="0">
                  <c:v>4</c:v>
                </c:pt>
                <c:pt idx="1">
                  <c:v>5</c:v>
                </c:pt>
                <c:pt idx="2">
                  <c:v>9</c:v>
                </c:pt>
                <c:pt idx="3">
                  <c:v>5</c:v>
                </c:pt>
                <c:pt idx="4">
                  <c:v>4</c:v>
                </c:pt>
                <c:pt idx="5">
                  <c:v>3</c:v>
                </c:pt>
                <c:pt idx="6">
                  <c:v>4</c:v>
                </c:pt>
                <c:pt idx="7">
                  <c:v>3</c:v>
                </c:pt>
                <c:pt idx="8">
                  <c:v>4</c:v>
                </c:pt>
                <c:pt idx="9">
                  <c:v>3</c:v>
                </c:pt>
                <c:pt idx="10">
                  <c:v>3</c:v>
                </c:pt>
                <c:pt idx="11">
                  <c:v>4</c:v>
                </c:pt>
                <c:pt idx="12">
                  <c:v>5</c:v>
                </c:pt>
                <c:pt idx="13">
                  <c:v>3</c:v>
                </c:pt>
                <c:pt idx="14">
                  <c:v>3</c:v>
                </c:pt>
                <c:pt idx="15">
                  <c:v>4</c:v>
                </c:pt>
                <c:pt idx="16">
                  <c:v>3</c:v>
                </c:pt>
                <c:pt idx="17">
                  <c:v>3</c:v>
                </c:pt>
                <c:pt idx="18">
                  <c:v>5</c:v>
                </c:pt>
                <c:pt idx="19">
                  <c:v>17</c:v>
                </c:pt>
                <c:pt idx="20">
                  <c:v>15</c:v>
                </c:pt>
              </c:numCache>
            </c:numRef>
          </c:xVal>
          <c:yVal>
            <c:numRef>
              <c:f>'quicklook plots'!$AA$2:$AA$22</c:f>
              <c:numCache>
                <c:formatCode>General</c:formatCode>
                <c:ptCount val="21"/>
                <c:pt idx="0">
                  <c:v>429.47142857142859</c:v>
                </c:pt>
                <c:pt idx="1">
                  <c:v>376.71428571428544</c:v>
                </c:pt>
                <c:pt idx="2">
                  <c:v>958.97142857142853</c:v>
                </c:pt>
                <c:pt idx="3">
                  <c:v>574.41428571428571</c:v>
                </c:pt>
                <c:pt idx="4">
                  <c:v>363.95714285714286</c:v>
                </c:pt>
                <c:pt idx="5">
                  <c:v>260.57142857142856</c:v>
                </c:pt>
                <c:pt idx="6">
                  <c:v>308.97142857142859</c:v>
                </c:pt>
                <c:pt idx="7">
                  <c:v>245.39999999999998</c:v>
                </c:pt>
                <c:pt idx="8">
                  <c:v>262.42857142857139</c:v>
                </c:pt>
                <c:pt idx="9">
                  <c:v>214.08571428571429</c:v>
                </c:pt>
                <c:pt idx="10">
                  <c:v>266.89999999999998</c:v>
                </c:pt>
                <c:pt idx="11">
                  <c:v>436.71428571428572</c:v>
                </c:pt>
                <c:pt idx="12">
                  <c:v>509.91428571428571</c:v>
                </c:pt>
                <c:pt idx="13">
                  <c:v>355.54285714285709</c:v>
                </c:pt>
                <c:pt idx="14">
                  <c:v>640.47142857142853</c:v>
                </c:pt>
                <c:pt idx="15">
                  <c:v>345.07142857142856</c:v>
                </c:pt>
                <c:pt idx="16">
                  <c:v>385.62857142857138</c:v>
                </c:pt>
                <c:pt idx="17">
                  <c:v>420.85714285714289</c:v>
                </c:pt>
                <c:pt idx="18">
                  <c:v>512.69999999999993</c:v>
                </c:pt>
                <c:pt idx="19">
                  <c:v>829.62857142857149</c:v>
                </c:pt>
                <c:pt idx="20">
                  <c:v>760.5</c:v>
                </c:pt>
              </c:numCache>
            </c:numRef>
          </c:yVal>
          <c:smooth val="0"/>
          <c:extLst>
            <c:ext xmlns:c16="http://schemas.microsoft.com/office/drawing/2014/chart" uri="{C3380CC4-5D6E-409C-BE32-E72D297353CC}">
              <c16:uniqueId val="{00000000-D007-4328-B548-4F73CC4AE0DC}"/>
            </c:ext>
          </c:extLst>
        </c:ser>
        <c:ser>
          <c:idx val="1"/>
          <c:order val="1"/>
          <c:tx>
            <c:v>2000</c:v>
          </c:tx>
          <c:spPr>
            <a:ln w="47625">
              <a:noFill/>
            </a:ln>
          </c:spPr>
          <c:xVal>
            <c:numRef>
              <c:f>'quicklook plots'!$V$2:$V$22</c:f>
              <c:numCache>
                <c:formatCode>General</c:formatCode>
                <c:ptCount val="21"/>
                <c:pt idx="0">
                  <c:v>5</c:v>
                </c:pt>
                <c:pt idx="1">
                  <c:v>10</c:v>
                </c:pt>
                <c:pt idx="2">
                  <c:v>10</c:v>
                </c:pt>
                <c:pt idx="3">
                  <c:v>5</c:v>
                </c:pt>
                <c:pt idx="4">
                  <c:v>8</c:v>
                </c:pt>
                <c:pt idx="5">
                  <c:v>2</c:v>
                </c:pt>
                <c:pt idx="6">
                  <c:v>1</c:v>
                </c:pt>
                <c:pt idx="7">
                  <c:v>1</c:v>
                </c:pt>
                <c:pt idx="8">
                  <c:v>1</c:v>
                </c:pt>
                <c:pt idx="9">
                  <c:v>2</c:v>
                </c:pt>
                <c:pt idx="10">
                  <c:v>2</c:v>
                </c:pt>
                <c:pt idx="11">
                  <c:v>6</c:v>
                </c:pt>
                <c:pt idx="12">
                  <c:v>5</c:v>
                </c:pt>
                <c:pt idx="13">
                  <c:v>4</c:v>
                </c:pt>
                <c:pt idx="14">
                  <c:v>3</c:v>
                </c:pt>
                <c:pt idx="15">
                  <c:v>3</c:v>
                </c:pt>
                <c:pt idx="16">
                  <c:v>2</c:v>
                </c:pt>
                <c:pt idx="17">
                  <c:v>4</c:v>
                </c:pt>
                <c:pt idx="18">
                  <c:v>5</c:v>
                </c:pt>
                <c:pt idx="19">
                  <c:v>10</c:v>
                </c:pt>
                <c:pt idx="20">
                  <c:v>10</c:v>
                </c:pt>
              </c:numCache>
            </c:numRef>
          </c:xVal>
          <c:yVal>
            <c:numRef>
              <c:f>'quicklook plots'!$W$2:$W$22</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yVal>
          <c:smooth val="0"/>
          <c:extLst>
            <c:ext xmlns:c16="http://schemas.microsoft.com/office/drawing/2014/chart" uri="{C3380CC4-5D6E-409C-BE32-E72D297353CC}">
              <c16:uniqueId val="{00000001-D007-4328-B548-4F73CC4AE0DC}"/>
            </c:ext>
          </c:extLst>
        </c:ser>
        <c:ser>
          <c:idx val="2"/>
          <c:order val="2"/>
          <c:tx>
            <c:v>1000</c:v>
          </c:tx>
          <c:spPr>
            <a:ln w="47625">
              <a:noFill/>
            </a:ln>
          </c:spPr>
          <c:xVal>
            <c:numRef>
              <c:f>'quicklook plots'!$R$2:$R$22</c:f>
              <c:numCache>
                <c:formatCode>General</c:formatCode>
                <c:ptCount val="21"/>
                <c:pt idx="0">
                  <c:v>1</c:v>
                </c:pt>
                <c:pt idx="1">
                  <c:v>2</c:v>
                </c:pt>
                <c:pt idx="2">
                  <c:v>1</c:v>
                </c:pt>
                <c:pt idx="3">
                  <c:v>1</c:v>
                </c:pt>
                <c:pt idx="4">
                  <c:v>1</c:v>
                </c:pt>
                <c:pt idx="5">
                  <c:v>1</c:v>
                </c:pt>
                <c:pt idx="6">
                  <c:v>1</c:v>
                </c:pt>
                <c:pt idx="7">
                  <c:v>1</c:v>
                </c:pt>
                <c:pt idx="8">
                  <c:v>2</c:v>
                </c:pt>
                <c:pt idx="9">
                  <c:v>7</c:v>
                </c:pt>
                <c:pt idx="10">
                  <c:v>15</c:v>
                </c:pt>
                <c:pt idx="11">
                  <c:v>20</c:v>
                </c:pt>
                <c:pt idx="12">
                  <c:v>25</c:v>
                </c:pt>
                <c:pt idx="13">
                  <c:v>15</c:v>
                </c:pt>
                <c:pt idx="14">
                  <c:v>15</c:v>
                </c:pt>
                <c:pt idx="15">
                  <c:v>10</c:v>
                </c:pt>
                <c:pt idx="16">
                  <c:v>10</c:v>
                </c:pt>
                <c:pt idx="17">
                  <c:v>15</c:v>
                </c:pt>
                <c:pt idx="18">
                  <c:v>18</c:v>
                </c:pt>
                <c:pt idx="19">
                  <c:v>10</c:v>
                </c:pt>
                <c:pt idx="20">
                  <c:v>15</c:v>
                </c:pt>
              </c:numCache>
            </c:numRef>
          </c:xVal>
          <c:yVal>
            <c:numRef>
              <c:f>'quicklook plots'!$S$2:$S$22</c:f>
              <c:numCache>
                <c:formatCode>General</c:formatCode>
                <c:ptCount val="21"/>
                <c:pt idx="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yVal>
          <c:smooth val="0"/>
          <c:extLst>
            <c:ext xmlns:c16="http://schemas.microsoft.com/office/drawing/2014/chart" uri="{C3380CC4-5D6E-409C-BE32-E72D297353CC}">
              <c16:uniqueId val="{00000002-D007-4328-B548-4F73CC4AE0DC}"/>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title>
          <c:tx>
            <c:rich>
              <a:bodyPr/>
              <a:lstStyle/>
              <a:p>
                <a:pPr>
                  <a:defRPr/>
                </a:pPr>
                <a:r>
                  <a:rPr lang="en-AU"/>
                  <a:t>Height mm</a:t>
                </a:r>
              </a:p>
            </c:rich>
          </c:tx>
          <c:overlay val="0"/>
        </c:title>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title>
          <c:tx>
            <c:rich>
              <a:bodyPr/>
              <a:lstStyle/>
              <a:p>
                <a:pPr>
                  <a:defRPr/>
                </a:pPr>
                <a:r>
                  <a:rPr lang="en-AU"/>
                  <a:t>mass mg</a:t>
                </a:r>
              </a:p>
            </c:rich>
          </c:tx>
          <c:overlay val="0"/>
        </c:title>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mid-point</a:t>
            </a:r>
            <a:endParaRPr lang="en-US" sz="1400"/>
          </a:p>
        </c:rich>
      </c:tx>
      <c:overlay val="0"/>
    </c:title>
    <c:autoTitleDeleted val="0"/>
    <c:plotArea>
      <c:layout/>
      <c:lineChart>
        <c:grouping val="standard"/>
        <c:varyColors val="0"/>
        <c:ser>
          <c:idx val="2"/>
          <c:order val="0"/>
          <c:tx>
            <c:v>47_1000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main!$E$7:$E$27</c:f>
              <c:numCache>
                <c:formatCode>General</c:formatCode>
                <c:ptCount val="21"/>
                <c:pt idx="0" formatCode="0">
                  <c:v>156.17142857142858</c:v>
                </c:pt>
                <c:pt idx="1">
                  <c:v>245.78571428571428</c:v>
                </c:pt>
                <c:pt idx="2">
                  <c:v>221.41428571428571</c:v>
                </c:pt>
                <c:pt idx="3">
                  <c:v>111.82857142857144</c:v>
                </c:pt>
                <c:pt idx="4">
                  <c:v>39.985714285714288</c:v>
                </c:pt>
                <c:pt idx="5">
                  <c:v>18.157142857142858</c:v>
                </c:pt>
                <c:pt idx="6">
                  <c:v>24.357142857142854</c:v>
                </c:pt>
                <c:pt idx="7">
                  <c:v>31.014285714285712</c:v>
                </c:pt>
                <c:pt idx="8">
                  <c:v>130.57142857142858</c:v>
                </c:pt>
                <c:pt idx="9">
                  <c:v>135.87142857142857</c:v>
                </c:pt>
                <c:pt idx="10">
                  <c:v>333.31428571428569</c:v>
                </c:pt>
                <c:pt idx="11">
                  <c:v>430.51428571428573</c:v>
                </c:pt>
                <c:pt idx="12">
                  <c:v>528.9</c:v>
                </c:pt>
                <c:pt idx="13">
                  <c:v>667.71428571428578</c:v>
                </c:pt>
                <c:pt idx="14">
                  <c:v>417.12857142857149</c:v>
                </c:pt>
                <c:pt idx="15">
                  <c:v>150.07142857142856</c:v>
                </c:pt>
                <c:pt idx="16">
                  <c:v>117.07142857142856</c:v>
                </c:pt>
                <c:pt idx="17">
                  <c:v>269.42857142857144</c:v>
                </c:pt>
                <c:pt idx="18">
                  <c:v>315.14285714285717</c:v>
                </c:pt>
                <c:pt idx="19">
                  <c:v>300.71428571428572</c:v>
                </c:pt>
                <c:pt idx="20">
                  <c:v>392.88571428571436</c:v>
                </c:pt>
              </c:numCache>
            </c:numRef>
          </c:val>
          <c:smooth val="0"/>
          <c:extLst>
            <c:ext xmlns:c16="http://schemas.microsoft.com/office/drawing/2014/chart" uri="{C3380CC4-5D6E-409C-BE32-E72D297353CC}">
              <c16:uniqueId val="{00000002-C547-4D19-82F9-F65DBD5CC3B8}"/>
            </c:ext>
          </c:extLst>
        </c:ser>
        <c:ser>
          <c:idx val="1"/>
          <c:order val="1"/>
          <c:tx>
            <c:v>47_2000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main!$E$31:$E$51</c:f>
              <c:numCache>
                <c:formatCode>General</c:formatCode>
                <c:ptCount val="21"/>
                <c:pt idx="0" formatCode="0">
                  <c:v>478.12857142857138</c:v>
                </c:pt>
                <c:pt idx="1">
                  <c:v>930.21428571428589</c:v>
                </c:pt>
                <c:pt idx="2">
                  <c:v>1151.6285714285714</c:v>
                </c:pt>
                <c:pt idx="3">
                  <c:v>488.38571428571424</c:v>
                </c:pt>
                <c:pt idx="4">
                  <c:v>279.21428571428572</c:v>
                </c:pt>
                <c:pt idx="5">
                  <c:v>272.29999999999995</c:v>
                </c:pt>
                <c:pt idx="6">
                  <c:v>103.95714285714286</c:v>
                </c:pt>
                <c:pt idx="7">
                  <c:v>180.85714285714286</c:v>
                </c:pt>
                <c:pt idx="8">
                  <c:v>341.75714285714287</c:v>
                </c:pt>
                <c:pt idx="9">
                  <c:v>297.91428571428577</c:v>
                </c:pt>
                <c:pt idx="10">
                  <c:v>399.8428571428571</c:v>
                </c:pt>
                <c:pt idx="11">
                  <c:v>716.05714285714294</c:v>
                </c:pt>
                <c:pt idx="12">
                  <c:v>592.9571428571428</c:v>
                </c:pt>
                <c:pt idx="13">
                  <c:v>459.25714285714287</c:v>
                </c:pt>
                <c:pt idx="14">
                  <c:v>426.5</c:v>
                </c:pt>
                <c:pt idx="15">
                  <c:v>392.8142857142858</c:v>
                </c:pt>
                <c:pt idx="16">
                  <c:v>258.54285714285714</c:v>
                </c:pt>
                <c:pt idx="17">
                  <c:v>451.49999999999989</c:v>
                </c:pt>
                <c:pt idx="18">
                  <c:v>492.02857142857147</c:v>
                </c:pt>
                <c:pt idx="19">
                  <c:v>607.7285714285714</c:v>
                </c:pt>
                <c:pt idx="20">
                  <c:v>602.38571428571436</c:v>
                </c:pt>
              </c:numCache>
            </c:numRef>
          </c:val>
          <c:smooth val="0"/>
          <c:extLst>
            <c:ext xmlns:c16="http://schemas.microsoft.com/office/drawing/2014/chart" uri="{C3380CC4-5D6E-409C-BE32-E72D297353CC}">
              <c16:uniqueId val="{00000001-C547-4D19-82F9-F65DBD5CC3B8}"/>
            </c:ext>
          </c:extLst>
        </c:ser>
        <c:ser>
          <c:idx val="0"/>
          <c:order val="2"/>
          <c:tx>
            <c:v>47_3800</c:v>
          </c:tx>
          <c:cat>
            <c:numRef>
              <c:f>main!$V$7:$V$27</c:f>
              <c:numCache>
                <c:formatCode>m/d/yyyy</c:formatCode>
                <c:ptCount val="21"/>
                <c:pt idx="0">
                  <c:v>43181.5</c:v>
                </c:pt>
                <c:pt idx="1">
                  <c:v>43198.5</c:v>
                </c:pt>
                <c:pt idx="2">
                  <c:v>43215.5</c:v>
                </c:pt>
                <c:pt idx="3">
                  <c:v>43232.5</c:v>
                </c:pt>
                <c:pt idx="4">
                  <c:v>43249.5</c:v>
                </c:pt>
                <c:pt idx="5">
                  <c:v>43266.5</c:v>
                </c:pt>
                <c:pt idx="6">
                  <c:v>43283.5</c:v>
                </c:pt>
                <c:pt idx="7">
                  <c:v>43300.5</c:v>
                </c:pt>
                <c:pt idx="8">
                  <c:v>43317.5</c:v>
                </c:pt>
                <c:pt idx="9">
                  <c:v>43334.5</c:v>
                </c:pt>
                <c:pt idx="10">
                  <c:v>43351.5</c:v>
                </c:pt>
                <c:pt idx="11">
                  <c:v>43368.5</c:v>
                </c:pt>
                <c:pt idx="12">
                  <c:v>43385.5</c:v>
                </c:pt>
                <c:pt idx="13">
                  <c:v>43402.5</c:v>
                </c:pt>
                <c:pt idx="14">
                  <c:v>43419.5</c:v>
                </c:pt>
                <c:pt idx="15">
                  <c:v>43436.5</c:v>
                </c:pt>
                <c:pt idx="16">
                  <c:v>43453.5</c:v>
                </c:pt>
                <c:pt idx="17">
                  <c:v>43470.5</c:v>
                </c:pt>
                <c:pt idx="18">
                  <c:v>43487.5</c:v>
                </c:pt>
                <c:pt idx="19">
                  <c:v>43504.5</c:v>
                </c:pt>
                <c:pt idx="20">
                  <c:v>43521.5</c:v>
                </c:pt>
              </c:numCache>
            </c:numRef>
          </c:cat>
          <c:val>
            <c:numRef>
              <c:f>main!$E$55:$E$75</c:f>
              <c:numCache>
                <c:formatCode>0</c:formatCode>
                <c:ptCount val="21"/>
                <c:pt idx="0">
                  <c:v>429.47142857142859</c:v>
                </c:pt>
                <c:pt idx="1">
                  <c:v>529.78571428571433</c:v>
                </c:pt>
                <c:pt idx="2" formatCode="General">
                  <c:v>805.89999999999964</c:v>
                </c:pt>
                <c:pt idx="3" formatCode="General">
                  <c:v>574.41428571428571</c:v>
                </c:pt>
                <c:pt idx="4" formatCode="General">
                  <c:v>363.95714285714286</c:v>
                </c:pt>
                <c:pt idx="5" formatCode="General">
                  <c:v>260.57142857142856</c:v>
                </c:pt>
                <c:pt idx="6" formatCode="General">
                  <c:v>308.97142857142859</c:v>
                </c:pt>
                <c:pt idx="7" formatCode="General">
                  <c:v>245.39999999999998</c:v>
                </c:pt>
                <c:pt idx="8" formatCode="General">
                  <c:v>262.42857142857139</c:v>
                </c:pt>
                <c:pt idx="9" formatCode="General">
                  <c:v>214.08571428571429</c:v>
                </c:pt>
                <c:pt idx="10" formatCode="General">
                  <c:v>266.89999999999998</c:v>
                </c:pt>
                <c:pt idx="11" formatCode="General">
                  <c:v>436.71428571428572</c:v>
                </c:pt>
                <c:pt idx="12" formatCode="General">
                  <c:v>509.91428571428571</c:v>
                </c:pt>
                <c:pt idx="13" formatCode="General">
                  <c:v>355.54285714285709</c:v>
                </c:pt>
                <c:pt idx="14" formatCode="General">
                  <c:v>640.47142857142853</c:v>
                </c:pt>
                <c:pt idx="15" formatCode="General">
                  <c:v>345.07142857142856</c:v>
                </c:pt>
                <c:pt idx="16" formatCode="General">
                  <c:v>385.62857142857138</c:v>
                </c:pt>
                <c:pt idx="17" formatCode="General">
                  <c:v>420.85714285714289</c:v>
                </c:pt>
                <c:pt idx="18" formatCode="General">
                  <c:v>512.69999999999993</c:v>
                </c:pt>
                <c:pt idx="19" formatCode="General">
                  <c:v>829.62857142857149</c:v>
                </c:pt>
                <c:pt idx="20" formatCode="General">
                  <c:v>760.5</c:v>
                </c:pt>
              </c:numCache>
            </c:numRef>
          </c:val>
          <c:smooth val="0"/>
          <c:extLst>
            <c:ext xmlns:c16="http://schemas.microsoft.com/office/drawing/2014/chart" uri="{C3380CC4-5D6E-409C-BE32-E72D297353CC}">
              <c16:uniqueId val="{00000000-C547-4D19-82F9-F65DBD5CC3B8}"/>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title>
          <c:tx>
            <c:rich>
              <a:bodyPr/>
              <a:lstStyle/>
              <a:p>
                <a:pPr>
                  <a:defRPr/>
                </a:pPr>
                <a:r>
                  <a:rPr lang="en-AU" sz="1800" b="1" i="0" baseline="0">
                    <a:effectLst/>
                  </a:rPr>
                  <a:t>Time, cup open midpoint</a:t>
                </a:r>
                <a:endParaRPr lang="en-AU">
                  <a:effectLst/>
                </a:endParaRPr>
              </a:p>
            </c:rich>
          </c:tx>
          <c:overlay val="0"/>
        </c:title>
        <c:numFmt formatCode="[$-C09]d\ mmmm\ yyyy;@" sourceLinked="0"/>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title>
          <c:tx>
            <c:rich>
              <a:bodyPr/>
              <a:lstStyle/>
              <a:p>
                <a:pPr>
                  <a:defRPr/>
                </a:pPr>
                <a:r>
                  <a:rPr lang="en-AU" sz="1800" b="1" i="0" baseline="0">
                    <a:effectLst/>
                  </a:rPr>
                  <a:t>Mass flux &lt;1mm, g m</a:t>
                </a:r>
                <a:r>
                  <a:rPr lang="en-AU" sz="1800" b="1" i="0" baseline="30000">
                    <a:effectLst/>
                  </a:rPr>
                  <a:t>-2</a:t>
                </a:r>
                <a:r>
                  <a:rPr lang="en-AU" sz="1800" b="1" i="0" baseline="0">
                    <a:effectLst/>
                  </a:rPr>
                  <a:t> yr</a:t>
                </a:r>
                <a:r>
                  <a:rPr lang="en-AU" sz="1800" b="1" i="0" baseline="30000">
                    <a:effectLst/>
                  </a:rPr>
                  <a:t>-1</a:t>
                </a:r>
                <a:endParaRPr lang="en-AU">
                  <a:effectLst/>
                </a:endParaRPr>
              </a:p>
            </c:rich>
          </c:tx>
          <c:overlay val="0"/>
        </c:title>
        <c:numFmt formatCode="0"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27</xdr:col>
      <xdr:colOff>452436</xdr:colOff>
      <xdr:row>246</xdr:row>
      <xdr:rowOff>19050</xdr:rowOff>
    </xdr:from>
    <xdr:to>
      <xdr:col>42</xdr:col>
      <xdr:colOff>625474</xdr:colOff>
      <xdr:row>268</xdr:row>
      <xdr:rowOff>133350</xdr:rowOff>
    </xdr:to>
    <xdr:graphicFrame macro="">
      <xdr:nvGraphicFramePr>
        <xdr:cNvPr id="4" name="Chart 3">
          <a:extLst>
            <a:ext uri="{FF2B5EF4-FFF2-40B4-BE49-F238E27FC236}">
              <a16:creationId xmlns:a16="http://schemas.microsoft.com/office/drawing/2014/main" id="{D0A28784-562F-418B-99C0-7B22EDF97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501759</xdr:colOff>
      <xdr:row>397</xdr:row>
      <xdr:rowOff>68317</xdr:rowOff>
    </xdr:from>
    <xdr:to>
      <xdr:col>7</xdr:col>
      <xdr:colOff>527159</xdr:colOff>
      <xdr:row>412</xdr:row>
      <xdr:rowOff>135212</xdr:rowOff>
    </xdr:to>
    <xdr:graphicFrame macro="">
      <xdr:nvGraphicFramePr>
        <xdr:cNvPr id="2" name="Chart 1">
          <a:extLst>
            <a:ext uri="{FF2B5EF4-FFF2-40B4-BE49-F238E27FC236}">
              <a16:creationId xmlns:a16="http://schemas.microsoft.com/office/drawing/2014/main" id="{4A396CAB-8539-4A1B-8A30-2288F1E5B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466616</xdr:colOff>
      <xdr:row>400</xdr:row>
      <xdr:rowOff>14451</xdr:rowOff>
    </xdr:from>
    <xdr:to>
      <xdr:col>16</xdr:col>
      <xdr:colOff>401693</xdr:colOff>
      <xdr:row>415</xdr:row>
      <xdr:rowOff>90651</xdr:rowOff>
    </xdr:to>
    <xdr:graphicFrame macro="">
      <xdr:nvGraphicFramePr>
        <xdr:cNvPr id="5" name="Chart 4">
          <a:extLst>
            <a:ext uri="{FF2B5EF4-FFF2-40B4-BE49-F238E27FC236}">
              <a16:creationId xmlns:a16="http://schemas.microsoft.com/office/drawing/2014/main" id="{F3C45C7B-7686-4DD7-B53E-0DD938A91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0</xdr:colOff>
      <xdr:row>8</xdr:row>
      <xdr:rowOff>0</xdr:rowOff>
    </xdr:from>
    <xdr:to>
      <xdr:col>52</xdr:col>
      <xdr:colOff>596900</xdr:colOff>
      <xdr:row>28</xdr:row>
      <xdr:rowOff>82550</xdr:rowOff>
    </xdr:to>
    <xdr:graphicFrame macro="">
      <xdr:nvGraphicFramePr>
        <xdr:cNvPr id="6" name="Chart 5">
          <a:extLst>
            <a:ext uri="{FF2B5EF4-FFF2-40B4-BE49-F238E27FC236}">
              <a16:creationId xmlns:a16="http://schemas.microsoft.com/office/drawing/2014/main" id="{9783342B-82FE-4799-85F1-0C8CF544B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242887</xdr:colOff>
      <xdr:row>3</xdr:row>
      <xdr:rowOff>57150</xdr:rowOff>
    </xdr:from>
    <xdr:to>
      <xdr:col>30</xdr:col>
      <xdr:colOff>371475</xdr:colOff>
      <xdr:row>21</xdr:row>
      <xdr:rowOff>66675</xdr:rowOff>
    </xdr:to>
    <xdr:graphicFrame macro="">
      <xdr:nvGraphicFramePr>
        <xdr:cNvPr id="2" name="Chart 1">
          <a:extLst>
            <a:ext uri="{FF2B5EF4-FFF2-40B4-BE49-F238E27FC236}">
              <a16:creationId xmlns:a16="http://schemas.microsoft.com/office/drawing/2014/main" id="{3B8F5255-FD76-4632-85BF-752CE780F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123826</xdr:colOff>
      <xdr:row>38</xdr:row>
      <xdr:rowOff>65222</xdr:rowOff>
    </xdr:from>
    <xdr:to>
      <xdr:col>30</xdr:col>
      <xdr:colOff>252414</xdr:colOff>
      <xdr:row>56</xdr:row>
      <xdr:rowOff>74747</xdr:rowOff>
    </xdr:to>
    <xdr:graphicFrame macro="">
      <xdr:nvGraphicFramePr>
        <xdr:cNvPr id="4" name="Chart 3">
          <a:extLst>
            <a:ext uri="{FF2B5EF4-FFF2-40B4-BE49-F238E27FC236}">
              <a16:creationId xmlns:a16="http://schemas.microsoft.com/office/drawing/2014/main" id="{960CC956-4F33-4A39-9279-A594FD40F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400050</xdr:colOff>
      <xdr:row>5</xdr:row>
      <xdr:rowOff>57150</xdr:rowOff>
    </xdr:from>
    <xdr:to>
      <xdr:col>26</xdr:col>
      <xdr:colOff>314325</xdr:colOff>
      <xdr:row>25</xdr:row>
      <xdr:rowOff>142875</xdr:rowOff>
    </xdr:to>
    <xdr:graphicFrame macro="">
      <xdr:nvGraphicFramePr>
        <xdr:cNvPr id="2" name="Chart 1">
          <a:extLst>
            <a:ext uri="{FF2B5EF4-FFF2-40B4-BE49-F238E27FC236}">
              <a16:creationId xmlns:a16="http://schemas.microsoft.com/office/drawing/2014/main" id="{91B4EAC2-9100-4082-85FF-EEBCAE0D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0</xdr:rowOff>
    </xdr:from>
    <xdr:to>
      <xdr:col>15</xdr:col>
      <xdr:colOff>425450</xdr:colOff>
      <xdr:row>13</xdr:row>
      <xdr:rowOff>177800</xdr:rowOff>
    </xdr:to>
    <xdr:graphicFrame macro="">
      <xdr:nvGraphicFramePr>
        <xdr:cNvPr id="2" name="Chart 1">
          <a:extLst>
            <a:ext uri="{FF2B5EF4-FFF2-40B4-BE49-F238E27FC236}">
              <a16:creationId xmlns:a16="http://schemas.microsoft.com/office/drawing/2014/main" id="{C916797C-306A-4BC5-8F36-D3BAE34A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85725</xdr:rowOff>
    </xdr:from>
    <xdr:to>
      <xdr:col>15</xdr:col>
      <xdr:colOff>368300</xdr:colOff>
      <xdr:row>27</xdr:row>
      <xdr:rowOff>111125</xdr:rowOff>
    </xdr:to>
    <xdr:graphicFrame macro="">
      <xdr:nvGraphicFramePr>
        <xdr:cNvPr id="3" name="Chart 2">
          <a:extLst>
            <a:ext uri="{FF2B5EF4-FFF2-40B4-BE49-F238E27FC236}">
              <a16:creationId xmlns:a16="http://schemas.microsoft.com/office/drawing/2014/main" id="{2FB98C8A-B52D-41C3-8697-C92C08D5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28</xdr:row>
      <xdr:rowOff>85725</xdr:rowOff>
    </xdr:from>
    <xdr:to>
      <xdr:col>15</xdr:col>
      <xdr:colOff>406400</xdr:colOff>
      <xdr:row>41</xdr:row>
      <xdr:rowOff>111125</xdr:rowOff>
    </xdr:to>
    <xdr:graphicFrame macro="">
      <xdr:nvGraphicFramePr>
        <xdr:cNvPr id="4" name="Chart 3">
          <a:extLst>
            <a:ext uri="{FF2B5EF4-FFF2-40B4-BE49-F238E27FC236}">
              <a16:creationId xmlns:a16="http://schemas.microsoft.com/office/drawing/2014/main" id="{5504557E-5134-4AC3-943A-12FB756F6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195384</xdr:rowOff>
    </xdr:from>
    <xdr:to>
      <xdr:col>15</xdr:col>
      <xdr:colOff>566616</xdr:colOff>
      <xdr:row>55</xdr:row>
      <xdr:rowOff>111125</xdr:rowOff>
    </xdr:to>
    <xdr:graphicFrame macro="">
      <xdr:nvGraphicFramePr>
        <xdr:cNvPr id="5" name="Chart 4">
          <a:extLst>
            <a:ext uri="{FF2B5EF4-FFF2-40B4-BE49-F238E27FC236}">
              <a16:creationId xmlns:a16="http://schemas.microsoft.com/office/drawing/2014/main" id="{4DF01300-8A41-4720-A70A-3D14D73A9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48846</xdr:colOff>
      <xdr:row>56</xdr:row>
      <xdr:rowOff>79131</xdr:rowOff>
    </xdr:from>
    <xdr:to>
      <xdr:col>15</xdr:col>
      <xdr:colOff>420321</xdr:colOff>
      <xdr:row>69</xdr:row>
      <xdr:rowOff>101356</xdr:rowOff>
    </xdr:to>
    <xdr:graphicFrame macro="">
      <xdr:nvGraphicFramePr>
        <xdr:cNvPr id="6" name="Chart 5">
          <a:extLst>
            <a:ext uri="{FF2B5EF4-FFF2-40B4-BE49-F238E27FC236}">
              <a16:creationId xmlns:a16="http://schemas.microsoft.com/office/drawing/2014/main" id="{A5588AE3-4E88-4176-898C-37A26FD84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69</xdr:row>
      <xdr:rowOff>161925</xdr:rowOff>
    </xdr:from>
    <xdr:to>
      <xdr:col>15</xdr:col>
      <xdr:colOff>368300</xdr:colOff>
      <xdr:row>82</xdr:row>
      <xdr:rowOff>187325</xdr:rowOff>
    </xdr:to>
    <xdr:graphicFrame macro="">
      <xdr:nvGraphicFramePr>
        <xdr:cNvPr id="7" name="Chart 6">
          <a:extLst>
            <a:ext uri="{FF2B5EF4-FFF2-40B4-BE49-F238E27FC236}">
              <a16:creationId xmlns:a16="http://schemas.microsoft.com/office/drawing/2014/main" id="{62764E7E-CDEF-439F-A10A-2152D5AB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83</xdr:row>
      <xdr:rowOff>95251</xdr:rowOff>
    </xdr:from>
    <xdr:to>
      <xdr:col>9</xdr:col>
      <xdr:colOff>57150</xdr:colOff>
      <xdr:row>98</xdr:row>
      <xdr:rowOff>149226</xdr:rowOff>
    </xdr:to>
    <xdr:graphicFrame macro="">
      <xdr:nvGraphicFramePr>
        <xdr:cNvPr id="8" name="Chart 7">
          <a:extLst>
            <a:ext uri="{FF2B5EF4-FFF2-40B4-BE49-F238E27FC236}">
              <a16:creationId xmlns:a16="http://schemas.microsoft.com/office/drawing/2014/main" id="{7B37777B-5A7C-4960-A47D-29D2B1B2B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466724</xdr:colOff>
      <xdr:row>83</xdr:row>
      <xdr:rowOff>38100</xdr:rowOff>
    </xdr:from>
    <xdr:to>
      <xdr:col>18</xdr:col>
      <xdr:colOff>209549</xdr:colOff>
      <xdr:row>98</xdr:row>
      <xdr:rowOff>57150</xdr:rowOff>
    </xdr:to>
    <xdr:graphicFrame macro="">
      <xdr:nvGraphicFramePr>
        <xdr:cNvPr id="9" name="Chart 8">
          <a:extLst>
            <a:ext uri="{FF2B5EF4-FFF2-40B4-BE49-F238E27FC236}">
              <a16:creationId xmlns:a16="http://schemas.microsoft.com/office/drawing/2014/main" id="{49FAC1A7-7A21-4589-AB8E-C60CFDF5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473075</xdr:colOff>
      <xdr:row>98</xdr:row>
      <xdr:rowOff>133349</xdr:rowOff>
    </xdr:from>
    <xdr:to>
      <xdr:col>18</xdr:col>
      <xdr:colOff>161925</xdr:colOff>
      <xdr:row>114</xdr:row>
      <xdr:rowOff>66674</xdr:rowOff>
    </xdr:to>
    <xdr:graphicFrame macro="">
      <xdr:nvGraphicFramePr>
        <xdr:cNvPr id="10" name="Chart 9">
          <a:extLst>
            <a:ext uri="{FF2B5EF4-FFF2-40B4-BE49-F238E27FC236}">
              <a16:creationId xmlns:a16="http://schemas.microsoft.com/office/drawing/2014/main" id="{2C39027B-2157-45AF-AC3E-942222E2A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xdr:colOff>
      <xdr:row>98</xdr:row>
      <xdr:rowOff>136769</xdr:rowOff>
    </xdr:from>
    <xdr:to>
      <xdr:col>8</xdr:col>
      <xdr:colOff>676275</xdr:colOff>
      <xdr:row>114</xdr:row>
      <xdr:rowOff>47625</xdr:rowOff>
    </xdr:to>
    <xdr:graphicFrame macro="">
      <xdr:nvGraphicFramePr>
        <xdr:cNvPr id="11" name="Chart 10">
          <a:extLst>
            <a:ext uri="{FF2B5EF4-FFF2-40B4-BE49-F238E27FC236}">
              <a16:creationId xmlns:a16="http://schemas.microsoft.com/office/drawing/2014/main" id="{5FD31EAA-B409-42FB-9E94-462161DB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130</xdr:row>
      <xdr:rowOff>142875</xdr:rowOff>
    </xdr:from>
    <xdr:to>
      <xdr:col>6</xdr:col>
      <xdr:colOff>549275</xdr:colOff>
      <xdr:row>145</xdr:row>
      <xdr:rowOff>19050</xdr:rowOff>
    </xdr:to>
    <xdr:graphicFrame macro="">
      <xdr:nvGraphicFramePr>
        <xdr:cNvPr id="12" name="Chart 11">
          <a:extLst>
            <a:ext uri="{FF2B5EF4-FFF2-40B4-BE49-F238E27FC236}">
              <a16:creationId xmlns:a16="http://schemas.microsoft.com/office/drawing/2014/main" id="{3A7F5C07-AA98-4A01-A08C-34A45FBE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114</xdr:row>
      <xdr:rowOff>114300</xdr:rowOff>
    </xdr:from>
    <xdr:to>
      <xdr:col>6</xdr:col>
      <xdr:colOff>587375</xdr:colOff>
      <xdr:row>128</xdr:row>
      <xdr:rowOff>190500</xdr:rowOff>
    </xdr:to>
    <xdr:graphicFrame macro="">
      <xdr:nvGraphicFramePr>
        <xdr:cNvPr id="13" name="Chart 12">
          <a:extLst>
            <a:ext uri="{FF2B5EF4-FFF2-40B4-BE49-F238E27FC236}">
              <a16:creationId xmlns:a16="http://schemas.microsoft.com/office/drawing/2014/main" id="{709DC01A-31DA-4AAF-AA2F-A3060F31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85725</xdr:colOff>
      <xdr:row>145</xdr:row>
      <xdr:rowOff>196850</xdr:rowOff>
    </xdr:from>
    <xdr:to>
      <xdr:col>6</xdr:col>
      <xdr:colOff>606425</xdr:colOff>
      <xdr:row>160</xdr:row>
      <xdr:rowOff>73025</xdr:rowOff>
    </xdr:to>
    <xdr:graphicFrame macro="">
      <xdr:nvGraphicFramePr>
        <xdr:cNvPr id="14" name="Chart 13">
          <a:extLst>
            <a:ext uri="{FF2B5EF4-FFF2-40B4-BE49-F238E27FC236}">
              <a16:creationId xmlns:a16="http://schemas.microsoft.com/office/drawing/2014/main" id="{9316A9CA-3E17-4E27-8B49-11B54988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19050</xdr:rowOff>
    </xdr:from>
    <xdr:to>
      <xdr:col>9</xdr:col>
      <xdr:colOff>368300</xdr:colOff>
      <xdr:row>182</xdr:row>
      <xdr:rowOff>184150</xdr:rowOff>
    </xdr:to>
    <xdr:graphicFrame macro="">
      <xdr:nvGraphicFramePr>
        <xdr:cNvPr id="15" name="Chart 14">
          <a:extLst>
            <a:ext uri="{FF2B5EF4-FFF2-40B4-BE49-F238E27FC236}">
              <a16:creationId xmlns:a16="http://schemas.microsoft.com/office/drawing/2014/main" id="{9EBF3C75-C16B-44E7-9986-FE1E27EA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247650</xdr:colOff>
      <xdr:row>167</xdr:row>
      <xdr:rowOff>0</xdr:rowOff>
    </xdr:from>
    <xdr:to>
      <xdr:col>28</xdr:col>
      <xdr:colOff>615950</xdr:colOff>
      <xdr:row>182</xdr:row>
      <xdr:rowOff>165100</xdr:rowOff>
    </xdr:to>
    <xdr:graphicFrame macro="">
      <xdr:nvGraphicFramePr>
        <xdr:cNvPr id="16" name="Chart 15">
          <a:extLst>
            <a:ext uri="{FF2B5EF4-FFF2-40B4-BE49-F238E27FC236}">
              <a16:creationId xmlns:a16="http://schemas.microsoft.com/office/drawing/2014/main" id="{2950AA23-7B86-46D5-8C4B-84168004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457200</xdr:colOff>
      <xdr:row>167</xdr:row>
      <xdr:rowOff>28575</xdr:rowOff>
    </xdr:from>
    <xdr:to>
      <xdr:col>19</xdr:col>
      <xdr:colOff>139700</xdr:colOff>
      <xdr:row>182</xdr:row>
      <xdr:rowOff>193675</xdr:rowOff>
    </xdr:to>
    <xdr:graphicFrame macro="">
      <xdr:nvGraphicFramePr>
        <xdr:cNvPr id="17" name="Chart 16">
          <a:extLst>
            <a:ext uri="{FF2B5EF4-FFF2-40B4-BE49-F238E27FC236}">
              <a16:creationId xmlns:a16="http://schemas.microsoft.com/office/drawing/2014/main" id="{2CAD8045-C4D4-4B9C-8F5E-F2D6D249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123825</xdr:colOff>
      <xdr:row>114</xdr:row>
      <xdr:rowOff>142875</xdr:rowOff>
    </xdr:from>
    <xdr:to>
      <xdr:col>13</xdr:col>
      <xdr:colOff>644525</xdr:colOff>
      <xdr:row>129</xdr:row>
      <xdr:rowOff>19050</xdr:rowOff>
    </xdr:to>
    <xdr:graphicFrame macro="">
      <xdr:nvGraphicFramePr>
        <xdr:cNvPr id="18" name="Chart 17">
          <a:extLst>
            <a:ext uri="{FF2B5EF4-FFF2-40B4-BE49-F238E27FC236}">
              <a16:creationId xmlns:a16="http://schemas.microsoft.com/office/drawing/2014/main" id="{557B3DBA-A943-4C43-BCDD-790A62F3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95250</xdr:colOff>
      <xdr:row>114</xdr:row>
      <xdr:rowOff>171450</xdr:rowOff>
    </xdr:from>
    <xdr:to>
      <xdr:col>20</xdr:col>
      <xdr:colOff>615950</xdr:colOff>
      <xdr:row>129</xdr:row>
      <xdr:rowOff>47625</xdr:rowOff>
    </xdr:to>
    <xdr:graphicFrame macro="">
      <xdr:nvGraphicFramePr>
        <xdr:cNvPr id="19" name="Chart 18">
          <a:extLst>
            <a:ext uri="{FF2B5EF4-FFF2-40B4-BE49-F238E27FC236}">
              <a16:creationId xmlns:a16="http://schemas.microsoft.com/office/drawing/2014/main" id="{A3878481-F241-4CE4-81D9-A0276C2A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228600</xdr:colOff>
      <xdr:row>130</xdr:row>
      <xdr:rowOff>85725</xdr:rowOff>
    </xdr:from>
    <xdr:to>
      <xdr:col>14</xdr:col>
      <xdr:colOff>63500</xdr:colOff>
      <xdr:row>144</xdr:row>
      <xdr:rowOff>161925</xdr:rowOff>
    </xdr:to>
    <xdr:graphicFrame macro="">
      <xdr:nvGraphicFramePr>
        <xdr:cNvPr id="20" name="Chart 19">
          <a:extLst>
            <a:ext uri="{FF2B5EF4-FFF2-40B4-BE49-F238E27FC236}">
              <a16:creationId xmlns:a16="http://schemas.microsoft.com/office/drawing/2014/main" id="{61326CE5-7A74-4EDF-B74C-4830C2DE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457200</xdr:colOff>
      <xdr:row>130</xdr:row>
      <xdr:rowOff>85725</xdr:rowOff>
    </xdr:from>
    <xdr:to>
      <xdr:col>21</xdr:col>
      <xdr:colOff>292100</xdr:colOff>
      <xdr:row>144</xdr:row>
      <xdr:rowOff>161925</xdr:rowOff>
    </xdr:to>
    <xdr:graphicFrame macro="">
      <xdr:nvGraphicFramePr>
        <xdr:cNvPr id="21" name="Chart 20">
          <a:extLst>
            <a:ext uri="{FF2B5EF4-FFF2-40B4-BE49-F238E27FC236}">
              <a16:creationId xmlns:a16="http://schemas.microsoft.com/office/drawing/2014/main" id="{A9777F4C-4509-4D90-BBFC-2B416352A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409575</xdr:colOff>
      <xdr:row>145</xdr:row>
      <xdr:rowOff>152400</xdr:rowOff>
    </xdr:from>
    <xdr:to>
      <xdr:col>14</xdr:col>
      <xdr:colOff>244475</xdr:colOff>
      <xdr:row>160</xdr:row>
      <xdr:rowOff>28575</xdr:rowOff>
    </xdr:to>
    <xdr:graphicFrame macro="">
      <xdr:nvGraphicFramePr>
        <xdr:cNvPr id="22" name="Chart 21">
          <a:extLst>
            <a:ext uri="{FF2B5EF4-FFF2-40B4-BE49-F238E27FC236}">
              <a16:creationId xmlns:a16="http://schemas.microsoft.com/office/drawing/2014/main" id="{8131FBC1-A7E5-441F-85FE-4626141E8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495300</xdr:colOff>
      <xdr:row>146</xdr:row>
      <xdr:rowOff>9525</xdr:rowOff>
    </xdr:from>
    <xdr:to>
      <xdr:col>21</xdr:col>
      <xdr:colOff>330200</xdr:colOff>
      <xdr:row>160</xdr:row>
      <xdr:rowOff>85725</xdr:rowOff>
    </xdr:to>
    <xdr:graphicFrame macro="">
      <xdr:nvGraphicFramePr>
        <xdr:cNvPr id="23" name="Chart 22">
          <a:extLst>
            <a:ext uri="{FF2B5EF4-FFF2-40B4-BE49-F238E27FC236}">
              <a16:creationId xmlns:a16="http://schemas.microsoft.com/office/drawing/2014/main" id="{21225C25-185C-4FA6-8019-9236D9DA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31750</xdr:colOff>
      <xdr:row>183</xdr:row>
      <xdr:rowOff>76200</xdr:rowOff>
    </xdr:from>
    <xdr:to>
      <xdr:col>9</xdr:col>
      <xdr:colOff>311150</xdr:colOff>
      <xdr:row>197</xdr:row>
      <xdr:rowOff>66675</xdr:rowOff>
    </xdr:to>
    <xdr:graphicFrame macro="">
      <xdr:nvGraphicFramePr>
        <xdr:cNvPr id="24" name="Chart 23">
          <a:extLst>
            <a:ext uri="{FF2B5EF4-FFF2-40B4-BE49-F238E27FC236}">
              <a16:creationId xmlns:a16="http://schemas.microsoft.com/office/drawing/2014/main" id="{28F5DFE2-D4C5-4764-9AD1-A2A10F68F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0</xdr:colOff>
      <xdr:row>26</xdr:row>
      <xdr:rowOff>0</xdr:rowOff>
    </xdr:from>
    <xdr:to>
      <xdr:col>29</xdr:col>
      <xdr:colOff>600075</xdr:colOff>
      <xdr:row>46</xdr:row>
      <xdr:rowOff>85725</xdr:rowOff>
    </xdr:to>
    <xdr:graphicFrame macro="">
      <xdr:nvGraphicFramePr>
        <xdr:cNvPr id="25" name="Chart 24">
          <a:extLst>
            <a:ext uri="{FF2B5EF4-FFF2-40B4-BE49-F238E27FC236}">
              <a16:creationId xmlns:a16="http://schemas.microsoft.com/office/drawing/2014/main" id="{63A04BA2-31BF-40A1-B833-B3EF0532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0</xdr:colOff>
      <xdr:row>48</xdr:row>
      <xdr:rowOff>0</xdr:rowOff>
    </xdr:from>
    <xdr:to>
      <xdr:col>29</xdr:col>
      <xdr:colOff>596900</xdr:colOff>
      <xdr:row>68</xdr:row>
      <xdr:rowOff>82550</xdr:rowOff>
    </xdr:to>
    <xdr:graphicFrame macro="">
      <xdr:nvGraphicFramePr>
        <xdr:cNvPr id="26" name="Chart 25">
          <a:extLst>
            <a:ext uri="{FF2B5EF4-FFF2-40B4-BE49-F238E27FC236}">
              <a16:creationId xmlns:a16="http://schemas.microsoft.com/office/drawing/2014/main" id="{C8043820-C976-4AEA-BCAA-FA1E953D9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thryn Wynn-Edwards" id="{CDD4072A-B242-4F31-BB2E-A1E5346926CF}"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5" dT="2019-08-01T05:41:03.12" personId="{CDD4072A-B242-4F31-BB2E-A1E5346926CF}" id="{06C554CB-6844-41CB-8B8F-EA392C9C16CD}">
    <text>average of duplicates</text>
  </threadedComment>
  <threadedComment ref="AG20" dT="2019-08-01T05:41:24.67" personId="{CDD4072A-B242-4F31-BB2E-A1E5346926CF}" id="{E13891ED-9CA6-49CC-95DF-06129074FFF2}">
    <text>average of duplicates</text>
  </threadedComment>
  <threadedComment ref="AG22" dT="2019-08-01T05:41:36.89" personId="{CDD4072A-B242-4F31-BB2E-A1E5346926CF}" id="{950900D8-223A-4653-B5E0-87C435BF08C0}">
    <text>average of duplicates</text>
  </threadedComment>
  <threadedComment ref="AG23" dT="2019-08-01T05:41:49.29" personId="{CDD4072A-B242-4F31-BB2E-A1E5346926CF}" id="{921D5907-6C83-4DB2-ADE4-A5A88E1ED766}">
    <text>average of duplicates</text>
  </threadedComment>
  <threadedComment ref="AG24" dT="2019-08-01T05:42:06.22" personId="{CDD4072A-B242-4F31-BB2E-A1E5346926CF}" id="{7CC84978-3B29-4A94-885D-63CEB970FE2F}">
    <text>average of duplicates</text>
  </threadedComment>
  <threadedComment ref="AG25" dT="2019-08-01T05:42:10.35" personId="{CDD4072A-B242-4F31-BB2E-A1E5346926CF}" id="{348EF22F-D9CF-498D-88F4-82062EC39C6E}">
    <text>average of duplicates</text>
  </threadedComment>
  <threadedComment ref="AG26" dT="2019-08-01T05:42:13.46" personId="{CDD4072A-B242-4F31-BB2E-A1E5346926CF}" id="{D289F2C7-665D-4EC3-A599-1AF979B57A05}">
    <text>average of duplicates</text>
  </threadedComment>
  <threadedComment ref="AG27" dT="2019-08-01T05:42:24.30" personId="{CDD4072A-B242-4F31-BB2E-A1E5346926CF}" id="{DBEACDC7-B93D-4701-B5C7-D17A60EC968D}">
    <text>average of 4 replicates</text>
  </threadedComment>
  <threadedComment ref="AG33" dT="2019-08-01T05:42:45.70" personId="{CDD4072A-B242-4F31-BB2E-A1E5346926CF}" id="{DAF0A84C-0991-421D-9566-D40A9A0EFD7B}">
    <text>average of duplicates</text>
  </threadedComment>
  <threadedComment ref="AG47" dT="2019-08-01T05:43:14.52" personId="{CDD4072A-B242-4F31-BB2E-A1E5346926CF}" id="{E89FDE8A-F867-4CBD-9C4D-E3C5B4C11FA9}">
    <text>average of duplicates</text>
  </threadedComment>
  <threadedComment ref="AG62" dT="2019-08-01T05:44:16.76" personId="{CDD4072A-B242-4F31-BB2E-A1E5346926CF}" id="{5B8E135C-7A5F-4447-9A5F-732EB85A2396}">
    <text>average of triplicates</text>
  </threadedComment>
  <threadedComment ref="AG65" dT="2019-08-01T05:44:33.86" personId="{CDD4072A-B242-4F31-BB2E-A1E5346926CF}" id="{84B6D5F2-CEB5-47D4-93E2-5B0606CF2AF7}">
    <text>average of duplicates</text>
  </threadedComment>
  <threadedComment ref="AG66" dT="2019-08-01T05:44:43.04" personId="{CDD4072A-B242-4F31-BB2E-A1E5346926CF}" id="{790BE347-AEE5-46C3-9E29-97A2A5FFF1CA}">
    <text>average of duplicates</text>
  </threadedComment>
  <threadedComment ref="AG67" dT="2019-08-01T05:44:45.84" personId="{CDD4072A-B242-4F31-BB2E-A1E5346926CF}" id="{E10738E0-AD25-4A13-B60B-94583F823C3F}">
    <text>average of duplicates</text>
  </threadedComment>
  <threadedComment ref="AG68" dT="2019-08-01T05:44:48.35" personId="{CDD4072A-B242-4F31-BB2E-A1E5346926CF}" id="{9D33F2E2-F470-4A17-B39D-E056701EE363}">
    <text>average of duplicates</text>
  </threadedComment>
  <threadedComment ref="AG69" dT="2019-08-01T05:44:50.82" personId="{CDD4072A-B242-4F31-BB2E-A1E5346926CF}" id="{D9919259-BA8C-41FA-ABA7-89986D4EE4EE}">
    <text>average of duplicates</text>
  </threadedComment>
  <threadedComment ref="AG70" dT="2019-08-01T05:44:54.32" personId="{CDD4072A-B242-4F31-BB2E-A1E5346926CF}" id="{EEECF2DD-7853-4194-8573-1914FA801202}">
    <text>average of duplicates</text>
  </threadedComment>
  <threadedComment ref="AG71" dT="2019-08-01T05:44:59.67" personId="{CDD4072A-B242-4F31-BB2E-A1E5346926CF}" id="{6D70C594-DF51-4F5D-B8C9-F052B4173948}">
    <text>average of duplicates</text>
  </threadedComment>
  <threadedComment ref="AG72" dT="2019-08-01T05:45:02.30" personId="{CDD4072A-B242-4F31-BB2E-A1E5346926CF}" id="{23466B6A-B7EA-453C-B7AE-E6E69E8A5DBD}">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2"/>
  <sheetViews>
    <sheetView topLeftCell="B1" workbookViewId="0">
      <selection activeCell="C41" sqref="C41:C42"/>
    </sheetView>
  </sheetViews>
  <sheetFormatPr defaultColWidth="11" defaultRowHeight="15.5"/>
  <cols>
    <col min="1" max="1" width="54.83203125" customWidth="1"/>
    <col min="2" max="2" width="52.33203125" customWidth="1"/>
    <col min="3" max="3" width="66" customWidth="1"/>
    <col min="4" max="4" width="9.5" customWidth="1"/>
    <col min="5" max="5" width="19.6640625" customWidth="1"/>
    <col min="6" max="6" width="10" customWidth="1"/>
    <col min="7" max="7" width="11" customWidth="1"/>
  </cols>
  <sheetData>
    <row r="1" spans="1:11">
      <c r="A1" s="1" t="s">
        <v>45</v>
      </c>
      <c r="D1" t="s">
        <v>73</v>
      </c>
      <c r="H1" t="s">
        <v>74</v>
      </c>
    </row>
    <row r="2" spans="1:11">
      <c r="D2" t="s">
        <v>75</v>
      </c>
      <c r="H2" t="s">
        <v>78</v>
      </c>
    </row>
    <row r="3" spans="1:11">
      <c r="A3" t="s">
        <v>14</v>
      </c>
      <c r="D3" t="s">
        <v>76</v>
      </c>
      <c r="H3" t="s">
        <v>82</v>
      </c>
    </row>
    <row r="4" spans="1:11">
      <c r="A4" t="s">
        <v>0</v>
      </c>
      <c r="C4">
        <v>250</v>
      </c>
      <c r="D4">
        <v>8.73</v>
      </c>
      <c r="E4" s="67" t="s">
        <v>79</v>
      </c>
      <c r="F4" t="s">
        <v>77</v>
      </c>
      <c r="H4">
        <v>42.96</v>
      </c>
      <c r="I4" t="s">
        <v>80</v>
      </c>
      <c r="K4" t="s">
        <v>77</v>
      </c>
    </row>
    <row r="5" spans="1:11">
      <c r="A5" s="21" t="s">
        <v>72</v>
      </c>
      <c r="D5">
        <v>8.7200000000000006</v>
      </c>
      <c r="E5" s="67" t="s">
        <v>79</v>
      </c>
      <c r="F5" t="s">
        <v>77</v>
      </c>
      <c r="H5">
        <v>42.8</v>
      </c>
      <c r="I5" t="s">
        <v>81</v>
      </c>
      <c r="K5" t="s">
        <v>77</v>
      </c>
    </row>
    <row r="7" spans="1:11">
      <c r="B7" s="2" t="s">
        <v>1</v>
      </c>
      <c r="C7" s="2" t="s">
        <v>47</v>
      </c>
      <c r="D7" s="2" t="s">
        <v>12</v>
      </c>
      <c r="E7" s="3" t="s">
        <v>2</v>
      </c>
      <c r="F7" s="4" t="s">
        <v>11</v>
      </c>
      <c r="G7" s="5"/>
    </row>
    <row r="8" spans="1:11" s="8" customFormat="1">
      <c r="A8" s="30" t="s">
        <v>3</v>
      </c>
      <c r="B8" s="30">
        <v>40</v>
      </c>
      <c r="C8" s="18">
        <f>6.67*24</f>
        <v>160.07999999999998</v>
      </c>
      <c r="D8" s="19">
        <f>C8/24</f>
        <v>6.669999999999999</v>
      </c>
      <c r="E8" s="20">
        <f>((C8/24)+35)/4-(((C8/24)+35)/4)*10/250</f>
        <v>10.0008</v>
      </c>
      <c r="F8" s="20">
        <f>E8*4</f>
        <v>40.0032</v>
      </c>
      <c r="G8" s="21"/>
    </row>
    <row r="9" spans="1:11" s="8" customFormat="1">
      <c r="A9" s="31" t="s">
        <v>4</v>
      </c>
      <c r="B9" s="31">
        <v>2</v>
      </c>
      <c r="C9" s="22">
        <f>(B9/100*4+B9)*24</f>
        <v>49.92</v>
      </c>
      <c r="D9" s="23">
        <f>C9/24</f>
        <v>2.08</v>
      </c>
      <c r="E9" s="24">
        <f>(((C9)/24)*0.25)-(((C9)/24)*0.25)*(10/250)</f>
        <v>0.49920000000000003</v>
      </c>
      <c r="F9" s="24">
        <f>E9*4</f>
        <v>1.9968000000000001</v>
      </c>
      <c r="G9" s="21" t="s">
        <v>20</v>
      </c>
    </row>
    <row r="10" spans="1:11" s="8" customFormat="1">
      <c r="A10" s="31" t="s">
        <v>5</v>
      </c>
      <c r="B10" s="31">
        <v>0.22</v>
      </c>
      <c r="C10" s="22">
        <f>(B10/100*4+B10)*24</f>
        <v>5.4912000000000001</v>
      </c>
      <c r="D10" s="23">
        <f>C10/24</f>
        <v>0.2288</v>
      </c>
      <c r="E10" s="24">
        <f>(((C10)/24)*0.25)-(((C10)/24)*0.25)*(10/250)</f>
        <v>5.4912000000000002E-2</v>
      </c>
      <c r="F10" s="24">
        <f>E10*4</f>
        <v>0.21964800000000001</v>
      </c>
      <c r="G10" s="21"/>
    </row>
    <row r="11" spans="1:11" s="8" customFormat="1">
      <c r="A11" s="31" t="s">
        <v>6</v>
      </c>
      <c r="B11" s="31">
        <v>3</v>
      </c>
      <c r="C11" s="25">
        <v>0</v>
      </c>
      <c r="D11" s="23">
        <f>C11/24</f>
        <v>0</v>
      </c>
      <c r="E11" s="24">
        <f>0.73</f>
        <v>0.73</v>
      </c>
      <c r="F11" s="24">
        <f>E11*4</f>
        <v>2.92</v>
      </c>
      <c r="G11" s="21"/>
    </row>
    <row r="12" spans="1:11" s="8" customFormat="1">
      <c r="A12" s="31" t="s">
        <v>7</v>
      </c>
      <c r="B12" s="32" t="s">
        <v>8</v>
      </c>
      <c r="C12" s="22">
        <v>0</v>
      </c>
      <c r="D12" s="23"/>
      <c r="E12" s="24">
        <v>0</v>
      </c>
      <c r="F12" s="24"/>
      <c r="G12" s="21"/>
    </row>
    <row r="13" spans="1:11" s="8" customFormat="1">
      <c r="A13" s="9"/>
      <c r="B13" s="9"/>
      <c r="C13" s="26"/>
      <c r="D13" s="27"/>
      <c r="E13" s="28"/>
      <c r="F13" s="29"/>
      <c r="G13" s="21"/>
    </row>
    <row r="14" spans="1:11" s="8" customFormat="1">
      <c r="A14" s="21" t="s">
        <v>9</v>
      </c>
      <c r="B14" s="21"/>
      <c r="C14" s="33">
        <f>3/4</f>
        <v>0.75</v>
      </c>
      <c r="D14" s="33"/>
      <c r="E14" s="21" t="s">
        <v>10</v>
      </c>
    </row>
    <row r="15" spans="1:11" s="8" customFormat="1">
      <c r="A15" s="34" t="s">
        <v>16</v>
      </c>
      <c r="B15" s="34">
        <f>10*21*3</f>
        <v>630</v>
      </c>
      <c r="C15" s="34">
        <f>7.3*6.3</f>
        <v>45.989999999999995</v>
      </c>
      <c r="D15" s="34" t="s">
        <v>13</v>
      </c>
      <c r="E15" s="35"/>
    </row>
    <row r="16" spans="1:11" s="8" customFormat="1">
      <c r="A16" s="34" t="s">
        <v>15</v>
      </c>
      <c r="B16" s="34">
        <f>0.25*3*21</f>
        <v>15.75</v>
      </c>
      <c r="C16" s="34" t="s">
        <v>17</v>
      </c>
      <c r="D16" s="34"/>
      <c r="E16" s="21"/>
    </row>
    <row r="17" spans="1:8" s="8" customFormat="1"/>
    <row r="18" spans="1:8" s="8" customFormat="1"/>
    <row r="19" spans="1:8" s="8" customFormat="1">
      <c r="A19" s="17" t="s">
        <v>46</v>
      </c>
      <c r="B19" s="10"/>
      <c r="C19" s="11"/>
    </row>
    <row r="20" spans="1:8" s="8" customFormat="1">
      <c r="A20" s="31" t="s">
        <v>48</v>
      </c>
      <c r="B20" s="36"/>
      <c r="C20" s="37"/>
    </row>
    <row r="21" spans="1:8" s="8" customFormat="1">
      <c r="A21" s="38" t="s">
        <v>49</v>
      </c>
      <c r="B21" s="39" t="s">
        <v>18</v>
      </c>
      <c r="C21" s="40" t="s">
        <v>19</v>
      </c>
    </row>
    <row r="22" spans="1:8" s="8" customFormat="1">
      <c r="A22" s="41" t="s">
        <v>3</v>
      </c>
      <c r="B22" s="42">
        <v>66.7</v>
      </c>
      <c r="C22" s="47" t="s">
        <v>50</v>
      </c>
      <c r="D22" s="12"/>
      <c r="E22" s="13"/>
      <c r="F22" s="14"/>
      <c r="G22" s="14"/>
    </row>
    <row r="23" spans="1:8" s="8" customFormat="1">
      <c r="A23" s="43" t="s">
        <v>4</v>
      </c>
      <c r="B23" s="44">
        <v>20.8</v>
      </c>
      <c r="C23" s="48" t="s">
        <v>51</v>
      </c>
      <c r="D23" s="15"/>
      <c r="E23" s="15"/>
      <c r="F23" s="15"/>
      <c r="G23" s="15"/>
    </row>
    <row r="24" spans="1:8" s="8" customFormat="1">
      <c r="A24" s="45" t="s">
        <v>5</v>
      </c>
      <c r="B24" s="46">
        <v>2.29</v>
      </c>
      <c r="C24" s="49" t="s">
        <v>52</v>
      </c>
      <c r="D24" s="15"/>
      <c r="E24" s="15"/>
      <c r="F24" s="15"/>
      <c r="G24" s="15"/>
    </row>
    <row r="25" spans="1:8" s="8" customFormat="1">
      <c r="A25" s="14"/>
      <c r="B25" s="14"/>
      <c r="C25" s="15"/>
      <c r="D25" s="15"/>
      <c r="E25" s="15"/>
      <c r="F25" s="15"/>
      <c r="G25" s="15"/>
    </row>
    <row r="26" spans="1:8" s="16" customFormat="1" ht="18.5">
      <c r="A26" s="68" t="s">
        <v>41</v>
      </c>
      <c r="B26" s="68"/>
      <c r="C26" s="68"/>
      <c r="D26" s="68"/>
      <c r="E26" s="68"/>
      <c r="F26" s="68"/>
      <c r="G26" s="68"/>
      <c r="H26" s="68"/>
    </row>
    <row r="27" spans="1:8" s="8" customFormat="1">
      <c r="A27" s="69" t="s">
        <v>40</v>
      </c>
      <c r="B27"/>
      <c r="C27"/>
      <c r="D27"/>
      <c r="E27"/>
      <c r="F27"/>
      <c r="G27"/>
      <c r="H27"/>
    </row>
    <row r="28" spans="1:8" s="8" customFormat="1">
      <c r="A28" s="69" t="s">
        <v>21</v>
      </c>
      <c r="B28"/>
      <c r="C28"/>
      <c r="D28"/>
      <c r="E28"/>
      <c r="F28"/>
      <c r="G28"/>
      <c r="H28"/>
    </row>
    <row r="29" spans="1:8" s="8" customFormat="1">
      <c r="A29" s="69" t="s">
        <v>22</v>
      </c>
      <c r="B29"/>
      <c r="C29"/>
      <c r="D29"/>
      <c r="E29"/>
      <c r="F29"/>
      <c r="G29"/>
      <c r="H29"/>
    </row>
    <row r="30" spans="1:8" s="8" customFormat="1">
      <c r="A30" s="69" t="s">
        <v>23</v>
      </c>
      <c r="B30"/>
      <c r="C30"/>
      <c r="D30"/>
      <c r="E30"/>
      <c r="F30"/>
      <c r="G30"/>
      <c r="H30"/>
    </row>
    <row r="31" spans="1:8" s="8" customFormat="1">
      <c r="A31" s="69" t="s">
        <v>24</v>
      </c>
      <c r="B31"/>
      <c r="C31"/>
      <c r="D31"/>
      <c r="E31"/>
      <c r="F31"/>
      <c r="G31"/>
      <c r="H31"/>
    </row>
    <row r="32" spans="1:8" s="8" customFormat="1">
      <c r="A32" s="69" t="s">
        <v>25</v>
      </c>
      <c r="B32"/>
      <c r="C32"/>
      <c r="D32"/>
      <c r="E32"/>
      <c r="F32"/>
      <c r="G32"/>
      <c r="H32"/>
    </row>
    <row r="33" spans="1:8" s="8" customFormat="1">
      <c r="A33" s="69" t="s">
        <v>26</v>
      </c>
      <c r="B33"/>
      <c r="C33"/>
      <c r="D33"/>
      <c r="E33"/>
      <c r="F33"/>
      <c r="G33"/>
      <c r="H33"/>
    </row>
    <row r="34" spans="1:8" s="8" customFormat="1">
      <c r="A34"/>
      <c r="B34"/>
      <c r="C34"/>
      <c r="D34"/>
      <c r="E34"/>
      <c r="F34"/>
      <c r="G34"/>
      <c r="H34"/>
    </row>
    <row r="35" spans="1:8" s="8" customFormat="1">
      <c r="A35" s="70" t="s">
        <v>27</v>
      </c>
      <c r="B35" s="70" t="s">
        <v>28</v>
      </c>
      <c r="C35" s="70" t="s">
        <v>29</v>
      </c>
      <c r="D35" s="70" t="s">
        <v>30</v>
      </c>
      <c r="E35" s="70" t="s">
        <v>31</v>
      </c>
      <c r="F35" s="70" t="s">
        <v>32</v>
      </c>
      <c r="G35" s="71" t="s">
        <v>33</v>
      </c>
      <c r="H35"/>
    </row>
    <row r="36" spans="1:8" s="8" customFormat="1">
      <c r="A36" s="70" t="s">
        <v>34</v>
      </c>
      <c r="B36" s="72">
        <v>33.409999999999997</v>
      </c>
      <c r="C36" s="72">
        <v>2.2799999999999998</v>
      </c>
      <c r="D36" s="72">
        <v>96.1</v>
      </c>
      <c r="E36" s="72">
        <v>0.01</v>
      </c>
      <c r="F36" s="72">
        <v>6.0000000000000001E-3</v>
      </c>
      <c r="G36" s="73">
        <v>1</v>
      </c>
      <c r="H36"/>
    </row>
    <row r="37" spans="1:8" s="8" customFormat="1">
      <c r="A37" s="70" t="s">
        <v>35</v>
      </c>
      <c r="B37" s="72">
        <v>33.43</v>
      </c>
      <c r="C37" s="72">
        <v>2.29</v>
      </c>
      <c r="D37" s="72">
        <v>96.1</v>
      </c>
      <c r="E37" s="72">
        <v>0.01</v>
      </c>
      <c r="F37" s="72">
        <v>7.0000000000000001E-3</v>
      </c>
      <c r="G37" s="73">
        <v>1</v>
      </c>
      <c r="H37"/>
    </row>
    <row r="38" spans="1:8" s="8" customFormat="1">
      <c r="A38" s="70" t="s">
        <v>36</v>
      </c>
      <c r="B38" s="72">
        <v>32.950000000000003</v>
      </c>
      <c r="C38" s="72">
        <v>2.2599999999999998</v>
      </c>
      <c r="D38" s="72">
        <v>113.6</v>
      </c>
      <c r="E38" s="72">
        <v>0</v>
      </c>
      <c r="F38" s="72">
        <v>4.0000000000000001E-3</v>
      </c>
      <c r="G38" s="73">
        <v>2</v>
      </c>
      <c r="H38"/>
    </row>
    <row r="39" spans="1:8" s="8" customFormat="1">
      <c r="A39" s="70" t="s">
        <v>37</v>
      </c>
      <c r="B39" s="72">
        <v>32.99</v>
      </c>
      <c r="C39" s="72">
        <v>2.2599999999999998</v>
      </c>
      <c r="D39" s="72">
        <v>113.5</v>
      </c>
      <c r="E39" s="72">
        <v>0.01</v>
      </c>
      <c r="F39" s="72">
        <v>8.0000000000000002E-3</v>
      </c>
      <c r="G39" s="73">
        <v>2</v>
      </c>
      <c r="H39"/>
    </row>
    <row r="40" spans="1:8" s="8" customFormat="1">
      <c r="A40" s="70" t="s">
        <v>38</v>
      </c>
      <c r="B40" s="72">
        <v>32.93</v>
      </c>
      <c r="C40" s="72">
        <v>2.2599999999999998</v>
      </c>
      <c r="D40" s="72">
        <v>114</v>
      </c>
      <c r="E40" s="72">
        <v>0</v>
      </c>
      <c r="F40" s="72">
        <v>4.0000000000000001E-3</v>
      </c>
      <c r="G40" s="73">
        <v>3</v>
      </c>
      <c r="H40"/>
    </row>
    <row r="41" spans="1:8" s="8" customFormat="1">
      <c r="A41" s="70" t="s">
        <v>39</v>
      </c>
      <c r="B41" s="72">
        <v>32.96</v>
      </c>
      <c r="C41" s="72">
        <v>2.2599999999999998</v>
      </c>
      <c r="D41" s="72">
        <v>114</v>
      </c>
      <c r="E41" s="72">
        <v>0.01</v>
      </c>
      <c r="F41" s="72">
        <v>8.9999999999999993E-3</v>
      </c>
      <c r="G41" s="73">
        <v>3</v>
      </c>
      <c r="H41"/>
    </row>
    <row r="42" spans="1:8">
      <c r="A42" s="7" t="s">
        <v>92</v>
      </c>
    </row>
    <row r="45" spans="1:8">
      <c r="A45" t="s">
        <v>105</v>
      </c>
      <c r="B45" s="80" t="s">
        <v>106</v>
      </c>
    </row>
    <row r="46" spans="1:8">
      <c r="A46" s="685" t="s">
        <v>93</v>
      </c>
      <c r="B46" s="685"/>
      <c r="C46" s="685"/>
      <c r="D46" s="685"/>
      <c r="E46" s="685"/>
      <c r="F46" s="685"/>
      <c r="G46" s="685"/>
      <c r="H46" s="685"/>
    </row>
    <row r="47" spans="1:8">
      <c r="A47" s="686"/>
      <c r="B47" s="686"/>
      <c r="C47" s="686"/>
      <c r="D47" s="686"/>
      <c r="E47" s="686"/>
      <c r="F47" s="686"/>
      <c r="G47" s="686"/>
      <c r="H47" s="686"/>
    </row>
    <row r="48" spans="1:8">
      <c r="A48" s="685" t="s">
        <v>94</v>
      </c>
      <c r="B48" s="685"/>
      <c r="C48" s="685"/>
      <c r="D48" s="685"/>
      <c r="E48" s="685"/>
      <c r="F48" s="685"/>
      <c r="G48" s="685"/>
      <c r="H48" s="685"/>
    </row>
    <row r="49" spans="1:8">
      <c r="A49" s="685" t="s">
        <v>95</v>
      </c>
      <c r="B49" s="685"/>
      <c r="C49" s="685"/>
      <c r="D49" s="75">
        <v>-47.02</v>
      </c>
      <c r="E49" s="75">
        <v>142.25</v>
      </c>
      <c r="F49" s="76"/>
      <c r="G49" s="76"/>
      <c r="H49" s="77"/>
    </row>
    <row r="50" spans="1:8">
      <c r="A50" s="78" t="s">
        <v>96</v>
      </c>
      <c r="B50" s="78" t="s">
        <v>97</v>
      </c>
      <c r="C50" s="78" t="s">
        <v>98</v>
      </c>
      <c r="D50" s="78" t="s">
        <v>99</v>
      </c>
      <c r="E50" s="78" t="s">
        <v>100</v>
      </c>
      <c r="F50" s="78" t="s">
        <v>101</v>
      </c>
      <c r="G50" s="74" t="s">
        <v>102</v>
      </c>
      <c r="H50" s="77"/>
    </row>
    <row r="51" spans="1:8">
      <c r="A51" s="78" t="s">
        <v>103</v>
      </c>
      <c r="B51" s="79">
        <v>12.13</v>
      </c>
      <c r="C51" s="79">
        <v>0.92</v>
      </c>
      <c r="D51" s="79">
        <v>2.5</v>
      </c>
      <c r="E51" s="79">
        <v>0.06</v>
      </c>
      <c r="F51" s="79">
        <v>9.5000000000000001E-2</v>
      </c>
      <c r="G51" s="75">
        <v>34.725999999999999</v>
      </c>
      <c r="H51" s="77"/>
    </row>
    <row r="52" spans="1:8">
      <c r="A52" s="78" t="s">
        <v>104</v>
      </c>
      <c r="B52" s="79">
        <v>12.07</v>
      </c>
      <c r="C52" s="79">
        <v>0.91</v>
      </c>
      <c r="D52" s="79">
        <v>2.6</v>
      </c>
      <c r="E52" s="79">
        <v>0.06</v>
      </c>
      <c r="F52" s="79">
        <v>9.5000000000000001E-2</v>
      </c>
      <c r="G52" s="75">
        <v>34.74</v>
      </c>
      <c r="H52" s="77"/>
    </row>
  </sheetData>
  <mergeCells count="4">
    <mergeCell ref="A46:H46"/>
    <mergeCell ref="A47:H47"/>
    <mergeCell ref="A48:H48"/>
    <mergeCell ref="A49:C49"/>
  </mergeCells>
  <phoneticPr fontId="5" type="noConversion"/>
  <pageMargins left="0.74803149606299002" right="0.74803149606299002" top="0.98425196850394003" bottom="0.98425196850394003" header="0.51181102362205" footer="0.51181102362205"/>
  <pageSetup paperSize="9" scale="48" fitToHeight="2" orientation="landscape" verticalDpi="4294967292" copies="2" r:id="rId1"/>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D62B-34A8-4183-AF79-82C60B04FF6B}">
  <dimension ref="A2:V125"/>
  <sheetViews>
    <sheetView topLeftCell="A43" workbookViewId="0">
      <selection activeCell="B68" sqref="B68"/>
    </sheetView>
  </sheetViews>
  <sheetFormatPr defaultColWidth="8.83203125" defaultRowHeight="15.5"/>
  <cols>
    <col min="2" max="2" width="12.33203125" bestFit="1" customWidth="1"/>
    <col min="3" max="3" width="12.83203125" customWidth="1"/>
    <col min="4" max="5" width="15.1640625" bestFit="1" customWidth="1"/>
    <col min="7" max="7" width="18.6640625" bestFit="1" customWidth="1"/>
    <col min="8" max="8" width="12.1640625" customWidth="1"/>
    <col min="10" max="10" width="11.83203125" bestFit="1" customWidth="1"/>
  </cols>
  <sheetData>
    <row r="2" spans="1:14">
      <c r="F2" s="1" t="s">
        <v>3338</v>
      </c>
      <c r="G2" s="1"/>
      <c r="H2" s="1"/>
      <c r="I2" s="535" t="s">
        <v>3339</v>
      </c>
      <c r="J2" s="200"/>
      <c r="K2" s="200"/>
      <c r="L2" s="539">
        <f>AVERAGE(D15,D51,D63,D84)</f>
        <v>0.27500000000000002</v>
      </c>
      <c r="M2" s="536" t="s">
        <v>3340</v>
      </c>
      <c r="N2" s="536" t="s">
        <v>30</v>
      </c>
    </row>
    <row r="3" spans="1:14" ht="65.5">
      <c r="E3" s="1"/>
      <c r="F3" s="1" t="s">
        <v>3341</v>
      </c>
      <c r="G3" s="1" t="s">
        <v>3342</v>
      </c>
      <c r="H3" s="537" t="s">
        <v>3343</v>
      </c>
      <c r="I3" s="538"/>
      <c r="L3" s="208"/>
      <c r="M3" s="80"/>
      <c r="N3" s="80"/>
    </row>
    <row r="4" spans="1:14" ht="91.5">
      <c r="A4" s="534" t="s">
        <v>3255</v>
      </c>
      <c r="B4" s="534" t="s">
        <v>3256</v>
      </c>
      <c r="C4" s="534" t="s">
        <v>3257</v>
      </c>
      <c r="D4" s="94" t="s">
        <v>3258</v>
      </c>
      <c r="E4" s="538" t="s">
        <v>3344</v>
      </c>
      <c r="F4" s="537" t="s">
        <v>3345</v>
      </c>
      <c r="G4" s="1" t="s">
        <v>3346</v>
      </c>
      <c r="H4" s="1" t="s">
        <v>3346</v>
      </c>
      <c r="I4" s="1" t="s">
        <v>3347</v>
      </c>
      <c r="J4" s="1" t="s">
        <v>3348</v>
      </c>
      <c r="K4" s="1" t="s">
        <v>3349</v>
      </c>
      <c r="L4" s="1" t="s">
        <v>3350</v>
      </c>
      <c r="M4" s="1" t="s">
        <v>3351</v>
      </c>
      <c r="N4" s="1" t="s">
        <v>3356</v>
      </c>
    </row>
    <row r="5" spans="1:14">
      <c r="A5" s="6">
        <v>16796</v>
      </c>
      <c r="B5" s="6" t="s">
        <v>3259</v>
      </c>
      <c r="C5" s="6">
        <v>1</v>
      </c>
      <c r="D5" s="6">
        <v>39.700000000000003</v>
      </c>
      <c r="E5" s="6">
        <f>'BSi weights'!G5</f>
        <v>3403.2</v>
      </c>
      <c r="F5" s="90">
        <f>D5-$L$2</f>
        <v>39.425000000000004</v>
      </c>
      <c r="G5">
        <f>(F5/1000)*10</f>
        <v>0.39424999999999999</v>
      </c>
      <c r="H5">
        <f>G5*(5/4)</f>
        <v>0.49281249999999999</v>
      </c>
      <c r="I5">
        <f>H5*28.09</f>
        <v>13.843103124999999</v>
      </c>
      <c r="J5">
        <f>H5*(28.09+2*16)</f>
        <v>29.613103125000002</v>
      </c>
      <c r="K5">
        <f>(I5/E5)*100</f>
        <v>0.40676725214504</v>
      </c>
      <c r="L5">
        <f>(J5/E5)*100</f>
        <v>0.87015465223906929</v>
      </c>
    </row>
    <row r="6" spans="1:14">
      <c r="A6" s="6">
        <v>16797</v>
      </c>
      <c r="B6" s="6" t="s">
        <v>3260</v>
      </c>
      <c r="C6" s="6">
        <v>2</v>
      </c>
      <c r="D6" s="6">
        <v>54.2</v>
      </c>
      <c r="E6" s="6">
        <f>'BSi weights'!G6</f>
        <v>2702.6</v>
      </c>
      <c r="F6" s="90">
        <f t="shared" ref="F6:F69" si="0">D6-$L$2</f>
        <v>53.925000000000004</v>
      </c>
      <c r="G6">
        <f t="shared" ref="G6:G69" si="1">(F6/1000)*10</f>
        <v>0.53925000000000012</v>
      </c>
      <c r="H6">
        <f t="shared" ref="H6:H69" si="2">G6*(5/4)</f>
        <v>0.67406250000000012</v>
      </c>
      <c r="I6">
        <f t="shared" ref="I6:I69" si="3">H6*28.09</f>
        <v>18.934415625000003</v>
      </c>
      <c r="J6">
        <f t="shared" ref="J6:J69" si="4">H6*(28.09+2*16)</f>
        <v>40.504415625000007</v>
      </c>
      <c r="K6">
        <f t="shared" ref="K6:K69" si="5">(I6/E6)*100</f>
        <v>0.70060000092503527</v>
      </c>
      <c r="L6">
        <f t="shared" ref="L6:L69" si="6">(J6/E6)*100</f>
        <v>1.4987203294975211</v>
      </c>
    </row>
    <row r="7" spans="1:14">
      <c r="A7" s="6">
        <v>16798</v>
      </c>
      <c r="B7" s="6" t="s">
        <v>3261</v>
      </c>
      <c r="C7" s="6">
        <v>3</v>
      </c>
      <c r="D7" s="6">
        <v>10.3</v>
      </c>
      <c r="E7" s="6">
        <f>'BSi weights'!G7</f>
        <v>3158.9</v>
      </c>
      <c r="F7" s="90">
        <f t="shared" si="0"/>
        <v>10.025</v>
      </c>
      <c r="G7">
        <f t="shared" si="1"/>
        <v>0.10025000000000001</v>
      </c>
      <c r="H7">
        <f t="shared" si="2"/>
        <v>0.12531249999999999</v>
      </c>
      <c r="I7">
        <f t="shared" si="3"/>
        <v>3.5200281249999996</v>
      </c>
      <c r="J7">
        <f t="shared" si="4"/>
        <v>7.5300281250000003</v>
      </c>
      <c r="K7">
        <f t="shared" si="5"/>
        <v>0.11143208474468959</v>
      </c>
      <c r="L7">
        <f t="shared" si="6"/>
        <v>0.23837500791414734</v>
      </c>
    </row>
    <row r="8" spans="1:14">
      <c r="A8" s="6">
        <v>16799</v>
      </c>
      <c r="B8" s="6" t="s">
        <v>3262</v>
      </c>
      <c r="C8" s="6">
        <v>4</v>
      </c>
      <c r="D8" s="6">
        <v>20.9</v>
      </c>
      <c r="E8" s="6">
        <f>'BSi weights'!G8</f>
        <v>2511.6</v>
      </c>
      <c r="F8" s="90">
        <f t="shared" si="0"/>
        <v>20.625</v>
      </c>
      <c r="G8">
        <f t="shared" si="1"/>
        <v>0.20625000000000002</v>
      </c>
      <c r="H8">
        <f t="shared" si="2"/>
        <v>0.2578125</v>
      </c>
      <c r="I8">
        <f t="shared" si="3"/>
        <v>7.2419531250000002</v>
      </c>
      <c r="J8">
        <f t="shared" si="4"/>
        <v>15.491953125</v>
      </c>
      <c r="K8">
        <f t="shared" si="5"/>
        <v>0.28834022634973727</v>
      </c>
      <c r="L8">
        <f t="shared" si="6"/>
        <v>0.61681609830387008</v>
      </c>
    </row>
    <row r="9" spans="1:14">
      <c r="A9" s="6">
        <v>16800</v>
      </c>
      <c r="B9" s="6" t="s">
        <v>3263</v>
      </c>
      <c r="C9" s="6">
        <v>5</v>
      </c>
      <c r="D9" s="6">
        <v>9.3000000000000007</v>
      </c>
      <c r="E9" s="6">
        <f>'BSi weights'!G10</f>
        <v>645.20000000000005</v>
      </c>
      <c r="F9" s="90">
        <f t="shared" si="0"/>
        <v>9.0250000000000004</v>
      </c>
      <c r="G9">
        <f t="shared" si="1"/>
        <v>9.0249999999999997E-2</v>
      </c>
      <c r="H9">
        <f t="shared" si="2"/>
        <v>0.1128125</v>
      </c>
      <c r="I9">
        <f t="shared" si="3"/>
        <v>3.1689031249999999</v>
      </c>
      <c r="J9">
        <f t="shared" si="4"/>
        <v>6.7789031250000003</v>
      </c>
      <c r="K9">
        <f t="shared" si="5"/>
        <v>0.49115051534407933</v>
      </c>
      <c r="L9">
        <f t="shared" si="6"/>
        <v>1.0506669443583385</v>
      </c>
    </row>
    <row r="10" spans="1:14">
      <c r="A10" s="6">
        <v>16801</v>
      </c>
      <c r="B10" s="6" t="s">
        <v>3264</v>
      </c>
      <c r="C10" s="6">
        <v>6</v>
      </c>
      <c r="D10" s="6">
        <v>40.5</v>
      </c>
      <c r="E10" s="6">
        <f>'BSi weights'!G11</f>
        <v>1619.1</v>
      </c>
      <c r="F10" s="90">
        <f t="shared" si="0"/>
        <v>40.225000000000001</v>
      </c>
      <c r="G10">
        <f t="shared" si="1"/>
        <v>0.40225000000000005</v>
      </c>
      <c r="H10">
        <f t="shared" si="2"/>
        <v>0.50281250000000011</v>
      </c>
      <c r="I10">
        <f t="shared" si="3"/>
        <v>14.124003125000003</v>
      </c>
      <c r="J10">
        <f t="shared" si="4"/>
        <v>30.214003125000009</v>
      </c>
      <c r="K10">
        <f t="shared" si="5"/>
        <v>0.87233667623988664</v>
      </c>
      <c r="L10">
        <f t="shared" si="6"/>
        <v>1.8660986427644994</v>
      </c>
    </row>
    <row r="11" spans="1:14">
      <c r="A11" s="6">
        <v>16802</v>
      </c>
      <c r="B11" s="6" t="s">
        <v>3265</v>
      </c>
      <c r="C11" s="6">
        <v>7</v>
      </c>
      <c r="D11" s="6">
        <v>203.7</v>
      </c>
      <c r="E11" s="6">
        <f>'BSi weights'!G13</f>
        <v>2571</v>
      </c>
      <c r="F11" s="90">
        <f t="shared" si="0"/>
        <v>203.42499999999998</v>
      </c>
      <c r="G11">
        <f t="shared" si="1"/>
        <v>2.0342500000000001</v>
      </c>
      <c r="H11">
        <f t="shared" si="2"/>
        <v>2.5428125000000001</v>
      </c>
      <c r="I11">
        <f t="shared" si="3"/>
        <v>71.427603125000005</v>
      </c>
      <c r="J11">
        <f t="shared" si="4"/>
        <v>152.79760312500002</v>
      </c>
      <c r="K11">
        <f t="shared" si="5"/>
        <v>2.778203155387009</v>
      </c>
      <c r="L11">
        <f t="shared" si="6"/>
        <v>5.9431195303383904</v>
      </c>
      <c r="M11">
        <f>_xlfn.STDEV.P(K11:K13)/AVERAGE(K11:K13)</f>
        <v>6.0218513244609095E-3</v>
      </c>
      <c r="N11">
        <f>_xlfn.STDEV.P(K11:K13)</f>
        <v>1.6618125058504546E-2</v>
      </c>
    </row>
    <row r="12" spans="1:14">
      <c r="A12" s="6">
        <v>16803</v>
      </c>
      <c r="B12" s="6" t="s">
        <v>3266</v>
      </c>
      <c r="C12" s="6">
        <v>8</v>
      </c>
      <c r="D12" s="6">
        <v>183.1</v>
      </c>
      <c r="E12" s="6">
        <f>'BSi weights'!G14</f>
        <v>2323.5</v>
      </c>
      <c r="F12" s="90">
        <f t="shared" si="0"/>
        <v>182.82499999999999</v>
      </c>
      <c r="G12">
        <f t="shared" si="1"/>
        <v>1.8282499999999999</v>
      </c>
      <c r="H12">
        <f t="shared" si="2"/>
        <v>2.2853124999999999</v>
      </c>
      <c r="I12">
        <f t="shared" si="3"/>
        <v>64.194428125000002</v>
      </c>
      <c r="J12">
        <f t="shared" si="4"/>
        <v>137.324428125</v>
      </c>
      <c r="K12">
        <f t="shared" si="5"/>
        <v>2.7628331450398105</v>
      </c>
      <c r="L12">
        <f t="shared" si="6"/>
        <v>5.9102400742414467</v>
      </c>
    </row>
    <row r="13" spans="1:14">
      <c r="A13" s="6">
        <v>16804</v>
      </c>
      <c r="B13" s="6" t="s">
        <v>3267</v>
      </c>
      <c r="C13" s="6">
        <v>9</v>
      </c>
      <c r="D13" s="6">
        <v>184.7</v>
      </c>
      <c r="E13" s="6">
        <f>'BSi weights'!G15</f>
        <v>2365.1999999999998</v>
      </c>
      <c r="F13" s="90">
        <f t="shared" si="0"/>
        <v>184.42499999999998</v>
      </c>
      <c r="G13">
        <f t="shared" si="1"/>
        <v>1.8442499999999997</v>
      </c>
      <c r="H13">
        <f t="shared" si="2"/>
        <v>2.3053124999999994</v>
      </c>
      <c r="I13">
        <f t="shared" si="3"/>
        <v>64.756228124999978</v>
      </c>
      <c r="J13">
        <f t="shared" si="4"/>
        <v>138.52622812499996</v>
      </c>
      <c r="K13">
        <f t="shared" si="5"/>
        <v>2.7378753646626071</v>
      </c>
      <c r="L13">
        <f t="shared" si="6"/>
        <v>5.8568505041856911</v>
      </c>
    </row>
    <row r="14" spans="1:14">
      <c r="A14" s="6">
        <v>16805</v>
      </c>
      <c r="B14" s="6" t="s">
        <v>3268</v>
      </c>
      <c r="C14" s="6">
        <v>10</v>
      </c>
      <c r="D14" s="6">
        <v>111.1</v>
      </c>
      <c r="E14" s="6">
        <f>'BSi weights'!G16</f>
        <v>2233.8000000000002</v>
      </c>
      <c r="F14" s="90">
        <f t="shared" si="0"/>
        <v>110.82499999999999</v>
      </c>
      <c r="G14">
        <f t="shared" si="1"/>
        <v>1.10825</v>
      </c>
      <c r="H14">
        <f t="shared" si="2"/>
        <v>1.3853124999999999</v>
      </c>
      <c r="I14">
        <f t="shared" si="3"/>
        <v>38.913428124999996</v>
      </c>
      <c r="J14">
        <f t="shared" si="4"/>
        <v>83.243428125000008</v>
      </c>
      <c r="K14">
        <f t="shared" si="5"/>
        <v>1.7420282981914221</v>
      </c>
      <c r="L14">
        <f t="shared" si="6"/>
        <v>3.7265389974482943</v>
      </c>
    </row>
    <row r="15" spans="1:14">
      <c r="A15" s="6">
        <v>16806</v>
      </c>
      <c r="B15" s="6" t="s">
        <v>2947</v>
      </c>
      <c r="C15" s="6">
        <v>11</v>
      </c>
      <c r="D15" s="6">
        <v>0.3</v>
      </c>
      <c r="E15" s="6"/>
      <c r="F15" s="90"/>
      <c r="G15">
        <f>(D15/1000)*10</f>
        <v>2.9999999999999996E-3</v>
      </c>
      <c r="H15">
        <f t="shared" si="2"/>
        <v>3.7499999999999994E-3</v>
      </c>
      <c r="I15">
        <f t="shared" si="3"/>
        <v>0.10533749999999999</v>
      </c>
      <c r="J15">
        <f t="shared" si="4"/>
        <v>0.22533749999999997</v>
      </c>
      <c r="K15" t="e">
        <f t="shared" si="5"/>
        <v>#DIV/0!</v>
      </c>
      <c r="L15" t="e">
        <f t="shared" si="6"/>
        <v>#DIV/0!</v>
      </c>
    </row>
    <row r="16" spans="1:14">
      <c r="A16" s="6">
        <v>16807</v>
      </c>
      <c r="B16" s="6" t="s">
        <v>3269</v>
      </c>
      <c r="C16" s="6">
        <v>12</v>
      </c>
      <c r="D16" s="6">
        <v>359</v>
      </c>
      <c r="E16" s="6">
        <f>'BSi weights'!G18</f>
        <v>2950</v>
      </c>
      <c r="F16" s="90">
        <f t="shared" si="0"/>
        <v>358.72500000000002</v>
      </c>
      <c r="G16">
        <f t="shared" si="1"/>
        <v>3.58725</v>
      </c>
      <c r="H16">
        <f t="shared" si="2"/>
        <v>4.4840625000000003</v>
      </c>
      <c r="I16">
        <f t="shared" si="3"/>
        <v>125.95731562500001</v>
      </c>
      <c r="J16">
        <f t="shared" si="4"/>
        <v>269.44731562500004</v>
      </c>
      <c r="K16">
        <f t="shared" si="5"/>
        <v>4.2697395127118645</v>
      </c>
      <c r="L16">
        <f t="shared" si="6"/>
        <v>9.1338073093220356</v>
      </c>
    </row>
    <row r="17" spans="1:14">
      <c r="A17" s="6">
        <v>16808</v>
      </c>
      <c r="B17" s="6" t="s">
        <v>3270</v>
      </c>
      <c r="C17" s="6">
        <v>13</v>
      </c>
      <c r="D17" s="6">
        <v>347.7</v>
      </c>
      <c r="E17" s="6">
        <f>'BSi weights'!G21</f>
        <v>2931.1</v>
      </c>
      <c r="F17" s="90">
        <f t="shared" si="0"/>
        <v>347.42500000000001</v>
      </c>
      <c r="G17">
        <f t="shared" si="1"/>
        <v>3.4742499999999996</v>
      </c>
      <c r="H17">
        <f t="shared" si="2"/>
        <v>4.3428124999999991</v>
      </c>
      <c r="I17">
        <f t="shared" si="3"/>
        <v>121.98960312499997</v>
      </c>
      <c r="J17">
        <f t="shared" si="4"/>
        <v>260.95960312499994</v>
      </c>
      <c r="K17">
        <f t="shared" si="5"/>
        <v>4.1619051934427338</v>
      </c>
      <c r="L17">
        <f t="shared" si="6"/>
        <v>8.9031286249189705</v>
      </c>
    </row>
    <row r="18" spans="1:14">
      <c r="A18" s="6">
        <v>16809</v>
      </c>
      <c r="B18" s="6" t="s">
        <v>3271</v>
      </c>
      <c r="C18" s="6">
        <v>14</v>
      </c>
      <c r="D18" s="6">
        <v>322.5</v>
      </c>
      <c r="E18" s="6">
        <f>'BSi weights'!G22</f>
        <v>2267.4</v>
      </c>
      <c r="F18" s="90">
        <f t="shared" si="0"/>
        <v>322.22500000000002</v>
      </c>
      <c r="G18">
        <f t="shared" si="1"/>
        <v>3.2222500000000003</v>
      </c>
      <c r="H18">
        <f t="shared" si="2"/>
        <v>4.0278125000000005</v>
      </c>
      <c r="I18">
        <f t="shared" si="3"/>
        <v>113.14125312500001</v>
      </c>
      <c r="J18">
        <f t="shared" si="4"/>
        <v>242.03125312500003</v>
      </c>
      <c r="K18">
        <f t="shared" si="5"/>
        <v>4.989911490032636</v>
      </c>
      <c r="L18">
        <f t="shared" si="6"/>
        <v>10.674395921540091</v>
      </c>
    </row>
    <row r="19" spans="1:14">
      <c r="A19" s="6">
        <v>16810</v>
      </c>
      <c r="B19" s="6" t="s">
        <v>3272</v>
      </c>
      <c r="C19" s="6">
        <v>15</v>
      </c>
      <c r="D19" s="6">
        <v>343.6</v>
      </c>
      <c r="E19" s="6">
        <f>'BSi weights'!G23</f>
        <v>2278.4</v>
      </c>
      <c r="F19" s="90">
        <f t="shared" si="0"/>
        <v>343.32500000000005</v>
      </c>
      <c r="G19">
        <f t="shared" si="1"/>
        <v>3.4332500000000006</v>
      </c>
      <c r="H19">
        <f t="shared" si="2"/>
        <v>4.2915625000000004</v>
      </c>
      <c r="I19">
        <f t="shared" si="3"/>
        <v>120.54999062500001</v>
      </c>
      <c r="J19">
        <f t="shared" si="4"/>
        <v>257.87999062500006</v>
      </c>
      <c r="K19">
        <f t="shared" si="5"/>
        <v>5.2909932683023175</v>
      </c>
      <c r="L19">
        <f t="shared" si="6"/>
        <v>11.318468689650635</v>
      </c>
    </row>
    <row r="20" spans="1:14">
      <c r="A20" s="6">
        <v>16811</v>
      </c>
      <c r="B20" s="6" t="s">
        <v>3273</v>
      </c>
      <c r="C20" s="6">
        <v>16</v>
      </c>
      <c r="D20" s="6">
        <v>244.3</v>
      </c>
      <c r="E20" s="6">
        <f>'BSi weights'!G24</f>
        <v>2134.6</v>
      </c>
      <c r="F20" s="90">
        <f t="shared" si="0"/>
        <v>244.02500000000001</v>
      </c>
      <c r="G20">
        <f t="shared" si="1"/>
        <v>2.4402499999999998</v>
      </c>
      <c r="H20">
        <f t="shared" si="2"/>
        <v>3.0503124999999995</v>
      </c>
      <c r="I20">
        <f t="shared" si="3"/>
        <v>85.683278124999987</v>
      </c>
      <c r="J20">
        <f t="shared" si="4"/>
        <v>183.29327812499997</v>
      </c>
      <c r="K20">
        <f t="shared" si="5"/>
        <v>4.0140203375339638</v>
      </c>
      <c r="L20">
        <f t="shared" si="6"/>
        <v>8.5867740150379461</v>
      </c>
      <c r="M20">
        <f>_xlfn.STDEV.P(K20:K22)/AVERAGE(K20:K22)</f>
        <v>2.5984003636903851E-2</v>
      </c>
      <c r="N20">
        <f>_xlfn.STDEV.P(K20:K22)</f>
        <v>0.10098105566095576</v>
      </c>
    </row>
    <row r="21" spans="1:14">
      <c r="A21" s="6">
        <v>16812</v>
      </c>
      <c r="B21" s="6" t="s">
        <v>3274</v>
      </c>
      <c r="C21" s="6">
        <v>17</v>
      </c>
      <c r="D21" s="6">
        <v>241.7</v>
      </c>
      <c r="E21" s="6">
        <f>'BSi weights'!G25</f>
        <v>2186.1</v>
      </c>
      <c r="F21" s="90">
        <f t="shared" si="0"/>
        <v>241.42499999999998</v>
      </c>
      <c r="G21">
        <f t="shared" si="1"/>
        <v>2.4142499999999996</v>
      </c>
      <c r="H21">
        <f t="shared" si="2"/>
        <v>3.0178124999999993</v>
      </c>
      <c r="I21">
        <f t="shared" si="3"/>
        <v>84.770353124999986</v>
      </c>
      <c r="J21">
        <f t="shared" si="4"/>
        <v>181.34035312499998</v>
      </c>
      <c r="K21">
        <f t="shared" si="5"/>
        <v>3.8776978694936179</v>
      </c>
      <c r="L21">
        <f t="shared" si="6"/>
        <v>8.2951536125977761</v>
      </c>
    </row>
    <row r="22" spans="1:14">
      <c r="A22" s="6">
        <v>16813</v>
      </c>
      <c r="B22" s="6" t="s">
        <v>3275</v>
      </c>
      <c r="C22" s="6">
        <v>18</v>
      </c>
      <c r="D22" s="6">
        <v>271.39999999999998</v>
      </c>
      <c r="E22" s="6">
        <f>'BSi weights'!G26</f>
        <v>2527.1</v>
      </c>
      <c r="F22" s="90">
        <f t="shared" si="0"/>
        <v>271.125</v>
      </c>
      <c r="G22">
        <f t="shared" si="1"/>
        <v>2.7112500000000002</v>
      </c>
      <c r="H22">
        <f t="shared" si="2"/>
        <v>3.3890625000000001</v>
      </c>
      <c r="I22">
        <f t="shared" si="3"/>
        <v>95.198765625000007</v>
      </c>
      <c r="J22">
        <f t="shared" si="4"/>
        <v>203.64876562500001</v>
      </c>
      <c r="K22">
        <f t="shared" si="5"/>
        <v>3.7671150973447829</v>
      </c>
      <c r="L22">
        <f t="shared" si="6"/>
        <v>8.0585954503185473</v>
      </c>
    </row>
    <row r="23" spans="1:14">
      <c r="A23" s="6">
        <v>16814</v>
      </c>
      <c r="B23" s="6" t="s">
        <v>3276</v>
      </c>
      <c r="C23" s="6">
        <v>19</v>
      </c>
      <c r="D23" s="6">
        <v>189.5</v>
      </c>
      <c r="E23" s="6">
        <f>'BSi weights'!G27</f>
        <v>2081.9</v>
      </c>
      <c r="F23" s="90">
        <f t="shared" si="0"/>
        <v>189.22499999999999</v>
      </c>
      <c r="G23">
        <f t="shared" si="1"/>
        <v>1.89225</v>
      </c>
      <c r="H23">
        <f t="shared" si="2"/>
        <v>2.3653124999999999</v>
      </c>
      <c r="I23">
        <f t="shared" si="3"/>
        <v>66.441628124999994</v>
      </c>
      <c r="J23">
        <f t="shared" si="4"/>
        <v>142.13162812499999</v>
      </c>
      <c r="K23">
        <f t="shared" si="5"/>
        <v>3.1913938289543204</v>
      </c>
      <c r="L23">
        <f t="shared" si="6"/>
        <v>6.8270151364138529</v>
      </c>
    </row>
    <row r="24" spans="1:14">
      <c r="A24" s="6">
        <v>16815</v>
      </c>
      <c r="B24" s="6" t="s">
        <v>3277</v>
      </c>
      <c r="C24" s="6">
        <v>20</v>
      </c>
      <c r="D24" s="6">
        <v>186.1</v>
      </c>
      <c r="E24" s="6">
        <f>'BSi weights'!G28</f>
        <v>2703.1</v>
      </c>
      <c r="F24" s="90">
        <f t="shared" si="0"/>
        <v>185.82499999999999</v>
      </c>
      <c r="G24">
        <f t="shared" si="1"/>
        <v>1.85825</v>
      </c>
      <c r="H24">
        <f t="shared" si="2"/>
        <v>2.3228124999999999</v>
      </c>
      <c r="I24">
        <f t="shared" si="3"/>
        <v>65.247803125000004</v>
      </c>
      <c r="J24">
        <f t="shared" si="4"/>
        <v>139.577803125</v>
      </c>
      <c r="K24">
        <f t="shared" si="5"/>
        <v>2.4138138849839077</v>
      </c>
      <c r="L24">
        <f t="shared" si="6"/>
        <v>5.1636196635344609</v>
      </c>
    </row>
    <row r="25" spans="1:14">
      <c r="A25" s="6">
        <v>16816</v>
      </c>
      <c r="B25" s="6" t="s">
        <v>3278</v>
      </c>
      <c r="C25" s="6">
        <v>21</v>
      </c>
      <c r="D25" s="6">
        <v>192.8</v>
      </c>
      <c r="E25" s="6">
        <f>'BSi weights'!G29</f>
        <v>2200.6</v>
      </c>
      <c r="F25" s="90">
        <f t="shared" si="0"/>
        <v>192.52500000000001</v>
      </c>
      <c r="G25">
        <f t="shared" si="1"/>
        <v>1.9252500000000001</v>
      </c>
      <c r="H25">
        <f t="shared" si="2"/>
        <v>2.4065625000000002</v>
      </c>
      <c r="I25">
        <f t="shared" si="3"/>
        <v>67.600340625000001</v>
      </c>
      <c r="J25">
        <f t="shared" si="4"/>
        <v>144.61034062500002</v>
      </c>
      <c r="K25">
        <f t="shared" si="5"/>
        <v>3.0719049634190676</v>
      </c>
      <c r="L25">
        <f t="shared" si="6"/>
        <v>6.5714050997455251</v>
      </c>
    </row>
    <row r="26" spans="1:14">
      <c r="A26" s="6">
        <v>16817</v>
      </c>
      <c r="B26" s="6" t="s">
        <v>3279</v>
      </c>
      <c r="C26" s="6">
        <v>22</v>
      </c>
      <c r="D26" s="6">
        <v>392.9</v>
      </c>
      <c r="E26" s="6">
        <f>'BSi weights'!G30</f>
        <v>2340.8000000000002</v>
      </c>
      <c r="F26" s="90">
        <f t="shared" si="0"/>
        <v>392.625</v>
      </c>
      <c r="G26">
        <f t="shared" si="1"/>
        <v>3.92625</v>
      </c>
      <c r="H26">
        <f t="shared" si="2"/>
        <v>4.9078125000000004</v>
      </c>
      <c r="I26">
        <f t="shared" si="3"/>
        <v>137.86045312500002</v>
      </c>
      <c r="J26">
        <f t="shared" si="4"/>
        <v>294.91045312500006</v>
      </c>
      <c r="K26">
        <f t="shared" si="5"/>
        <v>5.8894588655587841</v>
      </c>
      <c r="L26">
        <f t="shared" si="6"/>
        <v>12.59870356822454</v>
      </c>
    </row>
    <row r="27" spans="1:14">
      <c r="A27" s="6">
        <v>16818</v>
      </c>
      <c r="B27" s="6" t="s">
        <v>3280</v>
      </c>
      <c r="C27" s="6">
        <v>23</v>
      </c>
      <c r="D27" s="6">
        <v>369</v>
      </c>
      <c r="E27" s="6">
        <f>'BSi weights'!G31</f>
        <v>3022.1</v>
      </c>
      <c r="F27" s="90">
        <f t="shared" si="0"/>
        <v>368.72500000000002</v>
      </c>
      <c r="G27">
        <f t="shared" si="1"/>
        <v>3.6872500000000001</v>
      </c>
      <c r="H27">
        <f t="shared" si="2"/>
        <v>4.6090625000000003</v>
      </c>
      <c r="I27">
        <f t="shared" si="3"/>
        <v>129.468565625</v>
      </c>
      <c r="J27">
        <f t="shared" si="4"/>
        <v>276.95856562500001</v>
      </c>
      <c r="K27">
        <f t="shared" si="5"/>
        <v>4.2840596150028123</v>
      </c>
      <c r="L27">
        <f t="shared" si="6"/>
        <v>9.1644408068892496</v>
      </c>
    </row>
    <row r="28" spans="1:14">
      <c r="A28" s="6">
        <v>16819</v>
      </c>
      <c r="B28" s="6" t="s">
        <v>3281</v>
      </c>
      <c r="C28" s="6">
        <v>24</v>
      </c>
      <c r="D28" s="6">
        <v>391.1</v>
      </c>
      <c r="E28" s="6">
        <f>'BSi weights'!G32</f>
        <v>2008.5</v>
      </c>
      <c r="F28" s="90">
        <f t="shared" si="0"/>
        <v>390.82500000000005</v>
      </c>
      <c r="G28">
        <f t="shared" si="1"/>
        <v>3.9082500000000002</v>
      </c>
      <c r="H28">
        <f t="shared" si="2"/>
        <v>4.8853125000000004</v>
      </c>
      <c r="I28">
        <f t="shared" si="3"/>
        <v>137.22842812500002</v>
      </c>
      <c r="J28">
        <f t="shared" si="4"/>
        <v>293.55842812500003</v>
      </c>
      <c r="K28">
        <f t="shared" si="5"/>
        <v>6.8323837752053782</v>
      </c>
      <c r="L28">
        <f t="shared" si="6"/>
        <v>14.615804238237493</v>
      </c>
    </row>
    <row r="29" spans="1:14">
      <c r="A29" s="6">
        <v>16820</v>
      </c>
      <c r="B29" s="6" t="s">
        <v>3282</v>
      </c>
      <c r="C29" s="6">
        <v>25</v>
      </c>
      <c r="D29" s="6">
        <v>349.8</v>
      </c>
      <c r="E29" s="6">
        <f>'BSi weights'!G34</f>
        <v>2041.6</v>
      </c>
      <c r="F29" s="90">
        <f t="shared" si="0"/>
        <v>349.52500000000003</v>
      </c>
      <c r="G29">
        <f t="shared" si="1"/>
        <v>3.4952500000000004</v>
      </c>
      <c r="H29">
        <f t="shared" si="2"/>
        <v>4.3690625000000001</v>
      </c>
      <c r="I29">
        <f t="shared" si="3"/>
        <v>122.72696562500001</v>
      </c>
      <c r="J29">
        <f t="shared" si="4"/>
        <v>262.53696562499999</v>
      </c>
      <c r="K29">
        <f t="shared" si="5"/>
        <v>6.0113129714439664</v>
      </c>
      <c r="L29">
        <f t="shared" si="6"/>
        <v>12.859373316271553</v>
      </c>
    </row>
    <row r="30" spans="1:14">
      <c r="A30" s="6">
        <v>16821</v>
      </c>
      <c r="B30" s="6" t="s">
        <v>3283</v>
      </c>
      <c r="C30" s="6">
        <v>26</v>
      </c>
      <c r="D30" s="6">
        <v>257.2</v>
      </c>
      <c r="E30" s="6">
        <f>'BSi weights'!G35</f>
        <v>2380.6</v>
      </c>
      <c r="F30" s="90">
        <f t="shared" si="0"/>
        <v>256.92500000000001</v>
      </c>
      <c r="G30">
        <f t="shared" si="1"/>
        <v>2.5692500000000003</v>
      </c>
      <c r="H30">
        <f t="shared" si="2"/>
        <v>3.2115625000000003</v>
      </c>
      <c r="I30">
        <f t="shared" si="3"/>
        <v>90.212790625000011</v>
      </c>
      <c r="J30">
        <f t="shared" si="4"/>
        <v>192.98279062500004</v>
      </c>
      <c r="K30">
        <f t="shared" si="5"/>
        <v>3.7894980519616905</v>
      </c>
      <c r="L30">
        <f t="shared" si="6"/>
        <v>8.1064769648407982</v>
      </c>
    </row>
    <row r="31" spans="1:14">
      <c r="A31" s="6">
        <v>16822</v>
      </c>
      <c r="B31" s="6" t="s">
        <v>3284</v>
      </c>
      <c r="C31" s="6">
        <v>27</v>
      </c>
      <c r="D31" s="6">
        <v>201.5</v>
      </c>
      <c r="E31" s="6">
        <f>'BSi weights'!G36</f>
        <v>2441.1999999999998</v>
      </c>
      <c r="F31" s="90">
        <f t="shared" si="0"/>
        <v>201.22499999999999</v>
      </c>
      <c r="G31">
        <f t="shared" si="1"/>
        <v>2.0122499999999999</v>
      </c>
      <c r="H31">
        <f t="shared" si="2"/>
        <v>2.5153124999999998</v>
      </c>
      <c r="I31">
        <f t="shared" si="3"/>
        <v>70.65512812499999</v>
      </c>
      <c r="J31">
        <f t="shared" si="4"/>
        <v>151.14512812499999</v>
      </c>
      <c r="K31">
        <f t="shared" si="5"/>
        <v>2.8942785566524658</v>
      </c>
      <c r="L31">
        <f t="shared" si="6"/>
        <v>6.1914274997951821</v>
      </c>
    </row>
    <row r="32" spans="1:14">
      <c r="A32" s="6">
        <v>16823</v>
      </c>
      <c r="B32" s="6" t="s">
        <v>3285</v>
      </c>
      <c r="C32" s="6">
        <v>28</v>
      </c>
      <c r="D32" s="6">
        <v>293.39999999999998</v>
      </c>
      <c r="E32" s="6">
        <f>'BSi weights'!G37</f>
        <v>2444.3000000000002</v>
      </c>
      <c r="F32" s="90">
        <f t="shared" si="0"/>
        <v>293.125</v>
      </c>
      <c r="G32">
        <f t="shared" si="1"/>
        <v>2.9312500000000004</v>
      </c>
      <c r="H32">
        <f t="shared" si="2"/>
        <v>3.6640625000000004</v>
      </c>
      <c r="I32">
        <f t="shared" si="3"/>
        <v>102.92351562500001</v>
      </c>
      <c r="J32">
        <f t="shared" si="4"/>
        <v>220.17351562500005</v>
      </c>
      <c r="K32">
        <f t="shared" si="5"/>
        <v>4.210756274802602</v>
      </c>
      <c r="L32">
        <f t="shared" si="6"/>
        <v>9.0076306355602842</v>
      </c>
      <c r="M32">
        <f>_xlfn.STDEV.P(K32:K34)/AVERAGE(K32:K34)</f>
        <v>1.8411434756054241E-2</v>
      </c>
      <c r="N32">
        <f>_xlfn.STDEV.P(K32:K34)</f>
        <v>7.5750892743430304E-2</v>
      </c>
    </row>
    <row r="33" spans="1:14">
      <c r="A33" s="6">
        <v>16824</v>
      </c>
      <c r="B33" s="6" t="s">
        <v>3286</v>
      </c>
      <c r="C33" s="6">
        <v>29</v>
      </c>
      <c r="D33" s="6">
        <v>235.7</v>
      </c>
      <c r="E33" s="6">
        <f>'BSi weights'!G38</f>
        <v>2053.4</v>
      </c>
      <c r="F33" s="90">
        <f t="shared" si="0"/>
        <v>235.42499999999998</v>
      </c>
      <c r="G33">
        <f t="shared" si="1"/>
        <v>2.35425</v>
      </c>
      <c r="H33">
        <f t="shared" si="2"/>
        <v>2.9428125000000001</v>
      </c>
      <c r="I33">
        <f t="shared" si="3"/>
        <v>82.663603124999995</v>
      </c>
      <c r="J33">
        <f t="shared" si="4"/>
        <v>176.83360312500002</v>
      </c>
      <c r="K33">
        <f t="shared" si="5"/>
        <v>4.0256941231615846</v>
      </c>
      <c r="L33">
        <f t="shared" si="6"/>
        <v>8.6117465240576614</v>
      </c>
    </row>
    <row r="34" spans="1:14">
      <c r="A34" s="6">
        <v>16825</v>
      </c>
      <c r="B34" s="6" t="s">
        <v>3287</v>
      </c>
      <c r="C34" s="6">
        <v>30</v>
      </c>
      <c r="D34" s="6">
        <v>279.2</v>
      </c>
      <c r="E34" s="6">
        <f>'BSi weights'!G39</f>
        <v>2384.9</v>
      </c>
      <c r="F34" s="90">
        <f t="shared" si="0"/>
        <v>278.92500000000001</v>
      </c>
      <c r="G34">
        <f t="shared" si="1"/>
        <v>2.7892500000000005</v>
      </c>
      <c r="H34">
        <f t="shared" si="2"/>
        <v>3.4865625000000007</v>
      </c>
      <c r="I34">
        <f t="shared" si="3"/>
        <v>97.937540625000025</v>
      </c>
      <c r="J34">
        <f t="shared" si="4"/>
        <v>209.50754062500005</v>
      </c>
      <c r="K34">
        <f t="shared" si="5"/>
        <v>4.10656801647868</v>
      </c>
      <c r="L34">
        <f t="shared" si="6"/>
        <v>8.7847515881169045</v>
      </c>
    </row>
    <row r="35" spans="1:14">
      <c r="A35" s="6">
        <v>16826</v>
      </c>
      <c r="B35" s="6" t="s">
        <v>3288</v>
      </c>
      <c r="C35" s="6">
        <v>31</v>
      </c>
      <c r="D35" s="6">
        <v>269.10000000000002</v>
      </c>
      <c r="E35" s="6">
        <f>'BSi weights'!G40</f>
        <v>2270.5</v>
      </c>
      <c r="F35" s="90">
        <f t="shared" si="0"/>
        <v>268.82500000000005</v>
      </c>
      <c r="G35">
        <f t="shared" si="1"/>
        <v>2.6882500000000005</v>
      </c>
      <c r="H35">
        <f t="shared" si="2"/>
        <v>3.3603125000000005</v>
      </c>
      <c r="I35">
        <f t="shared" si="3"/>
        <v>94.39117812500001</v>
      </c>
      <c r="J35">
        <f t="shared" si="4"/>
        <v>201.92117812500004</v>
      </c>
      <c r="K35">
        <f t="shared" si="5"/>
        <v>4.1572859777582041</v>
      </c>
      <c r="L35">
        <f t="shared" si="6"/>
        <v>8.8932472197753807</v>
      </c>
    </row>
    <row r="36" spans="1:14">
      <c r="A36" s="6">
        <v>16827</v>
      </c>
      <c r="B36" s="6" t="s">
        <v>3289</v>
      </c>
      <c r="C36" s="6">
        <v>32</v>
      </c>
      <c r="D36" s="6">
        <v>235.7</v>
      </c>
      <c r="E36" s="6">
        <f>'BSi weights'!G41</f>
        <v>2078.6999999999998</v>
      </c>
      <c r="F36" s="90">
        <f t="shared" si="0"/>
        <v>235.42499999999998</v>
      </c>
      <c r="G36">
        <f t="shared" si="1"/>
        <v>2.35425</v>
      </c>
      <c r="H36">
        <f t="shared" si="2"/>
        <v>2.9428125000000001</v>
      </c>
      <c r="I36">
        <f t="shared" si="3"/>
        <v>82.663603124999995</v>
      </c>
      <c r="J36">
        <f t="shared" si="4"/>
        <v>176.83360312500002</v>
      </c>
      <c r="K36">
        <f t="shared" si="5"/>
        <v>3.976697124404676</v>
      </c>
      <c r="L36">
        <f t="shared" si="6"/>
        <v>8.5069323675855131</v>
      </c>
    </row>
    <row r="37" spans="1:14">
      <c r="A37" s="6">
        <v>16828</v>
      </c>
      <c r="B37" s="6" t="s">
        <v>3290</v>
      </c>
      <c r="C37" s="6">
        <v>33</v>
      </c>
      <c r="D37" s="6">
        <v>263.10000000000002</v>
      </c>
      <c r="E37" s="6">
        <f>'BSi weights'!G42</f>
        <v>2356.6</v>
      </c>
      <c r="F37" s="90">
        <f t="shared" si="0"/>
        <v>262.82500000000005</v>
      </c>
      <c r="G37">
        <f t="shared" si="1"/>
        <v>2.6282500000000004</v>
      </c>
      <c r="H37">
        <f t="shared" si="2"/>
        <v>3.2853125000000007</v>
      </c>
      <c r="I37">
        <f t="shared" si="3"/>
        <v>92.284428125000019</v>
      </c>
      <c r="J37">
        <f t="shared" si="4"/>
        <v>197.41442812500006</v>
      </c>
      <c r="K37">
        <f t="shared" si="5"/>
        <v>3.9159988171518298</v>
      </c>
      <c r="L37">
        <f t="shared" si="6"/>
        <v>8.3770868252991626</v>
      </c>
    </row>
    <row r="38" spans="1:14">
      <c r="A38" s="6">
        <v>16829</v>
      </c>
      <c r="B38" s="6" t="s">
        <v>3291</v>
      </c>
      <c r="C38" s="6">
        <v>34</v>
      </c>
      <c r="D38" s="6">
        <v>227.4</v>
      </c>
      <c r="E38" s="6">
        <f>'BSi weights'!G43</f>
        <v>2137.9</v>
      </c>
      <c r="F38" s="90">
        <f t="shared" si="0"/>
        <v>227.125</v>
      </c>
      <c r="G38">
        <f t="shared" si="1"/>
        <v>2.2712499999999998</v>
      </c>
      <c r="H38">
        <f t="shared" si="2"/>
        <v>2.8390624999999998</v>
      </c>
      <c r="I38">
        <f t="shared" si="3"/>
        <v>79.749265624999992</v>
      </c>
      <c r="J38">
        <f t="shared" si="4"/>
        <v>170.59926562499999</v>
      </c>
      <c r="K38">
        <f t="shared" si="5"/>
        <v>3.7302617346461475</v>
      </c>
      <c r="L38">
        <f t="shared" si="6"/>
        <v>7.9797589047663582</v>
      </c>
    </row>
    <row r="39" spans="1:14">
      <c r="A39" s="6">
        <v>16830</v>
      </c>
      <c r="B39" s="6" t="s">
        <v>3292</v>
      </c>
      <c r="C39" s="6">
        <v>35</v>
      </c>
      <c r="D39" s="6">
        <v>373</v>
      </c>
      <c r="E39" s="6">
        <f>'BSi weights'!G44</f>
        <v>3056.4</v>
      </c>
      <c r="F39" s="90">
        <f t="shared" si="0"/>
        <v>372.72500000000002</v>
      </c>
      <c r="G39">
        <f t="shared" si="1"/>
        <v>3.7272500000000002</v>
      </c>
      <c r="H39">
        <f t="shared" si="2"/>
        <v>4.6590625000000001</v>
      </c>
      <c r="I39">
        <f t="shared" si="3"/>
        <v>130.87306562500001</v>
      </c>
      <c r="J39">
        <f t="shared" si="4"/>
        <v>279.96306562500001</v>
      </c>
      <c r="K39">
        <f t="shared" si="5"/>
        <v>4.2819351401976178</v>
      </c>
      <c r="L39">
        <f t="shared" si="6"/>
        <v>9.1598961400667456</v>
      </c>
    </row>
    <row r="40" spans="1:14">
      <c r="A40" s="6">
        <v>16831</v>
      </c>
      <c r="B40" s="6" t="s">
        <v>3293</v>
      </c>
      <c r="C40" s="6">
        <v>36</v>
      </c>
      <c r="D40" s="6">
        <v>304.5</v>
      </c>
      <c r="E40" s="6">
        <f>'BSi weights'!G45</f>
        <v>2365.9</v>
      </c>
      <c r="F40" s="90">
        <f t="shared" si="0"/>
        <v>304.22500000000002</v>
      </c>
      <c r="G40">
        <f t="shared" si="1"/>
        <v>3.0422500000000001</v>
      </c>
      <c r="H40">
        <f t="shared" si="2"/>
        <v>3.8028124999999999</v>
      </c>
      <c r="I40">
        <f t="shared" si="3"/>
        <v>106.821003125</v>
      </c>
      <c r="J40">
        <f t="shared" si="4"/>
        <v>228.511003125</v>
      </c>
      <c r="K40">
        <f t="shared" si="5"/>
        <v>4.515026126421235</v>
      </c>
      <c r="L40">
        <f t="shared" si="6"/>
        <v>9.6585233156515482</v>
      </c>
    </row>
    <row r="41" spans="1:14">
      <c r="A41" s="6">
        <v>16832</v>
      </c>
      <c r="B41" s="6" t="s">
        <v>3294</v>
      </c>
      <c r="C41" s="6">
        <v>37</v>
      </c>
      <c r="D41" s="6">
        <v>331.4</v>
      </c>
      <c r="E41" s="6">
        <f>'BSi weights'!G47</f>
        <v>2434.8000000000002</v>
      </c>
      <c r="F41" s="90">
        <f t="shared" si="0"/>
        <v>331.125</v>
      </c>
      <c r="G41">
        <f t="shared" si="1"/>
        <v>3.3112500000000002</v>
      </c>
      <c r="H41">
        <f t="shared" si="2"/>
        <v>4.1390625000000005</v>
      </c>
      <c r="I41">
        <f t="shared" si="3"/>
        <v>116.26626562500002</v>
      </c>
      <c r="J41">
        <f t="shared" si="4"/>
        <v>248.71626562500003</v>
      </c>
      <c r="K41">
        <f t="shared" si="5"/>
        <v>4.7751875154016767</v>
      </c>
      <c r="L41">
        <f t="shared" si="6"/>
        <v>10.215059373459832</v>
      </c>
    </row>
    <row r="42" spans="1:14">
      <c r="A42" s="6">
        <v>16833</v>
      </c>
      <c r="B42" s="6" t="s">
        <v>3295</v>
      </c>
      <c r="C42" s="6">
        <v>38</v>
      </c>
      <c r="D42" s="6">
        <v>352.1</v>
      </c>
      <c r="E42" s="6">
        <f>'BSi weights'!G48</f>
        <v>2146.9</v>
      </c>
      <c r="F42" s="90">
        <f t="shared" si="0"/>
        <v>351.82500000000005</v>
      </c>
      <c r="G42">
        <f t="shared" si="1"/>
        <v>3.5182500000000005</v>
      </c>
      <c r="H42">
        <f t="shared" si="2"/>
        <v>4.3978125000000006</v>
      </c>
      <c r="I42">
        <f t="shared" si="3"/>
        <v>123.53455312500002</v>
      </c>
      <c r="J42">
        <f t="shared" si="4"/>
        <v>264.26455312500008</v>
      </c>
      <c r="K42">
        <f t="shared" si="5"/>
        <v>5.7540897631468635</v>
      </c>
      <c r="L42">
        <f t="shared" si="6"/>
        <v>12.309122601192419</v>
      </c>
    </row>
    <row r="43" spans="1:14">
      <c r="A43" s="6">
        <v>16834</v>
      </c>
      <c r="B43" s="6" t="s">
        <v>3296</v>
      </c>
      <c r="C43" s="6">
        <v>39</v>
      </c>
      <c r="D43" s="6">
        <v>486.8</v>
      </c>
      <c r="E43" s="6">
        <f>'BSi weights'!G49</f>
        <v>2214.6</v>
      </c>
      <c r="F43" s="90">
        <f t="shared" si="0"/>
        <v>486.52500000000003</v>
      </c>
      <c r="G43">
        <f t="shared" si="1"/>
        <v>4.8652500000000005</v>
      </c>
      <c r="H43">
        <f t="shared" si="2"/>
        <v>6.0815625000000004</v>
      </c>
      <c r="I43">
        <f t="shared" si="3"/>
        <v>170.831090625</v>
      </c>
      <c r="J43">
        <f t="shared" si="4"/>
        <v>365.44109062500007</v>
      </c>
      <c r="K43">
        <f t="shared" si="5"/>
        <v>7.7138576097263618</v>
      </c>
      <c r="L43">
        <f t="shared" si="6"/>
        <v>16.501449048360879</v>
      </c>
    </row>
    <row r="44" spans="1:14">
      <c r="A44" s="6">
        <v>16835</v>
      </c>
      <c r="B44" s="6" t="s">
        <v>3297</v>
      </c>
      <c r="C44" s="6">
        <v>40</v>
      </c>
      <c r="D44" s="6">
        <v>548.1</v>
      </c>
      <c r="E44" s="6">
        <f>'BSi weights'!G50</f>
        <v>2583.8000000000002</v>
      </c>
      <c r="F44" s="90">
        <f t="shared" si="0"/>
        <v>547.82500000000005</v>
      </c>
      <c r="G44">
        <f t="shared" si="1"/>
        <v>5.4782500000000001</v>
      </c>
      <c r="H44">
        <f t="shared" si="2"/>
        <v>6.8478124999999999</v>
      </c>
      <c r="I44">
        <f t="shared" si="3"/>
        <v>192.35505312499998</v>
      </c>
      <c r="J44">
        <f t="shared" si="4"/>
        <v>411.48505312500004</v>
      </c>
      <c r="K44">
        <f t="shared" si="5"/>
        <v>7.4446572151482302</v>
      </c>
      <c r="L44">
        <f t="shared" si="6"/>
        <v>15.925576790966794</v>
      </c>
    </row>
    <row r="45" spans="1:14">
      <c r="A45" s="6">
        <v>16836</v>
      </c>
      <c r="B45" s="6" t="s">
        <v>3298</v>
      </c>
      <c r="C45" s="6">
        <v>41</v>
      </c>
      <c r="D45" s="6">
        <v>326.2</v>
      </c>
      <c r="E45" s="6">
        <f>'BSi weights'!G51</f>
        <v>2278.9</v>
      </c>
      <c r="F45" s="90">
        <f t="shared" si="0"/>
        <v>325.92500000000001</v>
      </c>
      <c r="G45">
        <f t="shared" si="1"/>
        <v>3.2592500000000002</v>
      </c>
      <c r="H45">
        <f t="shared" si="2"/>
        <v>4.0740625000000001</v>
      </c>
      <c r="I45">
        <f t="shared" si="3"/>
        <v>114.440415625</v>
      </c>
      <c r="J45">
        <f t="shared" si="4"/>
        <v>244.81041562500002</v>
      </c>
      <c r="K45">
        <f t="shared" si="5"/>
        <v>5.0217392437140722</v>
      </c>
      <c r="L45">
        <f t="shared" si="6"/>
        <v>10.742481707183291</v>
      </c>
    </row>
    <row r="46" spans="1:14">
      <c r="A46" s="6">
        <v>16837</v>
      </c>
      <c r="B46" s="6" t="s">
        <v>3299</v>
      </c>
      <c r="C46" s="6">
        <v>42</v>
      </c>
      <c r="D46" s="6">
        <v>288.89999999999998</v>
      </c>
      <c r="E46" s="6">
        <f>'BSi weights'!G52</f>
        <v>2444</v>
      </c>
      <c r="F46" s="90">
        <f t="shared" si="0"/>
        <v>288.625</v>
      </c>
      <c r="G46">
        <f t="shared" si="1"/>
        <v>2.8862500000000004</v>
      </c>
      <c r="H46">
        <f t="shared" si="2"/>
        <v>3.6078125000000005</v>
      </c>
      <c r="I46">
        <f t="shared" si="3"/>
        <v>101.34345312500001</v>
      </c>
      <c r="J46">
        <f t="shared" si="4"/>
        <v>216.79345312500004</v>
      </c>
      <c r="K46">
        <f t="shared" si="5"/>
        <v>4.1466224682896895</v>
      </c>
      <c r="L46">
        <f t="shared" si="6"/>
        <v>8.8704358889116222</v>
      </c>
    </row>
    <row r="47" spans="1:14">
      <c r="A47" s="6">
        <v>16838</v>
      </c>
      <c r="B47" s="6" t="s">
        <v>3300</v>
      </c>
      <c r="C47" s="6">
        <v>43</v>
      </c>
      <c r="D47" s="6">
        <v>256.60000000000002</v>
      </c>
      <c r="E47" s="6">
        <f>'BSi weights'!G53</f>
        <v>2205.6</v>
      </c>
      <c r="F47" s="90">
        <f t="shared" si="0"/>
        <v>256.32500000000005</v>
      </c>
      <c r="G47">
        <f t="shared" si="1"/>
        <v>2.56325</v>
      </c>
      <c r="H47">
        <f t="shared" si="2"/>
        <v>3.2040625</v>
      </c>
      <c r="I47">
        <f t="shared" si="3"/>
        <v>90.002115625000002</v>
      </c>
      <c r="J47">
        <f t="shared" si="4"/>
        <v>192.53211562500002</v>
      </c>
      <c r="K47">
        <f t="shared" si="5"/>
        <v>4.0806182274664495</v>
      </c>
      <c r="L47">
        <f t="shared" si="6"/>
        <v>8.7292399177094673</v>
      </c>
    </row>
    <row r="48" spans="1:14">
      <c r="A48" s="6">
        <v>16839</v>
      </c>
      <c r="B48" s="6" t="s">
        <v>3301</v>
      </c>
      <c r="C48" s="6">
        <v>44</v>
      </c>
      <c r="D48" s="6">
        <v>261.89999999999998</v>
      </c>
      <c r="E48" s="6">
        <f>'BSi weights'!G54</f>
        <v>2168.5</v>
      </c>
      <c r="F48" s="90">
        <f t="shared" si="0"/>
        <v>261.625</v>
      </c>
      <c r="G48">
        <f t="shared" si="1"/>
        <v>2.61625</v>
      </c>
      <c r="H48">
        <f t="shared" si="2"/>
        <v>3.2703125000000002</v>
      </c>
      <c r="I48">
        <f t="shared" si="3"/>
        <v>91.863078125000001</v>
      </c>
      <c r="J48">
        <f t="shared" si="4"/>
        <v>196.51307812500002</v>
      </c>
      <c r="K48">
        <f t="shared" si="5"/>
        <v>4.2362498558911694</v>
      </c>
      <c r="L48">
        <f t="shared" si="6"/>
        <v>9.0621663880562622</v>
      </c>
      <c r="M48">
        <f>_xlfn.STDEV.P(K48:K50)/AVERAGE(K48:K50)</f>
        <v>1.4727358895690441E-2</v>
      </c>
      <c r="N48">
        <f>_xlfn.STDEV.P(K48:K50)</f>
        <v>6.1734347425026218E-2</v>
      </c>
    </row>
    <row r="49" spans="1:14">
      <c r="A49" s="6">
        <v>16840</v>
      </c>
      <c r="B49" s="6" t="s">
        <v>3302</v>
      </c>
      <c r="C49" s="6">
        <v>45</v>
      </c>
      <c r="D49" s="6">
        <v>297.2</v>
      </c>
      <c r="E49" s="6">
        <f>'BSi weights'!G55</f>
        <v>2462</v>
      </c>
      <c r="F49" s="90">
        <f t="shared" si="0"/>
        <v>296.92500000000001</v>
      </c>
      <c r="G49">
        <f t="shared" si="1"/>
        <v>2.9692499999999997</v>
      </c>
      <c r="H49">
        <f t="shared" si="2"/>
        <v>3.7115624999999994</v>
      </c>
      <c r="I49">
        <f t="shared" si="3"/>
        <v>104.25779062499998</v>
      </c>
      <c r="J49">
        <f t="shared" si="4"/>
        <v>223.02779062499997</v>
      </c>
      <c r="K49">
        <f t="shared" si="5"/>
        <v>4.2346787418765226</v>
      </c>
      <c r="L49">
        <f t="shared" si="6"/>
        <v>9.0588054681153523</v>
      </c>
    </row>
    <row r="50" spans="1:14">
      <c r="A50" s="6">
        <v>16841</v>
      </c>
      <c r="B50" s="6" t="s">
        <v>3303</v>
      </c>
      <c r="C50" s="6">
        <v>46</v>
      </c>
      <c r="D50" s="6">
        <v>272.89999999999998</v>
      </c>
      <c r="E50" s="6">
        <f>'BSi weights'!G56</f>
        <v>2332.1999999999998</v>
      </c>
      <c r="F50" s="90">
        <f t="shared" si="0"/>
        <v>272.625</v>
      </c>
      <c r="G50">
        <f t="shared" si="1"/>
        <v>2.7262500000000003</v>
      </c>
      <c r="H50">
        <f t="shared" si="2"/>
        <v>3.4078125000000004</v>
      </c>
      <c r="I50">
        <f t="shared" si="3"/>
        <v>95.725453125000016</v>
      </c>
      <c r="J50">
        <f t="shared" si="4"/>
        <v>204.77545312500004</v>
      </c>
      <c r="K50">
        <f t="shared" si="5"/>
        <v>4.1045130402624146</v>
      </c>
      <c r="L50">
        <f t="shared" si="6"/>
        <v>8.7803555923591485</v>
      </c>
    </row>
    <row r="51" spans="1:14">
      <c r="A51" s="6">
        <v>16842</v>
      </c>
      <c r="B51" s="6" t="s">
        <v>3206</v>
      </c>
      <c r="C51" s="6">
        <v>47</v>
      </c>
      <c r="D51" s="6">
        <v>0.3</v>
      </c>
      <c r="E51" s="6"/>
      <c r="F51" s="90"/>
      <c r="G51">
        <f>(D51/1000)*10</f>
        <v>2.9999999999999996E-3</v>
      </c>
      <c r="H51">
        <f t="shared" si="2"/>
        <v>3.7499999999999994E-3</v>
      </c>
      <c r="I51">
        <f t="shared" si="3"/>
        <v>0.10533749999999999</v>
      </c>
      <c r="J51">
        <f t="shared" si="4"/>
        <v>0.22533749999999997</v>
      </c>
      <c r="K51" t="e">
        <f t="shared" si="5"/>
        <v>#DIV/0!</v>
      </c>
      <c r="L51" t="e">
        <f t="shared" si="6"/>
        <v>#DIV/0!</v>
      </c>
    </row>
    <row r="52" spans="1:14">
      <c r="A52" s="6">
        <v>16843</v>
      </c>
      <c r="B52" s="6" t="s">
        <v>3304</v>
      </c>
      <c r="C52" s="6">
        <v>48</v>
      </c>
      <c r="D52" s="6">
        <v>273.5</v>
      </c>
      <c r="E52" s="6">
        <f>'BSi weights'!G58</f>
        <v>2191.1999999999998</v>
      </c>
      <c r="F52" s="90">
        <f t="shared" si="0"/>
        <v>273.22500000000002</v>
      </c>
      <c r="G52">
        <f t="shared" si="1"/>
        <v>2.7322500000000001</v>
      </c>
      <c r="H52">
        <f t="shared" si="2"/>
        <v>3.4153125000000002</v>
      </c>
      <c r="I52">
        <f t="shared" si="3"/>
        <v>95.93612812500001</v>
      </c>
      <c r="J52">
        <f t="shared" si="4"/>
        <v>205.22612812500003</v>
      </c>
      <c r="K52">
        <f t="shared" si="5"/>
        <v>4.3782460809145682</v>
      </c>
      <c r="L52">
        <f t="shared" si="6"/>
        <v>9.3659240655805061</v>
      </c>
    </row>
    <row r="53" spans="1:14">
      <c r="A53" s="6">
        <v>16844</v>
      </c>
      <c r="B53" s="6" t="s">
        <v>3305</v>
      </c>
      <c r="C53" s="6">
        <v>49</v>
      </c>
      <c r="D53" s="6">
        <v>382.6</v>
      </c>
      <c r="E53" s="6">
        <f>'BSi weights'!G60</f>
        <v>2754.5</v>
      </c>
      <c r="F53" s="90">
        <f t="shared" si="0"/>
        <v>382.32500000000005</v>
      </c>
      <c r="G53">
        <f t="shared" si="1"/>
        <v>3.8232500000000003</v>
      </c>
      <c r="H53">
        <f t="shared" si="2"/>
        <v>4.7790625000000002</v>
      </c>
      <c r="I53">
        <f t="shared" si="3"/>
        <v>134.24386562500001</v>
      </c>
      <c r="J53">
        <f t="shared" si="4"/>
        <v>287.17386562500002</v>
      </c>
      <c r="K53">
        <f t="shared" si="5"/>
        <v>4.8736200989290257</v>
      </c>
      <c r="L53">
        <f t="shared" si="6"/>
        <v>10.425625907605736</v>
      </c>
    </row>
    <row r="54" spans="1:14">
      <c r="A54" s="6">
        <v>16845</v>
      </c>
      <c r="B54" s="6" t="s">
        <v>3306</v>
      </c>
      <c r="C54" s="6">
        <v>50</v>
      </c>
      <c r="D54" s="6">
        <v>430.6</v>
      </c>
      <c r="E54" s="6">
        <f>'BSi weights'!G61</f>
        <v>2461.3000000000002</v>
      </c>
      <c r="F54" s="90">
        <f t="shared" si="0"/>
        <v>430.32500000000005</v>
      </c>
      <c r="G54">
        <f t="shared" si="1"/>
        <v>4.3032500000000002</v>
      </c>
      <c r="H54">
        <f t="shared" si="2"/>
        <v>5.3790624999999999</v>
      </c>
      <c r="I54">
        <f t="shared" si="3"/>
        <v>151.097865625</v>
      </c>
      <c r="J54">
        <f t="shared" si="4"/>
        <v>323.22786562499999</v>
      </c>
      <c r="K54">
        <f t="shared" si="5"/>
        <v>6.1389455013610688</v>
      </c>
      <c r="L54">
        <f t="shared" si="6"/>
        <v>13.132404242676632</v>
      </c>
    </row>
    <row r="55" spans="1:14">
      <c r="A55" s="6">
        <v>16846</v>
      </c>
      <c r="B55" s="6" t="s">
        <v>3307</v>
      </c>
      <c r="C55" s="6">
        <v>51</v>
      </c>
      <c r="D55" s="6">
        <v>551.1</v>
      </c>
      <c r="E55" s="6">
        <f>'BSi weights'!G62</f>
        <v>2397.6</v>
      </c>
      <c r="F55" s="90">
        <f t="shared" si="0"/>
        <v>550.82500000000005</v>
      </c>
      <c r="G55">
        <f t="shared" si="1"/>
        <v>5.5082500000000003</v>
      </c>
      <c r="H55">
        <f t="shared" si="2"/>
        <v>6.8853125000000004</v>
      </c>
      <c r="I55">
        <f t="shared" si="3"/>
        <v>193.408428125</v>
      </c>
      <c r="J55">
        <f t="shared" si="4"/>
        <v>413.73842812500004</v>
      </c>
      <c r="K55">
        <f t="shared" si="5"/>
        <v>8.0667512564647978</v>
      </c>
      <c r="L55">
        <f t="shared" si="6"/>
        <v>17.256357529404408</v>
      </c>
    </row>
    <row r="56" spans="1:14">
      <c r="A56" s="6">
        <v>16847</v>
      </c>
      <c r="B56" s="6" t="s">
        <v>3308</v>
      </c>
      <c r="C56" s="6">
        <v>52</v>
      </c>
      <c r="D56" s="6">
        <v>481.8</v>
      </c>
      <c r="E56" s="6">
        <f>'BSi weights'!G63</f>
        <v>2063.3000000000002</v>
      </c>
      <c r="F56" s="90">
        <f t="shared" si="0"/>
        <v>481.52500000000003</v>
      </c>
      <c r="G56">
        <f t="shared" si="1"/>
        <v>4.8152500000000007</v>
      </c>
      <c r="H56">
        <f t="shared" si="2"/>
        <v>6.0190625000000004</v>
      </c>
      <c r="I56">
        <f t="shared" si="3"/>
        <v>169.07546562500002</v>
      </c>
      <c r="J56">
        <f t="shared" si="4"/>
        <v>361.68546562500006</v>
      </c>
      <c r="K56">
        <f t="shared" si="5"/>
        <v>8.194419891678379</v>
      </c>
      <c r="L56">
        <f t="shared" si="6"/>
        <v>17.52946569209519</v>
      </c>
    </row>
    <row r="57" spans="1:14">
      <c r="A57" s="6">
        <v>16848</v>
      </c>
      <c r="B57" s="6" t="s">
        <v>3309</v>
      </c>
      <c r="C57" s="6">
        <v>53</v>
      </c>
      <c r="D57" s="6">
        <v>199.6</v>
      </c>
      <c r="E57" s="6">
        <f>'BSi weights'!G64</f>
        <v>2044.6</v>
      </c>
      <c r="F57" s="90">
        <f t="shared" si="0"/>
        <v>199.32499999999999</v>
      </c>
      <c r="G57">
        <f t="shared" si="1"/>
        <v>1.99325</v>
      </c>
      <c r="H57">
        <f t="shared" si="2"/>
        <v>2.4915625000000001</v>
      </c>
      <c r="I57">
        <f t="shared" si="3"/>
        <v>69.987990625000009</v>
      </c>
      <c r="J57">
        <f t="shared" si="4"/>
        <v>149.71799062500003</v>
      </c>
      <c r="K57">
        <f t="shared" si="5"/>
        <v>3.4230651777853867</v>
      </c>
      <c r="L57">
        <f t="shared" si="6"/>
        <v>7.3226054301574903</v>
      </c>
    </row>
    <row r="58" spans="1:14">
      <c r="A58" s="6">
        <v>16849</v>
      </c>
      <c r="B58" s="6" t="s">
        <v>3310</v>
      </c>
      <c r="C58" s="6">
        <v>54</v>
      </c>
      <c r="D58" s="6">
        <v>150.4</v>
      </c>
      <c r="E58" s="6">
        <f>'BSi weights'!G65</f>
        <v>2027.6</v>
      </c>
      <c r="F58" s="90">
        <f t="shared" si="0"/>
        <v>150.125</v>
      </c>
      <c r="G58">
        <f t="shared" si="1"/>
        <v>1.5012500000000002</v>
      </c>
      <c r="H58">
        <f t="shared" si="2"/>
        <v>1.8765625000000004</v>
      </c>
      <c r="I58">
        <f t="shared" si="3"/>
        <v>52.712640625000013</v>
      </c>
      <c r="J58">
        <f t="shared" si="4"/>
        <v>112.76264062500003</v>
      </c>
      <c r="K58">
        <f t="shared" si="5"/>
        <v>2.599755406638391</v>
      </c>
      <c r="L58">
        <f t="shared" si="6"/>
        <v>5.5613849193627951</v>
      </c>
    </row>
    <row r="59" spans="1:14">
      <c r="A59" s="6">
        <v>16850</v>
      </c>
      <c r="B59" s="6" t="s">
        <v>3311</v>
      </c>
      <c r="C59" s="6">
        <v>55</v>
      </c>
      <c r="D59" s="6">
        <v>334.1</v>
      </c>
      <c r="E59" s="6">
        <f>'BSi weights'!G66</f>
        <v>3339.6</v>
      </c>
      <c r="F59" s="90">
        <f t="shared" si="0"/>
        <v>333.82500000000005</v>
      </c>
      <c r="G59">
        <f t="shared" si="1"/>
        <v>3.3382500000000004</v>
      </c>
      <c r="H59">
        <f t="shared" si="2"/>
        <v>4.1728125000000009</v>
      </c>
      <c r="I59">
        <f t="shared" si="3"/>
        <v>117.21430312500003</v>
      </c>
      <c r="J59">
        <f t="shared" si="4"/>
        <v>250.74430312500007</v>
      </c>
      <c r="K59">
        <f t="shared" si="5"/>
        <v>3.509830612199067</v>
      </c>
      <c r="L59">
        <f t="shared" si="6"/>
        <v>7.5082136520840841</v>
      </c>
      <c r="M59">
        <f>_xlfn.STDEV.P(K59:K61)/AVERAGE(K59:K61)</f>
        <v>1.575808255025103E-3</v>
      </c>
      <c r="N59">
        <f>_xlfn.STDEV.P(K59:K61)</f>
        <v>5.5294613453277866E-3</v>
      </c>
    </row>
    <row r="60" spans="1:14">
      <c r="A60" s="6">
        <v>16851</v>
      </c>
      <c r="B60" s="6" t="s">
        <v>3312</v>
      </c>
      <c r="C60" s="6">
        <v>56</v>
      </c>
      <c r="D60" s="6">
        <v>217.2</v>
      </c>
      <c r="E60" s="6">
        <f>'BSi weights'!G67</f>
        <v>2175.1</v>
      </c>
      <c r="F60" s="90">
        <f t="shared" si="0"/>
        <v>216.92499999999998</v>
      </c>
      <c r="G60">
        <f t="shared" si="1"/>
        <v>2.1692499999999999</v>
      </c>
      <c r="H60">
        <f t="shared" si="2"/>
        <v>2.7115624999999999</v>
      </c>
      <c r="I60">
        <f t="shared" si="3"/>
        <v>76.167790624999995</v>
      </c>
      <c r="J60">
        <f t="shared" si="4"/>
        <v>162.93779062499999</v>
      </c>
      <c r="K60">
        <f t="shared" si="5"/>
        <v>3.501806382465174</v>
      </c>
      <c r="L60">
        <f t="shared" si="6"/>
        <v>7.4910482564020038</v>
      </c>
    </row>
    <row r="61" spans="1:14">
      <c r="A61" s="6">
        <v>16852</v>
      </c>
      <c r="B61" s="6" t="s">
        <v>3313</v>
      </c>
      <c r="C61" s="6">
        <v>57</v>
      </c>
      <c r="D61" s="6">
        <v>284.60000000000002</v>
      </c>
      <c r="E61" s="6">
        <f>'BSi weights'!G68</f>
        <v>2840</v>
      </c>
      <c r="F61" s="90">
        <f t="shared" si="0"/>
        <v>284.32500000000005</v>
      </c>
      <c r="G61">
        <f t="shared" si="1"/>
        <v>2.8432500000000003</v>
      </c>
      <c r="H61">
        <f t="shared" si="2"/>
        <v>3.5540625000000006</v>
      </c>
      <c r="I61">
        <f t="shared" si="3"/>
        <v>99.833615625000022</v>
      </c>
      <c r="J61">
        <f t="shared" si="4"/>
        <v>213.56361562500004</v>
      </c>
      <c r="K61">
        <f t="shared" si="5"/>
        <v>3.51526815580986</v>
      </c>
      <c r="L61">
        <f t="shared" si="6"/>
        <v>7.5198456205985931</v>
      </c>
    </row>
    <row r="62" spans="1:14">
      <c r="A62" s="6">
        <v>16853</v>
      </c>
      <c r="B62" s="6" t="s">
        <v>3314</v>
      </c>
      <c r="C62" s="6">
        <v>58</v>
      </c>
      <c r="D62" s="6">
        <v>293.7</v>
      </c>
      <c r="E62" s="6">
        <f>'BSi weights'!G69</f>
        <v>2678.5</v>
      </c>
      <c r="F62" s="90">
        <f t="shared" si="0"/>
        <v>293.42500000000001</v>
      </c>
      <c r="G62">
        <f t="shared" si="1"/>
        <v>2.93425</v>
      </c>
      <c r="H62">
        <f t="shared" si="2"/>
        <v>3.6678125000000001</v>
      </c>
      <c r="I62">
        <f t="shared" si="3"/>
        <v>103.028853125</v>
      </c>
      <c r="J62">
        <f t="shared" si="4"/>
        <v>220.39885312500002</v>
      </c>
      <c r="K62">
        <f t="shared" si="5"/>
        <v>3.8465130903490761</v>
      </c>
      <c r="L62">
        <f t="shared" si="6"/>
        <v>8.2284432751540049</v>
      </c>
    </row>
    <row r="63" spans="1:14">
      <c r="A63" s="6">
        <v>16854</v>
      </c>
      <c r="B63" s="6" t="s">
        <v>3208</v>
      </c>
      <c r="C63" s="6">
        <v>59</v>
      </c>
      <c r="D63" s="6">
        <v>0.2</v>
      </c>
      <c r="E63" s="6"/>
      <c r="F63" s="90"/>
      <c r="G63">
        <f>(D63/1000)*10</f>
        <v>2E-3</v>
      </c>
      <c r="H63">
        <f t="shared" si="2"/>
        <v>2.5000000000000001E-3</v>
      </c>
      <c r="I63">
        <f t="shared" si="3"/>
        <v>7.0224999999999996E-2</v>
      </c>
      <c r="J63">
        <f t="shared" si="4"/>
        <v>0.15022500000000003</v>
      </c>
      <c r="K63" t="e">
        <f t="shared" si="5"/>
        <v>#DIV/0!</v>
      </c>
      <c r="L63" t="e">
        <f t="shared" si="6"/>
        <v>#DIV/0!</v>
      </c>
    </row>
    <row r="64" spans="1:14">
      <c r="A64" s="6">
        <v>16855</v>
      </c>
      <c r="B64" s="6" t="s">
        <v>3315</v>
      </c>
      <c r="C64" s="6">
        <v>60</v>
      </c>
      <c r="D64" s="6">
        <v>338.6</v>
      </c>
      <c r="E64" s="6">
        <f>'BSi weights'!G71</f>
        <v>2718.1</v>
      </c>
      <c r="F64" s="90">
        <f t="shared" si="0"/>
        <v>338.32500000000005</v>
      </c>
      <c r="G64">
        <f t="shared" si="1"/>
        <v>3.3832500000000003</v>
      </c>
      <c r="H64">
        <f t="shared" si="2"/>
        <v>4.2290625000000004</v>
      </c>
      <c r="I64">
        <f t="shared" si="3"/>
        <v>118.79436562500001</v>
      </c>
      <c r="J64">
        <f t="shared" si="4"/>
        <v>254.12436562500002</v>
      </c>
      <c r="K64">
        <f t="shared" si="5"/>
        <v>4.3704928304698143</v>
      </c>
      <c r="L64">
        <f t="shared" si="6"/>
        <v>9.3493383475589589</v>
      </c>
    </row>
    <row r="65" spans="1:14">
      <c r="A65" s="6">
        <v>16856</v>
      </c>
      <c r="B65" s="6" t="s">
        <v>3316</v>
      </c>
      <c r="C65" s="6">
        <v>61</v>
      </c>
      <c r="D65" s="6">
        <v>339.6</v>
      </c>
      <c r="E65" s="6">
        <f>'BSi weights'!G73</f>
        <v>3028.5</v>
      </c>
      <c r="F65" s="90">
        <f t="shared" si="0"/>
        <v>339.32500000000005</v>
      </c>
      <c r="G65">
        <f t="shared" si="1"/>
        <v>3.3932500000000005</v>
      </c>
      <c r="H65">
        <f t="shared" si="2"/>
        <v>4.2415625000000006</v>
      </c>
      <c r="I65">
        <f t="shared" si="3"/>
        <v>119.14549062500002</v>
      </c>
      <c r="J65">
        <f t="shared" si="4"/>
        <v>254.87549062500005</v>
      </c>
      <c r="K65">
        <f t="shared" si="5"/>
        <v>3.9341420051180456</v>
      </c>
      <c r="L65">
        <f t="shared" si="6"/>
        <v>8.4158986503219424</v>
      </c>
    </row>
    <row r="66" spans="1:14">
      <c r="A66" s="6">
        <v>16857</v>
      </c>
      <c r="B66" s="6" t="s">
        <v>3317</v>
      </c>
      <c r="C66" s="6">
        <v>62</v>
      </c>
      <c r="D66" s="6">
        <v>252.4</v>
      </c>
      <c r="E66" s="6">
        <f>'BSi weights'!G74</f>
        <v>2545.1999999999998</v>
      </c>
      <c r="F66" s="90">
        <f t="shared" si="0"/>
        <v>252.125</v>
      </c>
      <c r="G66">
        <f t="shared" si="1"/>
        <v>2.5212499999999998</v>
      </c>
      <c r="H66">
        <f t="shared" si="2"/>
        <v>3.1515624999999998</v>
      </c>
      <c r="I66">
        <f t="shared" si="3"/>
        <v>88.527390624999995</v>
      </c>
      <c r="J66">
        <f t="shared" si="4"/>
        <v>189.377390625</v>
      </c>
      <c r="K66">
        <f t="shared" si="5"/>
        <v>3.4782095955131229</v>
      </c>
      <c r="L66">
        <f t="shared" si="6"/>
        <v>7.4405701172795853</v>
      </c>
    </row>
    <row r="67" spans="1:14">
      <c r="A67" s="6">
        <v>16858</v>
      </c>
      <c r="B67" s="6" t="s">
        <v>3318</v>
      </c>
      <c r="C67" s="6">
        <v>63</v>
      </c>
      <c r="D67" s="6">
        <v>256.60000000000002</v>
      </c>
      <c r="E67" s="6">
        <f>'BSi weights'!G75</f>
        <v>2627.9</v>
      </c>
      <c r="F67" s="90">
        <f t="shared" si="0"/>
        <v>256.32500000000005</v>
      </c>
      <c r="G67">
        <f t="shared" si="1"/>
        <v>2.56325</v>
      </c>
      <c r="H67">
        <f t="shared" si="2"/>
        <v>3.2040625</v>
      </c>
      <c r="I67">
        <f t="shared" si="3"/>
        <v>90.002115625000002</v>
      </c>
      <c r="J67">
        <f t="shared" si="4"/>
        <v>192.53211562500002</v>
      </c>
      <c r="K67">
        <f t="shared" si="5"/>
        <v>3.4248683597168843</v>
      </c>
      <c r="L67">
        <f t="shared" si="6"/>
        <v>7.3264627887286426</v>
      </c>
    </row>
    <row r="68" spans="1:14">
      <c r="A68" s="6">
        <v>16859</v>
      </c>
      <c r="B68" s="6" t="s">
        <v>3319</v>
      </c>
      <c r="C68" s="6">
        <v>64</v>
      </c>
      <c r="D68" s="6">
        <v>204.5</v>
      </c>
      <c r="E68" s="6">
        <f>'BSi weights'!G76</f>
        <v>2008</v>
      </c>
      <c r="F68" s="90">
        <f t="shared" si="0"/>
        <v>204.22499999999999</v>
      </c>
      <c r="G68">
        <f t="shared" si="1"/>
        <v>2.0422500000000001</v>
      </c>
      <c r="H68">
        <f t="shared" si="2"/>
        <v>2.5528124999999999</v>
      </c>
      <c r="I68">
        <f t="shared" si="3"/>
        <v>71.708503124999993</v>
      </c>
      <c r="J68">
        <f t="shared" si="4"/>
        <v>153.39850312499999</v>
      </c>
      <c r="K68">
        <f t="shared" si="5"/>
        <v>3.5711405938745013</v>
      </c>
      <c r="L68">
        <f t="shared" si="6"/>
        <v>7.6393676855079677</v>
      </c>
      <c r="M68">
        <f>_xlfn.STDEV.P(K68:K70)/AVERAGE(K68:K70)</f>
        <v>7.1601324498607325E-3</v>
      </c>
      <c r="N68">
        <f>_xlfn.STDEV.P(K68:K70)</f>
        <v>2.5828294802230131E-2</v>
      </c>
    </row>
    <row r="69" spans="1:14">
      <c r="A69" s="6">
        <v>16860</v>
      </c>
      <c r="B69" s="6" t="s">
        <v>3320</v>
      </c>
      <c r="C69" s="6">
        <v>65</v>
      </c>
      <c r="D69" s="6">
        <v>283.2</v>
      </c>
      <c r="E69" s="6">
        <f>'BSi weights'!G77</f>
        <v>2736.6</v>
      </c>
      <c r="F69" s="90">
        <f t="shared" si="0"/>
        <v>282.92500000000001</v>
      </c>
      <c r="G69">
        <f t="shared" si="1"/>
        <v>2.8292500000000005</v>
      </c>
      <c r="H69">
        <f t="shared" si="2"/>
        <v>3.5365625000000005</v>
      </c>
      <c r="I69">
        <f t="shared" si="3"/>
        <v>99.34204062500001</v>
      </c>
      <c r="J69">
        <f t="shared" si="4"/>
        <v>212.51204062500005</v>
      </c>
      <c r="K69">
        <f t="shared" si="5"/>
        <v>3.6301264571000518</v>
      </c>
      <c r="L69">
        <f t="shared" si="6"/>
        <v>7.7655499753343582</v>
      </c>
    </row>
    <row r="70" spans="1:14">
      <c r="A70" s="6">
        <v>16861</v>
      </c>
      <c r="B70" s="6" t="s">
        <v>3321</v>
      </c>
      <c r="C70" s="6">
        <v>66</v>
      </c>
      <c r="D70" s="6">
        <v>263.7</v>
      </c>
      <c r="E70" s="6">
        <f>'BSi weights'!G78</f>
        <v>2554.8000000000002</v>
      </c>
      <c r="F70" s="90">
        <f t="shared" ref="F70:F86" si="7">D70-$L$2</f>
        <v>263.42500000000001</v>
      </c>
      <c r="G70">
        <f t="shared" ref="G70:G86" si="8">(F70/1000)*10</f>
        <v>2.6342500000000002</v>
      </c>
      <c r="H70">
        <f t="shared" ref="H70:H86" si="9">G70*(5/4)</f>
        <v>3.2928125000000001</v>
      </c>
      <c r="I70">
        <f t="shared" ref="I70:I86" si="10">H70*28.09</f>
        <v>92.495103125</v>
      </c>
      <c r="J70">
        <f t="shared" ref="J70:J86" si="11">H70*(28.09+2*16)</f>
        <v>197.86510312500002</v>
      </c>
      <c r="K70">
        <f t="shared" ref="K70:K86" si="12">(I70/E70)*100</f>
        <v>3.6204439926804444</v>
      </c>
      <c r="L70">
        <f t="shared" ref="L70:L86" si="13">(J70/E70)*100</f>
        <v>7.7448372915688122</v>
      </c>
    </row>
    <row r="71" spans="1:14">
      <c r="A71" s="6">
        <v>16862</v>
      </c>
      <c r="B71" s="6" t="s">
        <v>3322</v>
      </c>
      <c r="C71" s="6">
        <v>67</v>
      </c>
      <c r="D71" s="6">
        <v>287.7</v>
      </c>
      <c r="E71" s="6">
        <f>'BSi weights'!G79</f>
        <v>2493.9</v>
      </c>
      <c r="F71" s="90">
        <f t="shared" si="7"/>
        <v>287.42500000000001</v>
      </c>
      <c r="G71">
        <f t="shared" si="8"/>
        <v>2.87425</v>
      </c>
      <c r="H71">
        <f t="shared" si="9"/>
        <v>3.5928125</v>
      </c>
      <c r="I71">
        <f t="shared" si="10"/>
        <v>100.92210312499999</v>
      </c>
      <c r="J71">
        <f t="shared" si="11"/>
        <v>215.89210312500001</v>
      </c>
      <c r="K71">
        <f t="shared" si="12"/>
        <v>4.0467582150447088</v>
      </c>
      <c r="L71">
        <f t="shared" si="13"/>
        <v>8.6568067334295691</v>
      </c>
    </row>
    <row r="72" spans="1:14">
      <c r="A72" s="6">
        <v>16863</v>
      </c>
      <c r="B72" s="6" t="s">
        <v>3323</v>
      </c>
      <c r="C72" s="6">
        <v>68</v>
      </c>
      <c r="D72" s="6">
        <v>244.3</v>
      </c>
      <c r="E72" s="6">
        <f>'BSi weights'!G80</f>
        <v>2216.8000000000002</v>
      </c>
      <c r="F72" s="90">
        <f t="shared" si="7"/>
        <v>244.02500000000001</v>
      </c>
      <c r="G72">
        <f t="shared" si="8"/>
        <v>2.4402499999999998</v>
      </c>
      <c r="H72">
        <f t="shared" si="9"/>
        <v>3.0503124999999995</v>
      </c>
      <c r="I72">
        <f t="shared" si="10"/>
        <v>85.683278124999987</v>
      </c>
      <c r="J72">
        <f t="shared" si="11"/>
        <v>183.29327812499997</v>
      </c>
      <c r="K72">
        <f t="shared" si="12"/>
        <v>3.8651785512901471</v>
      </c>
      <c r="L72">
        <f t="shared" si="13"/>
        <v>8.2683723441447121</v>
      </c>
    </row>
    <row r="73" spans="1:14">
      <c r="A73" s="6">
        <v>16864</v>
      </c>
      <c r="B73" s="6" t="s">
        <v>3324</v>
      </c>
      <c r="C73" s="6">
        <v>69</v>
      </c>
      <c r="D73" s="6">
        <v>270.60000000000002</v>
      </c>
      <c r="E73" s="6">
        <f>'BSi weights'!G81</f>
        <v>2221.4</v>
      </c>
      <c r="F73" s="90">
        <f t="shared" si="7"/>
        <v>270.32500000000005</v>
      </c>
      <c r="G73">
        <f t="shared" si="8"/>
        <v>2.7032500000000006</v>
      </c>
      <c r="H73">
        <f t="shared" si="9"/>
        <v>3.3790625000000007</v>
      </c>
      <c r="I73">
        <f t="shared" si="10"/>
        <v>94.917865625000019</v>
      </c>
      <c r="J73">
        <f t="shared" si="11"/>
        <v>203.04786562500004</v>
      </c>
      <c r="K73">
        <f t="shared" si="12"/>
        <v>4.2728849205456028</v>
      </c>
      <c r="L73">
        <f t="shared" si="13"/>
        <v>9.1405359514270295</v>
      </c>
    </row>
    <row r="74" spans="1:14">
      <c r="A74" s="6">
        <v>16865</v>
      </c>
      <c r="B74" s="6" t="s">
        <v>3325</v>
      </c>
      <c r="C74" s="6">
        <v>70</v>
      </c>
      <c r="D74" s="6">
        <v>443.8</v>
      </c>
      <c r="E74" s="6">
        <f>'BSi weights'!G82</f>
        <v>2793.2</v>
      </c>
      <c r="F74" s="90">
        <f t="shared" si="7"/>
        <v>443.52500000000003</v>
      </c>
      <c r="G74">
        <f t="shared" si="8"/>
        <v>4.4352500000000008</v>
      </c>
      <c r="H74">
        <f t="shared" si="9"/>
        <v>5.5440625000000008</v>
      </c>
      <c r="I74">
        <f t="shared" si="10"/>
        <v>155.73271562500003</v>
      </c>
      <c r="J74">
        <f t="shared" si="11"/>
        <v>333.14271562500005</v>
      </c>
      <c r="K74">
        <f t="shared" si="12"/>
        <v>5.57542301392668</v>
      </c>
      <c r="L74">
        <f t="shared" si="13"/>
        <v>11.926919505405989</v>
      </c>
    </row>
    <row r="75" spans="1:14">
      <c r="A75" s="6">
        <v>16866</v>
      </c>
      <c r="B75" s="6" t="s">
        <v>3326</v>
      </c>
      <c r="C75" s="6">
        <v>71</v>
      </c>
      <c r="D75" s="6">
        <v>359.3</v>
      </c>
      <c r="E75" s="6">
        <f>'BSi weights'!G83</f>
        <v>2106.3000000000002</v>
      </c>
      <c r="F75" s="90">
        <f t="shared" si="7"/>
        <v>359.02500000000003</v>
      </c>
      <c r="G75">
        <f t="shared" si="8"/>
        <v>3.5902500000000002</v>
      </c>
      <c r="H75">
        <f t="shared" si="9"/>
        <v>4.4878125000000004</v>
      </c>
      <c r="I75">
        <f t="shared" si="10"/>
        <v>126.06265312500001</v>
      </c>
      <c r="J75">
        <f t="shared" si="11"/>
        <v>269.67265312500007</v>
      </c>
      <c r="K75">
        <f t="shared" si="12"/>
        <v>5.9850283969520008</v>
      </c>
      <c r="L75">
        <f t="shared" si="13"/>
        <v>12.803145474291414</v>
      </c>
    </row>
    <row r="76" spans="1:14">
      <c r="A76" s="6">
        <v>16867</v>
      </c>
      <c r="B76" s="6" t="s">
        <v>3327</v>
      </c>
      <c r="C76" s="6">
        <v>72</v>
      </c>
      <c r="D76" s="6">
        <v>340.6</v>
      </c>
      <c r="E76" s="6">
        <f>'BSi weights'!G84</f>
        <v>2273</v>
      </c>
      <c r="F76" s="90">
        <f t="shared" si="7"/>
        <v>340.32500000000005</v>
      </c>
      <c r="G76">
        <f t="shared" si="8"/>
        <v>3.4032500000000003</v>
      </c>
      <c r="H76">
        <f t="shared" si="9"/>
        <v>4.2540625000000007</v>
      </c>
      <c r="I76">
        <f t="shared" si="10"/>
        <v>119.49661562500002</v>
      </c>
      <c r="J76">
        <f t="shared" si="11"/>
        <v>255.62661562500006</v>
      </c>
      <c r="K76">
        <f t="shared" si="12"/>
        <v>5.2572202210734718</v>
      </c>
      <c r="L76">
        <f t="shared" si="13"/>
        <v>11.246221540915093</v>
      </c>
    </row>
    <row r="77" spans="1:14">
      <c r="A77" s="6">
        <v>16868</v>
      </c>
      <c r="B77" s="6" t="s">
        <v>3328</v>
      </c>
      <c r="C77" s="6">
        <v>73</v>
      </c>
      <c r="D77" s="6">
        <v>315.5</v>
      </c>
      <c r="E77" s="6">
        <f>'BSi weights'!G86</f>
        <v>2668.1</v>
      </c>
      <c r="F77" s="90">
        <f t="shared" si="7"/>
        <v>315.22500000000002</v>
      </c>
      <c r="G77">
        <f t="shared" si="8"/>
        <v>3.1522500000000004</v>
      </c>
      <c r="H77">
        <f t="shared" si="9"/>
        <v>3.9403125000000006</v>
      </c>
      <c r="I77">
        <f t="shared" si="10"/>
        <v>110.68337812500002</v>
      </c>
      <c r="J77">
        <f t="shared" si="11"/>
        <v>236.77337812500005</v>
      </c>
      <c r="K77">
        <f t="shared" si="12"/>
        <v>4.1483969163449652</v>
      </c>
      <c r="L77">
        <f t="shared" si="13"/>
        <v>8.8742317801056956</v>
      </c>
    </row>
    <row r="78" spans="1:14">
      <c r="A78" s="6">
        <v>16869</v>
      </c>
      <c r="B78" s="6" t="s">
        <v>3329</v>
      </c>
      <c r="C78" s="6">
        <v>74</v>
      </c>
      <c r="D78" s="6">
        <v>282.60000000000002</v>
      </c>
      <c r="E78" s="6">
        <f>'BSi weights'!G87</f>
        <v>2573.8000000000002</v>
      </c>
      <c r="F78" s="90">
        <f t="shared" si="7"/>
        <v>282.32500000000005</v>
      </c>
      <c r="G78">
        <f t="shared" si="8"/>
        <v>2.8232500000000007</v>
      </c>
      <c r="H78">
        <f t="shared" si="9"/>
        <v>3.5290625000000011</v>
      </c>
      <c r="I78">
        <f t="shared" si="10"/>
        <v>99.131365625000029</v>
      </c>
      <c r="J78">
        <f t="shared" si="11"/>
        <v>212.06136562500006</v>
      </c>
      <c r="K78">
        <f t="shared" si="12"/>
        <v>3.8515566720413403</v>
      </c>
      <c r="L78">
        <f t="shared" si="13"/>
        <v>8.239232482127596</v>
      </c>
    </row>
    <row r="79" spans="1:14">
      <c r="A79" s="6">
        <v>16870</v>
      </c>
      <c r="B79" s="6" t="s">
        <v>3330</v>
      </c>
      <c r="C79" s="6">
        <v>75</v>
      </c>
      <c r="D79" s="6">
        <v>223.4</v>
      </c>
      <c r="E79" s="6">
        <f>'BSi weights'!G88</f>
        <v>2056</v>
      </c>
      <c r="F79" s="90">
        <f t="shared" si="7"/>
        <v>223.125</v>
      </c>
      <c r="G79">
        <f t="shared" si="8"/>
        <v>2.2312499999999997</v>
      </c>
      <c r="H79">
        <f t="shared" si="9"/>
        <v>2.7890624999999996</v>
      </c>
      <c r="I79">
        <f t="shared" si="10"/>
        <v>78.344765624999994</v>
      </c>
      <c r="J79">
        <f t="shared" si="11"/>
        <v>167.59476562499998</v>
      </c>
      <c r="K79">
        <f t="shared" si="12"/>
        <v>3.8105430751459139</v>
      </c>
      <c r="L79">
        <f t="shared" si="13"/>
        <v>8.1514963825389106</v>
      </c>
    </row>
    <row r="80" spans="1:14">
      <c r="A80" s="6">
        <v>16871</v>
      </c>
      <c r="B80" s="6" t="s">
        <v>3331</v>
      </c>
      <c r="C80" s="6">
        <v>76</v>
      </c>
      <c r="D80" s="6">
        <v>301.7</v>
      </c>
      <c r="E80" s="6">
        <f>'BSi weights'!G89</f>
        <v>2618.5</v>
      </c>
      <c r="F80" s="90">
        <f t="shared" si="7"/>
        <v>301.42500000000001</v>
      </c>
      <c r="G80">
        <f t="shared" si="8"/>
        <v>3.0142500000000001</v>
      </c>
      <c r="H80">
        <f t="shared" si="9"/>
        <v>3.7678125000000002</v>
      </c>
      <c r="I80">
        <f t="shared" si="10"/>
        <v>105.83785312500001</v>
      </c>
      <c r="J80">
        <f t="shared" si="11"/>
        <v>226.40785312500003</v>
      </c>
      <c r="K80">
        <f t="shared" si="12"/>
        <v>4.0419267949207569</v>
      </c>
      <c r="L80">
        <f t="shared" si="13"/>
        <v>8.646471381516136</v>
      </c>
    </row>
    <row r="81" spans="1:12">
      <c r="A81" s="6">
        <v>16872</v>
      </c>
      <c r="B81" s="6" t="s">
        <v>3332</v>
      </c>
      <c r="C81" s="6">
        <v>77</v>
      </c>
      <c r="D81" s="6">
        <v>418.2</v>
      </c>
      <c r="E81" s="6">
        <f>'BSi weights'!G90</f>
        <v>2863.8</v>
      </c>
      <c r="F81" s="90">
        <f t="shared" si="7"/>
        <v>417.92500000000001</v>
      </c>
      <c r="G81">
        <f t="shared" si="8"/>
        <v>4.1792499999999997</v>
      </c>
      <c r="H81">
        <f t="shared" si="9"/>
        <v>5.2240624999999996</v>
      </c>
      <c r="I81">
        <f t="shared" si="10"/>
        <v>146.743915625</v>
      </c>
      <c r="J81">
        <f t="shared" si="11"/>
        <v>313.91391562500002</v>
      </c>
      <c r="K81">
        <f t="shared" si="12"/>
        <v>5.1240978987708639</v>
      </c>
      <c r="L81">
        <f t="shared" si="13"/>
        <v>10.961446875654724</v>
      </c>
    </row>
    <row r="82" spans="1:12">
      <c r="A82" s="6">
        <v>16873</v>
      </c>
      <c r="B82" s="6" t="s">
        <v>3333</v>
      </c>
      <c r="C82" s="6">
        <v>78</v>
      </c>
      <c r="D82" s="6">
        <v>630.6</v>
      </c>
      <c r="E82" s="6">
        <f>'BSi weights'!G91</f>
        <v>2882.5</v>
      </c>
      <c r="F82" s="90">
        <f t="shared" si="7"/>
        <v>630.32500000000005</v>
      </c>
      <c r="G82">
        <f t="shared" si="8"/>
        <v>6.3032500000000002</v>
      </c>
      <c r="H82">
        <f t="shared" si="9"/>
        <v>7.8790624999999999</v>
      </c>
      <c r="I82">
        <f t="shared" si="10"/>
        <v>221.32286562499999</v>
      </c>
      <c r="J82">
        <f t="shared" si="11"/>
        <v>473.45286562500002</v>
      </c>
      <c r="K82">
        <f t="shared" si="12"/>
        <v>7.6781566565481354</v>
      </c>
      <c r="L82">
        <f t="shared" si="13"/>
        <v>16.425077732003469</v>
      </c>
    </row>
    <row r="83" spans="1:12">
      <c r="A83" s="6">
        <v>16874</v>
      </c>
      <c r="B83" s="6" t="s">
        <v>3334</v>
      </c>
      <c r="C83" s="6">
        <v>79</v>
      </c>
      <c r="D83" s="6">
        <v>546.6</v>
      </c>
      <c r="E83" s="6">
        <f>'BSi weights'!G92</f>
        <v>2151.4</v>
      </c>
      <c r="F83" s="90">
        <f t="shared" si="7"/>
        <v>546.32500000000005</v>
      </c>
      <c r="G83">
        <f t="shared" si="8"/>
        <v>5.4632500000000004</v>
      </c>
      <c r="H83">
        <f t="shared" si="9"/>
        <v>6.8290625000000009</v>
      </c>
      <c r="I83">
        <f t="shared" si="10"/>
        <v>191.82836562500003</v>
      </c>
      <c r="J83">
        <f t="shared" si="11"/>
        <v>410.35836562500009</v>
      </c>
      <c r="K83">
        <f t="shared" si="12"/>
        <v>8.9164435077159077</v>
      </c>
      <c r="L83">
        <f t="shared" si="13"/>
        <v>19.074015321418614</v>
      </c>
    </row>
    <row r="84" spans="1:12">
      <c r="A84" s="6">
        <v>16875</v>
      </c>
      <c r="B84" s="6" t="s">
        <v>3209</v>
      </c>
      <c r="C84" s="6">
        <v>80</v>
      </c>
      <c r="D84" s="6">
        <v>0.3</v>
      </c>
      <c r="E84" s="6"/>
      <c r="F84" s="90"/>
      <c r="G84">
        <f>(D84/1000)*10</f>
        <v>2.9999999999999996E-3</v>
      </c>
      <c r="H84">
        <f t="shared" si="9"/>
        <v>3.7499999999999994E-3</v>
      </c>
      <c r="I84">
        <f t="shared" si="10"/>
        <v>0.10533749999999999</v>
      </c>
      <c r="J84">
        <f t="shared" si="11"/>
        <v>0.22533749999999997</v>
      </c>
      <c r="K84" t="e">
        <f t="shared" si="12"/>
        <v>#DIV/0!</v>
      </c>
      <c r="L84" t="e">
        <f t="shared" si="13"/>
        <v>#DIV/0!</v>
      </c>
    </row>
    <row r="85" spans="1:12">
      <c r="A85" s="6">
        <v>16876</v>
      </c>
      <c r="B85" s="6" t="s">
        <v>3335</v>
      </c>
      <c r="C85" s="6">
        <v>81</v>
      </c>
      <c r="D85" s="6">
        <v>335</v>
      </c>
      <c r="E85" s="6">
        <f>'BSi weights'!G94</f>
        <v>2710.3</v>
      </c>
      <c r="F85" s="90">
        <f t="shared" si="7"/>
        <v>334.72500000000002</v>
      </c>
      <c r="G85">
        <f t="shared" si="8"/>
        <v>3.3472500000000007</v>
      </c>
      <c r="H85">
        <f t="shared" si="9"/>
        <v>4.1840625000000014</v>
      </c>
      <c r="I85">
        <f t="shared" si="10"/>
        <v>117.53031562500004</v>
      </c>
      <c r="J85">
        <f t="shared" si="11"/>
        <v>251.42031562500009</v>
      </c>
      <c r="K85">
        <f t="shared" si="12"/>
        <v>4.3364319678633381</v>
      </c>
      <c r="L85">
        <f t="shared" si="13"/>
        <v>9.2764755054791017</v>
      </c>
    </row>
    <row r="86" spans="1:12">
      <c r="A86" s="6">
        <v>16877</v>
      </c>
      <c r="B86" s="6" t="s">
        <v>3336</v>
      </c>
      <c r="C86" s="6">
        <v>82</v>
      </c>
      <c r="D86" s="6">
        <v>345.1</v>
      </c>
      <c r="E86" s="6">
        <f>'BSi weights'!G95</f>
        <v>2757.4</v>
      </c>
      <c r="F86" s="90">
        <f t="shared" si="7"/>
        <v>344.82500000000005</v>
      </c>
      <c r="G86">
        <f t="shared" si="8"/>
        <v>3.4482500000000007</v>
      </c>
      <c r="H86">
        <f t="shared" si="9"/>
        <v>4.3103125000000011</v>
      </c>
      <c r="I86">
        <f t="shared" si="10"/>
        <v>121.07667812500003</v>
      </c>
      <c r="J86">
        <f t="shared" si="11"/>
        <v>259.00667812500006</v>
      </c>
      <c r="K86">
        <f t="shared" si="12"/>
        <v>4.3909725874011762</v>
      </c>
      <c r="L86">
        <f t="shared" si="13"/>
        <v>9.393148550264744</v>
      </c>
    </row>
    <row r="89" spans="1:12">
      <c r="C89" t="s">
        <v>2473</v>
      </c>
      <c r="D89" t="s">
        <v>3358</v>
      </c>
      <c r="G89" t="s">
        <v>3359</v>
      </c>
      <c r="H89" t="s">
        <v>2596</v>
      </c>
      <c r="I89" t="s">
        <v>2917</v>
      </c>
    </row>
    <row r="90" spans="1:12">
      <c r="C90" t="str">
        <f>B16</f>
        <v>PACS-2 1</v>
      </c>
      <c r="D90">
        <f>E16</f>
        <v>2950</v>
      </c>
      <c r="G90" s="90">
        <f>K16</f>
        <v>4.2697395127118645</v>
      </c>
      <c r="H90" s="90">
        <f>AVERAGE(G90:G94)</f>
        <v>4.3491765958721524</v>
      </c>
      <c r="I90" s="90">
        <f>_xlfn.STDEV.P(G90:G94)</f>
        <v>4.3632550807958921E-2</v>
      </c>
    </row>
    <row r="91" spans="1:12">
      <c r="C91" t="str">
        <f>B52</f>
        <v>PACS-2 2</v>
      </c>
      <c r="D91">
        <f>E52</f>
        <v>2191.1999999999998</v>
      </c>
      <c r="G91" s="90">
        <f>K52</f>
        <v>4.3782460809145682</v>
      </c>
    </row>
    <row r="92" spans="1:12">
      <c r="C92" t="str">
        <f>B64</f>
        <v>PACS-2 3</v>
      </c>
      <c r="D92">
        <f>E64</f>
        <v>2718.1</v>
      </c>
      <c r="G92" s="90">
        <f>K64</f>
        <v>4.3704928304698143</v>
      </c>
    </row>
    <row r="93" spans="1:12">
      <c r="C93" t="str">
        <f>B85</f>
        <v>PACS-2 4</v>
      </c>
      <c r="D93">
        <f>E85</f>
        <v>2710.3</v>
      </c>
      <c r="G93" s="90">
        <f>K85</f>
        <v>4.3364319678633381</v>
      </c>
    </row>
    <row r="94" spans="1:12">
      <c r="C94" t="str">
        <f>B86</f>
        <v>PACS-2 5</v>
      </c>
      <c r="D94">
        <f>E86</f>
        <v>2757.4</v>
      </c>
      <c r="G94" s="90">
        <f>K86</f>
        <v>4.3909725874011762</v>
      </c>
    </row>
    <row r="95" spans="1:12">
      <c r="D95" t="s">
        <v>3360</v>
      </c>
      <c r="H95" t="s">
        <v>2596</v>
      </c>
      <c r="I95" t="s">
        <v>2917</v>
      </c>
      <c r="J95" t="s">
        <v>2984</v>
      </c>
    </row>
    <row r="96" spans="1:12">
      <c r="C96" t="str">
        <f>B15</f>
        <v>blank 1</v>
      </c>
      <c r="D96">
        <f>D15</f>
        <v>0.3</v>
      </c>
      <c r="H96" s="90">
        <f>AVERAGE(D96:D99)</f>
        <v>0.27500000000000002</v>
      </c>
      <c r="I96" s="90">
        <f>_xlfn.STDEV.P(D96:D99)</f>
        <v>4.3301270189221794E-2</v>
      </c>
      <c r="J96" s="90">
        <f>(H96/AVERAGE(D5:D14,D17:D50,D53:D62,D65:D83))*100</f>
        <v>9.7204199027715932E-2</v>
      </c>
    </row>
    <row r="97" spans="3:16">
      <c r="C97" t="str">
        <f>B51</f>
        <v>blank #2</v>
      </c>
      <c r="D97">
        <f>D51</f>
        <v>0.3</v>
      </c>
    </row>
    <row r="98" spans="3:16">
      <c r="C98" t="str">
        <f>B63</f>
        <v>blank #3</v>
      </c>
      <c r="D98">
        <f>D63</f>
        <v>0.2</v>
      </c>
    </row>
    <row r="99" spans="3:16">
      <c r="C99" t="str">
        <f>B84</f>
        <v>blank #4</v>
      </c>
      <c r="D99">
        <f>D84</f>
        <v>0.3</v>
      </c>
    </row>
    <row r="101" spans="3:16">
      <c r="F101" s="452" t="s">
        <v>3169</v>
      </c>
      <c r="G101" s="229"/>
      <c r="H101" s="496" t="s">
        <v>3170</v>
      </c>
      <c r="I101" s="229"/>
      <c r="J101" s="497" t="s">
        <v>3171</v>
      </c>
    </row>
    <row r="102" spans="3:16">
      <c r="C102" t="s">
        <v>3361</v>
      </c>
      <c r="D102" t="s">
        <v>3358</v>
      </c>
      <c r="E102" t="s">
        <v>3359</v>
      </c>
    </row>
    <row r="103" spans="3:16">
      <c r="C103" t="str">
        <f>B11</f>
        <v>47_1000 9_a</v>
      </c>
      <c r="D103">
        <f>E11</f>
        <v>2571</v>
      </c>
      <c r="E103" s="90">
        <f>K11</f>
        <v>2.778203155387009</v>
      </c>
      <c r="F103" s="90">
        <f>AVERAGE(E103:E105)</f>
        <v>2.7596372216964755</v>
      </c>
      <c r="H103" s="147">
        <f>(E103-F103)/F103</f>
        <v>6.72767186373873E-3</v>
      </c>
      <c r="I103" s="147"/>
      <c r="J103" s="555">
        <f>_xlfn.STDEV.P(H103:H125)</f>
        <v>1.4838339061092231E-2</v>
      </c>
    </row>
    <row r="104" spans="3:16">
      <c r="C104" t="str">
        <f t="shared" ref="C104:C105" si="14">B12</f>
        <v>47_1000 9_b</v>
      </c>
      <c r="D104">
        <f t="shared" ref="D104:D105" si="15">E12</f>
        <v>2323.5</v>
      </c>
      <c r="E104" s="90">
        <f t="shared" ref="E104:E105" si="16">K12</f>
        <v>2.7628331450398105</v>
      </c>
      <c r="H104" s="147">
        <f>(E104-F103)/F103</f>
        <v>1.1580954620442031E-3</v>
      </c>
      <c r="I104" s="147"/>
      <c r="J104" s="147"/>
    </row>
    <row r="105" spans="3:16">
      <c r="C105" t="str">
        <f t="shared" si="14"/>
        <v>47_1000 9_c</v>
      </c>
      <c r="D105">
        <f t="shared" si="15"/>
        <v>2365.1999999999998</v>
      </c>
      <c r="E105" s="90">
        <f t="shared" si="16"/>
        <v>2.7378753646626071</v>
      </c>
      <c r="H105" s="147">
        <f>(E105-F103)/F103</f>
        <v>-7.8857673257829337E-3</v>
      </c>
      <c r="I105" s="147"/>
      <c r="J105" s="80" t="s">
        <v>3172</v>
      </c>
    </row>
    <row r="106" spans="3:16">
      <c r="E106" s="90"/>
      <c r="H106" s="147"/>
      <c r="I106" s="147"/>
      <c r="J106" s="471">
        <f>J103/SQRT(3)</f>
        <v>8.5669190512485394E-3</v>
      </c>
      <c r="K106" s="345" t="s">
        <v>3173</v>
      </c>
    </row>
    <row r="107" spans="3:16">
      <c r="C107" t="str">
        <f>B20</f>
        <v>47_1000 14_a</v>
      </c>
      <c r="D107">
        <f>E20</f>
        <v>2134.6</v>
      </c>
      <c r="E107" s="90">
        <f>K20</f>
        <v>4.0140203375339638</v>
      </c>
      <c r="F107" s="90">
        <f>AVERAGE(E107:E109)</f>
        <v>3.8862777681241218</v>
      </c>
      <c r="H107" s="147">
        <f>(E107-F107)/F107</f>
        <v>3.2870159322528916E-2</v>
      </c>
      <c r="I107" s="147"/>
      <c r="J107" s="147"/>
    </row>
    <row r="108" spans="3:16">
      <c r="C108" t="str">
        <f t="shared" ref="C108:C109" si="17">B21</f>
        <v>47_1000 14_b</v>
      </c>
      <c r="D108">
        <f t="shared" ref="D108:D109" si="18">E21</f>
        <v>2186.1</v>
      </c>
      <c r="E108" s="90">
        <f t="shared" ref="E108:E109" si="19">K21</f>
        <v>3.8776978694936179</v>
      </c>
      <c r="H108" s="147">
        <f>(E108-F107)/F107</f>
        <v>-2.2077419943776579E-3</v>
      </c>
      <c r="I108" s="147"/>
      <c r="J108" s="229" t="s">
        <v>3362</v>
      </c>
      <c r="K108" s="8"/>
      <c r="L108" s="8"/>
      <c r="M108" s="8"/>
      <c r="N108" s="8"/>
      <c r="O108" s="229" t="s">
        <v>3364</v>
      </c>
      <c r="P108" s="8"/>
    </row>
    <row r="109" spans="3:16">
      <c r="C109" t="str">
        <f t="shared" si="17"/>
        <v>47_1000 14_c</v>
      </c>
      <c r="D109">
        <f t="shared" si="18"/>
        <v>2527.1</v>
      </c>
      <c r="E109" s="90">
        <f t="shared" si="19"/>
        <v>3.7671150973447829</v>
      </c>
      <c r="H109" s="147">
        <f>(E109-F107)/F107</f>
        <v>-3.0662417328151486E-2</v>
      </c>
      <c r="I109" s="147"/>
      <c r="J109" s="561"/>
      <c r="K109" s="8"/>
      <c r="L109" s="8"/>
      <c r="M109" s="8"/>
      <c r="N109" s="8"/>
      <c r="O109" s="8"/>
      <c r="P109" s="8"/>
    </row>
    <row r="110" spans="3:16">
      <c r="E110" s="90"/>
      <c r="H110" s="147"/>
      <c r="I110" s="147"/>
      <c r="J110" s="229" t="s">
        <v>3363</v>
      </c>
      <c r="K110" s="8"/>
      <c r="L110" s="8"/>
      <c r="M110" s="8"/>
      <c r="N110" s="8"/>
      <c r="O110" s="229" t="s">
        <v>3365</v>
      </c>
      <c r="P110" s="8"/>
    </row>
    <row r="111" spans="3:16">
      <c r="C111" t="str">
        <f>B32</f>
        <v>47_2000 3_a</v>
      </c>
      <c r="D111">
        <f>E32</f>
        <v>2444.3000000000002</v>
      </c>
      <c r="E111" s="90">
        <f>K32</f>
        <v>4.210756274802602</v>
      </c>
      <c r="F111" s="90">
        <f>AVERAGE(E111:E113)</f>
        <v>4.1143394714809558</v>
      </c>
      <c r="H111" s="147">
        <f>(E111-F111)/F111</f>
        <v>2.343433350358446E-2</v>
      </c>
      <c r="I111" s="147"/>
      <c r="J111" s="562"/>
      <c r="K111" s="8"/>
      <c r="L111" s="8"/>
      <c r="M111" s="8"/>
      <c r="N111" s="8"/>
      <c r="O111" s="562"/>
      <c r="P111" s="8"/>
    </row>
    <row r="112" spans="3:16" ht="16" thickBot="1">
      <c r="C112" t="str">
        <f t="shared" ref="C112:C113" si="20">B33</f>
        <v>47_2000 3_b</v>
      </c>
      <c r="D112">
        <f t="shared" ref="D112:D113" si="21">E33</f>
        <v>2053.4</v>
      </c>
      <c r="E112" s="90">
        <f t="shared" ref="E112:E113" si="22">K33</f>
        <v>4.0256941231615846</v>
      </c>
      <c r="H112" s="147">
        <f>(E112-F111)/F111</f>
        <v>-2.1545462870486799E-2</v>
      </c>
      <c r="I112" s="147"/>
    </row>
    <row r="113" spans="3:22">
      <c r="C113" t="str">
        <f t="shared" si="20"/>
        <v>47_2000 3_c</v>
      </c>
      <c r="D113">
        <f t="shared" si="21"/>
        <v>2384.9</v>
      </c>
      <c r="E113" s="90">
        <f t="shared" si="22"/>
        <v>4.10656801647868</v>
      </c>
      <c r="H113" s="147">
        <f>(E113-F111)/F111</f>
        <v>-1.8888706330978796E-3</v>
      </c>
      <c r="I113" s="147"/>
      <c r="J113" s="540"/>
      <c r="K113" s="541"/>
      <c r="L113" s="541"/>
      <c r="M113" s="541"/>
      <c r="N113" s="541"/>
      <c r="O113" s="541"/>
      <c r="P113" s="541"/>
      <c r="Q113" s="541"/>
      <c r="R113" s="541"/>
      <c r="S113" s="541"/>
      <c r="T113" s="541"/>
      <c r="U113" s="541"/>
      <c r="V113" s="542"/>
    </row>
    <row r="114" spans="3:22">
      <c r="E114" s="90"/>
      <c r="H114" s="147"/>
      <c r="I114" s="147"/>
      <c r="J114" s="543"/>
      <c r="K114" s="544"/>
      <c r="L114" s="544"/>
      <c r="M114" s="544"/>
      <c r="N114" s="544"/>
      <c r="O114" s="544"/>
      <c r="P114" s="544"/>
      <c r="Q114" s="544"/>
      <c r="R114" s="544"/>
      <c r="S114" s="544"/>
      <c r="T114" s="544"/>
      <c r="U114" s="544"/>
      <c r="V114" s="545"/>
    </row>
    <row r="115" spans="3:22">
      <c r="C115" t="str">
        <f>B48</f>
        <v>47_2000 17_a</v>
      </c>
      <c r="D115">
        <f>E48</f>
        <v>2168.5</v>
      </c>
      <c r="E115" s="90">
        <f>K48</f>
        <v>4.2362498558911694</v>
      </c>
      <c r="F115" s="90">
        <f>AVERAGE(E115:E117)</f>
        <v>4.1918138793433686</v>
      </c>
      <c r="H115" s="147">
        <f>(E115-F115)/F115</f>
        <v>1.0600655903825952E-2</v>
      </c>
      <c r="I115" s="147"/>
      <c r="J115" s="543"/>
      <c r="K115" s="544"/>
      <c r="L115" s="544"/>
      <c r="M115" s="546" t="s">
        <v>3191</v>
      </c>
      <c r="N115" s="544"/>
      <c r="O115" s="544"/>
      <c r="P115" s="544"/>
      <c r="Q115" s="546" t="s">
        <v>3215</v>
      </c>
      <c r="R115" s="544"/>
      <c r="S115" s="544"/>
      <c r="T115" s="544"/>
      <c r="U115" s="544"/>
      <c r="V115" s="545"/>
    </row>
    <row r="116" spans="3:22">
      <c r="C116" t="str">
        <f t="shared" ref="C116:C117" si="23">B49</f>
        <v>47_2000 17_b</v>
      </c>
      <c r="D116">
        <f t="shared" ref="D116:D117" si="24">E49</f>
        <v>2462</v>
      </c>
      <c r="E116" s="90">
        <f t="shared" ref="E116:E117" si="25">K49</f>
        <v>4.2346787418765226</v>
      </c>
      <c r="H116" s="147">
        <f>(E116-F115)/F115</f>
        <v>1.0225850614309393E-2</v>
      </c>
      <c r="I116" s="147"/>
      <c r="J116" s="543"/>
      <c r="K116" s="544"/>
      <c r="L116" s="544"/>
      <c r="M116" s="546" t="s">
        <v>3366</v>
      </c>
      <c r="N116" s="544"/>
      <c r="O116" s="544"/>
      <c r="P116" s="546"/>
      <c r="Q116" s="546" t="s">
        <v>3366</v>
      </c>
      <c r="R116" s="544"/>
      <c r="S116" s="544"/>
      <c r="T116" s="544"/>
      <c r="U116" s="544"/>
      <c r="V116" s="545"/>
    </row>
    <row r="117" spans="3:22">
      <c r="C117" t="str">
        <f t="shared" si="23"/>
        <v>47_2000 17_c</v>
      </c>
      <c r="D117">
        <f t="shared" si="24"/>
        <v>2332.1999999999998</v>
      </c>
      <c r="E117" s="90">
        <f t="shared" si="25"/>
        <v>4.1045130402624146</v>
      </c>
      <c r="H117" s="147">
        <f>(E117-F115)/F115</f>
        <v>-2.0826506518135134E-2</v>
      </c>
      <c r="I117" s="147"/>
      <c r="J117" s="543"/>
      <c r="K117" s="544"/>
      <c r="L117" s="544"/>
      <c r="M117" s="413">
        <f>SQRT(J106^2+J111^2)</f>
        <v>8.5669190512485394E-3</v>
      </c>
      <c r="N117" s="413">
        <f>M117*100</f>
        <v>0.85669190512485394</v>
      </c>
      <c r="O117" s="544" t="s">
        <v>174</v>
      </c>
      <c r="P117" s="413"/>
      <c r="Q117" s="547">
        <f>M117*2</f>
        <v>1.7133838102497079E-2</v>
      </c>
      <c r="R117" s="413">
        <f>Q117*100</f>
        <v>1.7133838102497079</v>
      </c>
      <c r="S117" s="544" t="s">
        <v>174</v>
      </c>
      <c r="T117" s="544"/>
      <c r="U117" s="544"/>
      <c r="V117" s="545"/>
    </row>
    <row r="118" spans="3:22">
      <c r="E118" s="90"/>
      <c r="H118" s="147"/>
      <c r="I118" s="147"/>
      <c r="J118" s="554" t="s">
        <v>3367</v>
      </c>
      <c r="K118" s="544"/>
      <c r="L118" s="544"/>
      <c r="M118" s="544"/>
      <c r="N118" s="413">
        <f>AVERAGE(K5:K14,K17:K50,K53:K62,K65:K83)/100</f>
        <v>4.1329626427713907E-2</v>
      </c>
      <c r="O118" s="544"/>
      <c r="P118" s="413"/>
      <c r="Q118" s="544"/>
      <c r="R118" s="544"/>
      <c r="S118" s="544"/>
      <c r="T118" s="544"/>
      <c r="U118" s="544"/>
      <c r="V118" s="545"/>
    </row>
    <row r="119" spans="3:22">
      <c r="C119" t="str">
        <f>B59</f>
        <v>47_3800 3_a</v>
      </c>
      <c r="D119">
        <f>E59</f>
        <v>3339.6</v>
      </c>
      <c r="E119" s="90">
        <f>K59</f>
        <v>3.509830612199067</v>
      </c>
      <c r="F119" s="90">
        <f>AVERAGE(E119:E121)</f>
        <v>3.5089683834913665</v>
      </c>
      <c r="H119" s="147">
        <f>(E119-F119)/F119</f>
        <v>2.4572142392533349E-4</v>
      </c>
      <c r="I119" s="147"/>
      <c r="J119" s="543"/>
      <c r="K119" s="544"/>
      <c r="L119" s="544"/>
      <c r="M119" s="544"/>
      <c r="N119" s="544"/>
      <c r="O119" s="544"/>
      <c r="P119" s="544"/>
      <c r="Q119" s="544"/>
      <c r="R119" s="544"/>
      <c r="S119" s="544"/>
      <c r="T119" s="544"/>
      <c r="U119" s="544"/>
      <c r="V119" s="545"/>
    </row>
    <row r="120" spans="3:22">
      <c r="C120" t="str">
        <f t="shared" ref="C120:C121" si="26">B60</f>
        <v>47_3800 3_b</v>
      </c>
      <c r="D120">
        <f t="shared" ref="D120:D121" si="27">E60</f>
        <v>2175.1</v>
      </c>
      <c r="E120" s="90">
        <f t="shared" ref="E120:E121" si="28">K60</f>
        <v>3.501806382465174</v>
      </c>
      <c r="H120" s="147">
        <f>(E120-F119)/F119</f>
        <v>-2.0410560151774585E-3</v>
      </c>
      <c r="I120" s="147"/>
      <c r="J120" s="557"/>
      <c r="K120" s="558"/>
      <c r="L120" s="559" t="s">
        <v>3355</v>
      </c>
      <c r="M120" s="560">
        <f>(Q117/N118)*100</f>
        <v>41.4565520752151</v>
      </c>
      <c r="N120" s="544"/>
      <c r="O120" s="544"/>
      <c r="P120" s="544"/>
      <c r="Q120" s="544"/>
      <c r="R120" s="544"/>
      <c r="S120" s="550"/>
      <c r="T120" s="544"/>
      <c r="U120" s="544"/>
      <c r="V120" s="545"/>
    </row>
    <row r="121" spans="3:22">
      <c r="C121" t="str">
        <f t="shared" si="26"/>
        <v>47_3800 3_c</v>
      </c>
      <c r="D121">
        <f t="shared" si="27"/>
        <v>2840</v>
      </c>
      <c r="E121" s="90">
        <f t="shared" si="28"/>
        <v>3.51526815580986</v>
      </c>
      <c r="H121" s="147">
        <f>(E121-F119)/F119</f>
        <v>1.7953345912525048E-3</v>
      </c>
      <c r="I121" s="147"/>
      <c r="J121" s="543"/>
      <c r="K121" s="544"/>
      <c r="L121" s="544"/>
      <c r="M121" s="544"/>
      <c r="N121" s="544"/>
      <c r="O121" s="544"/>
      <c r="P121" s="544"/>
      <c r="Q121" s="544"/>
      <c r="R121" s="544"/>
      <c r="S121" s="544"/>
      <c r="T121" s="544"/>
      <c r="U121" s="544"/>
      <c r="V121" s="545"/>
    </row>
    <row r="122" spans="3:22">
      <c r="E122" s="90"/>
      <c r="H122" s="147"/>
      <c r="I122" s="147"/>
      <c r="J122" s="543"/>
      <c r="K122" s="544"/>
      <c r="L122" s="544"/>
      <c r="M122" s="544"/>
      <c r="N122" s="544"/>
      <c r="O122" s="544"/>
      <c r="P122" s="544"/>
      <c r="Q122" s="544"/>
      <c r="R122" s="544"/>
      <c r="S122" s="544"/>
      <c r="T122" s="544"/>
      <c r="U122" s="544"/>
      <c r="V122" s="545"/>
    </row>
    <row r="123" spans="3:22" ht="16" thickBot="1">
      <c r="C123" t="str">
        <f>B68</f>
        <v>47_3800 8_a</v>
      </c>
      <c r="D123">
        <f>E68</f>
        <v>2008</v>
      </c>
      <c r="E123" s="90">
        <f>K68</f>
        <v>3.5711405938745013</v>
      </c>
      <c r="F123" s="90">
        <f>AVERAGE(E123:E125)</f>
        <v>3.6072370145516657</v>
      </c>
      <c r="H123" s="147">
        <f>(E123-F123)/F123</f>
        <v>-1.0006667300083323E-2</v>
      </c>
      <c r="I123" s="147"/>
      <c r="J123" s="551"/>
      <c r="K123" s="552"/>
      <c r="L123" s="552"/>
      <c r="M123" s="552"/>
      <c r="N123" s="552"/>
      <c r="O123" s="552"/>
      <c r="P123" s="552"/>
      <c r="Q123" s="552"/>
      <c r="R123" s="552"/>
      <c r="S123" s="552"/>
      <c r="T123" s="552"/>
      <c r="U123" s="552"/>
      <c r="V123" s="553"/>
    </row>
    <row r="124" spans="3:22">
      <c r="C124" t="str">
        <f t="shared" ref="C124:C125" si="29">B69</f>
        <v>47_3800 8_b</v>
      </c>
      <c r="D124">
        <f t="shared" ref="D124:D125" si="30">E69</f>
        <v>2736.6</v>
      </c>
      <c r="E124" s="90">
        <f t="shared" ref="E124:E125" si="31">K69</f>
        <v>3.6301264571000518</v>
      </c>
      <c r="H124" s="147">
        <f>(E124-F123)/F123</f>
        <v>6.3454223983757186E-3</v>
      </c>
      <c r="I124" s="147"/>
      <c r="J124" s="147"/>
    </row>
    <row r="125" spans="3:22">
      <c r="C125" t="str">
        <f t="shared" si="29"/>
        <v>47_3800 8_c</v>
      </c>
      <c r="D125">
        <f t="shared" si="30"/>
        <v>2554.8000000000002</v>
      </c>
      <c r="E125" s="90">
        <f t="shared" si="31"/>
        <v>3.6204439926804444</v>
      </c>
      <c r="H125" s="147">
        <f>(E125-F123)/F123</f>
        <v>3.6612449017077277E-3</v>
      </c>
      <c r="I125" s="147"/>
      <c r="J125" s="14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0B3E-3A44-44D3-9BFA-E935DD4F2648}">
  <dimension ref="A1:AH92"/>
  <sheetViews>
    <sheetView topLeftCell="T1" workbookViewId="0">
      <selection activeCell="M89" sqref="M89"/>
    </sheetView>
  </sheetViews>
  <sheetFormatPr defaultColWidth="8.83203125" defaultRowHeight="15.5"/>
  <cols>
    <col min="1" max="5" width="8.83203125" style="183"/>
    <col min="6" max="6" width="9.33203125" style="183" bestFit="1" customWidth="1"/>
    <col min="7" max="7" width="16.1640625" style="183" customWidth="1"/>
    <col min="8" max="8" width="13.83203125" style="183" customWidth="1"/>
    <col min="9" max="9" width="9.1640625" style="236" customWidth="1"/>
    <col min="10" max="10" width="12.1640625" style="183" bestFit="1" customWidth="1"/>
    <col min="11" max="11" width="9.33203125" style="183" bestFit="1" customWidth="1"/>
    <col min="12" max="12" width="11.1640625" style="183" bestFit="1" customWidth="1"/>
    <col min="13" max="13" width="8.83203125" style="183"/>
    <col min="14" max="14" width="9.6640625" style="183" customWidth="1"/>
    <col min="15" max="18" width="8.83203125" style="183"/>
    <col min="19" max="20" width="34.83203125" style="183" bestFit="1" customWidth="1"/>
    <col min="21" max="24" width="8.83203125" style="183"/>
    <col min="25" max="25" width="10.6640625" style="183" customWidth="1"/>
    <col min="26" max="27" width="9.33203125" style="183" bestFit="1" customWidth="1"/>
    <col min="28" max="16384" width="8.83203125" style="183"/>
  </cols>
  <sheetData>
    <row r="1" spans="1:34" s="243" customFormat="1">
      <c r="A1" s="243" t="s">
        <v>108</v>
      </c>
      <c r="B1" s="243" t="s">
        <v>109</v>
      </c>
      <c r="C1" s="243" t="s">
        <v>110</v>
      </c>
      <c r="D1" s="244" t="s">
        <v>124</v>
      </c>
      <c r="E1" s="244" t="s">
        <v>2468</v>
      </c>
      <c r="F1" s="244" t="s">
        <v>2583</v>
      </c>
      <c r="G1" s="245" t="s">
        <v>124</v>
      </c>
      <c r="H1" s="246" t="s">
        <v>2584</v>
      </c>
      <c r="I1" s="247" t="s">
        <v>125</v>
      </c>
      <c r="J1" s="246" t="s">
        <v>2584</v>
      </c>
      <c r="K1" s="234" t="s">
        <v>125</v>
      </c>
      <c r="L1" s="244" t="s">
        <v>125</v>
      </c>
      <c r="M1" s="246" t="s">
        <v>2584</v>
      </c>
      <c r="O1" s="245" t="s">
        <v>124</v>
      </c>
      <c r="P1" s="245" t="s">
        <v>125</v>
      </c>
      <c r="Q1" s="248"/>
      <c r="R1" s="246" t="s">
        <v>2585</v>
      </c>
      <c r="S1" s="243" t="s">
        <v>2586</v>
      </c>
      <c r="T1" s="245" t="s">
        <v>2587</v>
      </c>
      <c r="U1" s="245"/>
      <c r="V1" s="245"/>
      <c r="W1" s="245"/>
      <c r="X1" s="245"/>
      <c r="Y1" s="245"/>
      <c r="Z1" s="245"/>
      <c r="AA1" s="245"/>
      <c r="AB1" s="245"/>
      <c r="AC1" s="244"/>
      <c r="AD1" s="245"/>
      <c r="AE1" s="245"/>
      <c r="AF1" s="245"/>
      <c r="AG1" s="245"/>
      <c r="AH1" s="249"/>
    </row>
    <row r="2" spans="1:34" s="243" customFormat="1">
      <c r="B2" s="243" t="s">
        <v>2542</v>
      </c>
      <c r="D2" s="244"/>
      <c r="E2" s="235" t="s">
        <v>2602</v>
      </c>
      <c r="F2" s="235"/>
      <c r="G2" s="245" t="s">
        <v>2588</v>
      </c>
      <c r="H2" s="235" t="s">
        <v>2602</v>
      </c>
      <c r="I2" s="250"/>
      <c r="J2" s="235" t="s">
        <v>2602</v>
      </c>
      <c r="K2" s="248" t="s">
        <v>2465</v>
      </c>
      <c r="L2" s="244" t="s">
        <v>2588</v>
      </c>
      <c r="M2" s="235" t="s">
        <v>2602</v>
      </c>
      <c r="O2" s="245" t="s">
        <v>2589</v>
      </c>
      <c r="P2" s="245" t="s">
        <v>2589</v>
      </c>
      <c r="Q2" s="248"/>
      <c r="R2" s="246"/>
      <c r="W2" s="245"/>
      <c r="X2" s="245"/>
      <c r="Y2" s="245"/>
      <c r="Z2" s="251"/>
      <c r="AA2" s="251"/>
      <c r="AB2" s="245"/>
      <c r="AC2" s="244"/>
      <c r="AD2" s="245"/>
      <c r="AE2" s="245"/>
      <c r="AF2" s="245"/>
      <c r="AG2" s="245"/>
      <c r="AH2" s="249"/>
    </row>
    <row r="3" spans="1:34" s="51" customFormat="1">
      <c r="A3" s="51">
        <v>2018</v>
      </c>
      <c r="B3" s="51">
        <v>1000</v>
      </c>
      <c r="C3" s="51">
        <v>1</v>
      </c>
      <c r="D3" s="204">
        <v>34.19</v>
      </c>
      <c r="E3" s="211">
        <v>20.5</v>
      </c>
      <c r="F3" s="182">
        <v>43630</v>
      </c>
      <c r="G3" s="211"/>
      <c r="I3" s="252">
        <v>8.0990000000000002</v>
      </c>
      <c r="J3" s="51">
        <v>20.6</v>
      </c>
      <c r="K3" s="182">
        <v>43630</v>
      </c>
      <c r="L3" s="211"/>
      <c r="M3" s="211"/>
      <c r="N3" s="211"/>
      <c r="P3" s="182"/>
      <c r="Q3" s="182"/>
      <c r="R3" s="253" t="s">
        <v>2590</v>
      </c>
      <c r="T3" s="51" t="s">
        <v>2591</v>
      </c>
      <c r="U3" s="183"/>
      <c r="V3" s="183"/>
      <c r="W3" s="183"/>
      <c r="X3" s="183"/>
      <c r="AC3" s="209"/>
      <c r="AH3" s="254"/>
    </row>
    <row r="4" spans="1:34">
      <c r="A4" s="51">
        <v>2018</v>
      </c>
      <c r="B4" s="51">
        <v>1000</v>
      </c>
      <c r="C4" s="183">
        <v>2</v>
      </c>
      <c r="D4" s="183">
        <v>34.409999999999997</v>
      </c>
      <c r="E4" s="211">
        <v>20.5</v>
      </c>
      <c r="F4" s="182">
        <v>43630</v>
      </c>
      <c r="I4" s="236">
        <v>8.0449999999999999</v>
      </c>
      <c r="J4" s="51">
        <v>20.6</v>
      </c>
      <c r="K4" s="182">
        <v>43630</v>
      </c>
      <c r="R4" s="253" t="s">
        <v>2590</v>
      </c>
      <c r="T4" s="211" t="s">
        <v>2603</v>
      </c>
    </row>
    <row r="5" spans="1:34">
      <c r="A5" s="51">
        <v>2018</v>
      </c>
      <c r="B5" s="51">
        <v>1000</v>
      </c>
      <c r="C5" s="183">
        <v>3</v>
      </c>
      <c r="D5" s="183">
        <v>34.22</v>
      </c>
      <c r="E5" s="211">
        <v>20.5</v>
      </c>
      <c r="F5" s="182">
        <v>43630</v>
      </c>
      <c r="I5" s="236">
        <v>8.1460000000000008</v>
      </c>
      <c r="J5" s="51">
        <v>20.6</v>
      </c>
      <c r="K5" s="182">
        <v>43630</v>
      </c>
      <c r="R5" s="253" t="s">
        <v>2590</v>
      </c>
      <c r="T5" s="51" t="s">
        <v>2604</v>
      </c>
      <c r="U5" s="51" t="s">
        <v>2592</v>
      </c>
      <c r="W5" s="51" t="s">
        <v>2593</v>
      </c>
      <c r="Y5" s="183" t="s">
        <v>3369</v>
      </c>
      <c r="Z5" s="183" t="s">
        <v>2917</v>
      </c>
    </row>
    <row r="6" spans="1:34">
      <c r="A6" s="51">
        <v>2018</v>
      </c>
      <c r="B6" s="51">
        <v>1000</v>
      </c>
      <c r="C6" s="183">
        <v>4</v>
      </c>
      <c r="D6" s="183">
        <v>34.26</v>
      </c>
      <c r="E6" s="211">
        <v>20.5</v>
      </c>
      <c r="F6" s="182">
        <v>43630</v>
      </c>
      <c r="I6" s="236">
        <v>8.0690000000000008</v>
      </c>
      <c r="J6" s="51">
        <v>20.6</v>
      </c>
      <c r="K6" s="182">
        <v>43630</v>
      </c>
      <c r="R6" s="253" t="s">
        <v>2590</v>
      </c>
      <c r="T6" s="51" t="s">
        <v>2608</v>
      </c>
      <c r="U6" s="231">
        <v>1512</v>
      </c>
      <c r="V6" s="237" t="s">
        <v>2609</v>
      </c>
      <c r="W6" s="183">
        <v>20.5</v>
      </c>
      <c r="Y6" s="231">
        <f>(1413-U6)/1413</f>
        <v>-7.0063694267515922E-2</v>
      </c>
      <c r="Z6" s="183">
        <f>_xlfn.STDEV.P(Y7:Y9,Y12:Y15)</f>
        <v>9.8861538470419348E-3</v>
      </c>
      <c r="AA6" s="183">
        <f>Z6/SQRT(COUNT(Y7:Y9,Y12:Y15))</f>
        <v>3.7366149288853489E-3</v>
      </c>
    </row>
    <row r="7" spans="1:34">
      <c r="A7" s="51">
        <v>2018</v>
      </c>
      <c r="B7" s="51">
        <v>1000</v>
      </c>
      <c r="C7" s="183">
        <v>5</v>
      </c>
      <c r="D7" s="183">
        <v>34.57</v>
      </c>
      <c r="E7" s="211">
        <v>20.5</v>
      </c>
      <c r="F7" s="182">
        <v>43630</v>
      </c>
      <c r="G7" s="183">
        <v>34.54</v>
      </c>
      <c r="H7" s="183">
        <v>20.5</v>
      </c>
      <c r="I7" s="236">
        <v>7.4809999999999999</v>
      </c>
      <c r="J7" s="51">
        <v>20.6</v>
      </c>
      <c r="K7" s="182">
        <v>43630</v>
      </c>
      <c r="L7" s="183">
        <v>7.5119999999999996</v>
      </c>
      <c r="O7" s="183">
        <f>G7-D7</f>
        <v>-3.0000000000001137E-2</v>
      </c>
      <c r="P7" s="183">
        <f>L7-I7</f>
        <v>3.0999999999999694E-2</v>
      </c>
      <c r="R7" s="253" t="s">
        <v>2590</v>
      </c>
      <c r="S7" s="183" t="s">
        <v>2612</v>
      </c>
      <c r="T7" s="51" t="s">
        <v>2605</v>
      </c>
      <c r="U7" s="183">
        <v>50.1</v>
      </c>
      <c r="V7" s="237" t="s">
        <v>3372</v>
      </c>
      <c r="W7" s="51">
        <v>20.5</v>
      </c>
      <c r="Y7" s="183">
        <f>(50-U7)/50</f>
        <v>-2.0000000000000282E-3</v>
      </c>
    </row>
    <row r="8" spans="1:34">
      <c r="A8" s="51">
        <v>2018</v>
      </c>
      <c r="B8" s="51">
        <v>1000</v>
      </c>
      <c r="C8" s="51">
        <v>6</v>
      </c>
      <c r="D8" s="51">
        <v>34.21</v>
      </c>
      <c r="E8" s="183">
        <v>20.6</v>
      </c>
      <c r="F8" s="182">
        <v>43630</v>
      </c>
      <c r="I8" s="236">
        <v>7.88</v>
      </c>
      <c r="J8" s="51">
        <v>20.6</v>
      </c>
      <c r="K8" s="182">
        <v>43630</v>
      </c>
      <c r="R8" s="253" t="s">
        <v>2590</v>
      </c>
      <c r="T8" s="51" t="s">
        <v>2606</v>
      </c>
      <c r="U8" s="183">
        <v>53.3</v>
      </c>
      <c r="V8" s="237" t="s">
        <v>3372</v>
      </c>
      <c r="W8" s="183">
        <v>20.5</v>
      </c>
      <c r="Y8" s="563">
        <f>(53.3-U8)/53.3</f>
        <v>0</v>
      </c>
    </row>
    <row r="9" spans="1:34">
      <c r="A9" s="51">
        <v>2018</v>
      </c>
      <c r="B9" s="51">
        <v>1000</v>
      </c>
      <c r="C9" s="183">
        <v>7</v>
      </c>
      <c r="D9" s="183">
        <v>34.14</v>
      </c>
      <c r="E9" s="183">
        <v>20.7</v>
      </c>
      <c r="F9" s="182">
        <v>43630</v>
      </c>
      <c r="I9" s="236">
        <v>7.944</v>
      </c>
      <c r="J9" s="51">
        <v>20.6</v>
      </c>
      <c r="K9" s="182">
        <v>43630</v>
      </c>
      <c r="R9" s="253" t="s">
        <v>2590</v>
      </c>
      <c r="T9" s="183" t="s">
        <v>2607</v>
      </c>
      <c r="U9" s="183">
        <v>13.03</v>
      </c>
      <c r="V9" s="237" t="s">
        <v>3372</v>
      </c>
      <c r="W9" s="183">
        <v>20.399999999999999</v>
      </c>
      <c r="Y9" s="563">
        <f>(12.8-U9)/12.8</f>
        <v>-1.7968749999999895E-2</v>
      </c>
    </row>
    <row r="10" spans="1:34">
      <c r="A10" s="51">
        <v>2018</v>
      </c>
      <c r="B10" s="51">
        <v>1000</v>
      </c>
      <c r="C10" s="183">
        <v>8</v>
      </c>
      <c r="D10" s="183">
        <v>34.42</v>
      </c>
      <c r="E10" s="183">
        <v>20.399999999999999</v>
      </c>
      <c r="F10" s="182">
        <v>43630</v>
      </c>
      <c r="I10" s="236">
        <v>7.4980000000000002</v>
      </c>
      <c r="J10" s="183">
        <v>20.5</v>
      </c>
      <c r="K10" s="182">
        <v>43630</v>
      </c>
      <c r="R10" s="253" t="s">
        <v>2590</v>
      </c>
      <c r="S10" s="183" t="s">
        <v>2612</v>
      </c>
      <c r="T10" s="51" t="s">
        <v>2594</v>
      </c>
      <c r="U10" s="51" t="s">
        <v>2592</v>
      </c>
      <c r="W10" s="51" t="s">
        <v>2593</v>
      </c>
    </row>
    <row r="11" spans="1:34">
      <c r="A11" s="51">
        <v>2018</v>
      </c>
      <c r="B11" s="51">
        <v>1000</v>
      </c>
      <c r="C11" s="183">
        <v>9</v>
      </c>
      <c r="D11" s="183">
        <v>37.67</v>
      </c>
      <c r="E11" s="183">
        <v>20.5</v>
      </c>
      <c r="F11" s="182">
        <v>43630</v>
      </c>
      <c r="I11" s="236">
        <v>8.0449999999999999</v>
      </c>
      <c r="J11" s="183">
        <v>20.5</v>
      </c>
      <c r="K11" s="182">
        <v>43630</v>
      </c>
      <c r="R11" s="253" t="s">
        <v>2590</v>
      </c>
      <c r="T11" s="51" t="s">
        <v>2608</v>
      </c>
      <c r="U11" s="231">
        <v>1510</v>
      </c>
      <c r="V11" s="237" t="s">
        <v>2609</v>
      </c>
      <c r="W11" s="183">
        <v>21</v>
      </c>
      <c r="Y11" s="564">
        <f>(1413-U11)/1413</f>
        <v>-6.8648266100495403E-2</v>
      </c>
    </row>
    <row r="12" spans="1:34">
      <c r="A12" s="51">
        <v>2018</v>
      </c>
      <c r="B12" s="51">
        <v>1000</v>
      </c>
      <c r="C12" s="183">
        <v>10</v>
      </c>
      <c r="D12" s="183">
        <v>36.22</v>
      </c>
      <c r="E12" s="183">
        <v>20.5</v>
      </c>
      <c r="F12" s="182">
        <v>43630</v>
      </c>
      <c r="I12" s="236">
        <v>8.4139999999999997</v>
      </c>
      <c r="J12" s="183">
        <v>20.5</v>
      </c>
      <c r="K12" s="182">
        <v>43630</v>
      </c>
      <c r="R12" s="253" t="s">
        <v>2590</v>
      </c>
      <c r="T12" s="51" t="s">
        <v>2605</v>
      </c>
      <c r="U12" s="183">
        <v>49.3</v>
      </c>
      <c r="V12" s="237" t="s">
        <v>3372</v>
      </c>
      <c r="W12" s="183">
        <v>21</v>
      </c>
      <c r="Y12" s="563">
        <f>(50-U12)/50</f>
        <v>1.4000000000000058E-2</v>
      </c>
    </row>
    <row r="13" spans="1:34">
      <c r="A13" s="51">
        <v>2018</v>
      </c>
      <c r="B13" s="51">
        <v>1000</v>
      </c>
      <c r="C13" s="51">
        <v>11</v>
      </c>
      <c r="D13" s="51">
        <v>38.04</v>
      </c>
      <c r="E13" s="183">
        <v>20.6</v>
      </c>
      <c r="F13" s="182">
        <v>43630</v>
      </c>
      <c r="I13" s="236">
        <v>8.2799999999999994</v>
      </c>
      <c r="J13" s="183">
        <v>20.6</v>
      </c>
      <c r="K13" s="182">
        <v>43630</v>
      </c>
      <c r="R13" s="253" t="s">
        <v>2590</v>
      </c>
      <c r="T13" s="51" t="s">
        <v>2606</v>
      </c>
      <c r="U13" s="183">
        <v>52.8</v>
      </c>
      <c r="V13" s="237" t="s">
        <v>3372</v>
      </c>
      <c r="W13" s="183">
        <v>21</v>
      </c>
      <c r="Y13" s="563">
        <f>(53-U13)/53</f>
        <v>3.7735849056604312E-3</v>
      </c>
      <c r="AE13" s="625"/>
    </row>
    <row r="14" spans="1:34">
      <c r="A14" s="51">
        <v>2018</v>
      </c>
      <c r="B14" s="51">
        <v>1000</v>
      </c>
      <c r="C14" s="183">
        <v>12</v>
      </c>
      <c r="D14" s="183">
        <v>38.29</v>
      </c>
      <c r="E14" s="183">
        <v>20.6</v>
      </c>
      <c r="F14" s="182">
        <v>43630</v>
      </c>
      <c r="I14" s="236">
        <v>8.3680000000000003</v>
      </c>
      <c r="J14" s="183">
        <v>20.6</v>
      </c>
      <c r="K14" s="182">
        <v>43630</v>
      </c>
      <c r="R14" s="253" t="s">
        <v>2590</v>
      </c>
      <c r="T14" s="183" t="s">
        <v>2607</v>
      </c>
      <c r="U14" s="240">
        <v>12.95</v>
      </c>
      <c r="V14" s="237" t="s">
        <v>3372</v>
      </c>
      <c r="W14" s="240">
        <v>20.399999999999999</v>
      </c>
      <c r="X14" s="240"/>
      <c r="Y14" s="563">
        <f>(12.8-U14)/12.8</f>
        <v>-1.1718749999999889E-2</v>
      </c>
    </row>
    <row r="15" spans="1:34">
      <c r="A15" s="51">
        <v>2018</v>
      </c>
      <c r="B15" s="51">
        <v>1000</v>
      </c>
      <c r="C15" s="183">
        <v>13</v>
      </c>
      <c r="D15" s="183">
        <v>39.01</v>
      </c>
      <c r="E15" s="183">
        <v>20.399999999999999</v>
      </c>
      <c r="F15" s="182">
        <v>43630</v>
      </c>
      <c r="I15" s="236">
        <v>8.4489999999999998</v>
      </c>
      <c r="J15" s="183">
        <v>20.6</v>
      </c>
      <c r="K15" s="182">
        <v>43630</v>
      </c>
      <c r="R15" s="253" t="s">
        <v>2590</v>
      </c>
      <c r="T15" s="183" t="s">
        <v>3371</v>
      </c>
      <c r="U15" s="183">
        <v>13</v>
      </c>
      <c r="V15" s="237" t="s">
        <v>3372</v>
      </c>
      <c r="W15" s="183">
        <v>20.8</v>
      </c>
      <c r="Y15" s="563">
        <f>(12.88-U15)/12.88</f>
        <v>-9.3167701863353432E-3</v>
      </c>
    </row>
    <row r="16" spans="1:34">
      <c r="A16" s="51">
        <v>2018</v>
      </c>
      <c r="B16" s="51">
        <v>1000</v>
      </c>
      <c r="C16" s="183">
        <v>14</v>
      </c>
      <c r="D16" s="183">
        <v>39.729999999999997</v>
      </c>
      <c r="E16" s="183">
        <v>20.6</v>
      </c>
      <c r="F16" s="182">
        <v>43630</v>
      </c>
      <c r="I16" s="236">
        <v>8.4209999999999994</v>
      </c>
      <c r="J16" s="183">
        <v>20.6</v>
      </c>
      <c r="K16" s="182">
        <v>43630</v>
      </c>
      <c r="R16" s="253" t="s">
        <v>2590</v>
      </c>
    </row>
    <row r="17" spans="1:28">
      <c r="A17" s="51">
        <v>2018</v>
      </c>
      <c r="B17" s="51">
        <v>1000</v>
      </c>
      <c r="C17" s="183">
        <v>15</v>
      </c>
      <c r="D17" s="183">
        <v>37.72</v>
      </c>
      <c r="E17" s="183">
        <v>20.6</v>
      </c>
      <c r="F17" s="182">
        <v>43630</v>
      </c>
      <c r="I17" s="236">
        <v>8.266</v>
      </c>
      <c r="J17" s="183">
        <v>20.6</v>
      </c>
      <c r="K17" s="182">
        <v>43630</v>
      </c>
      <c r="R17" s="253" t="s">
        <v>2590</v>
      </c>
      <c r="T17" s="51" t="s">
        <v>125</v>
      </c>
    </row>
    <row r="18" spans="1:28">
      <c r="A18" s="51">
        <v>2018</v>
      </c>
      <c r="B18" s="51">
        <v>1000</v>
      </c>
      <c r="C18" s="51">
        <v>16</v>
      </c>
      <c r="D18" s="51">
        <v>38.19</v>
      </c>
      <c r="E18" s="183">
        <v>20.6</v>
      </c>
      <c r="F18" s="182">
        <v>43630</v>
      </c>
      <c r="I18" s="236">
        <v>8.3539999999999992</v>
      </c>
      <c r="J18" s="183">
        <v>20.5</v>
      </c>
      <c r="K18" s="182">
        <v>43630</v>
      </c>
      <c r="R18" s="253" t="s">
        <v>2590</v>
      </c>
      <c r="T18" s="211" t="s">
        <v>2610</v>
      </c>
    </row>
    <row r="19" spans="1:28">
      <c r="A19" s="51">
        <v>2018</v>
      </c>
      <c r="B19" s="51">
        <v>1000</v>
      </c>
      <c r="C19" s="183">
        <v>17</v>
      </c>
      <c r="D19" s="183">
        <v>37.450000000000003</v>
      </c>
      <c r="E19" s="183">
        <v>20.6</v>
      </c>
      <c r="F19" s="182">
        <v>43630</v>
      </c>
      <c r="G19" s="183">
        <v>37.44</v>
      </c>
      <c r="H19" s="183">
        <v>20.6</v>
      </c>
      <c r="I19" s="236">
        <v>8.3829999999999991</v>
      </c>
      <c r="J19" s="183">
        <v>20.5</v>
      </c>
      <c r="K19" s="182">
        <v>43630</v>
      </c>
      <c r="L19" s="183">
        <v>8.3759999999999994</v>
      </c>
      <c r="O19" s="183">
        <f>G19-D19</f>
        <v>-1.0000000000005116E-2</v>
      </c>
      <c r="P19" s="183">
        <f>L19-I19</f>
        <v>-6.9999999999996732E-3</v>
      </c>
      <c r="R19" s="253" t="s">
        <v>2590</v>
      </c>
      <c r="T19" s="51" t="s">
        <v>2611</v>
      </c>
      <c r="U19" s="51" t="s">
        <v>2592</v>
      </c>
      <c r="W19" s="51" t="s">
        <v>2593</v>
      </c>
      <c r="Y19" s="183" t="s">
        <v>3369</v>
      </c>
      <c r="Z19" s="183" t="s">
        <v>2917</v>
      </c>
    </row>
    <row r="20" spans="1:28">
      <c r="A20" s="51">
        <v>2018</v>
      </c>
      <c r="B20" s="51">
        <v>1000</v>
      </c>
      <c r="C20" s="183">
        <v>18</v>
      </c>
      <c r="D20" s="183">
        <v>39.44</v>
      </c>
      <c r="E20" s="183">
        <v>20.6</v>
      </c>
      <c r="F20" s="182">
        <v>43630</v>
      </c>
      <c r="G20" s="182"/>
      <c r="I20" s="236">
        <v>8.4499999999999993</v>
      </c>
      <c r="J20" s="183">
        <v>20.6</v>
      </c>
      <c r="K20" s="182">
        <v>43630</v>
      </c>
      <c r="R20" s="253" t="s">
        <v>2590</v>
      </c>
      <c r="T20" s="51">
        <v>9.18</v>
      </c>
      <c r="U20" s="183">
        <v>9.2710000000000008</v>
      </c>
      <c r="V20" s="237"/>
      <c r="W20" s="183">
        <v>20.7</v>
      </c>
      <c r="Y20" s="626">
        <f>(U20-T20)/T20</f>
        <v>9.9128540305012079E-3</v>
      </c>
      <c r="Z20" s="626">
        <f>_xlfn.STDEV.P(Y20:Y25)</f>
        <v>6.4655767747799284E-3</v>
      </c>
      <c r="AA20" s="626">
        <f>Z20/SQRT(5)</f>
        <v>2.8914938364303536E-3</v>
      </c>
      <c r="AB20" s="625">
        <f>AA20</f>
        <v>2.8914938364303536E-3</v>
      </c>
    </row>
    <row r="21" spans="1:28">
      <c r="A21" s="51">
        <v>2018</v>
      </c>
      <c r="B21" s="51">
        <v>1000</v>
      </c>
      <c r="C21" s="183">
        <v>19</v>
      </c>
      <c r="D21" s="183">
        <v>38.979999999999997</v>
      </c>
      <c r="E21" s="183">
        <v>20.6</v>
      </c>
      <c r="F21" s="182">
        <v>43630</v>
      </c>
      <c r="G21" s="182"/>
      <c r="I21" s="236">
        <v>8.3770000000000007</v>
      </c>
      <c r="J21" s="183">
        <v>20.6</v>
      </c>
      <c r="K21" s="182">
        <v>43630</v>
      </c>
      <c r="R21" s="253" t="s">
        <v>2590</v>
      </c>
      <c r="T21" s="51" t="s">
        <v>3368</v>
      </c>
      <c r="U21" s="51" t="s">
        <v>2592</v>
      </c>
      <c r="W21" s="51" t="s">
        <v>2593</v>
      </c>
      <c r="Y21" s="626"/>
      <c r="Z21" s="626"/>
      <c r="AA21" s="626"/>
    </row>
    <row r="22" spans="1:28">
      <c r="A22" s="51">
        <v>2018</v>
      </c>
      <c r="B22" s="51">
        <v>1000</v>
      </c>
      <c r="C22" s="183">
        <v>20</v>
      </c>
      <c r="D22" s="183">
        <v>39.76</v>
      </c>
      <c r="E22" s="183">
        <v>20.6</v>
      </c>
      <c r="F22" s="182">
        <v>43630</v>
      </c>
      <c r="G22" s="182"/>
      <c r="I22" s="236">
        <v>8.4849999999999994</v>
      </c>
      <c r="J22" s="183">
        <v>20.6</v>
      </c>
      <c r="K22" s="182">
        <v>43630</v>
      </c>
      <c r="R22" s="253" t="s">
        <v>2590</v>
      </c>
      <c r="T22" s="51">
        <v>7.01</v>
      </c>
      <c r="U22" s="183">
        <v>6.9950000000000001</v>
      </c>
      <c r="V22" s="237"/>
      <c r="W22" s="183">
        <v>20.6</v>
      </c>
      <c r="Y22" s="626">
        <f>(U22-T22)/T22</f>
        <v>-2.1398002853066592E-3</v>
      </c>
      <c r="Z22" s="626"/>
      <c r="AA22" s="626"/>
    </row>
    <row r="23" spans="1:28" s="240" customFormat="1">
      <c r="A23" s="238">
        <v>2018</v>
      </c>
      <c r="B23" s="238">
        <v>1000</v>
      </c>
      <c r="C23" s="238">
        <v>21</v>
      </c>
      <c r="D23" s="240">
        <v>39.979999999999997</v>
      </c>
      <c r="E23" s="183">
        <v>20.6</v>
      </c>
      <c r="F23" s="182">
        <v>43630</v>
      </c>
      <c r="G23" s="182"/>
      <c r="I23" s="239">
        <v>8.5739999999999998</v>
      </c>
      <c r="J23" s="183">
        <v>20.6</v>
      </c>
      <c r="K23" s="182">
        <v>43630</v>
      </c>
      <c r="R23" s="253" t="s">
        <v>2590</v>
      </c>
      <c r="T23" s="51">
        <v>10.01</v>
      </c>
      <c r="U23" s="183">
        <v>10.07</v>
      </c>
      <c r="V23" s="237"/>
      <c r="W23" s="183">
        <v>20.9</v>
      </c>
      <c r="X23" s="183"/>
      <c r="Y23" s="626">
        <f>(U23-T23)/T23</f>
        <v>5.9940059940060434E-3</v>
      </c>
      <c r="Z23" s="626"/>
      <c r="AA23" s="626"/>
      <c r="AB23" s="183"/>
    </row>
    <row r="24" spans="1:28" s="242" customFormat="1">
      <c r="A24" s="51">
        <v>2018</v>
      </c>
      <c r="B24" s="51">
        <v>2000</v>
      </c>
      <c r="C24" s="51">
        <v>1</v>
      </c>
      <c r="D24" s="242">
        <v>38.75</v>
      </c>
      <c r="E24" s="242">
        <v>20.8</v>
      </c>
      <c r="F24" s="182">
        <v>43630</v>
      </c>
      <c r="I24" s="236">
        <v>8.5389999999999997</v>
      </c>
      <c r="J24" s="242">
        <v>20.7</v>
      </c>
      <c r="K24" s="182">
        <v>43630</v>
      </c>
      <c r="R24" s="253" t="s">
        <v>2590</v>
      </c>
      <c r="T24" s="51">
        <v>12.45</v>
      </c>
      <c r="U24" s="183">
        <v>12.664999999999999</v>
      </c>
      <c r="V24" s="237"/>
      <c r="W24" s="183">
        <v>20.7</v>
      </c>
      <c r="X24" s="240"/>
      <c r="Y24" s="626">
        <f>(U24-T24)/T24</f>
        <v>1.7269076305220874E-2</v>
      </c>
      <c r="Z24" s="627"/>
      <c r="AA24" s="627"/>
      <c r="AB24" s="240"/>
    </row>
    <row r="25" spans="1:28" s="242" customFormat="1">
      <c r="A25" s="51">
        <v>2018</v>
      </c>
      <c r="B25" s="51">
        <v>2000</v>
      </c>
      <c r="C25" s="183">
        <v>2</v>
      </c>
      <c r="D25" s="242">
        <v>38.14</v>
      </c>
      <c r="E25" s="242">
        <v>20.7</v>
      </c>
      <c r="F25" s="182">
        <v>43630</v>
      </c>
      <c r="I25" s="236">
        <v>8.4949999999999992</v>
      </c>
      <c r="J25" s="242">
        <v>20.6</v>
      </c>
      <c r="K25" s="182">
        <v>43630</v>
      </c>
      <c r="R25" s="253" t="s">
        <v>2590</v>
      </c>
      <c r="T25" s="51">
        <v>9.18</v>
      </c>
      <c r="U25" s="183">
        <v>9.2880000000000003</v>
      </c>
      <c r="V25" s="237"/>
      <c r="W25" s="183">
        <v>20.8</v>
      </c>
      <c r="Y25" s="626">
        <f>(U25-T25)/T25</f>
        <v>1.1764705882353E-2</v>
      </c>
      <c r="Z25" s="513"/>
      <c r="AA25" s="513"/>
    </row>
    <row r="26" spans="1:28" s="242" customFormat="1">
      <c r="A26" s="51">
        <v>2018</v>
      </c>
      <c r="B26" s="51">
        <v>2000</v>
      </c>
      <c r="C26" s="183">
        <v>3</v>
      </c>
      <c r="D26" s="242">
        <v>38.549999999999997</v>
      </c>
      <c r="E26" s="242">
        <v>20.6</v>
      </c>
      <c r="F26" s="182">
        <v>43630</v>
      </c>
      <c r="I26" s="236">
        <v>8.423</v>
      </c>
      <c r="J26" s="242">
        <v>20.6</v>
      </c>
      <c r="K26" s="182">
        <v>43630</v>
      </c>
      <c r="R26" s="253" t="s">
        <v>2590</v>
      </c>
      <c r="T26" s="51"/>
      <c r="U26" s="183"/>
      <c r="V26" s="237"/>
      <c r="W26" s="183"/>
    </row>
    <row r="27" spans="1:28" s="242" customFormat="1">
      <c r="A27" s="51">
        <v>2018</v>
      </c>
      <c r="B27" s="51">
        <v>2000</v>
      </c>
      <c r="C27" s="183">
        <v>4</v>
      </c>
      <c r="D27" s="242">
        <v>39.76</v>
      </c>
      <c r="E27" s="242">
        <v>20.5</v>
      </c>
      <c r="F27" s="182">
        <v>43630</v>
      </c>
      <c r="I27" s="236">
        <v>8.6419999999999995</v>
      </c>
      <c r="J27" s="242">
        <v>20.5</v>
      </c>
      <c r="K27" s="182">
        <v>43630</v>
      </c>
      <c r="R27" s="253" t="s">
        <v>2590</v>
      </c>
      <c r="T27" s="51"/>
      <c r="U27" s="183"/>
      <c r="V27" s="237"/>
      <c r="W27" s="183"/>
    </row>
    <row r="28" spans="1:28" s="242" customFormat="1">
      <c r="A28" s="51">
        <v>2018</v>
      </c>
      <c r="B28" s="51">
        <v>2000</v>
      </c>
      <c r="C28" s="183">
        <v>5</v>
      </c>
      <c r="D28" s="242">
        <v>39.46</v>
      </c>
      <c r="E28" s="242">
        <v>20.5</v>
      </c>
      <c r="F28" s="182">
        <v>43630</v>
      </c>
      <c r="G28" s="242">
        <v>39.47</v>
      </c>
      <c r="H28" s="242">
        <v>20.399999999999999</v>
      </c>
      <c r="I28" s="236">
        <v>8.4960000000000004</v>
      </c>
      <c r="J28" s="242">
        <v>20.5</v>
      </c>
      <c r="K28" s="182">
        <v>43630</v>
      </c>
      <c r="L28" s="242">
        <v>8.4730000000000008</v>
      </c>
      <c r="M28" s="242">
        <v>20.5</v>
      </c>
      <c r="O28" s="183">
        <f>G28-D28</f>
        <v>9.9999999999980105E-3</v>
      </c>
      <c r="P28" s="183">
        <f>L28-I28</f>
        <v>-2.2999999999999687E-2</v>
      </c>
      <c r="R28" s="253" t="s">
        <v>2590</v>
      </c>
      <c r="T28" s="51"/>
      <c r="U28" s="183"/>
      <c r="V28" s="237"/>
      <c r="W28" s="183"/>
    </row>
    <row r="29" spans="1:28" s="242" customFormat="1">
      <c r="A29" s="51">
        <v>2018</v>
      </c>
      <c r="B29" s="51">
        <v>2000</v>
      </c>
      <c r="C29" s="51">
        <v>6</v>
      </c>
      <c r="D29" s="242">
        <v>38.39</v>
      </c>
      <c r="E29" s="242">
        <v>20.399999999999999</v>
      </c>
      <c r="F29" s="182">
        <v>43630</v>
      </c>
      <c r="I29" s="236">
        <v>8.6669999999999998</v>
      </c>
      <c r="J29" s="242">
        <v>20.5</v>
      </c>
      <c r="K29" s="182">
        <v>43630</v>
      </c>
      <c r="O29" s="183"/>
      <c r="P29" s="183"/>
      <c r="R29" s="253" t="s">
        <v>2590</v>
      </c>
      <c r="T29" s="51"/>
      <c r="U29" s="183"/>
      <c r="V29" s="237"/>
      <c r="W29" s="183"/>
    </row>
    <row r="30" spans="1:28" s="242" customFormat="1">
      <c r="A30" s="51">
        <v>2018</v>
      </c>
      <c r="B30" s="51">
        <v>2000</v>
      </c>
      <c r="C30" s="183">
        <v>7</v>
      </c>
      <c r="D30" s="242">
        <v>37.01</v>
      </c>
      <c r="E30" s="242">
        <v>20.399999999999999</v>
      </c>
      <c r="F30" s="182">
        <v>43630</v>
      </c>
      <c r="I30" s="236">
        <v>8.5950000000000006</v>
      </c>
      <c r="J30" s="242">
        <v>20.5</v>
      </c>
      <c r="K30" s="182">
        <v>43630</v>
      </c>
      <c r="O30" s="183"/>
      <c r="P30" s="183"/>
      <c r="R30" s="253" t="s">
        <v>2590</v>
      </c>
      <c r="T30" s="51"/>
      <c r="U30" s="183"/>
      <c r="V30" s="237"/>
      <c r="W30" s="183"/>
    </row>
    <row r="31" spans="1:28" s="242" customFormat="1">
      <c r="A31" s="51">
        <v>2018</v>
      </c>
      <c r="B31" s="51">
        <v>2000</v>
      </c>
      <c r="C31" s="183">
        <v>8</v>
      </c>
      <c r="D31" s="242">
        <v>39.08</v>
      </c>
      <c r="E31" s="242">
        <v>20.399999999999999</v>
      </c>
      <c r="F31" s="182">
        <v>43630</v>
      </c>
      <c r="I31" s="236">
        <v>8.65</v>
      </c>
      <c r="J31" s="242">
        <v>20.5</v>
      </c>
      <c r="K31" s="182">
        <v>43630</v>
      </c>
      <c r="O31" s="183"/>
      <c r="P31" s="183"/>
      <c r="R31" s="253" t="s">
        <v>2590</v>
      </c>
      <c r="T31" s="51"/>
      <c r="U31" s="183"/>
      <c r="V31" s="237"/>
      <c r="W31" s="183"/>
    </row>
    <row r="32" spans="1:28" s="242" customFormat="1">
      <c r="A32" s="51">
        <v>2018</v>
      </c>
      <c r="B32" s="51">
        <v>2000</v>
      </c>
      <c r="C32" s="183">
        <v>9</v>
      </c>
      <c r="D32" s="242">
        <v>39.520000000000003</v>
      </c>
      <c r="E32" s="242">
        <v>20.399999999999999</v>
      </c>
      <c r="F32" s="182">
        <v>43630</v>
      </c>
      <c r="I32" s="236">
        <v>8.6980000000000004</v>
      </c>
      <c r="J32" s="242">
        <v>20.5</v>
      </c>
      <c r="K32" s="182">
        <v>43630</v>
      </c>
      <c r="O32" s="183"/>
      <c r="P32" s="183"/>
      <c r="R32" s="253" t="s">
        <v>2590</v>
      </c>
      <c r="T32" s="51"/>
      <c r="U32" s="183"/>
      <c r="V32" s="237"/>
      <c r="W32" s="183"/>
    </row>
    <row r="33" spans="1:28" s="242" customFormat="1">
      <c r="A33" s="51">
        <v>2018</v>
      </c>
      <c r="B33" s="51">
        <v>2000</v>
      </c>
      <c r="C33" s="183">
        <v>10</v>
      </c>
      <c r="D33" s="242">
        <v>40.21</v>
      </c>
      <c r="E33" s="242">
        <v>20.399999999999999</v>
      </c>
      <c r="F33" s="182">
        <v>43630</v>
      </c>
      <c r="I33" s="236">
        <v>8.7279999999999998</v>
      </c>
      <c r="J33" s="242">
        <v>20.5</v>
      </c>
      <c r="K33" s="182">
        <v>43630</v>
      </c>
      <c r="O33" s="183"/>
      <c r="P33" s="183"/>
      <c r="R33" s="253" t="s">
        <v>2590</v>
      </c>
      <c r="T33" s="51"/>
      <c r="U33" s="183"/>
      <c r="V33" s="237"/>
      <c r="W33" s="183"/>
    </row>
    <row r="34" spans="1:28" s="242" customFormat="1">
      <c r="A34" s="51">
        <v>2018</v>
      </c>
      <c r="B34" s="51">
        <v>2000</v>
      </c>
      <c r="C34" s="51">
        <v>11</v>
      </c>
      <c r="D34" s="242">
        <v>40.299999999999997</v>
      </c>
      <c r="E34" s="242">
        <v>20.399999999999999</v>
      </c>
      <c r="F34" s="182">
        <v>43630</v>
      </c>
      <c r="I34" s="236">
        <v>8.6869999999999994</v>
      </c>
      <c r="J34" s="242">
        <v>20.5</v>
      </c>
      <c r="K34" s="182">
        <v>43630</v>
      </c>
      <c r="O34" s="183"/>
      <c r="P34" s="183"/>
      <c r="R34" s="253" t="s">
        <v>2590</v>
      </c>
      <c r="T34" s="51"/>
      <c r="U34" s="183"/>
      <c r="V34" s="237"/>
      <c r="W34" s="183"/>
    </row>
    <row r="35" spans="1:28" s="242" customFormat="1">
      <c r="A35" s="51">
        <v>2018</v>
      </c>
      <c r="B35" s="51">
        <v>2000</v>
      </c>
      <c r="C35" s="183">
        <v>12</v>
      </c>
      <c r="D35" s="242">
        <v>40.049999999999997</v>
      </c>
      <c r="E35" s="242">
        <v>20.6</v>
      </c>
      <c r="F35" s="182">
        <v>43630</v>
      </c>
      <c r="I35" s="236">
        <v>8.6370000000000005</v>
      </c>
      <c r="J35" s="242">
        <v>20.5</v>
      </c>
      <c r="K35" s="182">
        <v>43630</v>
      </c>
      <c r="O35" s="183"/>
      <c r="P35" s="183"/>
      <c r="R35" s="253" t="s">
        <v>2590</v>
      </c>
      <c r="T35" s="51"/>
      <c r="U35" s="183"/>
      <c r="V35" s="237"/>
      <c r="W35" s="183"/>
    </row>
    <row r="36" spans="1:28" s="242" customFormat="1">
      <c r="A36" s="51">
        <v>2018</v>
      </c>
      <c r="B36" s="51">
        <v>2000</v>
      </c>
      <c r="C36" s="183">
        <v>13</v>
      </c>
      <c r="D36" s="242">
        <v>39.909999999999997</v>
      </c>
      <c r="E36" s="242">
        <v>20.6</v>
      </c>
      <c r="F36" s="182">
        <v>43630</v>
      </c>
      <c r="I36" s="236">
        <v>8.5920000000000005</v>
      </c>
      <c r="J36" s="242">
        <v>20.5</v>
      </c>
      <c r="K36" s="182">
        <v>43630</v>
      </c>
      <c r="O36" s="183"/>
      <c r="P36" s="183"/>
      <c r="R36" s="253" t="s">
        <v>2590</v>
      </c>
      <c r="T36" s="51"/>
      <c r="U36" s="183"/>
      <c r="V36" s="237"/>
      <c r="W36" s="183"/>
    </row>
    <row r="37" spans="1:28" s="242" customFormat="1">
      <c r="A37" s="51">
        <v>2018</v>
      </c>
      <c r="B37" s="51">
        <v>2000</v>
      </c>
      <c r="C37" s="183">
        <v>14</v>
      </c>
      <c r="D37" s="242">
        <v>40.22</v>
      </c>
      <c r="E37" s="242">
        <v>20.6</v>
      </c>
      <c r="F37" s="182">
        <v>43630</v>
      </c>
      <c r="I37" s="236">
        <v>8.2270000000000003</v>
      </c>
      <c r="J37" s="242">
        <v>20.5</v>
      </c>
      <c r="K37" s="182">
        <v>43630</v>
      </c>
      <c r="O37" s="183"/>
      <c r="P37" s="183"/>
      <c r="R37" s="253" t="s">
        <v>2590</v>
      </c>
      <c r="T37" s="51"/>
      <c r="U37" s="183"/>
      <c r="V37" s="237"/>
      <c r="W37" s="183"/>
    </row>
    <row r="38" spans="1:28" s="242" customFormat="1">
      <c r="A38" s="51">
        <v>2018</v>
      </c>
      <c r="B38" s="51">
        <v>2000</v>
      </c>
      <c r="C38" s="183">
        <v>15</v>
      </c>
      <c r="D38" s="242">
        <v>40.03</v>
      </c>
      <c r="E38" s="242">
        <v>20.5</v>
      </c>
      <c r="F38" s="182">
        <v>43630</v>
      </c>
      <c r="I38" s="236">
        <v>8.5150000000000006</v>
      </c>
      <c r="J38" s="242">
        <v>2.04</v>
      </c>
      <c r="K38" s="182">
        <v>43630</v>
      </c>
      <c r="O38" s="183"/>
      <c r="P38" s="183"/>
      <c r="R38" s="253" t="s">
        <v>2590</v>
      </c>
      <c r="T38" s="51"/>
      <c r="U38" s="183"/>
      <c r="V38" s="237"/>
      <c r="W38" s="183"/>
    </row>
    <row r="39" spans="1:28" s="242" customFormat="1">
      <c r="A39" s="51">
        <v>2018</v>
      </c>
      <c r="B39" s="51">
        <v>2000</v>
      </c>
      <c r="C39" s="51">
        <v>16</v>
      </c>
      <c r="D39" s="242">
        <v>39.75</v>
      </c>
      <c r="E39" s="242">
        <v>20.5</v>
      </c>
      <c r="F39" s="182">
        <v>43630</v>
      </c>
      <c r="I39" s="236">
        <v>8.6809999999999992</v>
      </c>
      <c r="J39" s="242">
        <v>20.5</v>
      </c>
      <c r="K39" s="182">
        <v>43630</v>
      </c>
      <c r="O39" s="183"/>
      <c r="P39" s="183"/>
      <c r="R39" s="253" t="s">
        <v>2590</v>
      </c>
      <c r="T39" s="51"/>
      <c r="U39" s="183"/>
      <c r="V39" s="237"/>
      <c r="W39" s="183"/>
    </row>
    <row r="40" spans="1:28" s="242" customFormat="1">
      <c r="A40" s="51">
        <v>2018</v>
      </c>
      <c r="B40" s="51">
        <v>2000</v>
      </c>
      <c r="C40" s="183">
        <v>17</v>
      </c>
      <c r="D40" s="242">
        <v>39.909999999999997</v>
      </c>
      <c r="E40" s="242">
        <v>20.5</v>
      </c>
      <c r="F40" s="182">
        <v>43630</v>
      </c>
      <c r="G40" s="242">
        <v>39.89</v>
      </c>
      <c r="H40" s="242">
        <v>20.5</v>
      </c>
      <c r="I40" s="236">
        <v>8.6579999999999995</v>
      </c>
      <c r="J40" s="242">
        <v>20.5</v>
      </c>
      <c r="K40" s="182">
        <v>43630</v>
      </c>
      <c r="L40" s="242">
        <v>8.7100000000000009</v>
      </c>
      <c r="M40" s="242">
        <v>20.5</v>
      </c>
      <c r="O40" s="183">
        <f>G40-D40</f>
        <v>-1.9999999999996021E-2</v>
      </c>
      <c r="P40" s="183">
        <f>L40-I40</f>
        <v>5.2000000000001378E-2</v>
      </c>
      <c r="R40" s="253" t="s">
        <v>2590</v>
      </c>
      <c r="T40" s="51"/>
      <c r="U40" s="183"/>
      <c r="V40" s="237"/>
      <c r="W40" s="183"/>
    </row>
    <row r="41" spans="1:28" s="242" customFormat="1">
      <c r="A41" s="51">
        <v>2018</v>
      </c>
      <c r="B41" s="51">
        <v>2000</v>
      </c>
      <c r="C41" s="183">
        <v>18</v>
      </c>
      <c r="D41" s="242">
        <v>40.17</v>
      </c>
      <c r="E41" s="242">
        <v>20.5</v>
      </c>
      <c r="F41" s="182">
        <v>43630</v>
      </c>
      <c r="I41" s="236">
        <v>8.6980000000000004</v>
      </c>
      <c r="J41" s="242">
        <v>20.5</v>
      </c>
      <c r="K41" s="182">
        <v>43630</v>
      </c>
      <c r="R41" s="253" t="s">
        <v>2590</v>
      </c>
      <c r="T41" s="51"/>
      <c r="U41" s="183"/>
      <c r="V41" s="237"/>
      <c r="W41" s="183"/>
    </row>
    <row r="42" spans="1:28" s="242" customFormat="1">
      <c r="A42" s="51">
        <v>2018</v>
      </c>
      <c r="B42" s="51">
        <v>2000</v>
      </c>
      <c r="C42" s="183">
        <v>19</v>
      </c>
      <c r="D42" s="242">
        <v>39.96</v>
      </c>
      <c r="E42" s="242">
        <v>20.6</v>
      </c>
      <c r="F42" s="182">
        <v>43630</v>
      </c>
      <c r="I42" s="236">
        <v>8.6910000000000007</v>
      </c>
      <c r="J42" s="242">
        <v>20.5</v>
      </c>
      <c r="K42" s="182">
        <v>43630</v>
      </c>
      <c r="R42" s="253" t="s">
        <v>2590</v>
      </c>
      <c r="T42" s="51"/>
      <c r="U42" s="183"/>
      <c r="V42" s="237"/>
      <c r="W42" s="183"/>
    </row>
    <row r="43" spans="1:28" s="242" customFormat="1">
      <c r="A43" s="51">
        <v>2018</v>
      </c>
      <c r="B43" s="51">
        <v>2000</v>
      </c>
      <c r="C43" s="183">
        <v>20</v>
      </c>
      <c r="D43" s="242">
        <v>39.869999999999997</v>
      </c>
      <c r="E43" s="242">
        <v>20.6</v>
      </c>
      <c r="F43" s="182">
        <v>43630</v>
      </c>
      <c r="I43" s="236">
        <v>8.6620000000000008</v>
      </c>
      <c r="J43" s="242">
        <v>20.5</v>
      </c>
      <c r="K43" s="182">
        <v>43630</v>
      </c>
      <c r="R43" s="253" t="s">
        <v>2590</v>
      </c>
      <c r="T43" s="51"/>
      <c r="U43" s="183"/>
      <c r="V43" s="237"/>
      <c r="W43" s="183"/>
    </row>
    <row r="44" spans="1:28" s="240" customFormat="1">
      <c r="A44" s="238">
        <v>2018</v>
      </c>
      <c r="B44" s="238">
        <v>2000</v>
      </c>
      <c r="C44" s="238">
        <v>21</v>
      </c>
      <c r="D44" s="240">
        <v>40.14</v>
      </c>
      <c r="E44" s="240">
        <v>20.6</v>
      </c>
      <c r="F44" s="241">
        <v>43630</v>
      </c>
      <c r="I44" s="239">
        <v>8.6809999999999992</v>
      </c>
      <c r="J44" s="240">
        <v>20.5</v>
      </c>
      <c r="K44" s="241">
        <v>43630</v>
      </c>
      <c r="R44" s="259" t="s">
        <v>2590</v>
      </c>
      <c r="T44" s="51"/>
      <c r="U44" s="183"/>
      <c r="V44" s="237"/>
      <c r="W44" s="183"/>
      <c r="X44" s="242"/>
      <c r="Y44" s="242"/>
      <c r="Z44" s="242"/>
      <c r="AA44" s="242"/>
      <c r="AB44" s="242"/>
    </row>
    <row r="45" spans="1:28" s="242" customFormat="1">
      <c r="A45" s="51">
        <v>2018</v>
      </c>
      <c r="B45" s="51">
        <v>3800</v>
      </c>
      <c r="C45" s="51">
        <v>1</v>
      </c>
      <c r="D45" s="242">
        <v>39.130000000000003</v>
      </c>
      <c r="E45" s="242">
        <v>20.399999999999999</v>
      </c>
      <c r="F45" s="182">
        <v>43630</v>
      </c>
      <c r="G45" s="182"/>
      <c r="I45" s="236">
        <v>8.6329999999999991</v>
      </c>
      <c r="J45" s="242">
        <v>20.5</v>
      </c>
      <c r="K45" s="182">
        <v>43630</v>
      </c>
      <c r="R45" s="253" t="s">
        <v>2590</v>
      </c>
      <c r="T45" s="238"/>
      <c r="U45" s="240"/>
      <c r="V45" s="260"/>
      <c r="W45" s="240"/>
      <c r="X45" s="240"/>
      <c r="Y45" s="240"/>
      <c r="Z45" s="240"/>
      <c r="AA45" s="240"/>
      <c r="AB45" s="240"/>
    </row>
    <row r="46" spans="1:28" s="242" customFormat="1">
      <c r="A46" s="51">
        <v>2018</v>
      </c>
      <c r="B46" s="51">
        <v>3800</v>
      </c>
      <c r="C46" s="183">
        <v>2</v>
      </c>
      <c r="D46" s="242">
        <v>38.5</v>
      </c>
      <c r="E46" s="242">
        <v>20.5</v>
      </c>
      <c r="F46" s="182">
        <v>43630</v>
      </c>
      <c r="G46" s="182"/>
      <c r="I46" s="236">
        <v>8.6050000000000004</v>
      </c>
      <c r="J46" s="242">
        <v>20.5</v>
      </c>
      <c r="K46" s="182">
        <v>43630</v>
      </c>
      <c r="R46" s="253" t="s">
        <v>2590</v>
      </c>
      <c r="T46" s="51"/>
      <c r="U46" s="183"/>
      <c r="V46" s="237"/>
      <c r="W46" s="183"/>
    </row>
    <row r="47" spans="1:28" s="242" customFormat="1">
      <c r="A47" s="51">
        <v>2018</v>
      </c>
      <c r="B47" s="51">
        <v>3800</v>
      </c>
      <c r="C47" s="183">
        <v>3</v>
      </c>
      <c r="D47" s="242">
        <v>39.47</v>
      </c>
      <c r="E47" s="242">
        <v>20.5</v>
      </c>
      <c r="F47" s="182">
        <v>43630</v>
      </c>
      <c r="G47" s="182"/>
      <c r="I47" s="236">
        <v>8.548</v>
      </c>
      <c r="J47" s="242">
        <v>20.5</v>
      </c>
      <c r="K47" s="182">
        <v>43630</v>
      </c>
      <c r="R47" s="253" t="s">
        <v>2590</v>
      </c>
      <c r="T47" s="51"/>
      <c r="U47" s="183"/>
      <c r="V47" s="237"/>
      <c r="W47" s="183"/>
    </row>
    <row r="48" spans="1:28" s="242" customFormat="1">
      <c r="A48" s="51">
        <v>2018</v>
      </c>
      <c r="B48" s="51">
        <v>3800</v>
      </c>
      <c r="C48" s="183">
        <v>4</v>
      </c>
      <c r="D48" s="242">
        <v>40.06</v>
      </c>
      <c r="E48" s="242">
        <v>20.5</v>
      </c>
      <c r="F48" s="182">
        <v>43630</v>
      </c>
      <c r="G48" s="182"/>
      <c r="I48" s="236">
        <v>8.5380000000000003</v>
      </c>
      <c r="J48" s="242">
        <v>20.6</v>
      </c>
      <c r="K48" s="182">
        <v>43630</v>
      </c>
      <c r="R48" s="253" t="s">
        <v>2590</v>
      </c>
      <c r="T48" s="51"/>
      <c r="U48" s="183"/>
      <c r="V48" s="237"/>
      <c r="W48" s="183"/>
    </row>
    <row r="49" spans="1:23" s="242" customFormat="1">
      <c r="A49" s="51">
        <v>2018</v>
      </c>
      <c r="B49" s="51">
        <v>3800</v>
      </c>
      <c r="C49" s="183">
        <v>5</v>
      </c>
      <c r="D49" s="242">
        <v>40.07</v>
      </c>
      <c r="E49" s="242">
        <v>20.6</v>
      </c>
      <c r="F49" s="182">
        <v>43630</v>
      </c>
      <c r="G49" s="204">
        <v>40.07</v>
      </c>
      <c r="H49" s="242">
        <v>20.6</v>
      </c>
      <c r="I49" s="236">
        <v>8.6750000000000007</v>
      </c>
      <c r="J49" s="242">
        <v>20.6</v>
      </c>
      <c r="K49" s="182">
        <v>43630</v>
      </c>
      <c r="L49" s="242">
        <v>8.6760000000000002</v>
      </c>
      <c r="M49" s="242">
        <v>20.5</v>
      </c>
      <c r="O49" s="183">
        <f>G49-D49</f>
        <v>0</v>
      </c>
      <c r="P49" s="183">
        <f>L49-I49</f>
        <v>9.9999999999944578E-4</v>
      </c>
      <c r="R49" s="253" t="s">
        <v>2590</v>
      </c>
      <c r="T49" s="51"/>
      <c r="U49" s="183"/>
      <c r="V49" s="237"/>
      <c r="W49" s="183"/>
    </row>
    <row r="50" spans="1:23" s="242" customFormat="1">
      <c r="A50" s="51">
        <v>2018</v>
      </c>
      <c r="B50" s="51">
        <v>3800</v>
      </c>
      <c r="C50" s="51">
        <v>6</v>
      </c>
      <c r="D50" s="242">
        <v>40.1</v>
      </c>
      <c r="E50" s="242">
        <v>20.6</v>
      </c>
      <c r="F50" s="182">
        <v>43630</v>
      </c>
      <c r="G50" s="182"/>
      <c r="I50" s="236">
        <v>8.6750000000000007</v>
      </c>
      <c r="J50" s="242">
        <v>20.7</v>
      </c>
      <c r="K50" s="182">
        <v>43630</v>
      </c>
      <c r="O50" s="183"/>
      <c r="P50" s="183"/>
      <c r="R50" s="253" t="s">
        <v>2590</v>
      </c>
      <c r="T50" s="51"/>
      <c r="U50" s="183"/>
      <c r="V50" s="237"/>
      <c r="W50" s="183"/>
    </row>
    <row r="51" spans="1:23" s="242" customFormat="1">
      <c r="A51" s="51">
        <v>2018</v>
      </c>
      <c r="B51" s="51">
        <v>3800</v>
      </c>
      <c r="C51" s="183">
        <v>7</v>
      </c>
      <c r="D51" s="242">
        <v>40.200000000000003</v>
      </c>
      <c r="E51" s="242">
        <v>20.6</v>
      </c>
      <c r="F51" s="182">
        <v>43630</v>
      </c>
      <c r="G51" s="182"/>
      <c r="I51" s="236">
        <v>8.6389999999999993</v>
      </c>
      <c r="J51" s="242">
        <v>20.7</v>
      </c>
      <c r="K51" s="182">
        <v>43630</v>
      </c>
      <c r="O51" s="183"/>
      <c r="P51" s="183"/>
      <c r="R51" s="253" t="s">
        <v>2590</v>
      </c>
      <c r="T51" s="51"/>
      <c r="U51" s="183"/>
      <c r="V51" s="237"/>
      <c r="W51" s="183"/>
    </row>
    <row r="52" spans="1:23" s="242" customFormat="1">
      <c r="A52" s="51">
        <v>2018</v>
      </c>
      <c r="B52" s="51">
        <v>3800</v>
      </c>
      <c r="C52" s="183">
        <v>8</v>
      </c>
      <c r="D52" s="242">
        <v>39.96</v>
      </c>
      <c r="E52" s="242">
        <v>20.6</v>
      </c>
      <c r="F52" s="182">
        <v>43630</v>
      </c>
      <c r="G52" s="182"/>
      <c r="I52" s="236">
        <v>8.6780000000000008</v>
      </c>
      <c r="J52" s="242">
        <v>20.6</v>
      </c>
      <c r="K52" s="182">
        <v>43630</v>
      </c>
      <c r="O52" s="183"/>
      <c r="P52" s="183"/>
      <c r="R52" s="253" t="s">
        <v>2590</v>
      </c>
      <c r="T52" s="51"/>
      <c r="U52" s="183"/>
      <c r="V52" s="237"/>
      <c r="W52" s="183"/>
    </row>
    <row r="53" spans="1:23" s="242" customFormat="1">
      <c r="A53" s="51">
        <v>2018</v>
      </c>
      <c r="B53" s="51">
        <v>3800</v>
      </c>
      <c r="C53" s="183">
        <v>9</v>
      </c>
      <c r="D53" s="242">
        <v>40.159999999999997</v>
      </c>
      <c r="E53" s="242">
        <v>20.6</v>
      </c>
      <c r="F53" s="182">
        <v>43630</v>
      </c>
      <c r="G53" s="182"/>
      <c r="I53" s="236">
        <v>8.6489999999999991</v>
      </c>
      <c r="J53" s="242">
        <v>20.6</v>
      </c>
      <c r="K53" s="182">
        <v>43630</v>
      </c>
      <c r="O53" s="183"/>
      <c r="P53" s="183"/>
      <c r="R53" s="253" t="s">
        <v>2590</v>
      </c>
      <c r="T53" s="51"/>
      <c r="U53" s="183"/>
      <c r="V53" s="237"/>
      <c r="W53" s="183"/>
    </row>
    <row r="54" spans="1:23" s="242" customFormat="1">
      <c r="A54" s="51">
        <v>2018</v>
      </c>
      <c r="B54" s="51">
        <v>3800</v>
      </c>
      <c r="C54" s="183">
        <v>10</v>
      </c>
      <c r="D54" s="242">
        <v>40.08</v>
      </c>
      <c r="E54" s="242">
        <v>20.6</v>
      </c>
      <c r="F54" s="182">
        <v>43630</v>
      </c>
      <c r="G54" s="182"/>
      <c r="I54" s="236">
        <v>8.6920000000000002</v>
      </c>
      <c r="J54" s="242">
        <v>20.6</v>
      </c>
      <c r="K54" s="182">
        <v>43630</v>
      </c>
      <c r="O54" s="183"/>
      <c r="P54" s="183"/>
      <c r="R54" s="253" t="s">
        <v>2590</v>
      </c>
      <c r="T54" s="51"/>
      <c r="U54" s="183"/>
      <c r="V54" s="237"/>
      <c r="W54" s="183"/>
    </row>
    <row r="55" spans="1:23" s="242" customFormat="1">
      <c r="A55" s="51">
        <v>2018</v>
      </c>
      <c r="B55" s="51">
        <v>3800</v>
      </c>
      <c r="C55" s="51">
        <v>11</v>
      </c>
      <c r="D55" s="242">
        <v>40.119999999999997</v>
      </c>
      <c r="E55" s="242">
        <v>20.6</v>
      </c>
      <c r="F55" s="182">
        <v>43630</v>
      </c>
      <c r="G55" s="182"/>
      <c r="I55" s="236">
        <v>8.7289999999999992</v>
      </c>
      <c r="J55" s="242">
        <v>20.6</v>
      </c>
      <c r="K55" s="182">
        <v>43630</v>
      </c>
      <c r="O55" s="183"/>
      <c r="P55" s="183"/>
      <c r="R55" s="253" t="s">
        <v>2590</v>
      </c>
      <c r="T55" s="51"/>
      <c r="U55" s="183"/>
      <c r="V55" s="237"/>
      <c r="W55" s="183"/>
    </row>
    <row r="56" spans="1:23" s="242" customFormat="1">
      <c r="A56" s="51">
        <v>2018</v>
      </c>
      <c r="B56" s="51">
        <v>3800</v>
      </c>
      <c r="C56" s="183">
        <v>12</v>
      </c>
      <c r="D56" s="242">
        <v>39.770000000000003</v>
      </c>
      <c r="E56" s="242">
        <v>20.6</v>
      </c>
      <c r="F56" s="182">
        <v>43630</v>
      </c>
      <c r="G56" s="182"/>
      <c r="I56" s="236">
        <v>8.7430000000000003</v>
      </c>
      <c r="J56" s="242">
        <v>20.6</v>
      </c>
      <c r="K56" s="182">
        <v>43630</v>
      </c>
      <c r="O56" s="183"/>
      <c r="P56" s="183"/>
      <c r="R56" s="253" t="s">
        <v>2590</v>
      </c>
      <c r="T56" s="51"/>
      <c r="U56" s="183"/>
      <c r="V56" s="237"/>
      <c r="W56" s="183"/>
    </row>
    <row r="57" spans="1:23" s="242" customFormat="1">
      <c r="A57" s="51">
        <v>2018</v>
      </c>
      <c r="B57" s="51">
        <v>3800</v>
      </c>
      <c r="C57" s="183">
        <v>13</v>
      </c>
      <c r="D57" s="242">
        <v>39.6</v>
      </c>
      <c r="E57" s="242">
        <v>20.6</v>
      </c>
      <c r="F57" s="182">
        <v>43630</v>
      </c>
      <c r="G57" s="182"/>
      <c r="I57" s="236">
        <v>8.6579999999999995</v>
      </c>
      <c r="J57" s="242">
        <v>20.6</v>
      </c>
      <c r="K57" s="182">
        <v>43630</v>
      </c>
      <c r="O57" s="183"/>
      <c r="P57" s="183"/>
      <c r="R57" s="253" t="s">
        <v>2590</v>
      </c>
      <c r="T57" s="51"/>
      <c r="U57" s="183"/>
      <c r="V57" s="237"/>
      <c r="W57" s="183"/>
    </row>
    <row r="58" spans="1:23" s="242" customFormat="1">
      <c r="A58" s="51">
        <v>2018</v>
      </c>
      <c r="B58" s="51">
        <v>3800</v>
      </c>
      <c r="C58" s="183">
        <v>14</v>
      </c>
      <c r="D58" s="242">
        <v>40.17</v>
      </c>
      <c r="E58" s="242">
        <v>20.7</v>
      </c>
      <c r="F58" s="182">
        <v>43630</v>
      </c>
      <c r="G58" s="182"/>
      <c r="I58" s="236">
        <v>8.7270000000000003</v>
      </c>
      <c r="J58" s="242">
        <v>20.6</v>
      </c>
      <c r="K58" s="182">
        <v>43630</v>
      </c>
      <c r="O58" s="183"/>
      <c r="P58" s="183"/>
      <c r="R58" s="253" t="s">
        <v>2590</v>
      </c>
      <c r="T58" s="51"/>
      <c r="U58" s="183"/>
      <c r="V58" s="237"/>
      <c r="W58" s="183"/>
    </row>
    <row r="59" spans="1:23" s="242" customFormat="1">
      <c r="A59" s="51">
        <v>2018</v>
      </c>
      <c r="B59" s="51">
        <v>3800</v>
      </c>
      <c r="C59" s="183">
        <v>15</v>
      </c>
      <c r="D59" s="242">
        <v>40.26</v>
      </c>
      <c r="E59" s="242">
        <v>20.6</v>
      </c>
      <c r="F59" s="182">
        <v>43630</v>
      </c>
      <c r="G59" s="182"/>
      <c r="I59" s="242">
        <v>8.6950000000000003</v>
      </c>
      <c r="J59" s="242">
        <v>20.6</v>
      </c>
      <c r="K59" s="182">
        <v>43630</v>
      </c>
      <c r="O59" s="183"/>
      <c r="P59" s="183"/>
      <c r="R59" s="253" t="s">
        <v>2590</v>
      </c>
      <c r="T59" s="51"/>
      <c r="U59" s="183"/>
      <c r="V59" s="237"/>
      <c r="W59" s="183"/>
    </row>
    <row r="60" spans="1:23" s="242" customFormat="1">
      <c r="A60" s="51">
        <v>2018</v>
      </c>
      <c r="B60" s="51">
        <v>3800</v>
      </c>
      <c r="C60" s="51">
        <v>16</v>
      </c>
      <c r="D60" s="242">
        <v>40.07</v>
      </c>
      <c r="E60" s="242">
        <v>20.6</v>
      </c>
      <c r="F60" s="182">
        <v>43630</v>
      </c>
      <c r="G60" s="182"/>
      <c r="I60" s="236">
        <v>8.4930000000000003</v>
      </c>
      <c r="J60" s="242">
        <v>20.6</v>
      </c>
      <c r="K60" s="182">
        <v>43630</v>
      </c>
      <c r="O60" s="183"/>
      <c r="P60" s="183"/>
      <c r="R60" s="253" t="s">
        <v>2590</v>
      </c>
      <c r="T60" s="51"/>
      <c r="U60" s="183"/>
      <c r="V60" s="237"/>
      <c r="W60" s="183"/>
    </row>
    <row r="61" spans="1:23" s="242" customFormat="1">
      <c r="A61" s="51">
        <v>2018</v>
      </c>
      <c r="B61" s="51">
        <v>3800</v>
      </c>
      <c r="C61" s="183">
        <v>17</v>
      </c>
      <c r="D61" s="242">
        <v>39.979999999999997</v>
      </c>
      <c r="E61" s="242">
        <v>20.6</v>
      </c>
      <c r="F61" s="182">
        <v>43630</v>
      </c>
      <c r="G61" s="204">
        <v>39.96</v>
      </c>
      <c r="H61" s="242">
        <v>20.6</v>
      </c>
      <c r="I61" s="236">
        <v>8.7270000000000003</v>
      </c>
      <c r="J61" s="242">
        <v>20.6</v>
      </c>
      <c r="K61" s="182">
        <v>43630</v>
      </c>
      <c r="L61" s="242">
        <v>8.7119999999999997</v>
      </c>
      <c r="M61" s="242">
        <v>20.6</v>
      </c>
      <c r="O61" s="183">
        <f>G61-D61</f>
        <v>-1.9999999999996021E-2</v>
      </c>
      <c r="P61" s="183">
        <f>L61-I61</f>
        <v>-1.5000000000000568E-2</v>
      </c>
      <c r="R61" s="253" t="s">
        <v>2590</v>
      </c>
      <c r="T61" s="51"/>
      <c r="U61" s="183"/>
      <c r="V61" s="237"/>
      <c r="W61" s="183"/>
    </row>
    <row r="62" spans="1:23" s="242" customFormat="1">
      <c r="A62" s="51">
        <v>2018</v>
      </c>
      <c r="B62" s="51">
        <v>3800</v>
      </c>
      <c r="C62" s="183">
        <v>18</v>
      </c>
      <c r="D62" s="242">
        <v>40.17</v>
      </c>
      <c r="E62" s="242">
        <v>20.6</v>
      </c>
      <c r="F62" s="182">
        <v>43630</v>
      </c>
      <c r="G62" s="182"/>
      <c r="I62" s="236">
        <v>8.7110000000000003</v>
      </c>
      <c r="J62" s="242">
        <v>20.6</v>
      </c>
      <c r="K62" s="182">
        <v>43630</v>
      </c>
      <c r="R62" s="253" t="s">
        <v>2590</v>
      </c>
      <c r="T62" s="51"/>
      <c r="U62" s="183"/>
      <c r="V62" s="237"/>
      <c r="W62" s="183"/>
    </row>
    <row r="63" spans="1:23" s="242" customFormat="1">
      <c r="A63" s="51">
        <v>2018</v>
      </c>
      <c r="B63" s="51">
        <v>3800</v>
      </c>
      <c r="C63" s="183">
        <v>19</v>
      </c>
      <c r="D63" s="242">
        <v>40</v>
      </c>
      <c r="E63" s="242">
        <v>20.6</v>
      </c>
      <c r="F63" s="182">
        <v>43630</v>
      </c>
      <c r="G63" s="182"/>
      <c r="I63" s="236">
        <v>8.6980000000000004</v>
      </c>
      <c r="J63" s="242">
        <v>20.6</v>
      </c>
      <c r="K63" s="182">
        <v>43630</v>
      </c>
      <c r="R63" s="253" t="s">
        <v>2590</v>
      </c>
      <c r="T63" s="51"/>
      <c r="U63" s="183"/>
      <c r="V63" s="237"/>
      <c r="W63" s="183"/>
    </row>
    <row r="64" spans="1:23" s="242" customFormat="1">
      <c r="A64" s="51">
        <v>2018</v>
      </c>
      <c r="B64" s="51">
        <v>3800</v>
      </c>
      <c r="C64" s="183">
        <v>20</v>
      </c>
      <c r="D64" s="242">
        <v>39.83</v>
      </c>
      <c r="E64" s="242">
        <v>20.7</v>
      </c>
      <c r="F64" s="182">
        <v>43630</v>
      </c>
      <c r="G64" s="182"/>
      <c r="I64" s="236">
        <v>8.6229999999999993</v>
      </c>
      <c r="J64" s="242">
        <v>20.5</v>
      </c>
      <c r="K64" s="182">
        <v>43630</v>
      </c>
      <c r="R64" s="253" t="s">
        <v>2590</v>
      </c>
      <c r="T64" s="51"/>
      <c r="U64" s="183"/>
      <c r="V64" s="237"/>
      <c r="W64" s="183"/>
    </row>
    <row r="65" spans="1:28" s="242" customFormat="1">
      <c r="A65" s="238">
        <v>2018</v>
      </c>
      <c r="B65" s="238">
        <v>3800</v>
      </c>
      <c r="C65" s="238">
        <v>21</v>
      </c>
      <c r="D65" s="242">
        <v>39.880000000000003</v>
      </c>
      <c r="E65" s="242">
        <v>20.7</v>
      </c>
      <c r="F65" s="241">
        <v>43630</v>
      </c>
      <c r="G65" s="182"/>
      <c r="I65" s="236">
        <v>8.6319999999999997</v>
      </c>
      <c r="J65" s="242">
        <v>20.6</v>
      </c>
      <c r="K65" s="241">
        <v>43630</v>
      </c>
      <c r="R65" s="259" t="s">
        <v>2590</v>
      </c>
      <c r="T65" s="51"/>
      <c r="U65" s="183"/>
      <c r="V65" s="237"/>
      <c r="W65" s="183"/>
    </row>
    <row r="66" spans="1:28" s="242" customFormat="1">
      <c r="A66" s="255"/>
      <c r="B66" s="255"/>
      <c r="C66" s="255"/>
      <c r="F66" s="182"/>
      <c r="G66" s="182"/>
      <c r="I66" s="236"/>
      <c r="T66" s="51"/>
      <c r="U66" s="183"/>
      <c r="V66" s="237"/>
      <c r="W66" s="183"/>
    </row>
    <row r="67" spans="1:28" s="242" customFormat="1">
      <c r="A67" s="255"/>
      <c r="B67" s="255"/>
      <c r="C67" s="255"/>
      <c r="F67" s="182"/>
      <c r="G67" s="182"/>
      <c r="I67" s="236"/>
      <c r="T67" s="51"/>
      <c r="U67" s="183"/>
      <c r="V67" s="237"/>
      <c r="W67" s="183"/>
    </row>
    <row r="68" spans="1:28">
      <c r="R68" s="256"/>
      <c r="S68" s="257"/>
      <c r="T68" s="51"/>
      <c r="V68" s="237"/>
      <c r="X68" s="242"/>
      <c r="Y68" s="242"/>
      <c r="Z68" s="242"/>
      <c r="AA68" s="242"/>
      <c r="AB68" s="242"/>
    </row>
    <row r="69" spans="1:28">
      <c r="C69" s="261"/>
      <c r="D69" s="503" t="s">
        <v>2595</v>
      </c>
      <c r="E69" s="504"/>
      <c r="F69" s="504" t="s">
        <v>2597</v>
      </c>
      <c r="G69" s="506" t="s">
        <v>2596</v>
      </c>
      <c r="H69" s="506" t="s">
        <v>2472</v>
      </c>
      <c r="I69" s="508" t="s">
        <v>3175</v>
      </c>
      <c r="R69" s="256"/>
      <c r="S69" s="256"/>
      <c r="T69" s="256"/>
      <c r="U69" s="240"/>
      <c r="V69" s="237"/>
      <c r="W69" s="240"/>
    </row>
    <row r="70" spans="1:28">
      <c r="C70" s="263"/>
      <c r="D70" s="21">
        <f>D7</f>
        <v>34.57</v>
      </c>
      <c r="E70" s="36"/>
      <c r="F70" s="21">
        <f>G7</f>
        <v>34.54</v>
      </c>
      <c r="G70" s="507">
        <f>AVERAGE(D70,F70)</f>
        <v>34.555</v>
      </c>
      <c r="H70" s="505">
        <f>(F70-D70)</f>
        <v>-3.0000000000001137E-2</v>
      </c>
      <c r="I70" s="509">
        <f>H70/G70</f>
        <v>-8.6818116046885076E-4</v>
      </c>
      <c r="R70" s="256"/>
      <c r="S70" s="257"/>
      <c r="T70" s="258"/>
    </row>
    <row r="71" spans="1:28">
      <c r="C71" s="263"/>
      <c r="D71" s="21">
        <f>D19</f>
        <v>37.450000000000003</v>
      </c>
      <c r="E71" s="36"/>
      <c r="F71" s="21">
        <f>G19</f>
        <v>37.44</v>
      </c>
      <c r="G71" s="507">
        <f t="shared" ref="G71:G75" si="0">AVERAGE(D71,F71)</f>
        <v>37.445</v>
      </c>
      <c r="H71" s="505">
        <f t="shared" ref="H71:H75" si="1">(F71-D71)</f>
        <v>-1.0000000000005116E-2</v>
      </c>
      <c r="I71" s="509">
        <f t="shared" ref="I71:I75" si="2">H71/G71</f>
        <v>-2.6705835225010325E-4</v>
      </c>
      <c r="R71" s="268"/>
      <c r="S71" s="269"/>
      <c r="T71" s="256"/>
    </row>
    <row r="72" spans="1:28">
      <c r="C72" s="263"/>
      <c r="D72" s="242">
        <f>D28</f>
        <v>39.46</v>
      </c>
      <c r="E72" s="242"/>
      <c r="F72" s="242">
        <f>G28</f>
        <v>39.47</v>
      </c>
      <c r="G72" s="507">
        <f t="shared" si="0"/>
        <v>39.465000000000003</v>
      </c>
      <c r="H72" s="505">
        <f t="shared" si="1"/>
        <v>9.9999999999980105E-3</v>
      </c>
      <c r="I72" s="509">
        <f t="shared" si="2"/>
        <v>2.5338907893064763E-4</v>
      </c>
      <c r="R72" s="268"/>
      <c r="S72" s="270"/>
      <c r="T72" s="268"/>
    </row>
    <row r="73" spans="1:28">
      <c r="C73" s="263"/>
      <c r="D73" s="242">
        <f>D40</f>
        <v>39.909999999999997</v>
      </c>
      <c r="E73" s="242"/>
      <c r="F73" s="242">
        <f>G40</f>
        <v>39.89</v>
      </c>
      <c r="G73" s="507">
        <f t="shared" si="0"/>
        <v>39.9</v>
      </c>
      <c r="H73" s="505">
        <f t="shared" si="1"/>
        <v>-1.9999999999996021E-2</v>
      </c>
      <c r="I73" s="509">
        <f t="shared" si="2"/>
        <v>-5.0125313283198045E-4</v>
      </c>
      <c r="R73" s="268"/>
      <c r="S73" s="268"/>
      <c r="T73" s="268"/>
    </row>
    <row r="74" spans="1:28">
      <c r="C74" s="263"/>
      <c r="D74" s="242">
        <f>D49</f>
        <v>40.07</v>
      </c>
      <c r="E74" s="242"/>
      <c r="F74" s="505">
        <f>G49</f>
        <v>40.07</v>
      </c>
      <c r="G74" s="507">
        <f t="shared" si="0"/>
        <v>40.07</v>
      </c>
      <c r="H74" s="505">
        <f t="shared" si="1"/>
        <v>0</v>
      </c>
      <c r="I74" s="509">
        <f t="shared" si="2"/>
        <v>0</v>
      </c>
      <c r="R74" s="268"/>
      <c r="S74" s="268"/>
      <c r="T74" s="268"/>
    </row>
    <row r="75" spans="1:28">
      <c r="C75" s="263"/>
      <c r="D75" s="255">
        <f>D61</f>
        <v>39.979999999999997</v>
      </c>
      <c r="E75" s="242"/>
      <c r="F75" s="505">
        <f>G61</f>
        <v>39.96</v>
      </c>
      <c r="G75" s="507">
        <f t="shared" si="0"/>
        <v>39.97</v>
      </c>
      <c r="H75" s="505">
        <f t="shared" si="1"/>
        <v>-1.9999999999996021E-2</v>
      </c>
      <c r="I75" s="509">
        <f t="shared" si="2"/>
        <v>-5.0037528146099628E-4</v>
      </c>
      <c r="R75" s="268"/>
      <c r="S75" s="268"/>
      <c r="T75" s="268"/>
    </row>
    <row r="76" spans="1:28">
      <c r="C76" s="263"/>
      <c r="D76" s="264"/>
      <c r="E76" s="264"/>
      <c r="F76" s="264"/>
      <c r="G76" s="242" t="s">
        <v>3176</v>
      </c>
      <c r="I76" s="510">
        <f>_xlfn.STDEV.P(I70:I75)</f>
        <v>3.6506759187634221E-4</v>
      </c>
      <c r="R76" s="268"/>
      <c r="S76" s="268"/>
      <c r="T76" s="268"/>
    </row>
    <row r="77" spans="1:28">
      <c r="C77" s="236" t="s">
        <v>2598</v>
      </c>
      <c r="D77" s="242">
        <f>COUNT(D70:D75)</f>
        <v>6</v>
      </c>
      <c r="E77" s="264"/>
      <c r="F77" s="264"/>
      <c r="G77" s="505" t="s">
        <v>3177</v>
      </c>
      <c r="I77" s="510">
        <f>I76/SQRT(2)</f>
        <v>2.5814176980720451E-4</v>
      </c>
      <c r="L77" s="626">
        <f>SQRT(I77^2+AA6^2)</f>
        <v>3.7455210986040454E-3</v>
      </c>
      <c r="R77" s="231"/>
      <c r="S77" s="231"/>
      <c r="T77" s="268"/>
    </row>
    <row r="78" spans="1:28">
      <c r="C78" s="236" t="s">
        <v>2599</v>
      </c>
      <c r="D78" s="242"/>
      <c r="E78" s="264"/>
      <c r="F78" s="264"/>
      <c r="G78" s="231"/>
      <c r="H78" s="264"/>
      <c r="I78" s="265"/>
      <c r="J78" s="183" t="s">
        <v>3370</v>
      </c>
      <c r="L78" s="626">
        <f>L77*2</f>
        <v>7.4910421972080908E-3</v>
      </c>
      <c r="M78" s="625">
        <f>L78</f>
        <v>7.4910421972080908E-3</v>
      </c>
      <c r="T78" s="231"/>
    </row>
    <row r="79" spans="1:28">
      <c r="C79" s="236" t="s">
        <v>2600</v>
      </c>
      <c r="D79" s="242">
        <v>2</v>
      </c>
      <c r="E79" s="264"/>
      <c r="F79" s="264"/>
      <c r="G79" s="266"/>
      <c r="H79" s="264"/>
      <c r="I79" s="267"/>
    </row>
    <row r="80" spans="1:28">
      <c r="C80" s="511" t="s">
        <v>3178</v>
      </c>
      <c r="D80" s="512"/>
      <c r="E80" s="512"/>
      <c r="F80" s="512"/>
      <c r="G80" s="512"/>
      <c r="H80" s="527">
        <f>I77*2</f>
        <v>5.1628353961440901E-4</v>
      </c>
      <c r="I80" s="267"/>
    </row>
    <row r="81" spans="3:13">
      <c r="C81" s="261"/>
      <c r="D81" s="503" t="s">
        <v>2601</v>
      </c>
      <c r="E81" s="262"/>
      <c r="F81" s="504" t="s">
        <v>2597</v>
      </c>
      <c r="G81" s="506" t="s">
        <v>2596</v>
      </c>
      <c r="H81" s="506" t="s">
        <v>2472</v>
      </c>
      <c r="I81" s="508" t="s">
        <v>3175</v>
      </c>
    </row>
    <row r="82" spans="3:13">
      <c r="C82" s="263"/>
      <c r="D82" s="242">
        <f>I7</f>
        <v>7.4809999999999999</v>
      </c>
      <c r="F82" s="183">
        <f>L7</f>
        <v>7.5119999999999996</v>
      </c>
      <c r="G82" s="505">
        <f>AVERAGE(D82,F82)</f>
        <v>7.4964999999999993</v>
      </c>
      <c r="H82" s="513">
        <f>(F82-D82)</f>
        <v>3.0999999999999694E-2</v>
      </c>
      <c r="I82" s="509">
        <f>H82/G82</f>
        <v>4.1352631227905955E-3</v>
      </c>
    </row>
    <row r="83" spans="3:13">
      <c r="C83" s="263"/>
      <c r="D83" s="242">
        <f>I19</f>
        <v>8.3829999999999991</v>
      </c>
      <c r="F83" s="183">
        <f>L19</f>
        <v>8.3759999999999994</v>
      </c>
      <c r="G83" s="505">
        <f t="shared" ref="G83:G87" si="3">AVERAGE(D83,F83)</f>
        <v>8.3795000000000002</v>
      </c>
      <c r="H83" s="513">
        <f t="shared" ref="H83:H87" si="4">(F83-D83)</f>
        <v>-6.9999999999996732E-3</v>
      </c>
      <c r="I83" s="509">
        <f t="shared" ref="I83:I86" si="5">H83/G83</f>
        <v>-8.3537203890443027E-4</v>
      </c>
    </row>
    <row r="84" spans="3:13">
      <c r="C84" s="263"/>
      <c r="D84" s="242">
        <f>I28</f>
        <v>8.4960000000000004</v>
      </c>
      <c r="F84" s="242">
        <f>L28</f>
        <v>8.4730000000000008</v>
      </c>
      <c r="G84" s="505">
        <f t="shared" si="3"/>
        <v>8.4845000000000006</v>
      </c>
      <c r="H84" s="513">
        <f t="shared" si="4"/>
        <v>-2.2999999999999687E-2</v>
      </c>
      <c r="I84" s="509">
        <f t="shared" si="5"/>
        <v>-2.7108256231952012E-3</v>
      </c>
    </row>
    <row r="85" spans="3:13">
      <c r="C85" s="263"/>
      <c r="D85" s="242">
        <f>I40</f>
        <v>8.6579999999999995</v>
      </c>
      <c r="F85" s="242">
        <f>L40</f>
        <v>8.7100000000000009</v>
      </c>
      <c r="G85" s="505">
        <f t="shared" si="3"/>
        <v>8.6840000000000011</v>
      </c>
      <c r="H85" s="513">
        <f t="shared" si="4"/>
        <v>5.2000000000001378E-2</v>
      </c>
      <c r="I85" s="509">
        <f t="shared" si="5"/>
        <v>5.9880239520959666E-3</v>
      </c>
    </row>
    <row r="86" spans="3:13">
      <c r="C86" s="263"/>
      <c r="D86" s="242">
        <f>I49</f>
        <v>8.6750000000000007</v>
      </c>
      <c r="E86" s="242"/>
      <c r="F86" s="242">
        <f>L49</f>
        <v>8.6760000000000002</v>
      </c>
      <c r="G86" s="505">
        <f t="shared" si="3"/>
        <v>8.6754999999999995</v>
      </c>
      <c r="H86" s="513">
        <f t="shared" si="4"/>
        <v>9.9999999999944578E-4</v>
      </c>
      <c r="I86" s="509">
        <f t="shared" si="5"/>
        <v>1.1526713157736682E-4</v>
      </c>
    </row>
    <row r="87" spans="3:13">
      <c r="C87" s="263"/>
      <c r="D87" s="242">
        <f>I61</f>
        <v>8.7270000000000003</v>
      </c>
      <c r="E87" s="242"/>
      <c r="F87" s="242">
        <f>L61</f>
        <v>8.7119999999999997</v>
      </c>
      <c r="G87" s="505">
        <f t="shared" si="3"/>
        <v>8.7195</v>
      </c>
      <c r="H87" s="513">
        <f t="shared" si="4"/>
        <v>-1.5000000000000568E-2</v>
      </c>
      <c r="I87" s="514">
        <f t="shared" ref="I87" si="6">H87^2</f>
        <v>2.2500000000001704E-4</v>
      </c>
    </row>
    <row r="88" spans="3:13">
      <c r="C88" s="263"/>
      <c r="D88" s="264"/>
      <c r="E88" s="264"/>
      <c r="F88" s="264"/>
      <c r="G88" s="242" t="s">
        <v>3176</v>
      </c>
      <c r="I88" s="510">
        <f>_xlfn.STDEV.P(I82:I87)</f>
        <v>2.9746763185164063E-3</v>
      </c>
    </row>
    <row r="89" spans="3:13">
      <c r="C89" s="236" t="s">
        <v>2598</v>
      </c>
      <c r="D89" s="242">
        <f>COUNT(D82:D87)</f>
        <v>6</v>
      </c>
      <c r="E89" s="264"/>
      <c r="F89" s="264"/>
      <c r="G89" s="505" t="s">
        <v>3177</v>
      </c>
      <c r="I89" s="510">
        <f>I88/SQRT(2)</f>
        <v>2.103413796657985E-3</v>
      </c>
      <c r="J89" s="625"/>
      <c r="L89" s="626">
        <f>SQRT(I89^2+AA20^2)</f>
        <v>3.5756238904680513E-3</v>
      </c>
      <c r="M89" s="625"/>
    </row>
    <row r="90" spans="3:13">
      <c r="C90" s="236" t="s">
        <v>2599</v>
      </c>
      <c r="D90" s="242"/>
      <c r="E90" s="264"/>
      <c r="F90" s="264"/>
      <c r="H90" s="242"/>
      <c r="I90" s="514"/>
      <c r="J90" s="183" t="s">
        <v>3370</v>
      </c>
      <c r="L90" s="626">
        <f>L89*2</f>
        <v>7.1512477809361026E-3</v>
      </c>
      <c r="M90" s="625">
        <f>L90</f>
        <v>7.1512477809361026E-3</v>
      </c>
    </row>
    <row r="91" spans="3:13">
      <c r="C91" s="236" t="s">
        <v>2600</v>
      </c>
      <c r="D91" s="242">
        <v>2</v>
      </c>
      <c r="E91" s="264"/>
      <c r="F91" s="264"/>
      <c r="G91" s="515"/>
      <c r="H91" s="242"/>
      <c r="I91" s="516"/>
    </row>
    <row r="92" spans="3:13">
      <c r="C92" s="511" t="s">
        <v>3178</v>
      </c>
      <c r="D92" s="512"/>
      <c r="E92" s="512"/>
      <c r="F92" s="512"/>
      <c r="G92" s="512"/>
      <c r="H92" s="527">
        <f>I89*2</f>
        <v>4.2068275933159699E-3</v>
      </c>
      <c r="I92" s="51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B516-E547-4084-A669-F31A5AACCBF7}">
  <dimension ref="A1:AS76"/>
  <sheetViews>
    <sheetView workbookViewId="0">
      <selection activeCell="S19" sqref="S19"/>
    </sheetView>
  </sheetViews>
  <sheetFormatPr defaultColWidth="8.83203125" defaultRowHeight="15.5"/>
  <cols>
    <col min="6" max="6" width="13.6640625" bestFit="1" customWidth="1"/>
  </cols>
  <sheetData>
    <row r="1" spans="1:45">
      <c r="A1" s="1" t="s">
        <v>108</v>
      </c>
      <c r="B1" s="1" t="s">
        <v>109</v>
      </c>
      <c r="C1" s="1" t="s">
        <v>110</v>
      </c>
      <c r="D1" s="81" t="s">
        <v>111</v>
      </c>
      <c r="E1" s="82" t="s">
        <v>112</v>
      </c>
      <c r="F1" s="82" t="s">
        <v>276</v>
      </c>
      <c r="G1" s="1" t="s">
        <v>277</v>
      </c>
    </row>
    <row r="2" spans="1:45">
      <c r="A2" s="95" t="s">
        <v>183</v>
      </c>
      <c r="D2" s="179" t="s">
        <v>138</v>
      </c>
      <c r="E2" s="90" t="s">
        <v>139</v>
      </c>
      <c r="F2" s="90"/>
    </row>
    <row r="3" spans="1:45">
      <c r="A3" s="109"/>
      <c r="D3" s="179"/>
      <c r="E3" s="110" t="s">
        <v>154</v>
      </c>
      <c r="F3" s="110"/>
      <c r="H3" t="s">
        <v>278</v>
      </c>
    </row>
    <row r="4" spans="1:45">
      <c r="A4" s="115" t="s">
        <v>184</v>
      </c>
      <c r="B4" s="116"/>
      <c r="C4" s="1"/>
      <c r="D4" s="81" t="s">
        <v>164</v>
      </c>
      <c r="E4" s="82" t="s">
        <v>165</v>
      </c>
      <c r="F4" s="82"/>
    </row>
    <row r="6" spans="1:45" s="134" customFormat="1">
      <c r="A6" s="131" t="s">
        <v>279</v>
      </c>
      <c r="B6" s="132" t="s">
        <v>186</v>
      </c>
      <c r="C6" s="133"/>
      <c r="E6" s="135"/>
      <c r="F6" s="136"/>
      <c r="G6" s="131"/>
      <c r="H6" s="137" t="s">
        <v>179</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181</v>
      </c>
      <c r="AJ6" s="106"/>
      <c r="AK6" s="145"/>
      <c r="AL6" s="146"/>
      <c r="AM6" s="145"/>
      <c r="AN6" s="130">
        <v>5</v>
      </c>
      <c r="AO6" s="6" t="s">
        <v>182</v>
      </c>
      <c r="AP6" s="139"/>
      <c r="AQ6" s="139"/>
      <c r="AR6" s="139"/>
      <c r="AS6" s="139"/>
    </row>
    <row r="7" spans="1:45">
      <c r="A7">
        <v>2018</v>
      </c>
      <c r="B7" t="s">
        <v>188</v>
      </c>
      <c r="C7" t="s">
        <v>187</v>
      </c>
      <c r="D7">
        <f>main!D7</f>
        <v>1</v>
      </c>
      <c r="E7" s="97">
        <f>main!E7</f>
        <v>156.17142857142858</v>
      </c>
      <c r="F7" s="67">
        <v>43563</v>
      </c>
      <c r="G7" s="183" t="s">
        <v>287</v>
      </c>
    </row>
    <row r="8" spans="1:45">
      <c r="A8">
        <v>2018</v>
      </c>
      <c r="B8" t="s">
        <v>188</v>
      </c>
      <c r="C8">
        <v>2</v>
      </c>
      <c r="D8">
        <f>main!D8</f>
        <v>2</v>
      </c>
      <c r="E8" s="97">
        <f>main!E8</f>
        <v>245.78571428571428</v>
      </c>
      <c r="F8" s="67">
        <v>43563</v>
      </c>
      <c r="G8" t="s">
        <v>303</v>
      </c>
    </row>
    <row r="9" spans="1:45">
      <c r="A9">
        <v>2018</v>
      </c>
      <c r="B9" t="s">
        <v>188</v>
      </c>
      <c r="C9">
        <v>3</v>
      </c>
      <c r="D9" t="str">
        <f>main!D9</f>
        <v>&lt;1</v>
      </c>
      <c r="E9" s="97">
        <f>main!E9</f>
        <v>221.41428571428571</v>
      </c>
      <c r="F9" s="67">
        <v>43563</v>
      </c>
      <c r="G9" t="s">
        <v>288</v>
      </c>
    </row>
    <row r="10" spans="1:45">
      <c r="A10">
        <v>2018</v>
      </c>
      <c r="B10" t="s">
        <v>188</v>
      </c>
      <c r="C10">
        <v>4</v>
      </c>
      <c r="D10" t="str">
        <f>main!D10</f>
        <v>&lt;1</v>
      </c>
      <c r="E10" s="97">
        <f>main!E10</f>
        <v>111.82857142857144</v>
      </c>
      <c r="F10" s="67">
        <v>43563</v>
      </c>
      <c r="G10" t="s">
        <v>289</v>
      </c>
    </row>
    <row r="11" spans="1:45" s="200" customFormat="1">
      <c r="A11" s="200">
        <v>2018</v>
      </c>
      <c r="B11" s="200" t="s">
        <v>188</v>
      </c>
      <c r="C11" s="200">
        <v>5</v>
      </c>
      <c r="D11" s="200" t="str">
        <f>main!D11</f>
        <v>&lt;1</v>
      </c>
      <c r="E11" s="400">
        <f>main!E11</f>
        <v>39.985714285714288</v>
      </c>
      <c r="F11" s="450">
        <v>43563</v>
      </c>
      <c r="G11" s="200" t="s">
        <v>290</v>
      </c>
    </row>
    <row r="12" spans="1:45">
      <c r="A12">
        <v>2018</v>
      </c>
      <c r="B12" t="s">
        <v>188</v>
      </c>
      <c r="C12">
        <v>6</v>
      </c>
      <c r="D12" t="str">
        <f>main!D12</f>
        <v>&lt;1</v>
      </c>
      <c r="E12" s="97">
        <f>main!E12</f>
        <v>18.157142857142858</v>
      </c>
      <c r="F12" s="67">
        <v>43564</v>
      </c>
      <c r="G12" t="s">
        <v>291</v>
      </c>
    </row>
    <row r="13" spans="1:45" s="200" customFormat="1">
      <c r="A13" s="200">
        <v>2018</v>
      </c>
      <c r="B13" s="200" t="s">
        <v>188</v>
      </c>
      <c r="C13" s="200">
        <v>7</v>
      </c>
      <c r="D13" s="200" t="str">
        <f>main!D13</f>
        <v>&lt;1</v>
      </c>
      <c r="E13" s="400">
        <f>main!E13</f>
        <v>24.357142857142854</v>
      </c>
      <c r="F13" s="450">
        <v>43564</v>
      </c>
      <c r="G13" s="200" t="s">
        <v>292</v>
      </c>
    </row>
    <row r="14" spans="1:45">
      <c r="A14">
        <v>2018</v>
      </c>
      <c r="B14" t="s">
        <v>188</v>
      </c>
      <c r="C14">
        <v>8</v>
      </c>
      <c r="D14" t="str">
        <f>main!D14</f>
        <v>&lt;1</v>
      </c>
      <c r="E14" s="97">
        <f>main!E14</f>
        <v>31.014285714285712</v>
      </c>
      <c r="F14" s="67">
        <v>43564</v>
      </c>
      <c r="G14" t="s">
        <v>293</v>
      </c>
    </row>
    <row r="15" spans="1:45">
      <c r="A15">
        <v>2018</v>
      </c>
      <c r="B15" t="s">
        <v>188</v>
      </c>
      <c r="C15">
        <v>9</v>
      </c>
      <c r="D15">
        <f>main!D15</f>
        <v>2</v>
      </c>
      <c r="E15" s="97">
        <f>main!E15</f>
        <v>130.57142857142858</v>
      </c>
      <c r="F15" s="67">
        <v>43564</v>
      </c>
      <c r="G15" t="s">
        <v>294</v>
      </c>
    </row>
    <row r="16" spans="1:45">
      <c r="A16">
        <v>2018</v>
      </c>
      <c r="B16" t="s">
        <v>188</v>
      </c>
      <c r="C16">
        <v>10</v>
      </c>
      <c r="D16">
        <f>main!D16</f>
        <v>7</v>
      </c>
      <c r="E16" s="97">
        <f>main!E16</f>
        <v>135.87142857142857</v>
      </c>
      <c r="F16" s="67">
        <v>43564</v>
      </c>
      <c r="G16" t="s">
        <v>295</v>
      </c>
    </row>
    <row r="17" spans="1:45">
      <c r="A17">
        <v>2018</v>
      </c>
      <c r="B17" t="s">
        <v>188</v>
      </c>
      <c r="C17">
        <v>11</v>
      </c>
      <c r="D17">
        <f>main!D17</f>
        <v>15</v>
      </c>
      <c r="E17" s="97">
        <f>main!E17</f>
        <v>333.31428571428569</v>
      </c>
      <c r="F17" s="67">
        <v>43564</v>
      </c>
      <c r="G17" t="s">
        <v>296</v>
      </c>
    </row>
    <row r="18" spans="1:45">
      <c r="A18">
        <v>2018</v>
      </c>
      <c r="B18" t="s">
        <v>188</v>
      </c>
      <c r="C18">
        <v>12</v>
      </c>
      <c r="D18">
        <f>main!D18</f>
        <v>20</v>
      </c>
      <c r="E18" s="97">
        <f>main!E18</f>
        <v>430.51428571428573</v>
      </c>
      <c r="F18" s="67">
        <v>43564</v>
      </c>
      <c r="G18" t="s">
        <v>297</v>
      </c>
    </row>
    <row r="19" spans="1:45">
      <c r="A19">
        <v>2018</v>
      </c>
      <c r="B19" t="s">
        <v>188</v>
      </c>
      <c r="C19">
        <v>13</v>
      </c>
      <c r="D19">
        <f>main!D19</f>
        <v>25</v>
      </c>
      <c r="E19" s="97">
        <f>main!E19</f>
        <v>528.9</v>
      </c>
      <c r="F19" s="67">
        <v>43564</v>
      </c>
      <c r="G19" t="s">
        <v>298</v>
      </c>
    </row>
    <row r="20" spans="1:45">
      <c r="A20">
        <v>2018</v>
      </c>
      <c r="B20" t="s">
        <v>188</v>
      </c>
      <c r="C20">
        <v>14</v>
      </c>
      <c r="D20">
        <f>main!D20</f>
        <v>15</v>
      </c>
      <c r="E20" s="97">
        <f>main!E20</f>
        <v>667.71428571428578</v>
      </c>
      <c r="F20" s="67">
        <v>43564</v>
      </c>
      <c r="G20" t="s">
        <v>294</v>
      </c>
    </row>
    <row r="21" spans="1:45">
      <c r="A21">
        <v>2018</v>
      </c>
      <c r="B21" t="s">
        <v>188</v>
      </c>
      <c r="C21">
        <v>15</v>
      </c>
      <c r="D21">
        <f>main!D21</f>
        <v>15</v>
      </c>
      <c r="E21" s="97">
        <f>main!E21</f>
        <v>417.12857142857149</v>
      </c>
      <c r="F21" s="67">
        <v>43564</v>
      </c>
      <c r="G21" t="s">
        <v>299</v>
      </c>
    </row>
    <row r="22" spans="1:45">
      <c r="A22">
        <v>2018</v>
      </c>
      <c r="B22" t="s">
        <v>188</v>
      </c>
      <c r="C22">
        <v>16</v>
      </c>
      <c r="D22">
        <f>main!D22</f>
        <v>10</v>
      </c>
      <c r="E22" s="97">
        <f>main!E22</f>
        <v>150.07142857142856</v>
      </c>
      <c r="F22" s="67">
        <v>43564</v>
      </c>
      <c r="G22" t="s">
        <v>300</v>
      </c>
    </row>
    <row r="23" spans="1:45">
      <c r="A23">
        <v>2018</v>
      </c>
      <c r="B23" t="s">
        <v>188</v>
      </c>
      <c r="C23">
        <v>17</v>
      </c>
      <c r="D23">
        <f>main!D23</f>
        <v>10</v>
      </c>
      <c r="E23" s="97">
        <f>main!E23</f>
        <v>117.07142857142856</v>
      </c>
      <c r="F23" s="67">
        <v>43564</v>
      </c>
      <c r="G23" t="s">
        <v>301</v>
      </c>
    </row>
    <row r="24" spans="1:45">
      <c r="A24">
        <v>2018</v>
      </c>
      <c r="B24" t="s">
        <v>188</v>
      </c>
      <c r="C24">
        <v>18</v>
      </c>
      <c r="D24">
        <f>main!D24</f>
        <v>15</v>
      </c>
      <c r="E24" s="97">
        <f>main!E24</f>
        <v>269.42857142857144</v>
      </c>
      <c r="F24" s="67">
        <v>43564</v>
      </c>
      <c r="G24" t="s">
        <v>302</v>
      </c>
    </row>
    <row r="25" spans="1:45">
      <c r="A25">
        <v>2018</v>
      </c>
      <c r="B25" t="s">
        <v>188</v>
      </c>
      <c r="C25">
        <v>19</v>
      </c>
      <c r="D25">
        <f>main!D25</f>
        <v>18</v>
      </c>
      <c r="E25" s="97">
        <f>main!E25</f>
        <v>315.14285714285717</v>
      </c>
      <c r="F25" s="67">
        <v>43564</v>
      </c>
      <c r="G25" t="s">
        <v>294</v>
      </c>
    </row>
    <row r="26" spans="1:45">
      <c r="A26">
        <v>2018</v>
      </c>
      <c r="B26" t="s">
        <v>188</v>
      </c>
      <c r="C26">
        <v>20</v>
      </c>
      <c r="D26">
        <f>main!D26</f>
        <v>10</v>
      </c>
      <c r="E26" s="97">
        <f>main!E26</f>
        <v>300.71428571428572</v>
      </c>
      <c r="F26" s="67">
        <v>43564</v>
      </c>
      <c r="G26" t="s">
        <v>294</v>
      </c>
    </row>
    <row r="27" spans="1:45">
      <c r="A27">
        <v>2018</v>
      </c>
      <c r="B27" t="s">
        <v>188</v>
      </c>
      <c r="C27">
        <v>21</v>
      </c>
      <c r="D27">
        <v>15</v>
      </c>
      <c r="E27" s="97">
        <f>main!E27</f>
        <v>392.88571428571436</v>
      </c>
      <c r="F27" s="67">
        <v>43565</v>
      </c>
      <c r="G27" t="s">
        <v>294</v>
      </c>
    </row>
    <row r="28" spans="1:45">
      <c r="A28" s="83" t="s">
        <v>280</v>
      </c>
    </row>
    <row r="30" spans="1:45" s="134" customFormat="1">
      <c r="A30" s="131" t="s">
        <v>185</v>
      </c>
      <c r="B30" s="132" t="s">
        <v>189</v>
      </c>
      <c r="C30" s="133"/>
      <c r="E30" s="136"/>
      <c r="F30" s="136"/>
      <c r="G30" s="131"/>
      <c r="H30" s="137" t="s">
        <v>179</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t="s">
        <v>181</v>
      </c>
      <c r="AJ30" s="106"/>
      <c r="AK30" s="139"/>
      <c r="AL30" s="135"/>
      <c r="AM30" s="139"/>
      <c r="AN30" s="130">
        <v>5</v>
      </c>
      <c r="AO30" s="6" t="s">
        <v>182</v>
      </c>
      <c r="AP30" s="139"/>
      <c r="AQ30" s="139"/>
      <c r="AR30" s="139"/>
      <c r="AS30" s="139"/>
    </row>
    <row r="31" spans="1:45">
      <c r="A31">
        <v>2018</v>
      </c>
      <c r="B31" t="s">
        <v>190</v>
      </c>
      <c r="C31" t="s">
        <v>191</v>
      </c>
      <c r="D31">
        <f>main!D31</f>
        <v>5</v>
      </c>
      <c r="E31">
        <f>main!E31</f>
        <v>478.12857142857138</v>
      </c>
      <c r="F31" s="67">
        <v>43565</v>
      </c>
      <c r="G31" t="s">
        <v>304</v>
      </c>
    </row>
    <row r="32" spans="1:45">
      <c r="A32">
        <v>2018</v>
      </c>
      <c r="B32" t="s">
        <v>190</v>
      </c>
      <c r="C32">
        <v>2</v>
      </c>
      <c r="D32">
        <f>main!D32</f>
        <v>10</v>
      </c>
      <c r="E32">
        <f>main!E32</f>
        <v>930.21428571428589</v>
      </c>
      <c r="F32" s="67">
        <v>43565</v>
      </c>
      <c r="G32" t="s">
        <v>305</v>
      </c>
    </row>
    <row r="33" spans="1:7">
      <c r="A33">
        <v>2018</v>
      </c>
      <c r="B33" t="s">
        <v>190</v>
      </c>
      <c r="C33">
        <v>3</v>
      </c>
      <c r="D33">
        <f>main!D33</f>
        <v>10</v>
      </c>
      <c r="E33">
        <f>main!E33</f>
        <v>1151.6285714285714</v>
      </c>
      <c r="F33" s="67">
        <v>43565</v>
      </c>
      <c r="G33" t="s">
        <v>294</v>
      </c>
    </row>
    <row r="34" spans="1:7">
      <c r="A34">
        <v>2018</v>
      </c>
      <c r="B34" t="s">
        <v>190</v>
      </c>
      <c r="C34">
        <v>4</v>
      </c>
      <c r="D34">
        <f>main!D34</f>
        <v>5</v>
      </c>
      <c r="E34">
        <f>main!E34</f>
        <v>488.38571428571424</v>
      </c>
      <c r="F34" s="67">
        <v>43565</v>
      </c>
      <c r="G34" t="s">
        <v>294</v>
      </c>
    </row>
    <row r="35" spans="1:7">
      <c r="A35">
        <v>2018</v>
      </c>
      <c r="B35" t="s">
        <v>190</v>
      </c>
      <c r="C35">
        <v>5</v>
      </c>
      <c r="D35">
        <f>main!D35</f>
        <v>8</v>
      </c>
      <c r="E35">
        <f>main!E35</f>
        <v>279.21428571428572</v>
      </c>
      <c r="F35" s="67">
        <v>43565</v>
      </c>
      <c r="G35" t="s">
        <v>306</v>
      </c>
    </row>
    <row r="36" spans="1:7">
      <c r="A36">
        <v>2018</v>
      </c>
      <c r="B36" t="s">
        <v>190</v>
      </c>
      <c r="C36">
        <v>6</v>
      </c>
      <c r="D36">
        <f>main!D36</f>
        <v>2</v>
      </c>
      <c r="E36">
        <f>main!E36</f>
        <v>272.29999999999995</v>
      </c>
      <c r="F36" s="67">
        <v>43565</v>
      </c>
      <c r="G36" t="s">
        <v>307</v>
      </c>
    </row>
    <row r="37" spans="1:7">
      <c r="A37">
        <v>2018</v>
      </c>
      <c r="B37" t="s">
        <v>190</v>
      </c>
      <c r="C37">
        <v>7</v>
      </c>
      <c r="D37">
        <f>main!D37</f>
        <v>1</v>
      </c>
      <c r="E37">
        <f>main!E37</f>
        <v>103.95714285714286</v>
      </c>
      <c r="F37" s="67">
        <v>43565</v>
      </c>
      <c r="G37" t="s">
        <v>284</v>
      </c>
    </row>
    <row r="38" spans="1:7">
      <c r="A38">
        <v>2018</v>
      </c>
      <c r="B38" t="s">
        <v>190</v>
      </c>
      <c r="C38">
        <v>8</v>
      </c>
      <c r="D38">
        <f>main!D38</f>
        <v>1</v>
      </c>
      <c r="E38">
        <f>main!E38</f>
        <v>180.85714285714286</v>
      </c>
      <c r="F38" s="67">
        <v>43565</v>
      </c>
      <c r="G38" t="s">
        <v>308</v>
      </c>
    </row>
    <row r="39" spans="1:7">
      <c r="A39">
        <v>2018</v>
      </c>
      <c r="B39" t="s">
        <v>190</v>
      </c>
      <c r="C39">
        <v>9</v>
      </c>
      <c r="D39">
        <f>main!D39</f>
        <v>1</v>
      </c>
      <c r="E39">
        <f>main!E39</f>
        <v>341.75714285714287</v>
      </c>
      <c r="F39" s="67">
        <v>43565</v>
      </c>
      <c r="G39" t="s">
        <v>309</v>
      </c>
    </row>
    <row r="40" spans="1:7">
      <c r="A40">
        <v>2018</v>
      </c>
      <c r="B40" t="s">
        <v>190</v>
      </c>
      <c r="C40">
        <v>10</v>
      </c>
      <c r="D40">
        <f>main!D40</f>
        <v>2</v>
      </c>
      <c r="E40">
        <f>main!E40</f>
        <v>297.91428571428577</v>
      </c>
      <c r="F40" s="67">
        <v>43565</v>
      </c>
      <c r="G40" t="s">
        <v>310</v>
      </c>
    </row>
    <row r="41" spans="1:7">
      <c r="A41">
        <v>2018</v>
      </c>
      <c r="B41" t="s">
        <v>190</v>
      </c>
      <c r="C41">
        <v>11</v>
      </c>
      <c r="D41">
        <f>main!D41</f>
        <v>2</v>
      </c>
      <c r="E41">
        <f>main!E41</f>
        <v>399.8428571428571</v>
      </c>
      <c r="F41" s="67">
        <v>43566</v>
      </c>
      <c r="G41" t="s">
        <v>311</v>
      </c>
    </row>
    <row r="42" spans="1:7">
      <c r="A42">
        <v>2018</v>
      </c>
      <c r="B42" t="s">
        <v>190</v>
      </c>
      <c r="C42">
        <v>12</v>
      </c>
      <c r="D42">
        <f>main!D42</f>
        <v>6</v>
      </c>
      <c r="E42">
        <f>main!E42</f>
        <v>716.05714285714294</v>
      </c>
      <c r="F42" s="67">
        <v>43566</v>
      </c>
      <c r="G42" t="s">
        <v>312</v>
      </c>
    </row>
    <row r="43" spans="1:7">
      <c r="A43">
        <v>2018</v>
      </c>
      <c r="B43" t="s">
        <v>190</v>
      </c>
      <c r="C43">
        <v>13</v>
      </c>
      <c r="D43">
        <f>main!D43</f>
        <v>5</v>
      </c>
      <c r="E43">
        <f>main!E43</f>
        <v>592.9571428571428</v>
      </c>
      <c r="F43" s="67">
        <v>43566</v>
      </c>
      <c r="G43" t="s">
        <v>313</v>
      </c>
    </row>
    <row r="44" spans="1:7">
      <c r="A44">
        <v>2018</v>
      </c>
      <c r="B44" t="s">
        <v>190</v>
      </c>
      <c r="C44">
        <v>14</v>
      </c>
      <c r="D44">
        <f>main!D44</f>
        <v>4</v>
      </c>
      <c r="E44">
        <f>main!E44</f>
        <v>459.25714285714287</v>
      </c>
      <c r="F44" s="67">
        <v>43566</v>
      </c>
      <c r="G44" t="s">
        <v>314</v>
      </c>
    </row>
    <row r="45" spans="1:7">
      <c r="A45">
        <v>2018</v>
      </c>
      <c r="B45" t="s">
        <v>190</v>
      </c>
      <c r="C45">
        <v>15</v>
      </c>
      <c r="D45">
        <f>main!D45</f>
        <v>3</v>
      </c>
      <c r="E45">
        <f>main!E45</f>
        <v>426.5</v>
      </c>
      <c r="F45" s="67">
        <v>43566</v>
      </c>
      <c r="G45" t="s">
        <v>315</v>
      </c>
    </row>
    <row r="46" spans="1:7">
      <c r="A46">
        <v>2018</v>
      </c>
      <c r="B46" t="s">
        <v>190</v>
      </c>
      <c r="C46">
        <v>16</v>
      </c>
      <c r="D46">
        <f>main!D46</f>
        <v>3</v>
      </c>
      <c r="E46">
        <f>main!E46</f>
        <v>392.8142857142858</v>
      </c>
      <c r="F46" s="67">
        <v>43566</v>
      </c>
      <c r="G46" t="s">
        <v>284</v>
      </c>
    </row>
    <row r="47" spans="1:7">
      <c r="A47">
        <v>2018</v>
      </c>
      <c r="B47" t="s">
        <v>190</v>
      </c>
      <c r="C47">
        <v>17</v>
      </c>
      <c r="D47">
        <f>main!D47</f>
        <v>2</v>
      </c>
      <c r="E47">
        <f>main!E47</f>
        <v>258.54285714285714</v>
      </c>
      <c r="F47" s="67">
        <v>43566</v>
      </c>
      <c r="G47" t="s">
        <v>284</v>
      </c>
    </row>
    <row r="48" spans="1:7">
      <c r="A48">
        <v>2018</v>
      </c>
      <c r="B48" t="s">
        <v>190</v>
      </c>
      <c r="C48">
        <v>18</v>
      </c>
      <c r="D48">
        <f>main!D48</f>
        <v>4</v>
      </c>
      <c r="E48">
        <f>main!E48</f>
        <v>451.49999999999989</v>
      </c>
      <c r="F48" s="67">
        <v>43566</v>
      </c>
      <c r="G48" t="s">
        <v>284</v>
      </c>
    </row>
    <row r="49" spans="1:45">
      <c r="A49">
        <v>2018</v>
      </c>
      <c r="B49" t="s">
        <v>190</v>
      </c>
      <c r="C49">
        <v>19</v>
      </c>
      <c r="D49">
        <f>main!D49</f>
        <v>5</v>
      </c>
      <c r="E49">
        <f>main!E49</f>
        <v>492.02857142857147</v>
      </c>
      <c r="F49" s="67">
        <v>43566</v>
      </c>
      <c r="G49" t="s">
        <v>284</v>
      </c>
    </row>
    <row r="50" spans="1:45">
      <c r="A50">
        <v>2018</v>
      </c>
      <c r="B50" t="s">
        <v>190</v>
      </c>
      <c r="C50">
        <v>20</v>
      </c>
      <c r="D50">
        <f>main!D50</f>
        <v>10</v>
      </c>
      <c r="E50">
        <f>main!E50</f>
        <v>607.7285714285714</v>
      </c>
      <c r="F50" s="67">
        <v>43566</v>
      </c>
      <c r="G50" t="s">
        <v>316</v>
      </c>
    </row>
    <row r="51" spans="1:45">
      <c r="A51">
        <v>2018</v>
      </c>
      <c r="B51" t="s">
        <v>190</v>
      </c>
      <c r="C51">
        <v>21</v>
      </c>
      <c r="D51">
        <f>main!D51</f>
        <v>10</v>
      </c>
      <c r="E51">
        <f>main!E51</f>
        <v>602.38571428571436</v>
      </c>
      <c r="F51" s="67">
        <v>43566</v>
      </c>
      <c r="G51" t="s">
        <v>2461</v>
      </c>
    </row>
    <row r="52" spans="1:45">
      <c r="A52" s="83" t="s">
        <v>280</v>
      </c>
    </row>
    <row r="54" spans="1:45" s="134" customFormat="1">
      <c r="A54" s="131" t="s">
        <v>185</v>
      </c>
      <c r="B54" s="132" t="s">
        <v>192</v>
      </c>
      <c r="C54" s="133"/>
      <c r="E54" s="136"/>
      <c r="F54" s="136"/>
      <c r="G54" s="131"/>
      <c r="H54" s="137" t="s">
        <v>179</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t="s">
        <v>181</v>
      </c>
      <c r="AJ54" s="106"/>
      <c r="AK54" s="139"/>
      <c r="AL54" s="135"/>
      <c r="AM54" s="139"/>
      <c r="AN54" s="130">
        <v>5</v>
      </c>
      <c r="AO54" s="6" t="s">
        <v>182</v>
      </c>
      <c r="AP54" s="139"/>
      <c r="AQ54" s="139"/>
      <c r="AR54" s="139"/>
      <c r="AS54" s="139"/>
    </row>
    <row r="55" spans="1:45">
      <c r="A55">
        <v>2018</v>
      </c>
      <c r="B55" t="s">
        <v>194</v>
      </c>
      <c r="C55" t="s">
        <v>193</v>
      </c>
      <c r="D55">
        <f>main!D55</f>
        <v>4</v>
      </c>
      <c r="E55">
        <f>main!E55</f>
        <v>429.47142857142859</v>
      </c>
      <c r="F55" s="67">
        <v>43566</v>
      </c>
      <c r="G55" t="s">
        <v>317</v>
      </c>
    </row>
    <row r="56" spans="1:45">
      <c r="A56">
        <v>2018</v>
      </c>
      <c r="B56" t="s">
        <v>194</v>
      </c>
      <c r="C56">
        <v>2</v>
      </c>
      <c r="D56">
        <f>main!D56</f>
        <v>5</v>
      </c>
      <c r="E56">
        <f>main!E56</f>
        <v>529.78571428571433</v>
      </c>
      <c r="F56" s="67">
        <v>43567</v>
      </c>
      <c r="G56" t="s">
        <v>318</v>
      </c>
    </row>
    <row r="57" spans="1:45">
      <c r="A57">
        <v>2018</v>
      </c>
      <c r="B57" t="s">
        <v>194</v>
      </c>
      <c r="C57">
        <v>3</v>
      </c>
      <c r="D57">
        <f>main!D57</f>
        <v>9</v>
      </c>
      <c r="E57">
        <f>main!E57</f>
        <v>805.89999999999964</v>
      </c>
      <c r="F57" s="67">
        <v>43567</v>
      </c>
      <c r="G57" t="s">
        <v>312</v>
      </c>
    </row>
    <row r="58" spans="1:45">
      <c r="A58">
        <v>2018</v>
      </c>
      <c r="B58" t="s">
        <v>194</v>
      </c>
      <c r="C58">
        <v>4</v>
      </c>
      <c r="D58">
        <f>main!D58</f>
        <v>5</v>
      </c>
      <c r="E58">
        <f>main!E58</f>
        <v>574.41428571428571</v>
      </c>
      <c r="F58" s="67">
        <v>43567</v>
      </c>
      <c r="G58" t="s">
        <v>319</v>
      </c>
    </row>
    <row r="59" spans="1:45">
      <c r="A59">
        <v>2018</v>
      </c>
      <c r="B59" t="s">
        <v>194</v>
      </c>
      <c r="C59">
        <v>5</v>
      </c>
      <c r="D59">
        <f>main!D59</f>
        <v>4</v>
      </c>
      <c r="E59">
        <f>main!E59</f>
        <v>363.95714285714286</v>
      </c>
      <c r="F59" s="67">
        <v>43567</v>
      </c>
      <c r="G59" t="s">
        <v>284</v>
      </c>
    </row>
    <row r="60" spans="1:45">
      <c r="A60">
        <v>2018</v>
      </c>
      <c r="B60" t="s">
        <v>194</v>
      </c>
      <c r="C60">
        <v>6</v>
      </c>
      <c r="D60">
        <f>main!D60</f>
        <v>3</v>
      </c>
      <c r="E60">
        <f>main!E60</f>
        <v>260.57142857142856</v>
      </c>
      <c r="F60" s="67">
        <v>43567</v>
      </c>
      <c r="G60" t="s">
        <v>317</v>
      </c>
    </row>
    <row r="61" spans="1:45">
      <c r="A61">
        <v>2018</v>
      </c>
      <c r="B61" t="s">
        <v>194</v>
      </c>
      <c r="C61">
        <v>7</v>
      </c>
      <c r="D61">
        <f>main!D61</f>
        <v>4</v>
      </c>
      <c r="E61">
        <f>main!E61</f>
        <v>308.97142857142859</v>
      </c>
      <c r="F61" s="67">
        <v>43567</v>
      </c>
      <c r="G61" t="s">
        <v>317</v>
      </c>
    </row>
    <row r="62" spans="1:45">
      <c r="A62">
        <v>2018</v>
      </c>
      <c r="B62" t="s">
        <v>194</v>
      </c>
      <c r="C62">
        <v>8</v>
      </c>
      <c r="D62">
        <f>main!D62</f>
        <v>3</v>
      </c>
      <c r="E62">
        <f>main!E62</f>
        <v>245.39999999999998</v>
      </c>
      <c r="F62" s="67">
        <v>43567</v>
      </c>
      <c r="G62" t="s">
        <v>320</v>
      </c>
    </row>
    <row r="63" spans="1:45">
      <c r="A63">
        <v>2018</v>
      </c>
      <c r="B63" t="s">
        <v>194</v>
      </c>
      <c r="C63">
        <v>9</v>
      </c>
      <c r="D63">
        <f>main!D63</f>
        <v>4</v>
      </c>
      <c r="E63">
        <f>main!E63</f>
        <v>262.42857142857139</v>
      </c>
      <c r="F63" s="67">
        <v>43567</v>
      </c>
      <c r="G63" t="s">
        <v>321</v>
      </c>
    </row>
    <row r="64" spans="1:45">
      <c r="A64">
        <v>2018</v>
      </c>
      <c r="B64" t="s">
        <v>194</v>
      </c>
      <c r="C64">
        <v>10</v>
      </c>
      <c r="D64">
        <f>main!D64</f>
        <v>3</v>
      </c>
      <c r="E64">
        <f>main!E64</f>
        <v>214.08571428571429</v>
      </c>
      <c r="F64" s="67">
        <v>43567</v>
      </c>
      <c r="G64" t="s">
        <v>2405</v>
      </c>
    </row>
    <row r="65" spans="1:7">
      <c r="A65">
        <v>2018</v>
      </c>
      <c r="B65" t="s">
        <v>194</v>
      </c>
      <c r="C65">
        <v>11</v>
      </c>
      <c r="D65">
        <f>main!D65</f>
        <v>3</v>
      </c>
      <c r="E65">
        <f>main!E65</f>
        <v>266.89999999999998</v>
      </c>
      <c r="F65" s="67">
        <v>43567</v>
      </c>
      <c r="G65" t="s">
        <v>322</v>
      </c>
    </row>
    <row r="66" spans="1:7">
      <c r="A66">
        <v>2018</v>
      </c>
      <c r="B66" t="s">
        <v>194</v>
      </c>
      <c r="C66">
        <v>12</v>
      </c>
      <c r="D66">
        <f>main!D66</f>
        <v>4</v>
      </c>
      <c r="E66">
        <f>main!E66</f>
        <v>436.71428571428572</v>
      </c>
      <c r="F66" s="67">
        <v>43567</v>
      </c>
      <c r="G66" t="s">
        <v>322</v>
      </c>
    </row>
    <row r="67" spans="1:7">
      <c r="A67">
        <v>2018</v>
      </c>
      <c r="B67" t="s">
        <v>194</v>
      </c>
      <c r="C67">
        <v>13</v>
      </c>
      <c r="D67">
        <f>main!D67</f>
        <v>5</v>
      </c>
      <c r="E67">
        <f>main!E67</f>
        <v>509.91428571428571</v>
      </c>
      <c r="F67" s="67">
        <v>43567</v>
      </c>
      <c r="G67" t="s">
        <v>322</v>
      </c>
    </row>
    <row r="68" spans="1:7">
      <c r="A68">
        <v>2018</v>
      </c>
      <c r="B68" t="s">
        <v>194</v>
      </c>
      <c r="C68">
        <v>14</v>
      </c>
      <c r="D68">
        <f>main!D68</f>
        <v>3</v>
      </c>
      <c r="E68">
        <f>main!E68</f>
        <v>355.54285714285709</v>
      </c>
      <c r="F68" s="67">
        <v>43567</v>
      </c>
      <c r="G68" t="s">
        <v>2406</v>
      </c>
    </row>
    <row r="69" spans="1:7">
      <c r="A69">
        <v>2018</v>
      </c>
      <c r="B69" t="s">
        <v>194</v>
      </c>
      <c r="C69">
        <v>15</v>
      </c>
      <c r="D69">
        <f>main!D69</f>
        <v>3</v>
      </c>
      <c r="E69">
        <f>main!E69</f>
        <v>640.47142857142853</v>
      </c>
      <c r="F69" s="67">
        <v>43567</v>
      </c>
      <c r="G69" t="s">
        <v>2407</v>
      </c>
    </row>
    <row r="70" spans="1:7">
      <c r="A70">
        <v>2018</v>
      </c>
      <c r="B70" t="s">
        <v>194</v>
      </c>
      <c r="C70">
        <v>16</v>
      </c>
      <c r="D70">
        <f>main!D70</f>
        <v>4</v>
      </c>
      <c r="E70">
        <f>main!E70</f>
        <v>345.07142857142856</v>
      </c>
      <c r="F70" s="67">
        <v>43570</v>
      </c>
      <c r="G70" t="s">
        <v>322</v>
      </c>
    </row>
    <row r="71" spans="1:7">
      <c r="A71">
        <v>2018</v>
      </c>
      <c r="B71" t="s">
        <v>194</v>
      </c>
      <c r="C71">
        <v>17</v>
      </c>
      <c r="D71">
        <f>main!D71</f>
        <v>3</v>
      </c>
      <c r="E71">
        <f>main!E71</f>
        <v>385.62857142857138</v>
      </c>
      <c r="F71" s="67">
        <v>43570</v>
      </c>
      <c r="G71" t="s">
        <v>322</v>
      </c>
    </row>
    <row r="72" spans="1:7">
      <c r="A72">
        <v>2018</v>
      </c>
      <c r="B72" t="s">
        <v>194</v>
      </c>
      <c r="C72">
        <v>18</v>
      </c>
      <c r="D72">
        <f>main!D72</f>
        <v>3</v>
      </c>
      <c r="E72">
        <f>main!E72</f>
        <v>420.85714285714289</v>
      </c>
      <c r="F72" s="67">
        <v>43570</v>
      </c>
      <c r="G72" t="s">
        <v>322</v>
      </c>
    </row>
    <row r="73" spans="1:7">
      <c r="A73">
        <v>2018</v>
      </c>
      <c r="B73" t="s">
        <v>194</v>
      </c>
      <c r="C73">
        <v>19</v>
      </c>
      <c r="D73">
        <f>main!D73</f>
        <v>5</v>
      </c>
      <c r="E73">
        <f>main!E73</f>
        <v>512.69999999999993</v>
      </c>
      <c r="F73" s="67">
        <v>43570</v>
      </c>
      <c r="G73" t="s">
        <v>322</v>
      </c>
    </row>
    <row r="74" spans="1:7">
      <c r="A74">
        <v>2018</v>
      </c>
      <c r="B74" t="s">
        <v>194</v>
      </c>
      <c r="C74">
        <v>20</v>
      </c>
      <c r="D74">
        <f>main!D74</f>
        <v>17</v>
      </c>
      <c r="E74">
        <f>main!E74</f>
        <v>829.62857142857149</v>
      </c>
      <c r="F74" s="67">
        <v>43570</v>
      </c>
      <c r="G74" t="s">
        <v>2452</v>
      </c>
    </row>
    <row r="75" spans="1:7">
      <c r="A75">
        <v>2018</v>
      </c>
      <c r="B75" t="s">
        <v>194</v>
      </c>
      <c r="C75">
        <v>21</v>
      </c>
      <c r="D75">
        <f>main!D75</f>
        <v>15</v>
      </c>
      <c r="E75">
        <f>main!E75</f>
        <v>760.5</v>
      </c>
      <c r="F75" s="67">
        <v>43570</v>
      </c>
      <c r="G75" t="s">
        <v>2453</v>
      </c>
    </row>
    <row r="76" spans="1:7">
      <c r="A76" s="83"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B982-3308-42E6-B4AC-6BB32073E126}">
  <dimension ref="A1:C4"/>
  <sheetViews>
    <sheetView workbookViewId="0">
      <selection activeCell="B2" sqref="B2"/>
    </sheetView>
  </sheetViews>
  <sheetFormatPr defaultColWidth="8.83203125" defaultRowHeight="15.5"/>
  <sheetData>
    <row r="1" spans="1:3">
      <c r="A1" t="s">
        <v>2542</v>
      </c>
      <c r="B1" t="s">
        <v>2596</v>
      </c>
      <c r="C1" t="s">
        <v>3469</v>
      </c>
    </row>
    <row r="2" spans="1:3">
      <c r="A2" t="s">
        <v>323</v>
      </c>
      <c r="B2">
        <v>776.42</v>
      </c>
      <c r="C2">
        <v>763.52</v>
      </c>
    </row>
    <row r="3" spans="1:3">
      <c r="A3" t="s">
        <v>1336</v>
      </c>
      <c r="B3">
        <v>1798.9</v>
      </c>
      <c r="C3">
        <v>1789.7</v>
      </c>
    </row>
    <row r="4" spans="1:3">
      <c r="A4" t="s">
        <v>2001</v>
      </c>
      <c r="B4">
        <v>3799.6</v>
      </c>
      <c r="C4">
        <v>3796.1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8BBE-0A01-46E4-8FB3-A5A0F56D1313}">
  <dimension ref="A1:L42"/>
  <sheetViews>
    <sheetView view="pageLayout" zoomScaleNormal="100" workbookViewId="0">
      <selection activeCell="O2" sqref="O2"/>
    </sheetView>
  </sheetViews>
  <sheetFormatPr defaultColWidth="8.83203125" defaultRowHeight="15.5"/>
  <cols>
    <col min="1" max="1" width="11.6640625" customWidth="1"/>
    <col min="2" max="2" width="8.5" customWidth="1"/>
    <col min="3" max="3" width="8.1640625" customWidth="1"/>
    <col min="4" max="4" width="10.83203125" customWidth="1"/>
    <col min="5" max="5" width="11.33203125" customWidth="1"/>
    <col min="6" max="6" width="9.5" customWidth="1"/>
    <col min="7" max="7" width="8.33203125" customWidth="1"/>
    <col min="8" max="8" width="11" customWidth="1"/>
    <col min="9" max="9" width="12.1640625" customWidth="1"/>
    <col min="10" max="10" width="9.1640625" customWidth="1"/>
    <col min="11" max="11" width="9.33203125" customWidth="1"/>
    <col min="12" max="12" width="8" customWidth="1"/>
  </cols>
  <sheetData>
    <row r="1" spans="1:12" ht="39.5" customHeight="1">
      <c r="A1" s="164" t="s">
        <v>249</v>
      </c>
      <c r="B1" s="165" t="s">
        <v>188</v>
      </c>
      <c r="C1" s="166" t="s">
        <v>206</v>
      </c>
      <c r="D1" s="167" t="s">
        <v>207</v>
      </c>
      <c r="E1" s="164" t="s">
        <v>250</v>
      </c>
      <c r="F1" s="168" t="s">
        <v>190</v>
      </c>
      <c r="G1" s="166" t="s">
        <v>206</v>
      </c>
      <c r="H1" s="167" t="s">
        <v>207</v>
      </c>
      <c r="I1" s="164" t="s">
        <v>250</v>
      </c>
      <c r="J1" s="168" t="s">
        <v>194</v>
      </c>
      <c r="K1" s="166" t="s">
        <v>206</v>
      </c>
      <c r="L1" s="167" t="s">
        <v>207</v>
      </c>
    </row>
    <row r="2" spans="1:12" ht="39.5" customHeight="1">
      <c r="A2" s="164" t="s">
        <v>249</v>
      </c>
      <c r="B2" s="165" t="s">
        <v>188</v>
      </c>
      <c r="C2" s="166" t="s">
        <v>208</v>
      </c>
      <c r="D2" s="167" t="s">
        <v>207</v>
      </c>
      <c r="E2" s="164" t="s">
        <v>250</v>
      </c>
      <c r="F2" s="168" t="s">
        <v>190</v>
      </c>
      <c r="G2" s="166" t="s">
        <v>208</v>
      </c>
      <c r="H2" s="167" t="s">
        <v>207</v>
      </c>
      <c r="I2" s="164" t="s">
        <v>250</v>
      </c>
      <c r="J2" s="168" t="s">
        <v>194</v>
      </c>
      <c r="K2" s="166" t="s">
        <v>208</v>
      </c>
      <c r="L2" s="167" t="s">
        <v>207</v>
      </c>
    </row>
    <row r="3" spans="1:12" ht="39.5" customHeight="1">
      <c r="A3" s="164" t="s">
        <v>249</v>
      </c>
      <c r="B3" s="165" t="s">
        <v>188</v>
      </c>
      <c r="C3" s="166" t="s">
        <v>209</v>
      </c>
      <c r="D3" s="167" t="s">
        <v>207</v>
      </c>
      <c r="E3" s="164" t="s">
        <v>250</v>
      </c>
      <c r="F3" s="168" t="s">
        <v>190</v>
      </c>
      <c r="G3" s="166" t="s">
        <v>209</v>
      </c>
      <c r="H3" s="167" t="s">
        <v>207</v>
      </c>
      <c r="I3" s="164" t="s">
        <v>250</v>
      </c>
      <c r="J3" s="168" t="s">
        <v>194</v>
      </c>
      <c r="K3" s="166" t="s">
        <v>209</v>
      </c>
      <c r="L3" s="167" t="s">
        <v>207</v>
      </c>
    </row>
    <row r="4" spans="1:12" ht="39.5" customHeight="1">
      <c r="A4" s="164" t="s">
        <v>249</v>
      </c>
      <c r="B4" s="165" t="s">
        <v>188</v>
      </c>
      <c r="C4" s="166" t="s">
        <v>210</v>
      </c>
      <c r="D4" s="167" t="s">
        <v>207</v>
      </c>
      <c r="E4" s="164" t="s">
        <v>250</v>
      </c>
      <c r="F4" s="168" t="s">
        <v>190</v>
      </c>
      <c r="G4" s="166" t="s">
        <v>210</v>
      </c>
      <c r="H4" s="167" t="s">
        <v>207</v>
      </c>
      <c r="I4" s="164" t="s">
        <v>250</v>
      </c>
      <c r="J4" s="168" t="s">
        <v>194</v>
      </c>
      <c r="K4" s="166" t="s">
        <v>210</v>
      </c>
      <c r="L4" s="167" t="s">
        <v>207</v>
      </c>
    </row>
    <row r="5" spans="1:12" ht="39.5" customHeight="1">
      <c r="A5" s="164" t="s">
        <v>249</v>
      </c>
      <c r="B5" s="165" t="s">
        <v>188</v>
      </c>
      <c r="C5" s="166" t="s">
        <v>211</v>
      </c>
      <c r="D5" s="167" t="s">
        <v>207</v>
      </c>
      <c r="E5" s="164" t="s">
        <v>250</v>
      </c>
      <c r="F5" s="168" t="s">
        <v>190</v>
      </c>
      <c r="G5" s="166" t="s">
        <v>211</v>
      </c>
      <c r="H5" s="167" t="s">
        <v>207</v>
      </c>
      <c r="I5" s="164" t="s">
        <v>250</v>
      </c>
      <c r="J5" s="168" t="s">
        <v>194</v>
      </c>
      <c r="K5" s="166" t="s">
        <v>211</v>
      </c>
      <c r="L5" s="167" t="s">
        <v>207</v>
      </c>
    </row>
    <row r="6" spans="1:12" ht="39.5" customHeight="1">
      <c r="A6" s="164" t="s">
        <v>249</v>
      </c>
      <c r="B6" s="165" t="s">
        <v>188</v>
      </c>
      <c r="C6" s="166" t="s">
        <v>212</v>
      </c>
      <c r="D6" s="167" t="s">
        <v>207</v>
      </c>
      <c r="E6" s="164" t="s">
        <v>250</v>
      </c>
      <c r="F6" s="168" t="s">
        <v>190</v>
      </c>
      <c r="G6" s="166" t="s">
        <v>212</v>
      </c>
      <c r="H6" s="167" t="s">
        <v>207</v>
      </c>
      <c r="I6" s="164" t="s">
        <v>250</v>
      </c>
      <c r="J6" s="168" t="s">
        <v>194</v>
      </c>
      <c r="K6" s="166" t="s">
        <v>212</v>
      </c>
      <c r="L6" s="167" t="s">
        <v>207</v>
      </c>
    </row>
    <row r="7" spans="1:12" ht="39.5" customHeight="1">
      <c r="A7" s="164" t="s">
        <v>249</v>
      </c>
      <c r="B7" s="165" t="s">
        <v>188</v>
      </c>
      <c r="C7" s="166" t="s">
        <v>213</v>
      </c>
      <c r="D7" s="167" t="s">
        <v>207</v>
      </c>
      <c r="E7" s="164" t="s">
        <v>250</v>
      </c>
      <c r="F7" s="168" t="s">
        <v>190</v>
      </c>
      <c r="G7" s="166" t="s">
        <v>213</v>
      </c>
      <c r="H7" s="167" t="s">
        <v>207</v>
      </c>
      <c r="I7" s="164" t="s">
        <v>250</v>
      </c>
      <c r="J7" s="168" t="s">
        <v>194</v>
      </c>
      <c r="K7" s="166" t="s">
        <v>213</v>
      </c>
      <c r="L7" s="167" t="s">
        <v>207</v>
      </c>
    </row>
    <row r="8" spans="1:12" ht="39.5" customHeight="1">
      <c r="A8" s="164" t="s">
        <v>249</v>
      </c>
      <c r="B8" s="165" t="s">
        <v>188</v>
      </c>
      <c r="C8" s="166" t="s">
        <v>214</v>
      </c>
      <c r="D8" s="167" t="s">
        <v>207</v>
      </c>
      <c r="E8" s="164" t="s">
        <v>250</v>
      </c>
      <c r="F8" s="168" t="s">
        <v>190</v>
      </c>
      <c r="G8" s="166" t="s">
        <v>214</v>
      </c>
      <c r="H8" s="167" t="s">
        <v>207</v>
      </c>
      <c r="I8" s="164" t="s">
        <v>250</v>
      </c>
      <c r="J8" s="168" t="s">
        <v>194</v>
      </c>
      <c r="K8" s="166" t="s">
        <v>214</v>
      </c>
      <c r="L8" s="167" t="s">
        <v>207</v>
      </c>
    </row>
    <row r="9" spans="1:12" ht="39.5" customHeight="1">
      <c r="A9" s="164" t="s">
        <v>249</v>
      </c>
      <c r="B9" s="165" t="s">
        <v>188</v>
      </c>
      <c r="C9" s="166" t="s">
        <v>215</v>
      </c>
      <c r="D9" s="167" t="s">
        <v>207</v>
      </c>
      <c r="E9" s="164" t="s">
        <v>250</v>
      </c>
      <c r="F9" s="168" t="s">
        <v>190</v>
      </c>
      <c r="G9" s="166" t="s">
        <v>215</v>
      </c>
      <c r="H9" s="167" t="s">
        <v>207</v>
      </c>
      <c r="I9" s="164" t="s">
        <v>250</v>
      </c>
      <c r="J9" s="168" t="s">
        <v>194</v>
      </c>
      <c r="K9" s="166" t="s">
        <v>215</v>
      </c>
      <c r="L9" s="167" t="s">
        <v>207</v>
      </c>
    </row>
    <row r="10" spans="1:12" ht="39.5" customHeight="1">
      <c r="A10" s="164" t="s">
        <v>249</v>
      </c>
      <c r="B10" s="165" t="s">
        <v>188</v>
      </c>
      <c r="C10" s="166" t="s">
        <v>216</v>
      </c>
      <c r="D10" s="167" t="s">
        <v>207</v>
      </c>
      <c r="E10" s="164" t="s">
        <v>250</v>
      </c>
      <c r="F10" s="168" t="s">
        <v>190</v>
      </c>
      <c r="G10" s="166" t="s">
        <v>216</v>
      </c>
      <c r="H10" s="167" t="s">
        <v>207</v>
      </c>
      <c r="I10" s="164" t="s">
        <v>250</v>
      </c>
      <c r="J10" s="168" t="s">
        <v>194</v>
      </c>
      <c r="K10" s="166" t="s">
        <v>216</v>
      </c>
      <c r="L10" s="167" t="s">
        <v>207</v>
      </c>
    </row>
    <row r="11" spans="1:12" ht="39.5" customHeight="1">
      <c r="A11" s="164" t="s">
        <v>249</v>
      </c>
      <c r="B11" s="165" t="s">
        <v>188</v>
      </c>
      <c r="C11" s="166" t="s">
        <v>217</v>
      </c>
      <c r="D11" s="167" t="s">
        <v>207</v>
      </c>
      <c r="E11" s="164" t="s">
        <v>250</v>
      </c>
      <c r="F11" s="168" t="s">
        <v>190</v>
      </c>
      <c r="G11" s="166" t="s">
        <v>217</v>
      </c>
      <c r="H11" s="167" t="s">
        <v>207</v>
      </c>
      <c r="I11" s="164" t="s">
        <v>250</v>
      </c>
      <c r="J11" s="168" t="s">
        <v>194</v>
      </c>
      <c r="K11" s="166" t="s">
        <v>217</v>
      </c>
      <c r="L11" s="167" t="s">
        <v>207</v>
      </c>
    </row>
    <row r="12" spans="1:12" ht="39.5" customHeight="1">
      <c r="A12" s="164" t="s">
        <v>249</v>
      </c>
      <c r="B12" s="165" t="s">
        <v>188</v>
      </c>
      <c r="C12" s="166" t="s">
        <v>218</v>
      </c>
      <c r="D12" s="167" t="s">
        <v>207</v>
      </c>
      <c r="E12" s="164" t="s">
        <v>250</v>
      </c>
      <c r="F12" s="168" t="s">
        <v>190</v>
      </c>
      <c r="G12" s="166" t="s">
        <v>218</v>
      </c>
      <c r="H12" s="167" t="s">
        <v>207</v>
      </c>
      <c r="I12" s="164" t="s">
        <v>250</v>
      </c>
      <c r="J12" s="168" t="s">
        <v>194</v>
      </c>
      <c r="K12" s="166" t="s">
        <v>218</v>
      </c>
      <c r="L12" s="167" t="s">
        <v>207</v>
      </c>
    </row>
    <row r="13" spans="1:12" ht="39.5" customHeight="1">
      <c r="A13" s="164" t="s">
        <v>249</v>
      </c>
      <c r="B13" s="165" t="s">
        <v>188</v>
      </c>
      <c r="C13" s="166" t="s">
        <v>219</v>
      </c>
      <c r="D13" s="167" t="s">
        <v>207</v>
      </c>
      <c r="E13" s="164" t="s">
        <v>250</v>
      </c>
      <c r="F13" s="168" t="s">
        <v>190</v>
      </c>
      <c r="G13" s="166" t="s">
        <v>219</v>
      </c>
      <c r="H13" s="167" t="s">
        <v>207</v>
      </c>
      <c r="I13" s="164" t="s">
        <v>250</v>
      </c>
      <c r="J13" s="168" t="s">
        <v>194</v>
      </c>
      <c r="K13" s="166" t="s">
        <v>219</v>
      </c>
      <c r="L13" s="167" t="s">
        <v>207</v>
      </c>
    </row>
    <row r="14" spans="1:12" ht="39.5" customHeight="1">
      <c r="A14" s="164" t="s">
        <v>249</v>
      </c>
      <c r="B14" s="165" t="s">
        <v>188</v>
      </c>
      <c r="C14" s="166" t="s">
        <v>220</v>
      </c>
      <c r="D14" s="167" t="s">
        <v>207</v>
      </c>
      <c r="E14" s="164" t="s">
        <v>250</v>
      </c>
      <c r="F14" s="168" t="s">
        <v>190</v>
      </c>
      <c r="G14" s="166" t="s">
        <v>220</v>
      </c>
      <c r="H14" s="167" t="s">
        <v>207</v>
      </c>
      <c r="I14" s="164" t="s">
        <v>250</v>
      </c>
      <c r="J14" s="168" t="s">
        <v>194</v>
      </c>
      <c r="K14" s="166" t="s">
        <v>220</v>
      </c>
      <c r="L14" s="167" t="s">
        <v>207</v>
      </c>
    </row>
    <row r="15" spans="1:12" ht="39.5" customHeight="1">
      <c r="A15" s="164" t="s">
        <v>249</v>
      </c>
      <c r="B15" s="165" t="s">
        <v>188</v>
      </c>
      <c r="C15" s="166" t="s">
        <v>221</v>
      </c>
      <c r="D15" s="167" t="s">
        <v>207</v>
      </c>
      <c r="E15" s="164" t="s">
        <v>250</v>
      </c>
      <c r="F15" s="168" t="s">
        <v>190</v>
      </c>
      <c r="G15" s="166" t="s">
        <v>221</v>
      </c>
      <c r="H15" s="167" t="s">
        <v>207</v>
      </c>
      <c r="I15" s="164" t="s">
        <v>250</v>
      </c>
      <c r="J15" s="168" t="s">
        <v>194</v>
      </c>
      <c r="K15" s="166" t="s">
        <v>221</v>
      </c>
      <c r="L15" s="167" t="s">
        <v>207</v>
      </c>
    </row>
    <row r="16" spans="1:12" ht="39.5" customHeight="1">
      <c r="A16" s="164" t="s">
        <v>249</v>
      </c>
      <c r="B16" s="165" t="s">
        <v>188</v>
      </c>
      <c r="C16" s="166" t="s">
        <v>222</v>
      </c>
      <c r="D16" s="167" t="s">
        <v>207</v>
      </c>
      <c r="E16" s="164" t="s">
        <v>250</v>
      </c>
      <c r="F16" s="168" t="s">
        <v>190</v>
      </c>
      <c r="G16" s="166" t="s">
        <v>222</v>
      </c>
      <c r="H16" s="167" t="s">
        <v>207</v>
      </c>
      <c r="I16" s="164" t="s">
        <v>250</v>
      </c>
      <c r="J16" s="168" t="s">
        <v>194</v>
      </c>
      <c r="K16" s="166" t="s">
        <v>222</v>
      </c>
      <c r="L16" s="167" t="s">
        <v>207</v>
      </c>
    </row>
    <row r="17" spans="1:12" ht="39.5" customHeight="1">
      <c r="A17" s="164" t="s">
        <v>249</v>
      </c>
      <c r="B17" s="165" t="s">
        <v>188</v>
      </c>
      <c r="C17" s="166" t="s">
        <v>223</v>
      </c>
      <c r="D17" s="167" t="s">
        <v>207</v>
      </c>
      <c r="E17" s="164" t="s">
        <v>250</v>
      </c>
      <c r="F17" s="168" t="s">
        <v>190</v>
      </c>
      <c r="G17" s="166" t="s">
        <v>223</v>
      </c>
      <c r="H17" s="167" t="s">
        <v>207</v>
      </c>
      <c r="I17" s="164" t="s">
        <v>250</v>
      </c>
      <c r="J17" s="168" t="s">
        <v>194</v>
      </c>
      <c r="K17" s="166" t="s">
        <v>223</v>
      </c>
      <c r="L17" s="167" t="s">
        <v>207</v>
      </c>
    </row>
    <row r="18" spans="1:12" ht="39.5" customHeight="1">
      <c r="A18" s="164" t="s">
        <v>249</v>
      </c>
      <c r="B18" s="165" t="s">
        <v>188</v>
      </c>
      <c r="C18" s="166" t="s">
        <v>224</v>
      </c>
      <c r="D18" s="167" t="s">
        <v>207</v>
      </c>
      <c r="E18" s="164" t="s">
        <v>250</v>
      </c>
      <c r="F18" s="168" t="s">
        <v>190</v>
      </c>
      <c r="G18" s="166" t="s">
        <v>224</v>
      </c>
      <c r="H18" s="167" t="s">
        <v>207</v>
      </c>
      <c r="I18" s="164" t="s">
        <v>250</v>
      </c>
      <c r="J18" s="168" t="s">
        <v>194</v>
      </c>
      <c r="K18" s="166" t="s">
        <v>224</v>
      </c>
      <c r="L18" s="167" t="s">
        <v>207</v>
      </c>
    </row>
    <row r="19" spans="1:12" ht="39.5" customHeight="1">
      <c r="A19" s="164" t="s">
        <v>249</v>
      </c>
      <c r="B19" s="165" t="s">
        <v>188</v>
      </c>
      <c r="C19" s="166" t="s">
        <v>225</v>
      </c>
      <c r="D19" s="167" t="s">
        <v>207</v>
      </c>
      <c r="E19" s="164" t="s">
        <v>250</v>
      </c>
      <c r="F19" s="168" t="s">
        <v>190</v>
      </c>
      <c r="G19" s="166" t="s">
        <v>225</v>
      </c>
      <c r="H19" s="167" t="s">
        <v>207</v>
      </c>
      <c r="I19" s="164" t="s">
        <v>250</v>
      </c>
      <c r="J19" s="168" t="s">
        <v>194</v>
      </c>
      <c r="K19" s="166" t="s">
        <v>225</v>
      </c>
      <c r="L19" s="167" t="s">
        <v>207</v>
      </c>
    </row>
    <row r="20" spans="1:12" ht="39.5" customHeight="1">
      <c r="A20" s="164" t="s">
        <v>249</v>
      </c>
      <c r="B20" s="165" t="s">
        <v>188</v>
      </c>
      <c r="C20" s="166" t="s">
        <v>226</v>
      </c>
      <c r="D20" s="167" t="s">
        <v>207</v>
      </c>
      <c r="E20" s="164" t="s">
        <v>250</v>
      </c>
      <c r="F20" s="168" t="s">
        <v>190</v>
      </c>
      <c r="G20" s="166" t="s">
        <v>226</v>
      </c>
      <c r="H20" s="167" t="s">
        <v>207</v>
      </c>
      <c r="I20" s="164" t="s">
        <v>250</v>
      </c>
      <c r="J20" s="168" t="s">
        <v>194</v>
      </c>
      <c r="K20" s="166" t="s">
        <v>226</v>
      </c>
      <c r="L20" s="167" t="s">
        <v>207</v>
      </c>
    </row>
    <row r="21" spans="1:12" ht="39.5" customHeight="1">
      <c r="A21" s="164" t="s">
        <v>249</v>
      </c>
      <c r="B21" s="165" t="s">
        <v>188</v>
      </c>
      <c r="C21" s="166" t="s">
        <v>227</v>
      </c>
      <c r="D21" s="167" t="s">
        <v>207</v>
      </c>
      <c r="E21" s="164" t="s">
        <v>250</v>
      </c>
      <c r="F21" s="168" t="s">
        <v>190</v>
      </c>
      <c r="G21" s="166" t="s">
        <v>227</v>
      </c>
      <c r="H21" s="167" t="s">
        <v>207</v>
      </c>
      <c r="I21" s="164" t="s">
        <v>250</v>
      </c>
      <c r="J21" s="168" t="s">
        <v>194</v>
      </c>
      <c r="K21" s="166" t="s">
        <v>227</v>
      </c>
      <c r="L21" s="167" t="s">
        <v>207</v>
      </c>
    </row>
    <row r="22" spans="1:12" ht="39.5" customHeight="1">
      <c r="A22" s="164" t="s">
        <v>249</v>
      </c>
      <c r="B22" s="165" t="s">
        <v>188</v>
      </c>
      <c r="C22" s="166" t="s">
        <v>228</v>
      </c>
      <c r="D22" s="167" t="s">
        <v>207</v>
      </c>
      <c r="E22" s="164" t="s">
        <v>250</v>
      </c>
      <c r="F22" s="168" t="s">
        <v>190</v>
      </c>
      <c r="G22" s="166" t="s">
        <v>228</v>
      </c>
      <c r="H22" s="167" t="s">
        <v>207</v>
      </c>
      <c r="I22" s="164" t="s">
        <v>250</v>
      </c>
      <c r="J22" s="168" t="s">
        <v>194</v>
      </c>
      <c r="K22" s="166" t="s">
        <v>228</v>
      </c>
      <c r="L22" s="167" t="s">
        <v>207</v>
      </c>
    </row>
    <row r="23" spans="1:12" ht="39.5" customHeight="1">
      <c r="A23" s="164" t="s">
        <v>249</v>
      </c>
      <c r="B23" s="165" t="s">
        <v>188</v>
      </c>
      <c r="C23" s="166" t="s">
        <v>229</v>
      </c>
      <c r="D23" s="167" t="s">
        <v>207</v>
      </c>
      <c r="E23" s="164" t="s">
        <v>250</v>
      </c>
      <c r="F23" s="168" t="s">
        <v>190</v>
      </c>
      <c r="G23" s="166" t="s">
        <v>229</v>
      </c>
      <c r="H23" s="167" t="s">
        <v>207</v>
      </c>
      <c r="I23" s="164" t="s">
        <v>250</v>
      </c>
      <c r="J23" s="168" t="s">
        <v>194</v>
      </c>
      <c r="K23" s="166" t="s">
        <v>229</v>
      </c>
      <c r="L23" s="167" t="s">
        <v>207</v>
      </c>
    </row>
    <row r="24" spans="1:12" ht="39.5" customHeight="1">
      <c r="A24" s="164" t="s">
        <v>249</v>
      </c>
      <c r="B24" s="165" t="s">
        <v>188</v>
      </c>
      <c r="C24" s="166" t="s">
        <v>230</v>
      </c>
      <c r="D24" s="167" t="s">
        <v>207</v>
      </c>
      <c r="E24" s="164" t="s">
        <v>250</v>
      </c>
      <c r="F24" s="168" t="s">
        <v>190</v>
      </c>
      <c r="G24" s="166" t="s">
        <v>230</v>
      </c>
      <c r="H24" s="167" t="s">
        <v>207</v>
      </c>
      <c r="I24" s="164" t="s">
        <v>250</v>
      </c>
      <c r="J24" s="168" t="s">
        <v>194</v>
      </c>
      <c r="K24" s="166" t="s">
        <v>230</v>
      </c>
      <c r="L24" s="167" t="s">
        <v>207</v>
      </c>
    </row>
    <row r="25" spans="1:12" ht="39.5" customHeight="1">
      <c r="A25" s="164" t="s">
        <v>249</v>
      </c>
      <c r="B25" s="165" t="s">
        <v>188</v>
      </c>
      <c r="C25" s="166" t="s">
        <v>231</v>
      </c>
      <c r="D25" s="167" t="s">
        <v>207</v>
      </c>
      <c r="E25" s="164" t="s">
        <v>250</v>
      </c>
      <c r="F25" s="168" t="s">
        <v>190</v>
      </c>
      <c r="G25" s="166" t="s">
        <v>231</v>
      </c>
      <c r="H25" s="167" t="s">
        <v>207</v>
      </c>
      <c r="I25" s="164" t="s">
        <v>250</v>
      </c>
      <c r="J25" s="168" t="s">
        <v>194</v>
      </c>
      <c r="K25" s="166" t="s">
        <v>231</v>
      </c>
      <c r="L25" s="167" t="s">
        <v>207</v>
      </c>
    </row>
    <row r="26" spans="1:12" ht="39.5" customHeight="1">
      <c r="A26" s="164" t="s">
        <v>249</v>
      </c>
      <c r="B26" s="165" t="s">
        <v>188</v>
      </c>
      <c r="C26" s="166" t="s">
        <v>232</v>
      </c>
      <c r="D26" s="167" t="s">
        <v>207</v>
      </c>
      <c r="E26" s="164" t="s">
        <v>250</v>
      </c>
      <c r="F26" s="168" t="s">
        <v>190</v>
      </c>
      <c r="G26" s="166" t="s">
        <v>232</v>
      </c>
      <c r="H26" s="167" t="s">
        <v>207</v>
      </c>
      <c r="I26" s="164" t="s">
        <v>250</v>
      </c>
      <c r="J26" s="168" t="s">
        <v>194</v>
      </c>
      <c r="K26" s="166" t="s">
        <v>232</v>
      </c>
      <c r="L26" s="167" t="s">
        <v>207</v>
      </c>
    </row>
    <row r="27" spans="1:12" ht="39.5" customHeight="1">
      <c r="A27" s="164" t="s">
        <v>249</v>
      </c>
      <c r="B27" s="165" t="s">
        <v>188</v>
      </c>
      <c r="C27" s="166" t="s">
        <v>233</v>
      </c>
      <c r="D27" s="167" t="s">
        <v>207</v>
      </c>
      <c r="E27" s="164" t="s">
        <v>250</v>
      </c>
      <c r="F27" s="168" t="s">
        <v>190</v>
      </c>
      <c r="G27" s="166" t="s">
        <v>233</v>
      </c>
      <c r="H27" s="167" t="s">
        <v>207</v>
      </c>
      <c r="I27" s="164" t="s">
        <v>250</v>
      </c>
      <c r="J27" s="168" t="s">
        <v>194</v>
      </c>
      <c r="K27" s="166" t="s">
        <v>233</v>
      </c>
      <c r="L27" s="167" t="s">
        <v>207</v>
      </c>
    </row>
    <row r="28" spans="1:12" ht="39.5" customHeight="1">
      <c r="A28" s="164" t="s">
        <v>249</v>
      </c>
      <c r="B28" s="165" t="s">
        <v>188</v>
      </c>
      <c r="C28" s="166" t="s">
        <v>234</v>
      </c>
      <c r="D28" s="167" t="s">
        <v>207</v>
      </c>
      <c r="E28" s="164" t="s">
        <v>250</v>
      </c>
      <c r="F28" s="168" t="s">
        <v>190</v>
      </c>
      <c r="G28" s="166" t="s">
        <v>234</v>
      </c>
      <c r="H28" s="167" t="s">
        <v>207</v>
      </c>
      <c r="I28" s="164" t="s">
        <v>250</v>
      </c>
      <c r="J28" s="168" t="s">
        <v>194</v>
      </c>
      <c r="K28" s="166" t="s">
        <v>234</v>
      </c>
      <c r="L28" s="167" t="s">
        <v>207</v>
      </c>
    </row>
    <row r="29" spans="1:12" ht="39.5" customHeight="1">
      <c r="A29" s="164" t="s">
        <v>249</v>
      </c>
      <c r="B29" s="165" t="s">
        <v>188</v>
      </c>
      <c r="C29" s="166" t="s">
        <v>235</v>
      </c>
      <c r="D29" s="167" t="s">
        <v>207</v>
      </c>
      <c r="E29" s="164" t="s">
        <v>250</v>
      </c>
      <c r="F29" s="168" t="s">
        <v>190</v>
      </c>
      <c r="G29" s="166" t="s">
        <v>235</v>
      </c>
      <c r="H29" s="167" t="s">
        <v>207</v>
      </c>
      <c r="I29" s="164" t="s">
        <v>250</v>
      </c>
      <c r="J29" s="168" t="s">
        <v>194</v>
      </c>
      <c r="K29" s="166" t="s">
        <v>235</v>
      </c>
      <c r="L29" s="167" t="s">
        <v>207</v>
      </c>
    </row>
    <row r="30" spans="1:12" ht="39.5" customHeight="1">
      <c r="A30" s="164" t="s">
        <v>249</v>
      </c>
      <c r="B30" s="165" t="s">
        <v>188</v>
      </c>
      <c r="C30" s="166" t="s">
        <v>236</v>
      </c>
      <c r="D30" s="167" t="s">
        <v>207</v>
      </c>
      <c r="E30" s="164" t="s">
        <v>250</v>
      </c>
      <c r="F30" s="168" t="s">
        <v>190</v>
      </c>
      <c r="G30" s="166" t="s">
        <v>236</v>
      </c>
      <c r="H30" s="167" t="s">
        <v>207</v>
      </c>
      <c r="I30" s="164" t="s">
        <v>250</v>
      </c>
      <c r="J30" s="168" t="s">
        <v>194</v>
      </c>
      <c r="K30" s="166" t="s">
        <v>236</v>
      </c>
      <c r="L30" s="167" t="s">
        <v>207</v>
      </c>
    </row>
    <row r="31" spans="1:12" ht="39.5" customHeight="1">
      <c r="A31" s="164" t="s">
        <v>249</v>
      </c>
      <c r="B31" s="165" t="s">
        <v>188</v>
      </c>
      <c r="C31" s="166" t="s">
        <v>237</v>
      </c>
      <c r="D31" s="167" t="s">
        <v>207</v>
      </c>
      <c r="E31" s="164" t="s">
        <v>250</v>
      </c>
      <c r="F31" s="168" t="s">
        <v>190</v>
      </c>
      <c r="G31" s="166" t="s">
        <v>237</v>
      </c>
      <c r="H31" s="167" t="s">
        <v>207</v>
      </c>
      <c r="I31" s="164" t="s">
        <v>250</v>
      </c>
      <c r="J31" s="168" t="s">
        <v>194</v>
      </c>
      <c r="K31" s="166" t="s">
        <v>237</v>
      </c>
      <c r="L31" s="167" t="s">
        <v>207</v>
      </c>
    </row>
    <row r="32" spans="1:12" ht="39.5" customHeight="1">
      <c r="A32" s="164" t="s">
        <v>249</v>
      </c>
      <c r="B32" s="165" t="s">
        <v>188</v>
      </c>
      <c r="C32" s="166" t="s">
        <v>238</v>
      </c>
      <c r="D32" s="167" t="s">
        <v>207</v>
      </c>
      <c r="E32" s="164" t="s">
        <v>250</v>
      </c>
      <c r="F32" s="168" t="s">
        <v>190</v>
      </c>
      <c r="G32" s="166" t="s">
        <v>238</v>
      </c>
      <c r="H32" s="167" t="s">
        <v>207</v>
      </c>
      <c r="I32" s="164" t="s">
        <v>250</v>
      </c>
      <c r="J32" s="168" t="s">
        <v>194</v>
      </c>
      <c r="K32" s="166" t="s">
        <v>238</v>
      </c>
      <c r="L32" s="167" t="s">
        <v>207</v>
      </c>
    </row>
    <row r="33" spans="1:12" ht="39.5" customHeight="1">
      <c r="A33" s="164" t="s">
        <v>249</v>
      </c>
      <c r="B33" s="165" t="s">
        <v>188</v>
      </c>
      <c r="C33" s="166" t="s">
        <v>239</v>
      </c>
      <c r="D33" s="167" t="s">
        <v>207</v>
      </c>
      <c r="E33" s="164" t="s">
        <v>250</v>
      </c>
      <c r="F33" s="168" t="s">
        <v>190</v>
      </c>
      <c r="G33" s="166" t="s">
        <v>239</v>
      </c>
      <c r="H33" s="167" t="s">
        <v>207</v>
      </c>
      <c r="I33" s="164" t="s">
        <v>250</v>
      </c>
      <c r="J33" s="168" t="s">
        <v>194</v>
      </c>
      <c r="K33" s="166" t="s">
        <v>239</v>
      </c>
      <c r="L33" s="167" t="s">
        <v>207</v>
      </c>
    </row>
    <row r="34" spans="1:12" ht="39.5" customHeight="1">
      <c r="A34" s="164" t="s">
        <v>249</v>
      </c>
      <c r="B34" s="165" t="s">
        <v>188</v>
      </c>
      <c r="C34" s="166" t="s">
        <v>240</v>
      </c>
      <c r="D34" s="167" t="s">
        <v>207</v>
      </c>
      <c r="E34" s="164" t="s">
        <v>250</v>
      </c>
      <c r="F34" s="168" t="s">
        <v>190</v>
      </c>
      <c r="G34" s="166" t="s">
        <v>240</v>
      </c>
      <c r="H34" s="167" t="s">
        <v>207</v>
      </c>
      <c r="I34" s="164" t="s">
        <v>250</v>
      </c>
      <c r="J34" s="168" t="s">
        <v>194</v>
      </c>
      <c r="K34" s="166" t="s">
        <v>240</v>
      </c>
      <c r="L34" s="167" t="s">
        <v>207</v>
      </c>
    </row>
    <row r="35" spans="1:12" ht="39.5" customHeight="1">
      <c r="A35" s="164" t="s">
        <v>249</v>
      </c>
      <c r="B35" s="165" t="s">
        <v>188</v>
      </c>
      <c r="C35" s="166" t="s">
        <v>241</v>
      </c>
      <c r="D35" s="167" t="s">
        <v>207</v>
      </c>
      <c r="E35" s="164" t="s">
        <v>250</v>
      </c>
      <c r="F35" s="168" t="s">
        <v>190</v>
      </c>
      <c r="G35" s="166" t="s">
        <v>241</v>
      </c>
      <c r="H35" s="167" t="s">
        <v>207</v>
      </c>
      <c r="I35" s="164" t="s">
        <v>250</v>
      </c>
      <c r="J35" s="168" t="s">
        <v>194</v>
      </c>
      <c r="K35" s="166" t="s">
        <v>241</v>
      </c>
      <c r="L35" s="167" t="s">
        <v>207</v>
      </c>
    </row>
    <row r="36" spans="1:12" ht="39.5" customHeight="1">
      <c r="A36" s="164" t="s">
        <v>249</v>
      </c>
      <c r="B36" s="165" t="s">
        <v>188</v>
      </c>
      <c r="C36" s="166" t="s">
        <v>242</v>
      </c>
      <c r="D36" s="167" t="s">
        <v>207</v>
      </c>
      <c r="E36" s="164" t="s">
        <v>250</v>
      </c>
      <c r="F36" s="168" t="s">
        <v>190</v>
      </c>
      <c r="G36" s="166" t="s">
        <v>242</v>
      </c>
      <c r="H36" s="167" t="s">
        <v>207</v>
      </c>
      <c r="I36" s="164" t="s">
        <v>250</v>
      </c>
      <c r="J36" s="168" t="s">
        <v>194</v>
      </c>
      <c r="K36" s="166" t="s">
        <v>242</v>
      </c>
      <c r="L36" s="167" t="s">
        <v>207</v>
      </c>
    </row>
    <row r="37" spans="1:12" ht="39.5" customHeight="1">
      <c r="A37" s="164" t="s">
        <v>249</v>
      </c>
      <c r="B37" s="165" t="s">
        <v>188</v>
      </c>
      <c r="C37" s="166" t="s">
        <v>243</v>
      </c>
      <c r="D37" s="167" t="s">
        <v>207</v>
      </c>
      <c r="E37" s="164" t="s">
        <v>250</v>
      </c>
      <c r="F37" s="168" t="s">
        <v>190</v>
      </c>
      <c r="G37" s="166" t="s">
        <v>243</v>
      </c>
      <c r="H37" s="167" t="s">
        <v>207</v>
      </c>
      <c r="I37" s="164" t="s">
        <v>250</v>
      </c>
      <c r="J37" s="168" t="s">
        <v>194</v>
      </c>
      <c r="K37" s="166" t="s">
        <v>243</v>
      </c>
      <c r="L37" s="167" t="s">
        <v>207</v>
      </c>
    </row>
    <row r="38" spans="1:12" ht="39.5" customHeight="1">
      <c r="A38" s="164" t="s">
        <v>249</v>
      </c>
      <c r="B38" s="165" t="s">
        <v>188</v>
      </c>
      <c r="C38" s="166" t="s">
        <v>244</v>
      </c>
      <c r="D38" s="167" t="s">
        <v>207</v>
      </c>
      <c r="E38" s="164" t="s">
        <v>250</v>
      </c>
      <c r="F38" s="168" t="s">
        <v>190</v>
      </c>
      <c r="G38" s="166" t="s">
        <v>244</v>
      </c>
      <c r="H38" s="167" t="s">
        <v>207</v>
      </c>
      <c r="I38" s="164" t="s">
        <v>250</v>
      </c>
      <c r="J38" s="168" t="s">
        <v>194</v>
      </c>
      <c r="K38" s="166" t="s">
        <v>244</v>
      </c>
      <c r="L38" s="167" t="s">
        <v>207</v>
      </c>
    </row>
    <row r="39" spans="1:12" ht="39.5" customHeight="1">
      <c r="A39" s="164" t="s">
        <v>249</v>
      </c>
      <c r="B39" s="165" t="s">
        <v>188</v>
      </c>
      <c r="C39" s="166" t="s">
        <v>245</v>
      </c>
      <c r="D39" s="167" t="s">
        <v>207</v>
      </c>
      <c r="E39" s="164" t="s">
        <v>250</v>
      </c>
      <c r="F39" s="168" t="s">
        <v>190</v>
      </c>
      <c r="G39" s="166" t="s">
        <v>245</v>
      </c>
      <c r="H39" s="167" t="s">
        <v>207</v>
      </c>
      <c r="I39" s="164" t="s">
        <v>250</v>
      </c>
      <c r="J39" s="168" t="s">
        <v>194</v>
      </c>
      <c r="K39" s="166" t="s">
        <v>245</v>
      </c>
      <c r="L39" s="167" t="s">
        <v>207</v>
      </c>
    </row>
    <row r="40" spans="1:12" ht="39.5" customHeight="1">
      <c r="A40" s="164" t="s">
        <v>249</v>
      </c>
      <c r="B40" s="165" t="s">
        <v>188</v>
      </c>
      <c r="C40" s="166" t="s">
        <v>246</v>
      </c>
      <c r="D40" s="167" t="s">
        <v>207</v>
      </c>
      <c r="E40" s="164" t="s">
        <v>250</v>
      </c>
      <c r="F40" s="168" t="s">
        <v>190</v>
      </c>
      <c r="G40" s="166" t="s">
        <v>246</v>
      </c>
      <c r="H40" s="167" t="s">
        <v>207</v>
      </c>
      <c r="I40" s="164" t="s">
        <v>250</v>
      </c>
      <c r="J40" s="168" t="s">
        <v>194</v>
      </c>
      <c r="K40" s="166" t="s">
        <v>246</v>
      </c>
      <c r="L40" s="167" t="s">
        <v>207</v>
      </c>
    </row>
    <row r="41" spans="1:12" ht="39.5" customHeight="1">
      <c r="A41" s="164" t="s">
        <v>249</v>
      </c>
      <c r="B41" s="165" t="s">
        <v>188</v>
      </c>
      <c r="C41" s="166" t="s">
        <v>247</v>
      </c>
      <c r="D41" s="167" t="s">
        <v>207</v>
      </c>
      <c r="E41" s="164" t="s">
        <v>250</v>
      </c>
      <c r="F41" s="168" t="s">
        <v>190</v>
      </c>
      <c r="G41" s="166" t="s">
        <v>247</v>
      </c>
      <c r="H41" s="167" t="s">
        <v>207</v>
      </c>
      <c r="I41" s="164" t="s">
        <v>250</v>
      </c>
      <c r="J41" s="168" t="s">
        <v>194</v>
      </c>
      <c r="K41" s="166" t="s">
        <v>247</v>
      </c>
      <c r="L41" s="167" t="s">
        <v>207</v>
      </c>
    </row>
    <row r="42" spans="1:12" ht="39.5" customHeight="1">
      <c r="A42" s="164" t="s">
        <v>249</v>
      </c>
      <c r="B42" s="165" t="s">
        <v>188</v>
      </c>
      <c r="C42" s="166" t="s">
        <v>248</v>
      </c>
      <c r="D42" s="167" t="s">
        <v>207</v>
      </c>
      <c r="E42" s="164" t="s">
        <v>250</v>
      </c>
      <c r="F42" s="168" t="s">
        <v>190</v>
      </c>
      <c r="G42" s="166" t="s">
        <v>248</v>
      </c>
      <c r="H42" s="167" t="s">
        <v>207</v>
      </c>
      <c r="I42" s="164" t="s">
        <v>250</v>
      </c>
      <c r="J42" s="168" t="s">
        <v>194</v>
      </c>
      <c r="K42" s="166" t="s">
        <v>248</v>
      </c>
      <c r="L42" s="167" t="s">
        <v>207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660-8F39-4D51-934D-19FFE5C53CC3}">
  <dimension ref="A1:BC85"/>
  <sheetViews>
    <sheetView topLeftCell="A19" workbookViewId="0">
      <selection activeCell="AB51" sqref="AB51"/>
    </sheetView>
  </sheetViews>
  <sheetFormatPr defaultColWidth="8.83203125" defaultRowHeight="15.5"/>
  <cols>
    <col min="1" max="1" width="26.5" bestFit="1" customWidth="1"/>
    <col min="8" max="9" width="10.33203125" bestFit="1" customWidth="1"/>
    <col min="10" max="12" width="10.1640625" bestFit="1" customWidth="1"/>
    <col min="13" max="13" width="10.33203125" bestFit="1" customWidth="1"/>
    <col min="22" max="22" width="8.83203125" style="632"/>
    <col min="24" max="24" width="14.5" bestFit="1" customWidth="1"/>
    <col min="25" max="25" width="14.1640625" customWidth="1"/>
    <col min="26" max="26" width="13.5" bestFit="1" customWidth="1"/>
    <col min="27" max="27" width="10.33203125" customWidth="1"/>
    <col min="28" max="28" width="10.33203125" bestFit="1" customWidth="1"/>
    <col min="31" max="31" width="24.83203125" bestFit="1" customWidth="1"/>
    <col min="34" max="34" width="10.33203125" bestFit="1" customWidth="1"/>
  </cols>
  <sheetData>
    <row r="1" spans="1:55">
      <c r="B1" t="s">
        <v>2462</v>
      </c>
      <c r="C1" t="s">
        <v>139</v>
      </c>
      <c r="D1" t="s">
        <v>2463</v>
      </c>
      <c r="E1" t="s">
        <v>2463</v>
      </c>
      <c r="F1" s="90" t="s">
        <v>2464</v>
      </c>
      <c r="G1" s="204" t="s">
        <v>2464</v>
      </c>
      <c r="H1" s="205" t="s">
        <v>2465</v>
      </c>
      <c r="I1" s="205" t="s">
        <v>2465</v>
      </c>
      <c r="J1" t="s">
        <v>2466</v>
      </c>
      <c r="K1" s="101" t="s">
        <v>2467</v>
      </c>
      <c r="L1" s="101" t="s">
        <v>2468</v>
      </c>
      <c r="M1" t="s">
        <v>2466</v>
      </c>
      <c r="N1" s="101" t="s">
        <v>2467</v>
      </c>
      <c r="O1" s="101" t="s">
        <v>2468</v>
      </c>
      <c r="P1" s="101" t="s">
        <v>2469</v>
      </c>
      <c r="Q1" t="s">
        <v>2470</v>
      </c>
      <c r="R1" t="s">
        <v>2471</v>
      </c>
      <c r="S1" t="s">
        <v>127</v>
      </c>
      <c r="T1" t="s">
        <v>127</v>
      </c>
      <c r="U1" s="90" t="s">
        <v>2464</v>
      </c>
      <c r="V1" s="630" t="s">
        <v>2464</v>
      </c>
      <c r="W1" s="90" t="s">
        <v>2464</v>
      </c>
      <c r="X1" s="206" t="s">
        <v>2464</v>
      </c>
      <c r="Y1" s="207" t="s">
        <v>2464</v>
      </c>
      <c r="Z1" s="207" t="s">
        <v>2472</v>
      </c>
      <c r="AA1" s="207" t="s">
        <v>2472</v>
      </c>
      <c r="AB1" s="80" t="s">
        <v>2466</v>
      </c>
      <c r="AC1" s="208" t="s">
        <v>2467</v>
      </c>
      <c r="AD1" s="208" t="s">
        <v>2468</v>
      </c>
      <c r="AE1" s="82" t="s">
        <v>2464</v>
      </c>
      <c r="AF1" s="82" t="s">
        <v>2464</v>
      </c>
      <c r="AG1" s="82" t="s">
        <v>2464</v>
      </c>
      <c r="AH1" s="80" t="s">
        <v>2466</v>
      </c>
      <c r="AI1" s="208" t="s">
        <v>2467</v>
      </c>
      <c r="AJ1" s="208" t="s">
        <v>2468</v>
      </c>
    </row>
    <row r="2" spans="1:55">
      <c r="B2" t="s">
        <v>2492</v>
      </c>
      <c r="C2" t="s">
        <v>2473</v>
      </c>
      <c r="D2" t="s">
        <v>2474</v>
      </c>
      <c r="E2" t="s">
        <v>2475</v>
      </c>
      <c r="F2" s="90" t="s">
        <v>2476</v>
      </c>
      <c r="G2" s="204" t="s">
        <v>2477</v>
      </c>
      <c r="H2" s="205" t="s">
        <v>2476</v>
      </c>
      <c r="I2" s="205" t="s">
        <v>2478</v>
      </c>
      <c r="J2" t="s">
        <v>2479</v>
      </c>
      <c r="K2" s="101" t="s">
        <v>174</v>
      </c>
      <c r="L2" s="101" t="s">
        <v>2480</v>
      </c>
      <c r="M2" t="s">
        <v>2479</v>
      </c>
      <c r="N2" s="101" t="s">
        <v>174</v>
      </c>
      <c r="O2" s="101" t="s">
        <v>2480</v>
      </c>
      <c r="P2" s="101"/>
      <c r="Q2" t="s">
        <v>2481</v>
      </c>
      <c r="U2" s="90" t="s">
        <v>2482</v>
      </c>
      <c r="V2" s="630" t="s">
        <v>2483</v>
      </c>
      <c r="W2" s="90" t="s">
        <v>2484</v>
      </c>
      <c r="X2" s="206" t="s">
        <v>2485</v>
      </c>
      <c r="Y2" s="207" t="s">
        <v>2486</v>
      </c>
      <c r="Z2" s="207" t="s">
        <v>204</v>
      </c>
      <c r="AA2" s="207" t="s">
        <v>174</v>
      </c>
      <c r="AB2" s="80" t="s">
        <v>2479</v>
      </c>
      <c r="AC2" s="208" t="s">
        <v>174</v>
      </c>
      <c r="AD2" s="208" t="s">
        <v>2480</v>
      </c>
      <c r="AE2" s="82" t="s">
        <v>2487</v>
      </c>
      <c r="AF2" s="82" t="s">
        <v>2488</v>
      </c>
      <c r="AG2" s="82" t="s">
        <v>2488</v>
      </c>
      <c r="AH2" s="80" t="s">
        <v>2479</v>
      </c>
      <c r="AI2" s="208" t="s">
        <v>174</v>
      </c>
      <c r="AJ2" s="208" t="s">
        <v>2480</v>
      </c>
    </row>
    <row r="3" spans="1:55">
      <c r="A3" s="51"/>
      <c r="B3" s="51"/>
      <c r="C3" s="209"/>
      <c r="D3" s="209"/>
      <c r="E3" s="51"/>
      <c r="F3" s="204" t="s">
        <v>204</v>
      </c>
      <c r="G3" s="204" t="s">
        <v>204</v>
      </c>
      <c r="H3" s="210"/>
      <c r="I3" s="210"/>
      <c r="J3" s="51" t="s">
        <v>2489</v>
      </c>
      <c r="K3" s="51" t="s">
        <v>2489</v>
      </c>
      <c r="L3" s="51" t="s">
        <v>2489</v>
      </c>
      <c r="M3" s="51" t="s">
        <v>2490</v>
      </c>
      <c r="N3" s="51" t="s">
        <v>2490</v>
      </c>
      <c r="O3" s="51" t="s">
        <v>2490</v>
      </c>
      <c r="P3" s="211"/>
      <c r="Q3" s="51"/>
      <c r="R3" s="51"/>
      <c r="S3" s="51"/>
      <c r="T3" s="51"/>
      <c r="U3" s="204" t="s">
        <v>204</v>
      </c>
      <c r="V3" s="630" t="s">
        <v>204</v>
      </c>
      <c r="W3" s="90" t="s">
        <v>204</v>
      </c>
      <c r="X3" s="90" t="s">
        <v>204</v>
      </c>
      <c r="Y3" s="1" t="s">
        <v>204</v>
      </c>
      <c r="Z3" s="1" t="s">
        <v>204</v>
      </c>
      <c r="AA3" s="1" t="s">
        <v>174</v>
      </c>
      <c r="AB3" s="51"/>
      <c r="AC3" s="51"/>
      <c r="AD3" s="51"/>
      <c r="AE3" s="82" t="s">
        <v>204</v>
      </c>
      <c r="AF3" s="82" t="s">
        <v>204</v>
      </c>
      <c r="AG3" s="82" t="s">
        <v>174</v>
      </c>
      <c r="AH3" s="51"/>
      <c r="AI3" s="51"/>
      <c r="AJ3" s="51"/>
      <c r="AK3" s="51"/>
      <c r="AL3" s="51"/>
      <c r="AM3" s="51"/>
      <c r="AN3" s="51"/>
      <c r="AO3" s="51"/>
      <c r="AP3" s="51"/>
      <c r="AQ3" s="51"/>
      <c r="AR3" s="51"/>
      <c r="AS3" s="51"/>
      <c r="AT3" s="51"/>
      <c r="AU3" s="51"/>
      <c r="AV3" s="51"/>
      <c r="AW3" s="51"/>
      <c r="AX3" s="51"/>
      <c r="AY3" s="51"/>
      <c r="AZ3" s="51"/>
      <c r="BA3" s="51"/>
      <c r="BB3" s="51"/>
      <c r="BC3" s="51"/>
    </row>
    <row r="4" spans="1:55">
      <c r="A4" s="51"/>
      <c r="B4" s="51"/>
      <c r="C4" s="209"/>
      <c r="D4" s="209"/>
      <c r="E4" s="51"/>
      <c r="F4" s="204"/>
      <c r="G4" s="204"/>
      <c r="H4" s="210"/>
      <c r="I4" s="210"/>
      <c r="J4" s="210"/>
      <c r="K4" s="210"/>
      <c r="L4" s="210"/>
      <c r="M4" s="51"/>
      <c r="N4" s="211"/>
      <c r="O4" s="211"/>
      <c r="P4" s="211"/>
      <c r="Q4" s="51"/>
      <c r="R4" s="51"/>
      <c r="S4" s="51"/>
      <c r="T4" s="51"/>
      <c r="U4" s="204"/>
      <c r="V4" s="630"/>
      <c r="W4" s="90"/>
      <c r="X4" s="90"/>
      <c r="Y4" s="51"/>
      <c r="Z4" s="51"/>
      <c r="AA4" s="51"/>
      <c r="AB4" s="51"/>
      <c r="AC4" s="51"/>
      <c r="AD4" s="51"/>
      <c r="AE4" s="82"/>
      <c r="AF4" s="82"/>
      <c r="AG4" s="82"/>
      <c r="AH4" s="51"/>
      <c r="AI4" s="51"/>
      <c r="AJ4" s="51"/>
      <c r="AK4" s="51"/>
      <c r="AL4" s="51"/>
      <c r="AM4" s="51"/>
      <c r="AN4" s="51"/>
      <c r="AO4" s="51"/>
      <c r="AP4" s="51"/>
      <c r="AQ4" s="51"/>
      <c r="AR4" s="51"/>
      <c r="AS4" s="51"/>
      <c r="AT4" s="51"/>
      <c r="AU4" s="51"/>
      <c r="AV4" s="51"/>
      <c r="AW4" s="51"/>
      <c r="AX4" s="51"/>
      <c r="AY4" s="51"/>
      <c r="AZ4" s="51"/>
      <c r="BA4" s="51"/>
      <c r="BB4" s="51"/>
      <c r="BC4" s="51"/>
    </row>
    <row r="5" spans="1:55" s="215" customFormat="1">
      <c r="A5" s="212" t="str">
        <f>main!A6</f>
        <v>Deployment 08/03/2018 IN2018_V02</v>
      </c>
      <c r="B5" s="213" t="str">
        <f>main!B6</f>
        <v>McLane-PARFLUX-Mark78H-21 ; frame controller sn 12419-01, frame sn 12419-01, motor sn 12419-01, cup set O250x21</v>
      </c>
      <c r="C5" s="214"/>
      <c r="E5" s="216"/>
      <c r="F5" s="216"/>
      <c r="G5" s="216"/>
      <c r="H5" s="217"/>
      <c r="I5" s="217"/>
      <c r="J5" s="217"/>
      <c r="K5" s="217"/>
      <c r="L5" s="217"/>
      <c r="M5" s="217"/>
      <c r="N5" s="218"/>
      <c r="O5" s="219"/>
      <c r="P5" s="220"/>
      <c r="Q5" s="220"/>
      <c r="R5" s="220"/>
      <c r="S5" s="220"/>
      <c r="T5" s="220"/>
      <c r="U5" s="216"/>
      <c r="V5" s="631"/>
      <c r="W5" s="216"/>
      <c r="X5" s="216"/>
      <c r="Y5" s="220"/>
      <c r="Z5" s="220"/>
      <c r="AA5" s="220"/>
      <c r="AB5" s="220"/>
      <c r="AC5" s="220"/>
      <c r="AD5" s="220"/>
      <c r="AE5" s="221"/>
      <c r="AF5" s="221"/>
      <c r="AG5" s="221"/>
      <c r="AH5" s="220"/>
      <c r="AI5" s="220"/>
      <c r="AJ5" s="222"/>
      <c r="AK5" s="222"/>
      <c r="AL5" s="222"/>
      <c r="AM5" s="222"/>
      <c r="AN5" s="222"/>
      <c r="AO5" s="222"/>
      <c r="AP5" s="222"/>
      <c r="AQ5" s="222"/>
      <c r="AR5" s="222"/>
      <c r="AS5" s="222"/>
      <c r="AT5" s="222"/>
      <c r="AU5" s="222"/>
    </row>
    <row r="6" spans="1:55">
      <c r="A6">
        <f>main!A7</f>
        <v>2018</v>
      </c>
      <c r="B6" t="str">
        <f>main!B7</f>
        <v>47_1000</v>
      </c>
      <c r="C6" t="str">
        <f>main!C7</f>
        <v>O 1</v>
      </c>
      <c r="D6">
        <v>4</v>
      </c>
      <c r="E6">
        <v>6</v>
      </c>
      <c r="F6">
        <v>16.05</v>
      </c>
      <c r="G6">
        <v>62.45</v>
      </c>
      <c r="H6" s="67">
        <v>43601</v>
      </c>
      <c r="I6" s="67">
        <v>43605</v>
      </c>
      <c r="J6" s="67">
        <v>43605</v>
      </c>
      <c r="K6" s="223">
        <v>0.3</v>
      </c>
      <c r="L6" s="101">
        <v>23.4</v>
      </c>
      <c r="M6" s="67">
        <v>43599</v>
      </c>
      <c r="N6">
        <v>30</v>
      </c>
      <c r="O6">
        <v>23.4</v>
      </c>
      <c r="P6" t="s">
        <v>2493</v>
      </c>
      <c r="Q6" t="s">
        <v>2494</v>
      </c>
      <c r="R6" t="s">
        <v>2491</v>
      </c>
      <c r="T6" t="s">
        <v>2495</v>
      </c>
      <c r="U6">
        <f>G6-F6</f>
        <v>46.400000000000006</v>
      </c>
      <c r="V6" s="632">
        <f>((U6+U7)/7)*10</f>
        <v>156.17142857142858</v>
      </c>
      <c r="W6">
        <f>U6/3</f>
        <v>15.466666666666669</v>
      </c>
      <c r="X6">
        <v>15024.76</v>
      </c>
      <c r="AE6">
        <v>26.79</v>
      </c>
      <c r="AF6">
        <f>AE6-F6</f>
        <v>10.739999999999998</v>
      </c>
      <c r="AG6">
        <f>(AF6/U6)*100</f>
        <v>23.146551724137925</v>
      </c>
      <c r="AH6" s="67">
        <v>43605</v>
      </c>
      <c r="AI6" s="223">
        <v>0.3</v>
      </c>
      <c r="AJ6">
        <v>23.4</v>
      </c>
    </row>
    <row r="7" spans="1:55" s="224" customFormat="1" ht="16" thickBot="1">
      <c r="A7" s="224">
        <f>main!A8</f>
        <v>2018</v>
      </c>
      <c r="B7" s="224" t="str">
        <f>main!B8</f>
        <v>47_1000</v>
      </c>
      <c r="C7" s="224" t="s">
        <v>2496</v>
      </c>
      <c r="D7" s="224">
        <v>7</v>
      </c>
      <c r="E7" s="224">
        <v>10</v>
      </c>
      <c r="F7" s="224">
        <v>15.94</v>
      </c>
      <c r="G7" s="224">
        <v>78.86</v>
      </c>
      <c r="H7" s="225">
        <v>43601</v>
      </c>
      <c r="I7" s="67">
        <v>43605</v>
      </c>
      <c r="J7" s="225">
        <v>43605</v>
      </c>
      <c r="K7" s="226">
        <v>0.3</v>
      </c>
      <c r="L7" s="227">
        <v>23.4</v>
      </c>
      <c r="M7" s="225">
        <v>43599</v>
      </c>
      <c r="N7" s="224">
        <v>30</v>
      </c>
      <c r="O7" s="224">
        <v>23.4</v>
      </c>
      <c r="P7" s="224" t="s">
        <v>2493</v>
      </c>
      <c r="Q7" s="224" t="s">
        <v>2502</v>
      </c>
      <c r="R7" s="224" t="s">
        <v>2491</v>
      </c>
      <c r="T7" s="224" t="s">
        <v>2495</v>
      </c>
      <c r="U7" s="224">
        <f>G7-F7</f>
        <v>62.92</v>
      </c>
      <c r="V7" s="633"/>
      <c r="W7" s="224">
        <f>U7/4</f>
        <v>15.73</v>
      </c>
      <c r="AE7" s="224">
        <v>29.66</v>
      </c>
      <c r="AF7">
        <f>AE7-F7</f>
        <v>13.72</v>
      </c>
      <c r="AG7">
        <f>(AF7/U7)*100</f>
        <v>21.805467260012716</v>
      </c>
      <c r="AH7" s="67">
        <v>43605</v>
      </c>
      <c r="AI7" s="223">
        <v>0.3</v>
      </c>
      <c r="AJ7">
        <v>23.4</v>
      </c>
    </row>
    <row r="8" spans="1:55" ht="16" thickTop="1">
      <c r="A8">
        <f>main!A8</f>
        <v>2018</v>
      </c>
      <c r="B8" t="str">
        <f>main!B8</f>
        <v>47_1000</v>
      </c>
      <c r="C8">
        <f>main!C8</f>
        <v>2</v>
      </c>
      <c r="D8">
        <v>4</v>
      </c>
      <c r="E8">
        <v>7</v>
      </c>
      <c r="F8">
        <v>15.87</v>
      </c>
      <c r="G8">
        <v>110.51</v>
      </c>
      <c r="H8" s="67">
        <v>43601</v>
      </c>
      <c r="I8" s="67">
        <v>43605</v>
      </c>
      <c r="J8" s="67">
        <v>43605</v>
      </c>
      <c r="K8" s="223">
        <v>0.3</v>
      </c>
      <c r="L8" s="101">
        <v>23.4</v>
      </c>
      <c r="M8" s="67">
        <v>43599</v>
      </c>
      <c r="N8">
        <v>30</v>
      </c>
      <c r="O8">
        <v>23.4</v>
      </c>
      <c r="P8" t="s">
        <v>2493</v>
      </c>
      <c r="Q8" t="s">
        <v>2503</v>
      </c>
      <c r="R8" t="s">
        <v>2491</v>
      </c>
      <c r="T8" t="s">
        <v>2495</v>
      </c>
      <c r="U8">
        <f>G8-F8</f>
        <v>94.64</v>
      </c>
      <c r="V8" s="632">
        <f>((U8+U9)/7)*10</f>
        <v>245.78571428571428</v>
      </c>
      <c r="W8">
        <f>U8/4</f>
        <v>23.66</v>
      </c>
      <c r="X8">
        <v>14723.11</v>
      </c>
      <c r="AE8">
        <v>30.28</v>
      </c>
      <c r="AF8">
        <f>AE8-F8</f>
        <v>14.410000000000002</v>
      </c>
      <c r="AG8">
        <f>(AF8/U8)*100</f>
        <v>15.226120033812343</v>
      </c>
      <c r="AH8" s="67">
        <v>43605</v>
      </c>
      <c r="AI8" s="223">
        <v>0.3</v>
      </c>
      <c r="AJ8">
        <v>23.4</v>
      </c>
    </row>
    <row r="9" spans="1:55" s="224" customFormat="1" ht="16" thickBot="1">
      <c r="A9" s="224">
        <f>main!A9</f>
        <v>2018</v>
      </c>
      <c r="B9" s="224" t="str">
        <f>main!B9</f>
        <v>47_1000</v>
      </c>
      <c r="C9" s="224" t="s">
        <v>2497</v>
      </c>
      <c r="D9" s="224">
        <v>8</v>
      </c>
      <c r="E9" s="224">
        <v>10</v>
      </c>
      <c r="F9" s="224">
        <v>16.079999999999998</v>
      </c>
      <c r="G9" s="224">
        <v>93.49</v>
      </c>
      <c r="H9" s="225">
        <v>43601</v>
      </c>
      <c r="I9" s="67">
        <v>43605</v>
      </c>
      <c r="J9" s="225">
        <v>43605</v>
      </c>
      <c r="K9" s="226">
        <v>0.3</v>
      </c>
      <c r="L9" s="227">
        <v>23.4</v>
      </c>
      <c r="M9" s="225">
        <v>43599</v>
      </c>
      <c r="N9" s="224">
        <v>30</v>
      </c>
      <c r="O9" s="224">
        <v>23.4</v>
      </c>
      <c r="P9" s="224" t="s">
        <v>2493</v>
      </c>
      <c r="Q9" s="224" t="s">
        <v>2504</v>
      </c>
      <c r="R9" s="224" t="s">
        <v>2491</v>
      </c>
      <c r="T9" s="224" t="s">
        <v>2495</v>
      </c>
      <c r="U9" s="224">
        <f t="shared" ref="U9:U30" si="0">G9-F9</f>
        <v>77.41</v>
      </c>
      <c r="V9" s="633"/>
      <c r="W9" s="224">
        <f>U9/3</f>
        <v>25.803333333333331</v>
      </c>
    </row>
    <row r="10" spans="1:55" ht="16" thickTop="1">
      <c r="A10">
        <f>main!A9</f>
        <v>2018</v>
      </c>
      <c r="B10" t="str">
        <f>main!B9</f>
        <v>47_1000</v>
      </c>
      <c r="C10">
        <f>main!C9</f>
        <v>3</v>
      </c>
      <c r="D10">
        <v>4</v>
      </c>
      <c r="E10">
        <v>10</v>
      </c>
      <c r="F10">
        <v>15.77</v>
      </c>
      <c r="G10">
        <v>170.76</v>
      </c>
      <c r="H10" s="67">
        <v>43601</v>
      </c>
      <c r="I10" s="67">
        <v>43605</v>
      </c>
      <c r="J10" s="67">
        <v>43605</v>
      </c>
      <c r="K10" s="223">
        <v>0.3</v>
      </c>
      <c r="L10" s="101">
        <v>23.4</v>
      </c>
      <c r="M10" s="67">
        <v>43599</v>
      </c>
      <c r="N10">
        <v>30</v>
      </c>
      <c r="O10">
        <v>23.4</v>
      </c>
      <c r="P10" t="s">
        <v>2493</v>
      </c>
      <c r="Q10" t="s">
        <v>2505</v>
      </c>
      <c r="R10" t="s">
        <v>2491</v>
      </c>
      <c r="T10" t="s">
        <v>2495</v>
      </c>
      <c r="U10">
        <f t="shared" si="0"/>
        <v>154.98999999999998</v>
      </c>
      <c r="V10" s="632">
        <f>(U10/7)*10</f>
        <v>221.41428571428571</v>
      </c>
      <c r="W10">
        <f>U10/7</f>
        <v>22.14142857142857</v>
      </c>
      <c r="X10">
        <v>14866.05</v>
      </c>
    </row>
    <row r="11" spans="1:55">
      <c r="A11">
        <f>main!A10</f>
        <v>2018</v>
      </c>
      <c r="B11" t="str">
        <f>main!B10</f>
        <v>47_1000</v>
      </c>
      <c r="C11">
        <f>main!C10</f>
        <v>4</v>
      </c>
      <c r="D11">
        <v>4</v>
      </c>
      <c r="E11">
        <v>10</v>
      </c>
      <c r="F11">
        <v>15.97</v>
      </c>
      <c r="G11">
        <v>94.25</v>
      </c>
      <c r="H11" s="67">
        <v>43601</v>
      </c>
      <c r="I11" s="67">
        <v>43605</v>
      </c>
      <c r="J11" s="67">
        <v>43605</v>
      </c>
      <c r="K11" s="223">
        <v>0.3</v>
      </c>
      <c r="L11" s="101">
        <v>23.4</v>
      </c>
      <c r="M11" s="67">
        <v>43599</v>
      </c>
      <c r="N11">
        <v>30</v>
      </c>
      <c r="O11">
        <v>23.4</v>
      </c>
      <c r="P11" t="s">
        <v>2493</v>
      </c>
      <c r="Q11" t="s">
        <v>2506</v>
      </c>
      <c r="R11" t="s">
        <v>2491</v>
      </c>
      <c r="T11" t="s">
        <v>2495</v>
      </c>
      <c r="U11">
        <f t="shared" si="0"/>
        <v>78.28</v>
      </c>
      <c r="V11" s="632">
        <f>(U11/7)*10</f>
        <v>111.82857142857144</v>
      </c>
      <c r="W11">
        <f t="shared" ref="W11:W30" si="1">U11/7</f>
        <v>11.182857142857143</v>
      </c>
      <c r="X11">
        <v>14932.61</v>
      </c>
    </row>
    <row r="12" spans="1:55">
      <c r="A12">
        <f>main!A11</f>
        <v>2018</v>
      </c>
      <c r="B12" t="str">
        <f>main!B11</f>
        <v>47_1000</v>
      </c>
      <c r="C12">
        <f>main!C11</f>
        <v>5</v>
      </c>
      <c r="D12">
        <v>4</v>
      </c>
      <c r="E12">
        <v>7</v>
      </c>
      <c r="F12">
        <v>16.05</v>
      </c>
      <c r="G12">
        <v>32.42</v>
      </c>
      <c r="H12" s="67">
        <v>43601</v>
      </c>
      <c r="I12" s="67">
        <v>43605</v>
      </c>
      <c r="J12" s="67">
        <v>43605</v>
      </c>
      <c r="K12" s="223">
        <v>0.3</v>
      </c>
      <c r="L12" s="101">
        <v>23.4</v>
      </c>
      <c r="M12" s="67">
        <v>43599</v>
      </c>
      <c r="N12">
        <v>30</v>
      </c>
      <c r="O12">
        <v>23.4</v>
      </c>
      <c r="P12" t="s">
        <v>2493</v>
      </c>
      <c r="Q12" t="s">
        <v>2507</v>
      </c>
      <c r="R12" t="s">
        <v>2491</v>
      </c>
      <c r="T12" t="s">
        <v>2495</v>
      </c>
      <c r="U12">
        <f t="shared" si="0"/>
        <v>16.37</v>
      </c>
      <c r="V12" s="632">
        <f>((U12+U13)/7)*10</f>
        <v>39.985714285714288</v>
      </c>
      <c r="W12">
        <f>U12/4</f>
        <v>4.0925000000000002</v>
      </c>
      <c r="X12">
        <v>14976.46</v>
      </c>
    </row>
    <row r="13" spans="1:55" s="224" customFormat="1" ht="16" thickBot="1">
      <c r="A13" s="224">
        <f>main!A12</f>
        <v>2018</v>
      </c>
      <c r="B13" s="224" t="str">
        <f>main!B12</f>
        <v>47_1000</v>
      </c>
      <c r="C13" s="224" t="s">
        <v>2498</v>
      </c>
      <c r="D13" s="224">
        <v>8</v>
      </c>
      <c r="E13" s="224">
        <v>10</v>
      </c>
      <c r="F13" s="224">
        <v>15.98</v>
      </c>
      <c r="G13" s="224">
        <v>27.6</v>
      </c>
      <c r="H13" s="225">
        <v>43602</v>
      </c>
      <c r="I13" s="225">
        <v>43606</v>
      </c>
      <c r="J13" s="225">
        <v>43606</v>
      </c>
      <c r="K13" t="s">
        <v>2531</v>
      </c>
      <c r="L13" t="s">
        <v>2532</v>
      </c>
      <c r="M13" s="225">
        <v>43599</v>
      </c>
      <c r="N13" s="224">
        <v>30</v>
      </c>
      <c r="O13" s="224">
        <v>23.4</v>
      </c>
      <c r="P13" s="224" t="s">
        <v>2493</v>
      </c>
      <c r="Q13" s="224" t="s">
        <v>2508</v>
      </c>
      <c r="R13" s="224" t="s">
        <v>2491</v>
      </c>
      <c r="T13" s="224" t="s">
        <v>2526</v>
      </c>
      <c r="U13" s="224">
        <f t="shared" si="0"/>
        <v>11.620000000000001</v>
      </c>
      <c r="V13" s="633"/>
      <c r="W13" s="224">
        <f>U13/3</f>
        <v>3.8733333333333335</v>
      </c>
    </row>
    <row r="14" spans="1:55" ht="16.5" thickTop="1" thickBot="1">
      <c r="A14">
        <f>main!A12</f>
        <v>2018</v>
      </c>
      <c r="B14" t="str">
        <f>main!B12</f>
        <v>47_1000</v>
      </c>
      <c r="C14">
        <f>main!C12</f>
        <v>6</v>
      </c>
      <c r="D14">
        <v>4</v>
      </c>
      <c r="E14">
        <v>10</v>
      </c>
      <c r="F14">
        <v>15.96</v>
      </c>
      <c r="G14" s="228">
        <v>28.67</v>
      </c>
      <c r="H14" s="67">
        <v>43602</v>
      </c>
      <c r="I14" s="225">
        <v>43606</v>
      </c>
      <c r="J14" s="225">
        <v>43606</v>
      </c>
      <c r="K14" t="s">
        <v>2531</v>
      </c>
      <c r="L14" t="s">
        <v>2532</v>
      </c>
      <c r="M14" s="67">
        <v>43599</v>
      </c>
      <c r="N14">
        <v>30</v>
      </c>
      <c r="O14">
        <v>23.4</v>
      </c>
      <c r="P14" t="s">
        <v>2493</v>
      </c>
      <c r="Q14" t="s">
        <v>2509</v>
      </c>
      <c r="R14" t="s">
        <v>2491</v>
      </c>
      <c r="T14" t="s">
        <v>2526</v>
      </c>
      <c r="U14">
        <f t="shared" si="0"/>
        <v>12.71</v>
      </c>
      <c r="V14" s="632">
        <f>(U14/7)*10</f>
        <v>18.157142857142858</v>
      </c>
      <c r="W14">
        <f t="shared" si="1"/>
        <v>1.8157142857142858</v>
      </c>
      <c r="X14">
        <v>14858.81</v>
      </c>
    </row>
    <row r="15" spans="1:55" ht="16.5" thickTop="1" thickBot="1">
      <c r="A15">
        <f>main!A13</f>
        <v>2018</v>
      </c>
      <c r="B15" t="str">
        <f>main!B13</f>
        <v>47_1000</v>
      </c>
      <c r="C15">
        <f>main!C13</f>
        <v>7</v>
      </c>
      <c r="D15">
        <v>4</v>
      </c>
      <c r="E15">
        <v>10</v>
      </c>
      <c r="F15">
        <v>15.96</v>
      </c>
      <c r="G15" s="228">
        <v>33.01</v>
      </c>
      <c r="H15" s="67">
        <v>43602</v>
      </c>
      <c r="I15" s="225">
        <v>43606</v>
      </c>
      <c r="J15" s="225">
        <v>43606</v>
      </c>
      <c r="K15" t="s">
        <v>2531</v>
      </c>
      <c r="L15" t="s">
        <v>2532</v>
      </c>
      <c r="M15" s="67">
        <v>43599</v>
      </c>
      <c r="N15">
        <v>30</v>
      </c>
      <c r="O15">
        <v>23.4</v>
      </c>
      <c r="P15" t="s">
        <v>2493</v>
      </c>
      <c r="Q15" t="s">
        <v>2510</v>
      </c>
      <c r="R15" t="s">
        <v>2491</v>
      </c>
      <c r="T15" t="s">
        <v>2526</v>
      </c>
      <c r="U15">
        <f t="shared" si="0"/>
        <v>17.049999999999997</v>
      </c>
      <c r="V15" s="632">
        <f>(U15/7)*10</f>
        <v>24.357142857142854</v>
      </c>
      <c r="W15">
        <f t="shared" si="1"/>
        <v>2.4357142857142855</v>
      </c>
      <c r="X15">
        <v>14819.62</v>
      </c>
      <c r="AE15">
        <v>22.06</v>
      </c>
      <c r="AF15">
        <f>AE15-F15</f>
        <v>6.0999999999999979</v>
      </c>
      <c r="AG15">
        <f>(AF15/U15)*100</f>
        <v>35.777126099706742</v>
      </c>
      <c r="AH15" s="67">
        <v>43606</v>
      </c>
      <c r="AI15" s="223">
        <v>0.34</v>
      </c>
      <c r="AJ15">
        <v>22.2</v>
      </c>
    </row>
    <row r="16" spans="1:55" ht="16.5" thickTop="1" thickBot="1">
      <c r="A16">
        <f>main!A14</f>
        <v>2018</v>
      </c>
      <c r="B16" t="str">
        <f>main!B14</f>
        <v>47_1000</v>
      </c>
      <c r="C16">
        <f>main!C14</f>
        <v>8</v>
      </c>
      <c r="D16">
        <v>4</v>
      </c>
      <c r="E16">
        <v>7</v>
      </c>
      <c r="F16">
        <v>15.94</v>
      </c>
      <c r="G16" s="228">
        <v>28.59</v>
      </c>
      <c r="H16" s="67">
        <v>43602</v>
      </c>
      <c r="I16" s="225">
        <v>43606</v>
      </c>
      <c r="J16" s="225">
        <v>43606</v>
      </c>
      <c r="K16" t="s">
        <v>2531</v>
      </c>
      <c r="L16" t="s">
        <v>2532</v>
      </c>
      <c r="M16" s="67">
        <v>43599</v>
      </c>
      <c r="N16">
        <v>30</v>
      </c>
      <c r="O16">
        <v>23.4</v>
      </c>
      <c r="P16" t="s">
        <v>2493</v>
      </c>
      <c r="Q16" t="s">
        <v>2511</v>
      </c>
      <c r="R16" t="s">
        <v>2491</v>
      </c>
      <c r="T16" t="s">
        <v>2526</v>
      </c>
      <c r="U16">
        <f t="shared" si="0"/>
        <v>12.65</v>
      </c>
      <c r="V16" s="632">
        <f>((U16+U17)/7)*10</f>
        <v>31.014285714285712</v>
      </c>
      <c r="W16">
        <f>U16/4</f>
        <v>3.1625000000000001</v>
      </c>
      <c r="X16">
        <v>14869.24</v>
      </c>
    </row>
    <row r="17" spans="1:47" s="224" customFormat="1" ht="16.5" thickTop="1" thickBot="1">
      <c r="A17" s="224">
        <f>main!A15</f>
        <v>2018</v>
      </c>
      <c r="B17" s="224" t="str">
        <f>main!B15</f>
        <v>47_1000</v>
      </c>
      <c r="C17" s="224" t="s">
        <v>2499</v>
      </c>
      <c r="D17" s="224">
        <v>8</v>
      </c>
      <c r="E17" s="224">
        <v>10</v>
      </c>
      <c r="F17" s="224">
        <v>15.94</v>
      </c>
      <c r="G17" s="224">
        <v>25</v>
      </c>
      <c r="H17" s="225">
        <v>43602</v>
      </c>
      <c r="I17" s="225">
        <v>43606</v>
      </c>
      <c r="J17" s="225">
        <v>43606</v>
      </c>
      <c r="K17" t="s">
        <v>2531</v>
      </c>
      <c r="L17" t="s">
        <v>2532</v>
      </c>
      <c r="M17" s="225">
        <v>43599</v>
      </c>
      <c r="N17" s="224">
        <v>30</v>
      </c>
      <c r="O17" s="224">
        <v>23.4</v>
      </c>
      <c r="P17" s="224" t="s">
        <v>2493</v>
      </c>
      <c r="Q17" s="224" t="s">
        <v>2512</v>
      </c>
      <c r="R17" s="224" t="s">
        <v>2491</v>
      </c>
      <c r="T17" s="224" t="s">
        <v>2526</v>
      </c>
      <c r="U17" s="224">
        <f t="shared" si="0"/>
        <v>9.06</v>
      </c>
      <c r="V17" s="633"/>
      <c r="W17" s="224">
        <f>U17/3</f>
        <v>3.02</v>
      </c>
    </row>
    <row r="18" spans="1:47" ht="16.5" thickTop="1" thickBot="1">
      <c r="A18">
        <f>main!A15</f>
        <v>2018</v>
      </c>
      <c r="B18" t="str">
        <f>main!B15</f>
        <v>47_1000</v>
      </c>
      <c r="C18">
        <f>main!C15</f>
        <v>9</v>
      </c>
      <c r="D18">
        <v>4</v>
      </c>
      <c r="E18">
        <v>10</v>
      </c>
      <c r="F18">
        <v>16.14</v>
      </c>
      <c r="G18" s="228">
        <v>107.54</v>
      </c>
      <c r="H18" s="67">
        <v>43602</v>
      </c>
      <c r="I18" s="225">
        <v>43606</v>
      </c>
      <c r="J18" s="225">
        <v>43606</v>
      </c>
      <c r="K18" t="s">
        <v>2531</v>
      </c>
      <c r="L18" t="s">
        <v>2532</v>
      </c>
      <c r="M18" s="67">
        <v>43599</v>
      </c>
      <c r="N18">
        <v>30</v>
      </c>
      <c r="O18">
        <v>23.4</v>
      </c>
      <c r="P18" t="s">
        <v>2493</v>
      </c>
      <c r="Q18" t="s">
        <v>2513</v>
      </c>
      <c r="R18" t="s">
        <v>2491</v>
      </c>
      <c r="T18" t="s">
        <v>2526</v>
      </c>
      <c r="U18">
        <f t="shared" si="0"/>
        <v>91.4</v>
      </c>
      <c r="V18" s="632">
        <f t="shared" ref="V18:V30" si="2">(U18/7)*10</f>
        <v>130.57142857142858</v>
      </c>
      <c r="W18">
        <f t="shared" si="1"/>
        <v>13.057142857142859</v>
      </c>
      <c r="X18">
        <v>14536.64</v>
      </c>
    </row>
    <row r="19" spans="1:47" ht="16.5" thickTop="1" thickBot="1">
      <c r="A19">
        <f>main!A16</f>
        <v>2018</v>
      </c>
      <c r="B19" t="str">
        <f>main!B16</f>
        <v>47_1000</v>
      </c>
      <c r="C19">
        <f>main!C16</f>
        <v>10</v>
      </c>
      <c r="D19">
        <v>4</v>
      </c>
      <c r="E19">
        <v>10</v>
      </c>
      <c r="F19">
        <v>16.190000000000001</v>
      </c>
      <c r="G19" s="228">
        <v>111.3</v>
      </c>
      <c r="H19" s="67">
        <v>43602</v>
      </c>
      <c r="I19" s="225">
        <v>43606</v>
      </c>
      <c r="J19" s="225">
        <v>43606</v>
      </c>
      <c r="K19" t="s">
        <v>2531</v>
      </c>
      <c r="L19" t="s">
        <v>2532</v>
      </c>
      <c r="M19" s="67">
        <v>43599</v>
      </c>
      <c r="N19">
        <v>30</v>
      </c>
      <c r="O19">
        <v>23.4</v>
      </c>
      <c r="P19" t="s">
        <v>2493</v>
      </c>
      <c r="Q19" t="s">
        <v>2514</v>
      </c>
      <c r="R19" t="s">
        <v>2491</v>
      </c>
      <c r="T19" t="s">
        <v>2526</v>
      </c>
      <c r="U19">
        <f t="shared" si="0"/>
        <v>95.11</v>
      </c>
      <c r="V19" s="632">
        <f t="shared" si="2"/>
        <v>135.87142857142857</v>
      </c>
      <c r="W19">
        <f t="shared" si="1"/>
        <v>13.587142857142856</v>
      </c>
      <c r="X19">
        <v>14928.08</v>
      </c>
      <c r="AE19">
        <v>22.41</v>
      </c>
      <c r="AF19">
        <f>AE19-F19</f>
        <v>6.2199999999999989</v>
      </c>
      <c r="AG19">
        <f>(AF19/U19)*100</f>
        <v>6.5397960256545042</v>
      </c>
      <c r="AH19" s="67">
        <v>43606</v>
      </c>
      <c r="AI19" s="223">
        <v>0.34</v>
      </c>
      <c r="AJ19">
        <v>22.2</v>
      </c>
    </row>
    <row r="20" spans="1:47" ht="16.5" thickTop="1" thickBot="1">
      <c r="A20">
        <f>main!A17</f>
        <v>2018</v>
      </c>
      <c r="B20" t="str">
        <f>main!B17</f>
        <v>47_1000</v>
      </c>
      <c r="C20">
        <f>main!C17</f>
        <v>11</v>
      </c>
      <c r="D20">
        <v>4</v>
      </c>
      <c r="E20">
        <v>10</v>
      </c>
      <c r="F20">
        <v>16</v>
      </c>
      <c r="G20" s="228">
        <v>249.32</v>
      </c>
      <c r="H20" s="67">
        <v>43602</v>
      </c>
      <c r="I20" s="225">
        <v>43606</v>
      </c>
      <c r="J20" s="225">
        <v>43606</v>
      </c>
      <c r="K20" t="s">
        <v>2531</v>
      </c>
      <c r="L20" t="s">
        <v>2532</v>
      </c>
      <c r="M20" s="67">
        <v>43599</v>
      </c>
      <c r="N20">
        <v>30</v>
      </c>
      <c r="O20">
        <v>23.4</v>
      </c>
      <c r="P20" t="s">
        <v>2493</v>
      </c>
      <c r="Q20" t="s">
        <v>2515</v>
      </c>
      <c r="R20" t="s">
        <v>2491</v>
      </c>
      <c r="T20" t="s">
        <v>2526</v>
      </c>
      <c r="U20">
        <f t="shared" si="0"/>
        <v>233.32</v>
      </c>
      <c r="V20" s="632">
        <f t="shared" si="2"/>
        <v>333.31428571428569</v>
      </c>
      <c r="W20">
        <f t="shared" si="1"/>
        <v>33.331428571428567</v>
      </c>
      <c r="X20">
        <v>14778.81</v>
      </c>
      <c r="AE20">
        <v>18.57</v>
      </c>
      <c r="AF20">
        <f>AE20-F20</f>
        <v>2.5700000000000003</v>
      </c>
      <c r="AG20">
        <f>(AF20/U20)*100</f>
        <v>1.1014915138007888</v>
      </c>
      <c r="AH20" s="67">
        <v>43606</v>
      </c>
      <c r="AI20" s="223">
        <v>0.34</v>
      </c>
      <c r="AJ20">
        <v>22.2</v>
      </c>
    </row>
    <row r="21" spans="1:47" ht="16" thickTop="1">
      <c r="A21">
        <f>main!A18</f>
        <v>2018</v>
      </c>
      <c r="B21" t="str">
        <f>main!B18</f>
        <v>47_1000</v>
      </c>
      <c r="C21">
        <f>main!C18</f>
        <v>12</v>
      </c>
      <c r="D21">
        <v>4</v>
      </c>
      <c r="E21">
        <v>10</v>
      </c>
      <c r="F21">
        <v>15.93</v>
      </c>
      <c r="G21">
        <v>317.29000000000002</v>
      </c>
      <c r="H21" s="67">
        <v>43602</v>
      </c>
      <c r="I21" s="67">
        <v>43605</v>
      </c>
      <c r="J21" s="67">
        <v>43605</v>
      </c>
      <c r="K21" s="223">
        <v>0.3</v>
      </c>
      <c r="L21" s="101">
        <v>23.4</v>
      </c>
      <c r="M21" s="67">
        <v>43599</v>
      </c>
      <c r="N21">
        <v>30</v>
      </c>
      <c r="O21">
        <v>23.4</v>
      </c>
      <c r="P21" t="s">
        <v>2493</v>
      </c>
      <c r="Q21" t="s">
        <v>2516</v>
      </c>
      <c r="R21" t="s">
        <v>2491</v>
      </c>
      <c r="S21" t="s">
        <v>2500</v>
      </c>
      <c r="T21" t="s">
        <v>2526</v>
      </c>
      <c r="U21">
        <f t="shared" si="0"/>
        <v>301.36</v>
      </c>
      <c r="V21" s="632">
        <f t="shared" si="2"/>
        <v>430.51428571428573</v>
      </c>
      <c r="W21">
        <f t="shared" si="1"/>
        <v>43.051428571428573</v>
      </c>
      <c r="X21">
        <v>15046.31</v>
      </c>
      <c r="Y21">
        <v>317.54000000000002</v>
      </c>
      <c r="Z21">
        <f>Y21-G21</f>
        <v>0.25</v>
      </c>
      <c r="AA21">
        <f>(Z21/U21)*100</f>
        <v>8.2957260419431897E-2</v>
      </c>
      <c r="AB21" s="67">
        <v>43606</v>
      </c>
      <c r="AC21" t="s">
        <v>2531</v>
      </c>
      <c r="AD21" t="s">
        <v>2532</v>
      </c>
    </row>
    <row r="22" spans="1:47" ht="16" thickBot="1">
      <c r="A22">
        <f>main!A19</f>
        <v>2018</v>
      </c>
      <c r="B22" t="str">
        <f>main!B19</f>
        <v>47_1000</v>
      </c>
      <c r="C22">
        <f>main!C19</f>
        <v>13</v>
      </c>
      <c r="D22">
        <v>4</v>
      </c>
      <c r="E22">
        <v>10</v>
      </c>
      <c r="F22">
        <v>16.100000000000001</v>
      </c>
      <c r="G22">
        <v>386.33</v>
      </c>
      <c r="H22" s="67">
        <v>43602</v>
      </c>
      <c r="I22" s="225">
        <v>43606</v>
      </c>
      <c r="J22" s="225">
        <v>43606</v>
      </c>
      <c r="K22" t="s">
        <v>2531</v>
      </c>
      <c r="L22" t="s">
        <v>2532</v>
      </c>
      <c r="M22" s="67">
        <v>43599</v>
      </c>
      <c r="N22">
        <v>30</v>
      </c>
      <c r="O22">
        <v>23.4</v>
      </c>
      <c r="P22" t="s">
        <v>2493</v>
      </c>
      <c r="Q22" t="s">
        <v>2517</v>
      </c>
      <c r="R22" t="s">
        <v>2491</v>
      </c>
      <c r="S22" t="s">
        <v>2501</v>
      </c>
      <c r="T22" t="s">
        <v>2526</v>
      </c>
      <c r="U22">
        <f t="shared" si="0"/>
        <v>370.22999999999996</v>
      </c>
      <c r="V22" s="632">
        <f t="shared" si="2"/>
        <v>528.9</v>
      </c>
      <c r="W22">
        <f t="shared" si="1"/>
        <v>52.889999999999993</v>
      </c>
      <c r="X22">
        <v>14949.64</v>
      </c>
    </row>
    <row r="23" spans="1:47" ht="16" thickTop="1">
      <c r="A23">
        <f>main!A20</f>
        <v>2018</v>
      </c>
      <c r="B23" t="str">
        <f>main!B20</f>
        <v>47_1000</v>
      </c>
      <c r="C23">
        <f>main!C20</f>
        <v>14</v>
      </c>
      <c r="D23">
        <v>4</v>
      </c>
      <c r="E23">
        <v>10</v>
      </c>
      <c r="F23">
        <v>16</v>
      </c>
      <c r="G23">
        <v>483.4</v>
      </c>
      <c r="H23" s="67">
        <v>43602</v>
      </c>
      <c r="I23" s="67">
        <v>43605</v>
      </c>
      <c r="J23" s="67">
        <v>43605</v>
      </c>
      <c r="K23" s="223">
        <v>0.3</v>
      </c>
      <c r="L23" s="101">
        <v>23.4</v>
      </c>
      <c r="M23" s="67">
        <v>43599</v>
      </c>
      <c r="N23">
        <v>30</v>
      </c>
      <c r="O23">
        <v>23.4</v>
      </c>
      <c r="P23" t="s">
        <v>2493</v>
      </c>
      <c r="Q23" t="s">
        <v>2518</v>
      </c>
      <c r="R23" t="s">
        <v>2491</v>
      </c>
      <c r="T23" t="s">
        <v>2526</v>
      </c>
      <c r="U23">
        <f t="shared" si="0"/>
        <v>467.4</v>
      </c>
      <c r="V23" s="632">
        <f t="shared" si="2"/>
        <v>667.71428571428578</v>
      </c>
      <c r="W23">
        <f t="shared" si="1"/>
        <v>66.771428571428572</v>
      </c>
      <c r="X23">
        <v>15032.07</v>
      </c>
      <c r="Y23">
        <v>483.29</v>
      </c>
      <c r="Z23">
        <f>Y23-G23</f>
        <v>-0.1099999999999568</v>
      </c>
      <c r="AA23">
        <f>(Z23/U23)*100</f>
        <v>-2.3534445870765256E-2</v>
      </c>
      <c r="AB23" s="67">
        <v>43606</v>
      </c>
      <c r="AC23" t="s">
        <v>2531</v>
      </c>
      <c r="AD23" t="s">
        <v>2532</v>
      </c>
    </row>
    <row r="24" spans="1:47" ht="16" thickBot="1">
      <c r="A24">
        <f>main!A21</f>
        <v>2018</v>
      </c>
      <c r="B24" t="str">
        <f>main!B21</f>
        <v>47_1000</v>
      </c>
      <c r="C24">
        <f>main!C21</f>
        <v>15</v>
      </c>
      <c r="D24">
        <v>4</v>
      </c>
      <c r="E24">
        <v>10</v>
      </c>
      <c r="F24">
        <v>16.03</v>
      </c>
      <c r="G24">
        <v>308.02</v>
      </c>
      <c r="H24" s="67">
        <v>43602</v>
      </c>
      <c r="I24" s="225">
        <v>43606</v>
      </c>
      <c r="J24" s="225">
        <v>43606</v>
      </c>
      <c r="K24" t="s">
        <v>2531</v>
      </c>
      <c r="L24" t="s">
        <v>2532</v>
      </c>
      <c r="M24" s="67">
        <v>43599</v>
      </c>
      <c r="N24">
        <v>30</v>
      </c>
      <c r="O24">
        <v>23.4</v>
      </c>
      <c r="P24" t="s">
        <v>2493</v>
      </c>
      <c r="Q24" t="s">
        <v>2519</v>
      </c>
      <c r="R24" t="s">
        <v>2491</v>
      </c>
      <c r="T24" t="s">
        <v>2526</v>
      </c>
      <c r="U24">
        <f t="shared" si="0"/>
        <v>291.99</v>
      </c>
      <c r="V24" s="632">
        <f t="shared" si="2"/>
        <v>417.12857142857149</v>
      </c>
      <c r="W24">
        <f t="shared" si="1"/>
        <v>41.712857142857146</v>
      </c>
      <c r="X24">
        <v>15043.64</v>
      </c>
      <c r="AE24">
        <v>17.57</v>
      </c>
      <c r="AF24">
        <f>AE24-F24</f>
        <v>1.5399999999999991</v>
      </c>
      <c r="AG24">
        <f>(AF24/U24)*100</f>
        <v>0.52741532244254907</v>
      </c>
      <c r="AH24" s="67">
        <v>43606</v>
      </c>
      <c r="AI24" s="223">
        <v>0.34</v>
      </c>
      <c r="AJ24">
        <v>22.2</v>
      </c>
    </row>
    <row r="25" spans="1:47" ht="16.5" thickTop="1" thickBot="1">
      <c r="A25">
        <f>main!A22</f>
        <v>2018</v>
      </c>
      <c r="B25" t="str">
        <f>main!B22</f>
        <v>47_1000</v>
      </c>
      <c r="C25">
        <f>main!C22</f>
        <v>16</v>
      </c>
      <c r="D25">
        <v>4</v>
      </c>
      <c r="E25">
        <v>10</v>
      </c>
      <c r="F25">
        <v>15.87</v>
      </c>
      <c r="G25">
        <v>120.92</v>
      </c>
      <c r="H25" s="67">
        <v>43602</v>
      </c>
      <c r="I25" s="225">
        <v>43606</v>
      </c>
      <c r="J25" s="225">
        <v>43606</v>
      </c>
      <c r="K25" t="s">
        <v>2531</v>
      </c>
      <c r="L25" t="s">
        <v>2532</v>
      </c>
      <c r="M25" s="67">
        <v>43599</v>
      </c>
      <c r="N25">
        <v>30</v>
      </c>
      <c r="O25">
        <v>23.4</v>
      </c>
      <c r="P25" t="s">
        <v>2493</v>
      </c>
      <c r="Q25" t="s">
        <v>2520</v>
      </c>
      <c r="R25" t="s">
        <v>2491</v>
      </c>
      <c r="T25" t="s">
        <v>2526</v>
      </c>
      <c r="U25">
        <f t="shared" si="0"/>
        <v>105.05</v>
      </c>
      <c r="V25" s="632">
        <f t="shared" si="2"/>
        <v>150.07142857142856</v>
      </c>
      <c r="W25">
        <f t="shared" si="1"/>
        <v>15.007142857142856</v>
      </c>
      <c r="X25">
        <v>14747.4</v>
      </c>
    </row>
    <row r="26" spans="1:47" ht="16" thickTop="1">
      <c r="A26">
        <f>main!A23</f>
        <v>2018</v>
      </c>
      <c r="B26" t="str">
        <f>main!B23</f>
        <v>47_1000</v>
      </c>
      <c r="C26">
        <f>main!C23</f>
        <v>17</v>
      </c>
      <c r="D26">
        <v>4</v>
      </c>
      <c r="E26">
        <v>10</v>
      </c>
      <c r="F26">
        <v>15.93</v>
      </c>
      <c r="G26">
        <v>97.88</v>
      </c>
      <c r="H26" s="67">
        <v>43602</v>
      </c>
      <c r="I26" s="67">
        <v>43605</v>
      </c>
      <c r="J26" s="67">
        <v>43605</v>
      </c>
      <c r="K26" s="223">
        <v>0.3</v>
      </c>
      <c r="L26" s="101">
        <v>23.4</v>
      </c>
      <c r="M26" s="67">
        <v>43599</v>
      </c>
      <c r="N26">
        <v>30</v>
      </c>
      <c r="O26">
        <v>23.4</v>
      </c>
      <c r="P26" t="s">
        <v>2493</v>
      </c>
      <c r="Q26" t="s">
        <v>2521</v>
      </c>
      <c r="R26" t="s">
        <v>2491</v>
      </c>
      <c r="T26" t="s">
        <v>2526</v>
      </c>
      <c r="U26">
        <f t="shared" si="0"/>
        <v>81.949999999999989</v>
      </c>
      <c r="V26" s="632">
        <f t="shared" si="2"/>
        <v>117.07142857142856</v>
      </c>
      <c r="W26">
        <f t="shared" si="1"/>
        <v>11.707142857142856</v>
      </c>
      <c r="X26">
        <v>14917.73</v>
      </c>
      <c r="Y26">
        <v>97.41</v>
      </c>
      <c r="Z26">
        <f>Y26-G26</f>
        <v>-0.46999999999999886</v>
      </c>
      <c r="AA26">
        <f>(Z26/U26)*100</f>
        <v>-0.57352043929225005</v>
      </c>
      <c r="AB26" s="67">
        <v>43606</v>
      </c>
      <c r="AC26" t="s">
        <v>2531</v>
      </c>
      <c r="AD26" t="s">
        <v>2532</v>
      </c>
    </row>
    <row r="27" spans="1:47" ht="16" thickBot="1">
      <c r="A27">
        <f>main!A24</f>
        <v>2018</v>
      </c>
      <c r="B27" t="str">
        <f>main!B24</f>
        <v>47_1000</v>
      </c>
      <c r="C27">
        <f>main!C24</f>
        <v>18</v>
      </c>
      <c r="D27">
        <v>4</v>
      </c>
      <c r="E27">
        <v>10</v>
      </c>
      <c r="F27">
        <v>16</v>
      </c>
      <c r="G27">
        <v>204.6</v>
      </c>
      <c r="H27" s="67">
        <v>43602</v>
      </c>
      <c r="I27" s="225">
        <v>43606</v>
      </c>
      <c r="J27" s="225">
        <v>43606</v>
      </c>
      <c r="K27" t="s">
        <v>2531</v>
      </c>
      <c r="L27" t="s">
        <v>2532</v>
      </c>
      <c r="M27" s="67">
        <v>43599</v>
      </c>
      <c r="N27">
        <v>30</v>
      </c>
      <c r="O27">
        <v>23.4</v>
      </c>
      <c r="P27" t="s">
        <v>2493</v>
      </c>
      <c r="Q27" t="s">
        <v>2522</v>
      </c>
      <c r="R27" t="s">
        <v>2491</v>
      </c>
      <c r="T27" t="s">
        <v>2526</v>
      </c>
      <c r="U27">
        <f t="shared" si="0"/>
        <v>188.6</v>
      </c>
      <c r="V27" s="632">
        <f t="shared" si="2"/>
        <v>269.42857142857144</v>
      </c>
      <c r="W27">
        <f t="shared" si="1"/>
        <v>26.942857142857143</v>
      </c>
      <c r="X27">
        <v>14814.67</v>
      </c>
      <c r="AH27" s="67"/>
      <c r="AI27" s="223"/>
    </row>
    <row r="28" spans="1:47" ht="16.5" thickTop="1" thickBot="1">
      <c r="A28">
        <f>main!A25</f>
        <v>2018</v>
      </c>
      <c r="B28" t="str">
        <f>main!B25</f>
        <v>47_1000</v>
      </c>
      <c r="C28">
        <f>main!C25</f>
        <v>19</v>
      </c>
      <c r="D28">
        <v>4</v>
      </c>
      <c r="E28">
        <v>10</v>
      </c>
      <c r="F28">
        <v>16.11</v>
      </c>
      <c r="G28">
        <v>236.71</v>
      </c>
      <c r="H28" s="67">
        <v>43602</v>
      </c>
      <c r="I28" s="225">
        <v>43606</v>
      </c>
      <c r="J28" s="225">
        <v>43606</v>
      </c>
      <c r="K28" t="s">
        <v>2531</v>
      </c>
      <c r="L28" t="s">
        <v>2532</v>
      </c>
      <c r="M28" s="67">
        <v>43599</v>
      </c>
      <c r="N28">
        <v>30</v>
      </c>
      <c r="O28">
        <v>23.4</v>
      </c>
      <c r="P28" t="s">
        <v>2493</v>
      </c>
      <c r="Q28" t="s">
        <v>2523</v>
      </c>
      <c r="R28" t="s">
        <v>2491</v>
      </c>
      <c r="T28" t="s">
        <v>2526</v>
      </c>
      <c r="U28">
        <f t="shared" si="0"/>
        <v>220.60000000000002</v>
      </c>
      <c r="V28" s="632">
        <f t="shared" si="2"/>
        <v>315.14285714285717</v>
      </c>
      <c r="W28">
        <f t="shared" si="1"/>
        <v>31.514285714285716</v>
      </c>
      <c r="X28">
        <v>15144.34</v>
      </c>
    </row>
    <row r="29" spans="1:47" ht="16.5" thickTop="1" thickBot="1">
      <c r="A29">
        <f>main!A26</f>
        <v>2018</v>
      </c>
      <c r="B29" t="str">
        <f>main!B26</f>
        <v>47_1000</v>
      </c>
      <c r="C29">
        <f>main!C26</f>
        <v>20</v>
      </c>
      <c r="D29">
        <v>4</v>
      </c>
      <c r="E29">
        <v>10</v>
      </c>
      <c r="F29">
        <v>16.21</v>
      </c>
      <c r="G29">
        <v>226.71</v>
      </c>
      <c r="H29" s="67">
        <v>43602</v>
      </c>
      <c r="I29" s="225">
        <v>43606</v>
      </c>
      <c r="J29" s="225">
        <v>43606</v>
      </c>
      <c r="K29" t="s">
        <v>2531</v>
      </c>
      <c r="L29" t="s">
        <v>2532</v>
      </c>
      <c r="M29" s="67">
        <v>43599</v>
      </c>
      <c r="N29">
        <v>30</v>
      </c>
      <c r="O29">
        <v>23.4</v>
      </c>
      <c r="P29" t="s">
        <v>2493</v>
      </c>
      <c r="Q29" t="s">
        <v>2524</v>
      </c>
      <c r="R29" t="s">
        <v>2491</v>
      </c>
      <c r="T29" t="s">
        <v>2526</v>
      </c>
      <c r="U29">
        <f t="shared" si="0"/>
        <v>210.5</v>
      </c>
      <c r="V29" s="632">
        <f t="shared" si="2"/>
        <v>300.71428571428572</v>
      </c>
      <c r="W29">
        <f t="shared" si="1"/>
        <v>30.071428571428573</v>
      </c>
      <c r="X29">
        <v>14787.01</v>
      </c>
    </row>
    <row r="30" spans="1:47" ht="16.5" thickTop="1" thickBot="1">
      <c r="A30">
        <f>main!A27</f>
        <v>2018</v>
      </c>
      <c r="B30" t="str">
        <f>main!B27</f>
        <v>47_1000</v>
      </c>
      <c r="C30">
        <f>main!C27</f>
        <v>21</v>
      </c>
      <c r="D30">
        <v>4</v>
      </c>
      <c r="E30">
        <v>10</v>
      </c>
      <c r="F30">
        <v>16.09</v>
      </c>
      <c r="G30">
        <v>291.11</v>
      </c>
      <c r="H30" s="67">
        <v>43602</v>
      </c>
      <c r="I30" s="225">
        <v>43606</v>
      </c>
      <c r="J30" s="225">
        <v>43606</v>
      </c>
      <c r="K30" t="s">
        <v>2531</v>
      </c>
      <c r="L30" t="s">
        <v>2532</v>
      </c>
      <c r="M30" s="67">
        <v>43599</v>
      </c>
      <c r="N30">
        <v>30</v>
      </c>
      <c r="O30">
        <v>23.4</v>
      </c>
      <c r="P30" t="s">
        <v>2493</v>
      </c>
      <c r="Q30" t="s">
        <v>2525</v>
      </c>
      <c r="R30" t="s">
        <v>2491</v>
      </c>
      <c r="T30" t="s">
        <v>2526</v>
      </c>
      <c r="U30">
        <f t="shared" si="0"/>
        <v>275.02000000000004</v>
      </c>
      <c r="V30" s="632">
        <f t="shared" si="2"/>
        <v>392.88571428571436</v>
      </c>
      <c r="W30">
        <f t="shared" si="1"/>
        <v>39.288571428571437</v>
      </c>
      <c r="X30">
        <v>14791.74</v>
      </c>
    </row>
    <row r="31" spans="1:47" ht="16" thickTop="1"/>
    <row r="32" spans="1:47" s="215" customFormat="1">
      <c r="A32" s="212" t="str">
        <f>main!A30</f>
        <v>Deployment 08/03/2018 INV18_V2</v>
      </c>
      <c r="B32" s="213" t="str">
        <f>main!B30</f>
        <v>McLane-PARFLUX-Mark78H-21 ; frame controller sn 12419-02, frame sn 12419-02, motor sn 12419-02, cup set S250x21</v>
      </c>
      <c r="C32" s="214"/>
      <c r="E32" s="216"/>
      <c r="F32" s="216"/>
      <c r="G32" s="216"/>
      <c r="H32" s="217"/>
      <c r="I32" s="217"/>
      <c r="J32" s="217"/>
      <c r="K32" s="217"/>
      <c r="L32" s="217"/>
      <c r="M32" s="217"/>
      <c r="N32" s="218"/>
      <c r="O32" s="219"/>
      <c r="P32" s="220"/>
      <c r="Q32" s="220"/>
      <c r="R32" s="220"/>
      <c r="S32" s="220"/>
      <c r="T32" s="220"/>
      <c r="U32" s="216"/>
      <c r="V32" s="631"/>
      <c r="W32" s="216"/>
      <c r="X32" s="216"/>
      <c r="Y32" s="220"/>
      <c r="Z32" s="220"/>
      <c r="AA32" s="220"/>
      <c r="AB32" s="220"/>
      <c r="AC32" s="220"/>
      <c r="AD32" s="220"/>
      <c r="AE32" s="221"/>
      <c r="AF32" s="221"/>
      <c r="AG32" s="221"/>
      <c r="AH32" s="220"/>
      <c r="AI32" s="220"/>
      <c r="AJ32" s="222"/>
      <c r="AK32" s="222"/>
      <c r="AL32" s="222"/>
      <c r="AM32" s="222"/>
      <c r="AN32" s="222"/>
      <c r="AO32" s="222"/>
      <c r="AP32" s="222"/>
      <c r="AQ32" s="222"/>
      <c r="AR32" s="222"/>
      <c r="AS32" s="222"/>
      <c r="AT32" s="222"/>
      <c r="AU32" s="222"/>
    </row>
    <row r="33" spans="1:36">
      <c r="A33">
        <f>main!A31</f>
        <v>2018</v>
      </c>
      <c r="B33" t="str">
        <f>main!B31</f>
        <v>47_2000</v>
      </c>
      <c r="C33" t="str">
        <f>main!C31</f>
        <v>S 1</v>
      </c>
      <c r="D33">
        <v>4</v>
      </c>
      <c r="E33">
        <v>10</v>
      </c>
      <c r="F33">
        <v>42.11</v>
      </c>
      <c r="G33">
        <v>376.8</v>
      </c>
      <c r="H33" s="67">
        <v>43608</v>
      </c>
      <c r="I33" s="67">
        <v>43613</v>
      </c>
      <c r="J33" s="67">
        <v>43613</v>
      </c>
      <c r="K33" s="223">
        <v>0.28000000000000003</v>
      </c>
      <c r="L33" t="s">
        <v>2539</v>
      </c>
      <c r="M33" s="67">
        <v>43606</v>
      </c>
      <c r="N33" t="s">
        <v>2529</v>
      </c>
      <c r="O33" t="s">
        <v>2530</v>
      </c>
      <c r="P33" t="s">
        <v>2527</v>
      </c>
      <c r="Q33" t="s">
        <v>2528</v>
      </c>
      <c r="R33" t="s">
        <v>2491</v>
      </c>
      <c r="T33" t="s">
        <v>2535</v>
      </c>
      <c r="U33">
        <f>G33-F33</f>
        <v>334.69</v>
      </c>
      <c r="V33" s="632">
        <f>(U33/7)*10</f>
        <v>478.12857142857138</v>
      </c>
      <c r="W33">
        <f>U33/7</f>
        <v>47.812857142857141</v>
      </c>
      <c r="X33">
        <v>14806.79</v>
      </c>
      <c r="AE33">
        <v>43.61</v>
      </c>
      <c r="AF33">
        <f>AE33-F33</f>
        <v>1.5</v>
      </c>
      <c r="AG33">
        <f>(AF33/U33)*100</f>
        <v>0.44817592398936329</v>
      </c>
      <c r="AH33" s="67">
        <v>43613</v>
      </c>
      <c r="AI33" s="223">
        <v>0.3</v>
      </c>
      <c r="AJ33">
        <v>22.4</v>
      </c>
    </row>
    <row r="34" spans="1:36" s="191" customFormat="1">
      <c r="A34" s="191">
        <f>main!A32</f>
        <v>2018</v>
      </c>
      <c r="B34" s="191" t="str">
        <f>main!B32</f>
        <v>47_2000</v>
      </c>
      <c r="C34" s="191" t="s">
        <v>2534</v>
      </c>
      <c r="D34" s="191">
        <v>4</v>
      </c>
      <c r="E34" s="191">
        <v>7</v>
      </c>
      <c r="F34" s="191">
        <v>40.200000000000003</v>
      </c>
      <c r="G34" s="191">
        <v>412.25</v>
      </c>
      <c r="H34" s="202">
        <v>43608</v>
      </c>
      <c r="I34" s="202">
        <v>43613</v>
      </c>
      <c r="J34" s="202">
        <v>43613</v>
      </c>
      <c r="K34" s="230">
        <v>0.28000000000000003</v>
      </c>
      <c r="L34" s="191" t="s">
        <v>2539</v>
      </c>
      <c r="M34" s="202">
        <v>43606</v>
      </c>
      <c r="N34" s="191" t="s">
        <v>2529</v>
      </c>
      <c r="O34" s="191" t="s">
        <v>2530</v>
      </c>
      <c r="P34" s="191" t="s">
        <v>2527</v>
      </c>
      <c r="Q34" s="191" t="s">
        <v>2528</v>
      </c>
      <c r="R34" s="191" t="s">
        <v>2491</v>
      </c>
      <c r="T34" s="191" t="s">
        <v>2535</v>
      </c>
      <c r="U34" s="191">
        <f t="shared" ref="U34:U54" si="3">G34-F34</f>
        <v>372.05</v>
      </c>
      <c r="V34" s="632">
        <f>((U34+U35)/7)*10</f>
        <v>930.21428571428589</v>
      </c>
      <c r="W34" s="191">
        <f>U34/4</f>
        <v>93.012500000000003</v>
      </c>
    </row>
    <row r="35" spans="1:36" s="224" customFormat="1" ht="16" thickBot="1">
      <c r="A35" s="224">
        <f>main!A33</f>
        <v>2018</v>
      </c>
      <c r="B35" s="224" t="str">
        <f>main!B33</f>
        <v>47_2000</v>
      </c>
      <c r="C35" s="224" t="s">
        <v>2497</v>
      </c>
      <c r="D35" s="224">
        <v>8</v>
      </c>
      <c r="E35" s="224">
        <v>10</v>
      </c>
      <c r="F35" s="224">
        <v>39.869999999999997</v>
      </c>
      <c r="G35" s="224">
        <v>318.97000000000003</v>
      </c>
      <c r="H35" s="225">
        <v>43608</v>
      </c>
      <c r="I35" s="225">
        <v>43613</v>
      </c>
      <c r="J35" s="225">
        <v>43613</v>
      </c>
      <c r="K35" s="226">
        <v>0.28000000000000003</v>
      </c>
      <c r="L35" s="224" t="s">
        <v>2539</v>
      </c>
      <c r="M35" s="225">
        <v>43606</v>
      </c>
      <c r="N35" s="224" t="s">
        <v>2529</v>
      </c>
      <c r="O35" s="224" t="s">
        <v>2530</v>
      </c>
      <c r="P35" s="224" t="s">
        <v>2527</v>
      </c>
      <c r="Q35" s="224" t="s">
        <v>2528</v>
      </c>
      <c r="R35" s="224" t="s">
        <v>2491</v>
      </c>
      <c r="T35" s="224" t="s">
        <v>2535</v>
      </c>
      <c r="U35" s="224">
        <f t="shared" si="3"/>
        <v>279.10000000000002</v>
      </c>
      <c r="V35" s="633"/>
      <c r="W35" s="224">
        <f>U35/3</f>
        <v>93.033333333333346</v>
      </c>
      <c r="X35" s="224">
        <v>14823.05</v>
      </c>
    </row>
    <row r="36" spans="1:36" ht="16" thickTop="1">
      <c r="A36">
        <f>main!A33</f>
        <v>2018</v>
      </c>
      <c r="B36" t="str">
        <f>main!B33</f>
        <v>47_2000</v>
      </c>
      <c r="C36">
        <f>main!C33</f>
        <v>3</v>
      </c>
      <c r="D36">
        <v>4</v>
      </c>
      <c r="E36">
        <v>10</v>
      </c>
      <c r="F36">
        <v>40.17</v>
      </c>
      <c r="G36">
        <v>846.31</v>
      </c>
      <c r="H36" s="67">
        <v>43608</v>
      </c>
      <c r="I36" s="67">
        <v>43613</v>
      </c>
      <c r="J36" s="67">
        <v>43613</v>
      </c>
      <c r="K36" s="223">
        <v>0.28000000000000003</v>
      </c>
      <c r="L36" t="s">
        <v>2539</v>
      </c>
      <c r="M36" s="67">
        <v>43606</v>
      </c>
      <c r="N36" t="s">
        <v>2529</v>
      </c>
      <c r="O36" t="s">
        <v>2530</v>
      </c>
      <c r="P36" t="s">
        <v>2527</v>
      </c>
      <c r="Q36" t="s">
        <v>2528</v>
      </c>
      <c r="R36" t="s">
        <v>2491</v>
      </c>
      <c r="T36" t="s">
        <v>2535</v>
      </c>
      <c r="U36">
        <f t="shared" si="3"/>
        <v>806.14</v>
      </c>
      <c r="V36" s="632">
        <f>(U36/7)*10</f>
        <v>1151.6285714285714</v>
      </c>
      <c r="W36" s="191">
        <f>U36/7</f>
        <v>115.16285714285713</v>
      </c>
      <c r="X36" s="191">
        <v>14972.53</v>
      </c>
    </row>
    <row r="37" spans="1:36">
      <c r="A37">
        <f>main!A34</f>
        <v>2018</v>
      </c>
      <c r="B37" t="str">
        <f>main!B34</f>
        <v>47_2000</v>
      </c>
      <c r="C37">
        <f>main!C34</f>
        <v>4</v>
      </c>
      <c r="D37">
        <v>4</v>
      </c>
      <c r="E37">
        <v>10</v>
      </c>
      <c r="F37">
        <v>41.34</v>
      </c>
      <c r="G37">
        <v>383.21</v>
      </c>
      <c r="H37" s="67">
        <v>43608</v>
      </c>
      <c r="I37" s="67">
        <v>43613</v>
      </c>
      <c r="J37" s="67">
        <v>43613</v>
      </c>
      <c r="K37" s="223">
        <v>0.28000000000000003</v>
      </c>
      <c r="L37" t="s">
        <v>2539</v>
      </c>
      <c r="M37" s="67">
        <v>43606</v>
      </c>
      <c r="N37" t="s">
        <v>2529</v>
      </c>
      <c r="O37" t="s">
        <v>2530</v>
      </c>
      <c r="P37" t="s">
        <v>2527</v>
      </c>
      <c r="Q37" t="s">
        <v>2528</v>
      </c>
      <c r="R37" t="s">
        <v>2491</v>
      </c>
      <c r="T37" t="s">
        <v>2535</v>
      </c>
      <c r="U37">
        <f t="shared" si="3"/>
        <v>341.87</v>
      </c>
      <c r="V37" s="632">
        <f t="shared" ref="V37:V54" si="4">(U37/7)*10</f>
        <v>488.38571428571424</v>
      </c>
      <c r="W37" s="191">
        <f t="shared" ref="W37:W54" si="5">U37/7</f>
        <v>48.838571428571427</v>
      </c>
      <c r="X37" s="228">
        <v>14998.49</v>
      </c>
      <c r="AE37">
        <v>42.8</v>
      </c>
      <c r="AF37">
        <f>AE37-F37</f>
        <v>1.4599999999999937</v>
      </c>
      <c r="AG37">
        <f>(AF37/U37)*100</f>
        <v>0.42706291865328738</v>
      </c>
      <c r="AH37" s="67">
        <v>43613</v>
      </c>
      <c r="AI37" s="223">
        <v>0.3</v>
      </c>
      <c r="AJ37">
        <v>22.4</v>
      </c>
    </row>
    <row r="38" spans="1:36">
      <c r="A38">
        <f>main!A35</f>
        <v>2018</v>
      </c>
      <c r="B38" t="str">
        <f>main!B35</f>
        <v>47_2000</v>
      </c>
      <c r="C38">
        <f>main!C35</f>
        <v>5</v>
      </c>
      <c r="D38">
        <v>4</v>
      </c>
      <c r="E38">
        <v>10</v>
      </c>
      <c r="F38">
        <v>41.57</v>
      </c>
      <c r="G38">
        <v>237.02</v>
      </c>
      <c r="H38" s="67">
        <v>43608</v>
      </c>
      <c r="I38" s="67">
        <v>43613</v>
      </c>
      <c r="J38" s="67">
        <v>43613</v>
      </c>
      <c r="K38" s="223">
        <v>0.28000000000000003</v>
      </c>
      <c r="L38" t="s">
        <v>2539</v>
      </c>
      <c r="M38" s="67">
        <v>43606</v>
      </c>
      <c r="N38" t="s">
        <v>2529</v>
      </c>
      <c r="O38" t="s">
        <v>2530</v>
      </c>
      <c r="P38" t="s">
        <v>2527</v>
      </c>
      <c r="Q38" t="s">
        <v>2528</v>
      </c>
      <c r="R38" t="s">
        <v>2491</v>
      </c>
      <c r="T38" t="s">
        <v>2535</v>
      </c>
      <c r="U38">
        <f t="shared" si="3"/>
        <v>195.45000000000002</v>
      </c>
      <c r="V38" s="632">
        <f t="shared" si="4"/>
        <v>279.21428571428572</v>
      </c>
      <c r="W38" s="191">
        <f t="shared" si="5"/>
        <v>27.921428571428574</v>
      </c>
      <c r="X38" s="228">
        <v>14921.56</v>
      </c>
    </row>
    <row r="39" spans="1:36">
      <c r="A39">
        <f>main!A36</f>
        <v>2018</v>
      </c>
      <c r="B39" t="str">
        <f>main!B36</f>
        <v>47_2000</v>
      </c>
      <c r="C39">
        <f>main!C36</f>
        <v>6</v>
      </c>
      <c r="D39">
        <v>4</v>
      </c>
      <c r="E39">
        <v>10</v>
      </c>
      <c r="F39">
        <v>41.84</v>
      </c>
      <c r="G39">
        <v>232.45</v>
      </c>
      <c r="H39" s="67">
        <v>43608</v>
      </c>
      <c r="I39" s="67">
        <v>43613</v>
      </c>
      <c r="J39" s="67">
        <v>43613</v>
      </c>
      <c r="K39" s="223">
        <v>0.28000000000000003</v>
      </c>
      <c r="L39" t="s">
        <v>2539</v>
      </c>
      <c r="M39" s="67">
        <v>43606</v>
      </c>
      <c r="N39" t="s">
        <v>2529</v>
      </c>
      <c r="O39" t="s">
        <v>2530</v>
      </c>
      <c r="P39" t="s">
        <v>2527</v>
      </c>
      <c r="Q39" t="s">
        <v>2528</v>
      </c>
      <c r="R39" t="s">
        <v>2491</v>
      </c>
      <c r="T39" t="s">
        <v>2535</v>
      </c>
      <c r="U39">
        <f t="shared" si="3"/>
        <v>190.60999999999999</v>
      </c>
      <c r="V39" s="632">
        <f t="shared" si="4"/>
        <v>272.29999999999995</v>
      </c>
      <c r="W39" s="191">
        <f t="shared" si="5"/>
        <v>27.229999999999997</v>
      </c>
      <c r="X39" s="228">
        <v>14730.54</v>
      </c>
    </row>
    <row r="40" spans="1:36">
      <c r="A40">
        <f>main!A37</f>
        <v>2018</v>
      </c>
      <c r="B40" t="str">
        <f>main!B37</f>
        <v>47_2000</v>
      </c>
      <c r="C40">
        <f>main!C37</f>
        <v>7</v>
      </c>
      <c r="D40">
        <v>4</v>
      </c>
      <c r="E40">
        <v>10</v>
      </c>
      <c r="F40">
        <v>40.86</v>
      </c>
      <c r="G40">
        <v>113.63</v>
      </c>
      <c r="H40" s="67">
        <v>43608</v>
      </c>
      <c r="I40" s="67">
        <v>43613</v>
      </c>
      <c r="J40" s="67">
        <v>43613</v>
      </c>
      <c r="K40" s="223">
        <v>0.28000000000000003</v>
      </c>
      <c r="L40" t="s">
        <v>2539</v>
      </c>
      <c r="M40" s="67">
        <v>43606</v>
      </c>
      <c r="N40" t="s">
        <v>2529</v>
      </c>
      <c r="O40" t="s">
        <v>2530</v>
      </c>
      <c r="P40" t="s">
        <v>2527</v>
      </c>
      <c r="Q40" t="s">
        <v>2528</v>
      </c>
      <c r="R40" t="s">
        <v>2491</v>
      </c>
      <c r="T40" t="s">
        <v>2535</v>
      </c>
      <c r="U40">
        <f t="shared" si="3"/>
        <v>72.77</v>
      </c>
      <c r="V40" s="632">
        <f t="shared" si="4"/>
        <v>103.95714285714286</v>
      </c>
      <c r="W40" s="191">
        <f t="shared" si="5"/>
        <v>10.395714285714286</v>
      </c>
      <c r="X40" s="228">
        <v>14930.51</v>
      </c>
    </row>
    <row r="41" spans="1:36">
      <c r="A41">
        <f>main!A38</f>
        <v>2018</v>
      </c>
      <c r="B41" t="str">
        <f>main!B38</f>
        <v>47_2000</v>
      </c>
      <c r="C41">
        <f>main!C38</f>
        <v>8</v>
      </c>
      <c r="D41">
        <v>4</v>
      </c>
      <c r="E41">
        <v>10</v>
      </c>
      <c r="F41">
        <v>40.630000000000003</v>
      </c>
      <c r="G41">
        <v>167.23</v>
      </c>
      <c r="H41" s="67">
        <v>43608</v>
      </c>
      <c r="I41" s="67">
        <v>43613</v>
      </c>
      <c r="J41" s="67">
        <v>43613</v>
      </c>
      <c r="K41" s="223">
        <v>0.28000000000000003</v>
      </c>
      <c r="L41" t="s">
        <v>2539</v>
      </c>
      <c r="M41" s="67">
        <v>43606</v>
      </c>
      <c r="N41" t="s">
        <v>2529</v>
      </c>
      <c r="O41" t="s">
        <v>2530</v>
      </c>
      <c r="P41" t="s">
        <v>2527</v>
      </c>
      <c r="Q41" t="s">
        <v>2528</v>
      </c>
      <c r="R41" t="s">
        <v>2491</v>
      </c>
      <c r="T41" t="s">
        <v>2535</v>
      </c>
      <c r="U41">
        <f t="shared" si="3"/>
        <v>126.6</v>
      </c>
      <c r="V41" s="632">
        <f t="shared" si="4"/>
        <v>180.85714285714286</v>
      </c>
      <c r="W41" s="191">
        <f t="shared" si="5"/>
        <v>18.085714285714285</v>
      </c>
      <c r="X41" s="228">
        <v>14705.53</v>
      </c>
    </row>
    <row r="42" spans="1:36">
      <c r="A42">
        <f>main!A39</f>
        <v>2018</v>
      </c>
      <c r="B42" t="str">
        <f>main!B39</f>
        <v>47_2000</v>
      </c>
      <c r="C42">
        <f>main!C39</f>
        <v>9</v>
      </c>
      <c r="D42">
        <v>4</v>
      </c>
      <c r="E42">
        <v>10</v>
      </c>
      <c r="F42">
        <v>40.369999999999997</v>
      </c>
      <c r="G42">
        <v>279.60000000000002</v>
      </c>
      <c r="H42" s="67">
        <v>43608</v>
      </c>
      <c r="I42" s="67">
        <v>43613</v>
      </c>
      <c r="J42" s="67">
        <v>43613</v>
      </c>
      <c r="K42" s="223">
        <v>0.28000000000000003</v>
      </c>
      <c r="L42" t="s">
        <v>2539</v>
      </c>
      <c r="M42" s="67">
        <v>43606</v>
      </c>
      <c r="N42" t="s">
        <v>2529</v>
      </c>
      <c r="O42" t="s">
        <v>2530</v>
      </c>
      <c r="P42" t="s">
        <v>2527</v>
      </c>
      <c r="Q42" t="s">
        <v>2528</v>
      </c>
      <c r="R42" t="s">
        <v>2491</v>
      </c>
      <c r="T42" t="s">
        <v>2535</v>
      </c>
      <c r="U42">
        <f t="shared" si="3"/>
        <v>239.23000000000002</v>
      </c>
      <c r="V42" s="632">
        <f t="shared" si="4"/>
        <v>341.75714285714287</v>
      </c>
      <c r="W42" s="191">
        <f t="shared" si="5"/>
        <v>34.175714285714285</v>
      </c>
      <c r="X42" s="228">
        <v>14783.45</v>
      </c>
    </row>
    <row r="43" spans="1:36">
      <c r="A43">
        <f>main!A40</f>
        <v>2018</v>
      </c>
      <c r="B43" t="str">
        <f>main!B40</f>
        <v>47_2000</v>
      </c>
      <c r="C43">
        <f>main!C40</f>
        <v>10</v>
      </c>
      <c r="D43">
        <v>4</v>
      </c>
      <c r="E43">
        <v>10</v>
      </c>
      <c r="F43">
        <v>41.08</v>
      </c>
      <c r="G43">
        <v>249.62</v>
      </c>
      <c r="H43" s="67">
        <v>43608</v>
      </c>
      <c r="I43" s="67">
        <v>43613</v>
      </c>
      <c r="J43" s="67">
        <v>43613</v>
      </c>
      <c r="K43" s="223">
        <v>0.28000000000000003</v>
      </c>
      <c r="L43" t="s">
        <v>2539</v>
      </c>
      <c r="M43" s="67">
        <v>43606</v>
      </c>
      <c r="N43" t="s">
        <v>2529</v>
      </c>
      <c r="O43" t="s">
        <v>2530</v>
      </c>
      <c r="P43" t="s">
        <v>2527</v>
      </c>
      <c r="Q43" t="s">
        <v>2528</v>
      </c>
      <c r="R43" t="s">
        <v>2491</v>
      </c>
      <c r="T43" t="s">
        <v>2535</v>
      </c>
      <c r="U43">
        <f t="shared" si="3"/>
        <v>208.54000000000002</v>
      </c>
      <c r="V43" s="632">
        <f t="shared" si="4"/>
        <v>297.91428571428577</v>
      </c>
      <c r="W43" s="191">
        <f t="shared" si="5"/>
        <v>29.791428571428575</v>
      </c>
      <c r="X43" s="228">
        <v>15090.21</v>
      </c>
    </row>
    <row r="44" spans="1:36">
      <c r="A44">
        <f>main!A41</f>
        <v>2018</v>
      </c>
      <c r="B44" t="str">
        <f>main!B41</f>
        <v>47_2000</v>
      </c>
      <c r="C44">
        <f>main!C41</f>
        <v>11</v>
      </c>
      <c r="D44">
        <v>4</v>
      </c>
      <c r="E44">
        <v>10</v>
      </c>
      <c r="F44">
        <v>42.87</v>
      </c>
      <c r="G44">
        <v>322.76</v>
      </c>
      <c r="H44" s="67">
        <v>43608</v>
      </c>
      <c r="I44" s="67">
        <v>43613</v>
      </c>
      <c r="J44" s="67">
        <v>43613</v>
      </c>
      <c r="K44" s="223">
        <v>0.28000000000000003</v>
      </c>
      <c r="L44" t="s">
        <v>2539</v>
      </c>
      <c r="M44" s="67">
        <v>43606</v>
      </c>
      <c r="N44" t="s">
        <v>2529</v>
      </c>
      <c r="O44" t="s">
        <v>2530</v>
      </c>
      <c r="P44" t="s">
        <v>2527</v>
      </c>
      <c r="Q44" t="s">
        <v>2528</v>
      </c>
      <c r="R44" t="s">
        <v>2491</v>
      </c>
      <c r="S44" t="s">
        <v>2536</v>
      </c>
      <c r="T44" t="s">
        <v>2535</v>
      </c>
      <c r="U44">
        <f t="shared" si="3"/>
        <v>279.89</v>
      </c>
      <c r="V44" s="632">
        <f t="shared" si="4"/>
        <v>399.8428571428571</v>
      </c>
      <c r="W44" s="191">
        <f t="shared" si="5"/>
        <v>39.984285714285711</v>
      </c>
      <c r="X44" s="228">
        <v>14916.45</v>
      </c>
    </row>
    <row r="45" spans="1:36">
      <c r="A45">
        <f>main!A42</f>
        <v>2018</v>
      </c>
      <c r="B45" t="str">
        <f>main!B42</f>
        <v>47_2000</v>
      </c>
      <c r="C45">
        <f>main!C42</f>
        <v>12</v>
      </c>
      <c r="D45">
        <v>4</v>
      </c>
      <c r="E45">
        <v>10</v>
      </c>
      <c r="F45">
        <v>39.96</v>
      </c>
      <c r="G45">
        <v>541.20000000000005</v>
      </c>
      <c r="H45" s="67">
        <v>43608</v>
      </c>
      <c r="I45" s="67">
        <v>43613</v>
      </c>
      <c r="J45" s="67">
        <v>43613</v>
      </c>
      <c r="K45" s="223">
        <v>0.28000000000000003</v>
      </c>
      <c r="L45" t="s">
        <v>2539</v>
      </c>
      <c r="M45" s="67">
        <v>43606</v>
      </c>
      <c r="N45" t="s">
        <v>2529</v>
      </c>
      <c r="O45" t="s">
        <v>2530</v>
      </c>
      <c r="P45" t="s">
        <v>2527</v>
      </c>
      <c r="Q45" t="s">
        <v>2528</v>
      </c>
      <c r="R45" t="s">
        <v>2491</v>
      </c>
      <c r="S45" t="s">
        <v>2537</v>
      </c>
      <c r="T45" t="s">
        <v>2535</v>
      </c>
      <c r="U45">
        <f t="shared" si="3"/>
        <v>501.24000000000007</v>
      </c>
      <c r="V45" s="632">
        <f t="shared" si="4"/>
        <v>716.05714285714294</v>
      </c>
      <c r="W45" s="191">
        <f t="shared" si="5"/>
        <v>71.605714285714299</v>
      </c>
      <c r="X45" s="228">
        <v>14810.39</v>
      </c>
    </row>
    <row r="46" spans="1:36">
      <c r="A46">
        <f>main!A43</f>
        <v>2018</v>
      </c>
      <c r="B46" t="str">
        <f>main!B43</f>
        <v>47_2000</v>
      </c>
      <c r="C46">
        <f>main!C43</f>
        <v>13</v>
      </c>
      <c r="D46">
        <v>4</v>
      </c>
      <c r="E46">
        <v>10</v>
      </c>
      <c r="F46">
        <v>42.52</v>
      </c>
      <c r="G46">
        <v>457.59</v>
      </c>
      <c r="H46" s="67">
        <v>43608</v>
      </c>
      <c r="I46" s="67">
        <v>43613</v>
      </c>
      <c r="J46" s="67">
        <v>43613</v>
      </c>
      <c r="K46" s="223">
        <v>0.28000000000000003</v>
      </c>
      <c r="L46" t="s">
        <v>2539</v>
      </c>
      <c r="M46" s="67">
        <v>43606</v>
      </c>
      <c r="N46" t="s">
        <v>2529</v>
      </c>
      <c r="O46" t="s">
        <v>2530</v>
      </c>
      <c r="P46" t="s">
        <v>2527</v>
      </c>
      <c r="Q46" t="s">
        <v>2528</v>
      </c>
      <c r="R46" t="s">
        <v>2491</v>
      </c>
      <c r="S46" t="s">
        <v>2538</v>
      </c>
      <c r="T46" t="s">
        <v>2535</v>
      </c>
      <c r="U46">
        <f t="shared" si="3"/>
        <v>415.07</v>
      </c>
      <c r="V46" s="632">
        <f t="shared" si="4"/>
        <v>592.9571428571428</v>
      </c>
      <c r="W46" s="191">
        <f t="shared" si="5"/>
        <v>59.295714285714283</v>
      </c>
      <c r="X46" s="228">
        <v>15000.7</v>
      </c>
    </row>
    <row r="47" spans="1:36">
      <c r="A47">
        <f>main!A44</f>
        <v>2018</v>
      </c>
      <c r="B47" t="str">
        <f>main!B44</f>
        <v>47_2000</v>
      </c>
      <c r="C47">
        <f>main!C44</f>
        <v>14</v>
      </c>
      <c r="D47">
        <v>4</v>
      </c>
      <c r="E47">
        <v>10</v>
      </c>
      <c r="F47">
        <v>40.97</v>
      </c>
      <c r="G47">
        <v>362.45</v>
      </c>
      <c r="H47" s="67">
        <v>43608</v>
      </c>
      <c r="I47" s="67">
        <v>43613</v>
      </c>
      <c r="J47" s="67">
        <v>43613</v>
      </c>
      <c r="K47" s="223">
        <v>0.28000000000000003</v>
      </c>
      <c r="L47" t="s">
        <v>2539</v>
      </c>
      <c r="M47" s="67">
        <v>43606</v>
      </c>
      <c r="N47" t="s">
        <v>2529</v>
      </c>
      <c r="O47" t="s">
        <v>2530</v>
      </c>
      <c r="P47" t="s">
        <v>2527</v>
      </c>
      <c r="Q47" t="s">
        <v>2528</v>
      </c>
      <c r="R47" t="s">
        <v>2491</v>
      </c>
      <c r="T47" t="s">
        <v>2535</v>
      </c>
      <c r="U47">
        <f t="shared" si="3"/>
        <v>321.48</v>
      </c>
      <c r="V47" s="632">
        <f t="shared" si="4"/>
        <v>459.25714285714287</v>
      </c>
      <c r="W47" s="191">
        <f t="shared" si="5"/>
        <v>45.925714285714285</v>
      </c>
      <c r="X47" s="228">
        <v>14930.45</v>
      </c>
    </row>
    <row r="48" spans="1:36">
      <c r="A48">
        <f>main!A45</f>
        <v>2018</v>
      </c>
      <c r="B48" t="str">
        <f>main!B45</f>
        <v>47_2000</v>
      </c>
      <c r="C48">
        <f>main!C45</f>
        <v>15</v>
      </c>
      <c r="D48">
        <v>4</v>
      </c>
      <c r="E48">
        <v>10</v>
      </c>
      <c r="F48">
        <v>41.08</v>
      </c>
      <c r="G48">
        <v>339.63</v>
      </c>
      <c r="H48" s="67">
        <v>43608</v>
      </c>
      <c r="I48" s="67">
        <v>43613</v>
      </c>
      <c r="J48" s="67">
        <v>43613</v>
      </c>
      <c r="K48" s="223">
        <v>0.28000000000000003</v>
      </c>
      <c r="L48" t="s">
        <v>2539</v>
      </c>
      <c r="M48" s="67">
        <v>43606</v>
      </c>
      <c r="N48" t="s">
        <v>2529</v>
      </c>
      <c r="O48" t="s">
        <v>2530</v>
      </c>
      <c r="P48" t="s">
        <v>2527</v>
      </c>
      <c r="Q48" t="s">
        <v>2528</v>
      </c>
      <c r="R48" t="s">
        <v>2491</v>
      </c>
      <c r="T48" t="s">
        <v>2535</v>
      </c>
      <c r="U48">
        <f t="shared" si="3"/>
        <v>298.55</v>
      </c>
      <c r="V48" s="632">
        <f t="shared" si="4"/>
        <v>426.5</v>
      </c>
      <c r="W48" s="191">
        <f t="shared" si="5"/>
        <v>42.65</v>
      </c>
      <c r="X48" s="228">
        <v>15013.66</v>
      </c>
    </row>
    <row r="49" spans="1:47">
      <c r="A49">
        <f>main!A46</f>
        <v>2018</v>
      </c>
      <c r="B49" t="str">
        <f>main!B46</f>
        <v>47_2000</v>
      </c>
      <c r="C49">
        <f>main!C46</f>
        <v>16</v>
      </c>
      <c r="D49">
        <v>4</v>
      </c>
      <c r="E49">
        <v>10</v>
      </c>
      <c r="F49">
        <v>40.5</v>
      </c>
      <c r="G49">
        <v>315.47000000000003</v>
      </c>
      <c r="H49" s="67">
        <v>43608</v>
      </c>
      <c r="I49" s="67">
        <v>43613</v>
      </c>
      <c r="J49" s="67">
        <v>43613</v>
      </c>
      <c r="K49" s="223">
        <v>0.28000000000000003</v>
      </c>
      <c r="L49" t="s">
        <v>2539</v>
      </c>
      <c r="M49" s="67">
        <v>43606</v>
      </c>
      <c r="N49" t="s">
        <v>2529</v>
      </c>
      <c r="O49" t="s">
        <v>2530</v>
      </c>
      <c r="P49" t="s">
        <v>2527</v>
      </c>
      <c r="Q49" t="s">
        <v>2528</v>
      </c>
      <c r="R49" t="s">
        <v>2491</v>
      </c>
      <c r="T49" t="s">
        <v>2535</v>
      </c>
      <c r="U49">
        <f t="shared" si="3"/>
        <v>274.97000000000003</v>
      </c>
      <c r="V49" s="632">
        <f t="shared" si="4"/>
        <v>392.8142857142858</v>
      </c>
      <c r="W49" s="191">
        <f t="shared" si="5"/>
        <v>39.281428571428577</v>
      </c>
      <c r="X49" s="228">
        <v>14800.75</v>
      </c>
    </row>
    <row r="50" spans="1:47">
      <c r="A50">
        <f>main!A47</f>
        <v>2018</v>
      </c>
      <c r="B50" t="str">
        <f>main!B47</f>
        <v>47_2000</v>
      </c>
      <c r="C50">
        <f>main!C47</f>
        <v>17</v>
      </c>
      <c r="D50">
        <v>4</v>
      </c>
      <c r="E50">
        <v>10</v>
      </c>
      <c r="F50">
        <v>41.59</v>
      </c>
      <c r="G50">
        <v>222.57</v>
      </c>
      <c r="H50" s="67">
        <v>43608</v>
      </c>
      <c r="I50" s="67">
        <v>43613</v>
      </c>
      <c r="J50" s="67">
        <v>43613</v>
      </c>
      <c r="K50" s="223">
        <v>0.28000000000000003</v>
      </c>
      <c r="L50" t="s">
        <v>2539</v>
      </c>
      <c r="M50" s="67">
        <v>43606</v>
      </c>
      <c r="N50" t="s">
        <v>2529</v>
      </c>
      <c r="O50" t="s">
        <v>2530</v>
      </c>
      <c r="P50" t="s">
        <v>2527</v>
      </c>
      <c r="Q50" t="s">
        <v>2528</v>
      </c>
      <c r="R50" t="s">
        <v>2491</v>
      </c>
      <c r="T50" t="s">
        <v>2535</v>
      </c>
      <c r="U50">
        <f t="shared" si="3"/>
        <v>180.98</v>
      </c>
      <c r="V50" s="632">
        <f t="shared" si="4"/>
        <v>258.54285714285714</v>
      </c>
      <c r="W50" s="191">
        <f t="shared" si="5"/>
        <v>25.854285714285712</v>
      </c>
      <c r="X50" s="228">
        <v>14820.22</v>
      </c>
      <c r="Y50" s="637" t="s">
        <v>3477</v>
      </c>
      <c r="Z50" s="638"/>
      <c r="AA50" s="639"/>
    </row>
    <row r="51" spans="1:47">
      <c r="A51">
        <f>main!A48</f>
        <v>2018</v>
      </c>
      <c r="B51" t="str">
        <f>main!B48</f>
        <v>47_2000</v>
      </c>
      <c r="C51">
        <f>main!C48</f>
        <v>18</v>
      </c>
      <c r="D51">
        <v>4</v>
      </c>
      <c r="E51">
        <v>10</v>
      </c>
      <c r="F51">
        <v>43.16</v>
      </c>
      <c r="G51">
        <v>359.21</v>
      </c>
      <c r="H51" s="67">
        <v>43608</v>
      </c>
      <c r="I51" s="67">
        <v>43613</v>
      </c>
      <c r="J51" s="67">
        <v>43613</v>
      </c>
      <c r="K51" s="223">
        <v>0.28000000000000003</v>
      </c>
      <c r="L51" t="s">
        <v>2539</v>
      </c>
      <c r="M51" s="67">
        <v>43606</v>
      </c>
      <c r="N51" t="s">
        <v>2529</v>
      </c>
      <c r="O51" t="s">
        <v>2530</v>
      </c>
      <c r="P51" t="s">
        <v>2527</v>
      </c>
      <c r="Q51" t="s">
        <v>2528</v>
      </c>
      <c r="R51" t="s">
        <v>2491</v>
      </c>
      <c r="T51" t="s">
        <v>2535</v>
      </c>
      <c r="U51">
        <f t="shared" si="3"/>
        <v>316.04999999999995</v>
      </c>
      <c r="V51" s="632">
        <f t="shared" si="4"/>
        <v>451.49999999999989</v>
      </c>
      <c r="W51" s="191">
        <f t="shared" si="5"/>
        <v>45.149999999999991</v>
      </c>
      <c r="X51" s="228">
        <v>15009.92</v>
      </c>
      <c r="Y51" s="640" t="s">
        <v>3473</v>
      </c>
      <c r="Z51" s="191" t="s">
        <v>3475</v>
      </c>
      <c r="AA51" s="195" t="s">
        <v>3476</v>
      </c>
    </row>
    <row r="52" spans="1:47">
      <c r="A52">
        <f>main!A49</f>
        <v>2018</v>
      </c>
      <c r="B52" t="str">
        <f>main!B49</f>
        <v>47_2000</v>
      </c>
      <c r="C52">
        <f>main!C49</f>
        <v>19</v>
      </c>
      <c r="D52">
        <v>4</v>
      </c>
      <c r="E52">
        <v>10</v>
      </c>
      <c r="F52">
        <v>39.71</v>
      </c>
      <c r="G52">
        <v>384.13</v>
      </c>
      <c r="H52" s="67">
        <v>43608</v>
      </c>
      <c r="I52" s="67">
        <v>43613</v>
      </c>
      <c r="J52" s="67">
        <v>43613</v>
      </c>
      <c r="K52" s="223">
        <v>0.28000000000000003</v>
      </c>
      <c r="L52" t="s">
        <v>2539</v>
      </c>
      <c r="M52" s="67">
        <v>43606</v>
      </c>
      <c r="N52" t="s">
        <v>2529</v>
      </c>
      <c r="O52" t="s">
        <v>2530</v>
      </c>
      <c r="P52" t="s">
        <v>2527</v>
      </c>
      <c r="Q52" t="s">
        <v>2528</v>
      </c>
      <c r="R52" t="s">
        <v>2491</v>
      </c>
      <c r="S52" s="229" t="s">
        <v>2540</v>
      </c>
      <c r="T52" t="s">
        <v>2535</v>
      </c>
      <c r="U52" s="231">
        <f t="shared" si="3"/>
        <v>344.42</v>
      </c>
      <c r="V52" s="632">
        <f t="shared" si="4"/>
        <v>492.02857142857147</v>
      </c>
      <c r="W52" s="191">
        <f t="shared" si="5"/>
        <v>49.202857142857148</v>
      </c>
      <c r="X52" s="228">
        <v>14911.99</v>
      </c>
      <c r="Y52" s="641">
        <f>U52/96</f>
        <v>3.5877083333333335</v>
      </c>
      <c r="Z52" s="386">
        <f>Y52*100</f>
        <v>358.77083333333337</v>
      </c>
      <c r="AA52" s="388">
        <f>(Z52/7)*10</f>
        <v>512.52976190476193</v>
      </c>
    </row>
    <row r="53" spans="1:47">
      <c r="A53">
        <f>main!A50</f>
        <v>2018</v>
      </c>
      <c r="B53" t="str">
        <f>main!B50</f>
        <v>47_2000</v>
      </c>
      <c r="C53">
        <f>main!C50</f>
        <v>20</v>
      </c>
      <c r="D53">
        <v>4</v>
      </c>
      <c r="E53">
        <v>10</v>
      </c>
      <c r="F53">
        <v>39.659999999999997</v>
      </c>
      <c r="G53">
        <v>465.07</v>
      </c>
      <c r="H53" s="67">
        <v>43608</v>
      </c>
      <c r="I53" s="67">
        <v>43613</v>
      </c>
      <c r="J53" s="67">
        <v>43613</v>
      </c>
      <c r="K53" s="223">
        <v>0.28000000000000003</v>
      </c>
      <c r="L53" t="s">
        <v>2539</v>
      </c>
      <c r="M53" s="67">
        <v>43606</v>
      </c>
      <c r="N53" t="s">
        <v>2529</v>
      </c>
      <c r="O53" t="s">
        <v>2530</v>
      </c>
      <c r="P53" t="s">
        <v>2527</v>
      </c>
      <c r="Q53" t="s">
        <v>2528</v>
      </c>
      <c r="R53" t="s">
        <v>2491</v>
      </c>
      <c r="T53" t="s">
        <v>2535</v>
      </c>
      <c r="U53">
        <f t="shared" si="3"/>
        <v>425.40999999999997</v>
      </c>
      <c r="V53" s="632">
        <f t="shared" si="4"/>
        <v>607.7285714285714</v>
      </c>
      <c r="W53" s="191">
        <f t="shared" si="5"/>
        <v>60.772857142857141</v>
      </c>
      <c r="X53" s="228">
        <v>14885.55</v>
      </c>
      <c r="Y53" s="641">
        <f>U52/93</f>
        <v>3.7034408602150539</v>
      </c>
      <c r="Z53" s="386">
        <f>Y53*100</f>
        <v>370.3440860215054</v>
      </c>
      <c r="AA53" s="388">
        <f>(Z53/7)*10</f>
        <v>529.06298003072197</v>
      </c>
    </row>
    <row r="54" spans="1:47">
      <c r="A54">
        <f>main!A51</f>
        <v>2018</v>
      </c>
      <c r="B54" t="str">
        <f>main!B51</f>
        <v>47_2000</v>
      </c>
      <c r="C54">
        <f>main!C51</f>
        <v>21</v>
      </c>
      <c r="D54">
        <v>4</v>
      </c>
      <c r="E54">
        <v>10</v>
      </c>
      <c r="F54">
        <v>41.64</v>
      </c>
      <c r="G54">
        <v>463.31</v>
      </c>
      <c r="H54" s="67">
        <v>43608</v>
      </c>
      <c r="I54" s="67">
        <v>43613</v>
      </c>
      <c r="J54" s="67">
        <v>43613</v>
      </c>
      <c r="K54" s="223">
        <v>0.28000000000000003</v>
      </c>
      <c r="L54" t="s">
        <v>2539</v>
      </c>
      <c r="M54" s="67">
        <v>43606</v>
      </c>
      <c r="N54" t="s">
        <v>2529</v>
      </c>
      <c r="O54" t="s">
        <v>2530</v>
      </c>
      <c r="P54" t="s">
        <v>2527</v>
      </c>
      <c r="Q54" t="s">
        <v>2528</v>
      </c>
      <c r="R54" t="s">
        <v>2491</v>
      </c>
      <c r="T54" t="s">
        <v>2535</v>
      </c>
      <c r="U54">
        <f t="shared" si="3"/>
        <v>421.67</v>
      </c>
      <c r="V54" s="632">
        <f t="shared" si="4"/>
        <v>602.38571428571436</v>
      </c>
      <c r="W54" s="191">
        <f t="shared" si="5"/>
        <v>60.238571428571433</v>
      </c>
      <c r="X54" s="228">
        <v>15034.15</v>
      </c>
      <c r="Y54" s="197" t="s">
        <v>3474</v>
      </c>
      <c r="Z54" s="198"/>
      <c r="AA54" s="199"/>
    </row>
    <row r="56" spans="1:47" s="215" customFormat="1">
      <c r="A56" s="212" t="str">
        <f>main!A54</f>
        <v>Deployment 08/03/2018 INV18_V2</v>
      </c>
      <c r="B56" s="212" t="str">
        <f>main!B54</f>
        <v>McLane-PARFLUX-Mark78H-21 ; frame controller sn 12993-01, frame sn 12993-01, motor sn 12993-01, cup set R250x21</v>
      </c>
      <c r="C56" s="214"/>
      <c r="E56" s="216"/>
      <c r="F56" s="216"/>
      <c r="G56" s="216"/>
      <c r="H56" s="217"/>
      <c r="I56" s="217"/>
      <c r="J56" s="217"/>
      <c r="K56" s="217"/>
      <c r="L56" s="217"/>
      <c r="M56" s="217"/>
      <c r="N56" s="218"/>
      <c r="O56" s="219"/>
      <c r="P56" s="220"/>
      <c r="Q56" s="220"/>
      <c r="R56" s="220"/>
      <c r="S56" s="220"/>
      <c r="T56" s="220"/>
      <c r="U56" s="216"/>
      <c r="V56" s="631"/>
      <c r="W56" s="216"/>
      <c r="X56" s="216"/>
      <c r="Y56" s="220"/>
      <c r="Z56" s="220"/>
      <c r="AA56" s="220"/>
      <c r="AB56" s="220"/>
      <c r="AC56" s="220"/>
      <c r="AD56" s="220"/>
      <c r="AE56" s="221"/>
      <c r="AF56" s="221"/>
      <c r="AG56" s="221"/>
      <c r="AH56" s="220"/>
      <c r="AI56" s="220"/>
      <c r="AJ56" s="222"/>
      <c r="AK56" s="222"/>
      <c r="AL56" s="222"/>
      <c r="AM56" s="222"/>
      <c r="AN56" s="222"/>
      <c r="AO56" s="222"/>
      <c r="AP56" s="222"/>
      <c r="AQ56" s="222"/>
      <c r="AR56" s="222"/>
      <c r="AS56" s="222"/>
      <c r="AT56" s="222"/>
      <c r="AU56" s="222"/>
    </row>
    <row r="57" spans="1:47">
      <c r="A57">
        <f>main!A55</f>
        <v>2018</v>
      </c>
      <c r="B57" t="str">
        <f>main!B55</f>
        <v>47_3800</v>
      </c>
      <c r="C57">
        <v>1</v>
      </c>
      <c r="D57">
        <v>4</v>
      </c>
      <c r="E57">
        <v>10</v>
      </c>
      <c r="F57">
        <v>42.36</v>
      </c>
      <c r="G57">
        <v>342.99</v>
      </c>
      <c r="H57" s="67">
        <v>43615</v>
      </c>
      <c r="I57" s="67">
        <v>43619</v>
      </c>
      <c r="J57" s="67">
        <v>43619</v>
      </c>
      <c r="K57" s="223">
        <v>0.3</v>
      </c>
      <c r="L57" t="s">
        <v>2579</v>
      </c>
      <c r="M57" s="67">
        <v>43614</v>
      </c>
      <c r="N57" t="s">
        <v>2572</v>
      </c>
      <c r="O57" t="s">
        <v>2573</v>
      </c>
      <c r="P57" t="s">
        <v>2527</v>
      </c>
      <c r="Q57" t="s">
        <v>2528</v>
      </c>
      <c r="R57" t="s">
        <v>2491</v>
      </c>
      <c r="T57" t="s">
        <v>2577</v>
      </c>
      <c r="U57">
        <f t="shared" ref="U57:U78" si="6">G57-F57</f>
        <v>300.63</v>
      </c>
      <c r="V57" s="632">
        <f t="shared" ref="V57:V78" si="7">(U57/7)*10</f>
        <v>429.47142857142859</v>
      </c>
      <c r="W57">
        <f>U57/7</f>
        <v>42.947142857142858</v>
      </c>
      <c r="X57">
        <v>15043.72</v>
      </c>
    </row>
    <row r="58" spans="1:47">
      <c r="A58">
        <f>main!A56</f>
        <v>2018</v>
      </c>
      <c r="B58" t="str">
        <f>main!B56</f>
        <v>47_3800</v>
      </c>
      <c r="C58">
        <f>main!C56</f>
        <v>2</v>
      </c>
      <c r="D58">
        <v>4</v>
      </c>
      <c r="E58">
        <v>10</v>
      </c>
      <c r="F58">
        <v>42.52</v>
      </c>
      <c r="G58">
        <v>413.37</v>
      </c>
      <c r="H58" s="67">
        <v>43615</v>
      </c>
      <c r="I58" s="67">
        <v>43619</v>
      </c>
      <c r="J58" s="67">
        <v>43619</v>
      </c>
      <c r="K58" s="223">
        <v>0.3</v>
      </c>
      <c r="L58" t="s">
        <v>2579</v>
      </c>
      <c r="M58" s="67">
        <v>43614</v>
      </c>
      <c r="N58" t="s">
        <v>2572</v>
      </c>
      <c r="O58" t="s">
        <v>2573</v>
      </c>
      <c r="P58" t="s">
        <v>2527</v>
      </c>
      <c r="Q58" t="s">
        <v>2528</v>
      </c>
      <c r="R58" t="s">
        <v>2491</v>
      </c>
      <c r="T58" t="s">
        <v>2577</v>
      </c>
      <c r="U58">
        <f t="shared" si="6"/>
        <v>370.85</v>
      </c>
      <c r="V58" s="632">
        <f t="shared" si="7"/>
        <v>529.78571428571433</v>
      </c>
      <c r="W58" s="191">
        <f>U58/7</f>
        <v>52.978571428571435</v>
      </c>
      <c r="X58">
        <v>14971.71</v>
      </c>
    </row>
    <row r="59" spans="1:47">
      <c r="A59">
        <f>main!A57</f>
        <v>2018</v>
      </c>
      <c r="B59" t="str">
        <f>main!B57</f>
        <v>47_3800</v>
      </c>
      <c r="C59" t="s">
        <v>2570</v>
      </c>
      <c r="D59">
        <v>4</v>
      </c>
      <c r="E59">
        <v>7</v>
      </c>
      <c r="F59">
        <v>41.05</v>
      </c>
      <c r="G59">
        <v>340.77</v>
      </c>
      <c r="H59" s="67">
        <v>43615</v>
      </c>
      <c r="I59" s="67">
        <v>43619</v>
      </c>
      <c r="J59" s="67">
        <v>43619</v>
      </c>
      <c r="K59" s="223">
        <v>0.3</v>
      </c>
      <c r="L59" t="s">
        <v>2579</v>
      </c>
      <c r="M59" s="67">
        <v>43614</v>
      </c>
      <c r="N59" t="s">
        <v>2572</v>
      </c>
      <c r="O59" t="s">
        <v>2573</v>
      </c>
      <c r="P59" t="s">
        <v>2527</v>
      </c>
      <c r="Q59" t="s">
        <v>2528</v>
      </c>
      <c r="R59" t="s">
        <v>2491</v>
      </c>
      <c r="T59" t="s">
        <v>2577</v>
      </c>
      <c r="U59">
        <f t="shared" si="6"/>
        <v>299.71999999999997</v>
      </c>
      <c r="V59" s="632">
        <f>((U59+U60)/7)*10</f>
        <v>805.89999999999964</v>
      </c>
      <c r="W59" s="191">
        <f>U59/4</f>
        <v>74.929999999999993</v>
      </c>
      <c r="X59">
        <v>14922.91</v>
      </c>
    </row>
    <row r="60" spans="1:47" s="224" customFormat="1" ht="16" thickBot="1">
      <c r="A60" s="224">
        <f>main!A58</f>
        <v>2018</v>
      </c>
      <c r="B60" s="224" t="str">
        <f>main!B58</f>
        <v>47_3800</v>
      </c>
      <c r="C60" s="224" t="s">
        <v>2571</v>
      </c>
      <c r="D60" s="224">
        <v>8</v>
      </c>
      <c r="E60" s="224">
        <v>10</v>
      </c>
      <c r="F60" s="224">
        <v>41.81</v>
      </c>
      <c r="G60" s="224">
        <f>2484.23-2178.01</f>
        <v>306.2199999999998</v>
      </c>
      <c r="H60" s="225">
        <v>43615</v>
      </c>
      <c r="I60" s="225">
        <v>43619</v>
      </c>
      <c r="J60" s="225">
        <v>43619</v>
      </c>
      <c r="K60" s="226">
        <v>0.3</v>
      </c>
      <c r="L60" s="224" t="s">
        <v>2579</v>
      </c>
      <c r="M60" s="225">
        <v>43614</v>
      </c>
      <c r="N60" s="224" t="s">
        <v>2572</v>
      </c>
      <c r="O60" s="224" t="s">
        <v>2573</v>
      </c>
      <c r="P60" s="224" t="s">
        <v>2527</v>
      </c>
      <c r="Q60" s="224" t="s">
        <v>2528</v>
      </c>
      <c r="R60" s="224" t="s">
        <v>2491</v>
      </c>
      <c r="T60" s="224" t="s">
        <v>2577</v>
      </c>
      <c r="U60" s="224">
        <f t="shared" si="6"/>
        <v>264.4099999999998</v>
      </c>
      <c r="V60" s="633"/>
      <c r="W60" s="224">
        <f>U60/3</f>
        <v>88.136666666666599</v>
      </c>
      <c r="Y60" s="233"/>
    </row>
    <row r="61" spans="1:47" ht="16" thickTop="1">
      <c r="A61">
        <f>main!A58</f>
        <v>2018</v>
      </c>
      <c r="B61" t="str">
        <f>main!B58</f>
        <v>47_3800</v>
      </c>
      <c r="C61">
        <f>main!C58</f>
        <v>4</v>
      </c>
      <c r="D61">
        <v>4</v>
      </c>
      <c r="E61">
        <v>10</v>
      </c>
      <c r="F61">
        <v>41.74</v>
      </c>
      <c r="G61">
        <v>443.83</v>
      </c>
      <c r="H61" s="67">
        <v>43615</v>
      </c>
      <c r="I61" s="67">
        <v>43619</v>
      </c>
      <c r="J61" s="67">
        <v>43619</v>
      </c>
      <c r="K61" s="223">
        <v>0.3</v>
      </c>
      <c r="L61" t="s">
        <v>2579</v>
      </c>
      <c r="M61" s="67">
        <v>43614</v>
      </c>
      <c r="N61" t="s">
        <v>2572</v>
      </c>
      <c r="O61" t="s">
        <v>2573</v>
      </c>
      <c r="P61" t="s">
        <v>2527</v>
      </c>
      <c r="Q61" t="s">
        <v>2528</v>
      </c>
      <c r="R61" t="s">
        <v>2491</v>
      </c>
      <c r="T61" t="s">
        <v>2577</v>
      </c>
      <c r="U61">
        <f t="shared" si="6"/>
        <v>402.09</v>
      </c>
      <c r="V61" s="632">
        <f t="shared" si="7"/>
        <v>574.41428571428571</v>
      </c>
      <c r="W61" s="191">
        <f t="shared" ref="W61:W78" si="8">U61/7</f>
        <v>57.441428571428567</v>
      </c>
      <c r="X61" s="228">
        <v>14969.2</v>
      </c>
    </row>
    <row r="62" spans="1:47">
      <c r="A62">
        <f>main!A59</f>
        <v>2018</v>
      </c>
      <c r="B62" t="str">
        <f>main!B59</f>
        <v>47_3800</v>
      </c>
      <c r="C62">
        <f>main!C59</f>
        <v>5</v>
      </c>
      <c r="D62">
        <v>4</v>
      </c>
      <c r="E62">
        <v>10</v>
      </c>
      <c r="F62">
        <v>40.68</v>
      </c>
      <c r="G62">
        <v>295.45</v>
      </c>
      <c r="H62" s="67">
        <v>43615</v>
      </c>
      <c r="I62" s="67">
        <v>43619</v>
      </c>
      <c r="J62" s="67">
        <v>43619</v>
      </c>
      <c r="K62" s="223">
        <v>0.3</v>
      </c>
      <c r="L62" t="s">
        <v>2579</v>
      </c>
      <c r="M62" s="67">
        <v>43614</v>
      </c>
      <c r="N62" t="s">
        <v>2572</v>
      </c>
      <c r="O62" t="s">
        <v>2573</v>
      </c>
      <c r="P62" t="s">
        <v>2527</v>
      </c>
      <c r="Q62" t="s">
        <v>2528</v>
      </c>
      <c r="R62" t="s">
        <v>2491</v>
      </c>
      <c r="T62" t="s">
        <v>2577</v>
      </c>
      <c r="U62">
        <f t="shared" si="6"/>
        <v>254.76999999999998</v>
      </c>
      <c r="V62" s="632">
        <f t="shared" si="7"/>
        <v>363.95714285714286</v>
      </c>
      <c r="W62" s="191">
        <f t="shared" si="8"/>
        <v>36.395714285714284</v>
      </c>
      <c r="X62" s="228">
        <v>15021.88</v>
      </c>
    </row>
    <row r="63" spans="1:47">
      <c r="A63">
        <f>main!A60</f>
        <v>2018</v>
      </c>
      <c r="B63" t="str">
        <f>main!B60</f>
        <v>47_3800</v>
      </c>
      <c r="C63">
        <f>main!C60</f>
        <v>6</v>
      </c>
      <c r="D63">
        <v>4</v>
      </c>
      <c r="E63">
        <v>10</v>
      </c>
      <c r="F63">
        <v>41.36</v>
      </c>
      <c r="G63">
        <v>223.76</v>
      </c>
      <c r="H63" s="67">
        <v>43615</v>
      </c>
      <c r="I63" s="67">
        <v>43619</v>
      </c>
      <c r="J63" s="67">
        <v>43619</v>
      </c>
      <c r="K63" s="223">
        <v>0.3</v>
      </c>
      <c r="L63" t="s">
        <v>2579</v>
      </c>
      <c r="M63" s="67">
        <v>43614</v>
      </c>
      <c r="N63" t="s">
        <v>2572</v>
      </c>
      <c r="O63" t="s">
        <v>2573</v>
      </c>
      <c r="P63" t="s">
        <v>2527</v>
      </c>
      <c r="Q63" t="s">
        <v>2528</v>
      </c>
      <c r="R63" t="s">
        <v>2491</v>
      </c>
      <c r="T63" t="s">
        <v>2577</v>
      </c>
      <c r="U63">
        <f t="shared" si="6"/>
        <v>182.39999999999998</v>
      </c>
      <c r="V63" s="632">
        <f t="shared" si="7"/>
        <v>260.57142857142856</v>
      </c>
      <c r="W63" s="191">
        <f t="shared" si="8"/>
        <v>26.057142857142853</v>
      </c>
      <c r="X63" s="228">
        <v>15029.17</v>
      </c>
    </row>
    <row r="64" spans="1:47">
      <c r="A64">
        <f>main!A61</f>
        <v>2018</v>
      </c>
      <c r="B64" t="str">
        <f>main!B61</f>
        <v>47_3800</v>
      </c>
      <c r="C64">
        <f>main!C61</f>
        <v>7</v>
      </c>
      <c r="D64">
        <v>4</v>
      </c>
      <c r="E64">
        <v>10</v>
      </c>
      <c r="F64">
        <v>42.96</v>
      </c>
      <c r="G64">
        <v>259.24</v>
      </c>
      <c r="H64" s="67">
        <v>43615</v>
      </c>
      <c r="I64" s="67">
        <v>43619</v>
      </c>
      <c r="J64" s="67">
        <v>43619</v>
      </c>
      <c r="K64" s="223">
        <v>0.3</v>
      </c>
      <c r="L64" t="s">
        <v>2579</v>
      </c>
      <c r="M64" s="67">
        <v>43614</v>
      </c>
      <c r="N64" t="s">
        <v>2572</v>
      </c>
      <c r="O64" t="s">
        <v>2573</v>
      </c>
      <c r="P64" t="s">
        <v>2527</v>
      </c>
      <c r="Q64" t="s">
        <v>2528</v>
      </c>
      <c r="R64" t="s">
        <v>2491</v>
      </c>
      <c r="T64" t="s">
        <v>2577</v>
      </c>
      <c r="U64">
        <f t="shared" si="6"/>
        <v>216.28</v>
      </c>
      <c r="V64" s="632">
        <f t="shared" si="7"/>
        <v>308.97142857142859</v>
      </c>
      <c r="W64" s="191">
        <f t="shared" si="8"/>
        <v>30.897142857142857</v>
      </c>
      <c r="X64" s="228">
        <v>15027.74</v>
      </c>
    </row>
    <row r="65" spans="1:24">
      <c r="A65">
        <f>main!A62</f>
        <v>2018</v>
      </c>
      <c r="B65" t="str">
        <f>main!B62</f>
        <v>47_3800</v>
      </c>
      <c r="C65">
        <f>main!C62</f>
        <v>8</v>
      </c>
      <c r="D65">
        <v>4</v>
      </c>
      <c r="E65">
        <v>10</v>
      </c>
      <c r="F65">
        <v>32.29</v>
      </c>
      <c r="G65">
        <v>204.07</v>
      </c>
      <c r="H65" s="67">
        <v>43615</v>
      </c>
      <c r="I65" s="67">
        <v>43619</v>
      </c>
      <c r="J65" s="67">
        <v>43619</v>
      </c>
      <c r="K65" s="223">
        <v>0.3</v>
      </c>
      <c r="L65" t="s">
        <v>2579</v>
      </c>
      <c r="M65" s="67">
        <v>43614</v>
      </c>
      <c r="N65" t="s">
        <v>2572</v>
      </c>
      <c r="O65" t="s">
        <v>2573</v>
      </c>
      <c r="P65" t="s">
        <v>2527</v>
      </c>
      <c r="Q65" t="s">
        <v>2528</v>
      </c>
      <c r="R65" t="s">
        <v>2491</v>
      </c>
      <c r="T65" t="s">
        <v>2577</v>
      </c>
      <c r="U65">
        <f t="shared" si="6"/>
        <v>171.78</v>
      </c>
      <c r="V65" s="632">
        <f t="shared" si="7"/>
        <v>245.39999999999998</v>
      </c>
      <c r="W65" s="191">
        <f t="shared" si="8"/>
        <v>24.54</v>
      </c>
      <c r="X65" s="228">
        <v>15037.95</v>
      </c>
    </row>
    <row r="66" spans="1:24">
      <c r="A66">
        <f>main!A63</f>
        <v>2018</v>
      </c>
      <c r="B66" t="str">
        <f>main!B63</f>
        <v>47_3800</v>
      </c>
      <c r="C66">
        <f>main!C63</f>
        <v>9</v>
      </c>
      <c r="D66">
        <v>4</v>
      </c>
      <c r="E66">
        <v>10</v>
      </c>
      <c r="F66">
        <v>39.99</v>
      </c>
      <c r="G66">
        <v>223.69</v>
      </c>
      <c r="H66" s="67">
        <v>43615</v>
      </c>
      <c r="I66" s="67">
        <v>43619</v>
      </c>
      <c r="J66" s="67">
        <v>43619</v>
      </c>
      <c r="K66" s="223">
        <v>0.3</v>
      </c>
      <c r="L66" t="s">
        <v>2579</v>
      </c>
      <c r="M66" s="67">
        <v>43614</v>
      </c>
      <c r="N66" t="s">
        <v>2572</v>
      </c>
      <c r="O66" t="s">
        <v>2573</v>
      </c>
      <c r="P66" t="s">
        <v>2527</v>
      </c>
      <c r="Q66" t="s">
        <v>2528</v>
      </c>
      <c r="R66" t="s">
        <v>2491</v>
      </c>
      <c r="T66" t="s">
        <v>2577</v>
      </c>
      <c r="U66">
        <f t="shared" si="6"/>
        <v>183.7</v>
      </c>
      <c r="V66" s="632">
        <f t="shared" si="7"/>
        <v>262.42857142857139</v>
      </c>
      <c r="W66" s="191">
        <f t="shared" si="8"/>
        <v>26.24285714285714</v>
      </c>
      <c r="X66" s="228">
        <v>14802.58</v>
      </c>
    </row>
    <row r="67" spans="1:24">
      <c r="A67">
        <f>main!A64</f>
        <v>2018</v>
      </c>
      <c r="B67" t="str">
        <f>main!B64</f>
        <v>47_3800</v>
      </c>
      <c r="C67">
        <f>main!C64</f>
        <v>10</v>
      </c>
      <c r="D67">
        <v>4</v>
      </c>
      <c r="E67">
        <v>10</v>
      </c>
      <c r="F67">
        <v>41.65</v>
      </c>
      <c r="G67">
        <v>191.51</v>
      </c>
      <c r="H67" s="67">
        <v>43615</v>
      </c>
      <c r="I67" s="67">
        <v>43619</v>
      </c>
      <c r="J67" s="67">
        <v>43619</v>
      </c>
      <c r="K67" s="223">
        <v>0.3</v>
      </c>
      <c r="L67" t="s">
        <v>2579</v>
      </c>
      <c r="M67" s="67">
        <v>43614</v>
      </c>
      <c r="N67" t="s">
        <v>2572</v>
      </c>
      <c r="O67" t="s">
        <v>2573</v>
      </c>
      <c r="P67" t="s">
        <v>2527</v>
      </c>
      <c r="Q67" t="s">
        <v>2528</v>
      </c>
      <c r="R67" t="s">
        <v>2491</v>
      </c>
      <c r="T67" t="s">
        <v>2577</v>
      </c>
      <c r="U67">
        <f t="shared" si="6"/>
        <v>149.85999999999999</v>
      </c>
      <c r="V67" s="632">
        <f t="shared" si="7"/>
        <v>214.08571428571429</v>
      </c>
      <c r="W67" s="191">
        <f t="shared" si="8"/>
        <v>21.408571428571427</v>
      </c>
      <c r="X67" s="228">
        <v>14473.36</v>
      </c>
    </row>
    <row r="68" spans="1:24">
      <c r="A68">
        <f>main!A65</f>
        <v>2018</v>
      </c>
      <c r="B68" t="str">
        <f>main!B65</f>
        <v>47_3800</v>
      </c>
      <c r="C68">
        <f>main!C65</f>
        <v>11</v>
      </c>
      <c r="D68">
        <v>4</v>
      </c>
      <c r="E68">
        <v>10</v>
      </c>
      <c r="F68">
        <v>41.89</v>
      </c>
      <c r="G68">
        <v>228.72</v>
      </c>
      <c r="H68" s="67">
        <v>43615</v>
      </c>
      <c r="I68" s="67">
        <v>43619</v>
      </c>
      <c r="J68" s="67">
        <v>43619</v>
      </c>
      <c r="K68" s="223">
        <v>0.3</v>
      </c>
      <c r="L68" t="s">
        <v>2579</v>
      </c>
      <c r="M68" s="67">
        <v>43614</v>
      </c>
      <c r="N68" t="s">
        <v>2572</v>
      </c>
      <c r="O68" t="s">
        <v>2573</v>
      </c>
      <c r="P68" t="s">
        <v>2527</v>
      </c>
      <c r="Q68" t="s">
        <v>2528</v>
      </c>
      <c r="R68" t="s">
        <v>2491</v>
      </c>
      <c r="T68" t="s">
        <v>2577</v>
      </c>
      <c r="U68">
        <f t="shared" si="6"/>
        <v>186.82999999999998</v>
      </c>
      <c r="V68" s="632">
        <f t="shared" si="7"/>
        <v>266.89999999999998</v>
      </c>
      <c r="W68" s="191">
        <f t="shared" si="8"/>
        <v>26.689999999999998</v>
      </c>
      <c r="X68" s="228">
        <v>15017.99</v>
      </c>
    </row>
    <row r="69" spans="1:24">
      <c r="A69">
        <f>main!A66</f>
        <v>2018</v>
      </c>
      <c r="B69" t="str">
        <f>main!B66</f>
        <v>47_3800</v>
      </c>
      <c r="C69">
        <f>main!C66</f>
        <v>12</v>
      </c>
      <c r="D69">
        <v>4</v>
      </c>
      <c r="E69">
        <v>10</v>
      </c>
      <c r="F69">
        <v>41.64</v>
      </c>
      <c r="G69">
        <v>347.34</v>
      </c>
      <c r="H69" s="67">
        <v>43615</v>
      </c>
      <c r="I69" s="67">
        <v>43619</v>
      </c>
      <c r="J69" s="67">
        <v>43619</v>
      </c>
      <c r="K69" s="223">
        <v>0.3</v>
      </c>
      <c r="L69" t="s">
        <v>2579</v>
      </c>
      <c r="M69" s="67">
        <v>43614</v>
      </c>
      <c r="N69" t="s">
        <v>2572</v>
      </c>
      <c r="O69" t="s">
        <v>2573</v>
      </c>
      <c r="P69" t="s">
        <v>2527</v>
      </c>
      <c r="Q69" t="s">
        <v>2528</v>
      </c>
      <c r="R69" t="s">
        <v>2491</v>
      </c>
      <c r="S69" t="s">
        <v>2574</v>
      </c>
      <c r="T69" t="s">
        <v>2577</v>
      </c>
      <c r="U69">
        <f t="shared" si="6"/>
        <v>305.7</v>
      </c>
      <c r="V69" s="632">
        <f t="shared" si="7"/>
        <v>436.71428571428572</v>
      </c>
      <c r="W69" s="191">
        <f t="shared" si="8"/>
        <v>43.671428571428571</v>
      </c>
      <c r="X69" s="228">
        <v>14474.17</v>
      </c>
    </row>
    <row r="70" spans="1:24">
      <c r="A70">
        <f>main!A67</f>
        <v>2018</v>
      </c>
      <c r="B70" t="str">
        <f>main!B67</f>
        <v>47_3800</v>
      </c>
      <c r="C70">
        <f>main!C67</f>
        <v>13</v>
      </c>
      <c r="D70">
        <v>4</v>
      </c>
      <c r="E70">
        <v>10</v>
      </c>
      <c r="F70">
        <v>41.21</v>
      </c>
      <c r="G70">
        <v>398.15</v>
      </c>
      <c r="H70" s="67">
        <v>43615</v>
      </c>
      <c r="I70" s="67">
        <v>43619</v>
      </c>
      <c r="J70" s="67">
        <v>43619</v>
      </c>
      <c r="K70" s="223">
        <v>0.3</v>
      </c>
      <c r="L70" t="s">
        <v>2579</v>
      </c>
      <c r="M70" s="67">
        <v>43614</v>
      </c>
      <c r="N70" t="s">
        <v>2572</v>
      </c>
      <c r="O70" t="s">
        <v>2573</v>
      </c>
      <c r="P70" t="s">
        <v>2527</v>
      </c>
      <c r="Q70" t="s">
        <v>2528</v>
      </c>
      <c r="R70" t="s">
        <v>2491</v>
      </c>
      <c r="S70" t="s">
        <v>2574</v>
      </c>
      <c r="T70" t="s">
        <v>2577</v>
      </c>
      <c r="U70">
        <f t="shared" si="6"/>
        <v>356.94</v>
      </c>
      <c r="V70" s="632">
        <f t="shared" si="7"/>
        <v>509.91428571428571</v>
      </c>
      <c r="W70" s="191">
        <f t="shared" si="8"/>
        <v>50.991428571428571</v>
      </c>
      <c r="X70" s="228">
        <v>15066.98</v>
      </c>
    </row>
    <row r="71" spans="1:24">
      <c r="A71">
        <f>main!A68</f>
        <v>2018</v>
      </c>
      <c r="B71" t="str">
        <f>main!B68</f>
        <v>47_3800</v>
      </c>
      <c r="C71">
        <f>main!C68</f>
        <v>14</v>
      </c>
      <c r="D71">
        <v>4</v>
      </c>
      <c r="E71">
        <v>10</v>
      </c>
      <c r="F71">
        <v>41.95</v>
      </c>
      <c r="G71">
        <v>290.83</v>
      </c>
      <c r="H71" s="67">
        <v>43615</v>
      </c>
      <c r="I71" s="67">
        <v>43619</v>
      </c>
      <c r="J71" s="67">
        <v>43619</v>
      </c>
      <c r="K71" s="223">
        <v>0.3</v>
      </c>
      <c r="L71" t="s">
        <v>2579</v>
      </c>
      <c r="M71" s="67">
        <v>43614</v>
      </c>
      <c r="N71" t="s">
        <v>2572</v>
      </c>
      <c r="O71" t="s">
        <v>2573</v>
      </c>
      <c r="P71" t="s">
        <v>2527</v>
      </c>
      <c r="Q71" t="s">
        <v>2528</v>
      </c>
      <c r="R71" t="s">
        <v>2491</v>
      </c>
      <c r="S71" t="s">
        <v>2575</v>
      </c>
      <c r="T71" t="s">
        <v>2577</v>
      </c>
      <c r="U71">
        <f t="shared" si="6"/>
        <v>248.88</v>
      </c>
      <c r="V71" s="632">
        <f t="shared" si="7"/>
        <v>355.54285714285709</v>
      </c>
      <c r="W71" s="191">
        <f t="shared" si="8"/>
        <v>35.554285714285712</v>
      </c>
      <c r="X71" s="228">
        <v>14428.6</v>
      </c>
    </row>
    <row r="72" spans="1:24">
      <c r="A72">
        <f>main!A69</f>
        <v>2018</v>
      </c>
      <c r="B72" t="str">
        <f>main!B69</f>
        <v>47_3800</v>
      </c>
      <c r="C72">
        <f>main!C69</f>
        <v>15</v>
      </c>
      <c r="D72">
        <v>4</v>
      </c>
      <c r="E72">
        <v>10</v>
      </c>
      <c r="F72">
        <v>40.57</v>
      </c>
      <c r="G72">
        <v>488.9</v>
      </c>
      <c r="H72" s="67">
        <v>43615</v>
      </c>
      <c r="I72" s="67">
        <v>43619</v>
      </c>
      <c r="J72" s="67">
        <v>43619</v>
      </c>
      <c r="K72" s="223">
        <v>0.3</v>
      </c>
      <c r="L72" t="s">
        <v>2579</v>
      </c>
      <c r="M72" s="67">
        <v>43614</v>
      </c>
      <c r="N72" t="s">
        <v>2572</v>
      </c>
      <c r="O72" t="s">
        <v>2573</v>
      </c>
      <c r="P72" t="s">
        <v>2527</v>
      </c>
      <c r="Q72" t="s">
        <v>2528</v>
      </c>
      <c r="R72" t="s">
        <v>2491</v>
      </c>
      <c r="S72" t="s">
        <v>2576</v>
      </c>
      <c r="T72" t="s">
        <v>2577</v>
      </c>
      <c r="U72">
        <f t="shared" si="6"/>
        <v>448.33</v>
      </c>
      <c r="V72" s="632">
        <f t="shared" si="7"/>
        <v>640.47142857142853</v>
      </c>
      <c r="W72" s="191">
        <f t="shared" si="8"/>
        <v>64.047142857142859</v>
      </c>
      <c r="X72" s="228">
        <v>14501.95</v>
      </c>
    </row>
    <row r="73" spans="1:24">
      <c r="A73">
        <f>main!A70</f>
        <v>2018</v>
      </c>
      <c r="B73" t="str">
        <f>main!B70</f>
        <v>47_3800</v>
      </c>
      <c r="C73">
        <f>main!C70</f>
        <v>16</v>
      </c>
      <c r="D73">
        <v>4</v>
      </c>
      <c r="E73">
        <v>10</v>
      </c>
      <c r="F73">
        <v>41.34</v>
      </c>
      <c r="G73">
        <v>282.89</v>
      </c>
      <c r="H73" s="67">
        <v>43615</v>
      </c>
      <c r="I73" s="67">
        <v>43619</v>
      </c>
      <c r="J73" s="67">
        <v>43619</v>
      </c>
      <c r="K73" s="223">
        <v>0.3</v>
      </c>
      <c r="L73" t="s">
        <v>2579</v>
      </c>
      <c r="M73" s="67">
        <v>43614</v>
      </c>
      <c r="N73" t="s">
        <v>2572</v>
      </c>
      <c r="O73" t="s">
        <v>2573</v>
      </c>
      <c r="P73" t="s">
        <v>2527</v>
      </c>
      <c r="Q73" t="s">
        <v>2528</v>
      </c>
      <c r="R73" t="s">
        <v>2491</v>
      </c>
      <c r="T73" t="s">
        <v>2577</v>
      </c>
      <c r="U73">
        <f t="shared" si="6"/>
        <v>241.54999999999998</v>
      </c>
      <c r="V73" s="632">
        <f t="shared" si="7"/>
        <v>345.07142857142856</v>
      </c>
      <c r="W73" s="191">
        <f t="shared" si="8"/>
        <v>34.507142857142853</v>
      </c>
      <c r="X73" s="228">
        <v>14680.86</v>
      </c>
    </row>
    <row r="74" spans="1:24">
      <c r="A74">
        <f>main!A71</f>
        <v>2018</v>
      </c>
      <c r="B74" t="str">
        <f>main!B71</f>
        <v>47_3800</v>
      </c>
      <c r="C74">
        <f>main!C71</f>
        <v>17</v>
      </c>
      <c r="D74">
        <v>4</v>
      </c>
      <c r="E74">
        <v>10</v>
      </c>
      <c r="F74">
        <v>42.68</v>
      </c>
      <c r="G74">
        <v>312.62</v>
      </c>
      <c r="H74" s="67">
        <v>43615</v>
      </c>
      <c r="I74" s="67">
        <v>43619</v>
      </c>
      <c r="J74" s="67">
        <v>43619</v>
      </c>
      <c r="K74" s="223">
        <v>0.3</v>
      </c>
      <c r="L74" t="s">
        <v>2579</v>
      </c>
      <c r="M74" s="67">
        <v>43614</v>
      </c>
      <c r="N74" t="s">
        <v>2572</v>
      </c>
      <c r="O74" t="s">
        <v>2573</v>
      </c>
      <c r="P74" t="s">
        <v>2527</v>
      </c>
      <c r="Q74" t="s">
        <v>2528</v>
      </c>
      <c r="R74" t="s">
        <v>2491</v>
      </c>
      <c r="T74" t="s">
        <v>2577</v>
      </c>
      <c r="U74">
        <f t="shared" si="6"/>
        <v>269.94</v>
      </c>
      <c r="V74" s="632">
        <f t="shared" si="7"/>
        <v>385.62857142857138</v>
      </c>
      <c r="W74" s="191">
        <f t="shared" si="8"/>
        <v>38.562857142857141</v>
      </c>
      <c r="X74" s="228">
        <v>14639.9</v>
      </c>
    </row>
    <row r="75" spans="1:24">
      <c r="A75">
        <f>main!A72</f>
        <v>2018</v>
      </c>
      <c r="B75" t="str">
        <f>main!B72</f>
        <v>47_3800</v>
      </c>
      <c r="C75">
        <f>main!C72</f>
        <v>18</v>
      </c>
      <c r="D75">
        <v>4</v>
      </c>
      <c r="E75">
        <v>10</v>
      </c>
      <c r="F75">
        <v>39.130000000000003</v>
      </c>
      <c r="G75">
        <v>333.73</v>
      </c>
      <c r="H75" s="67">
        <v>43615</v>
      </c>
      <c r="I75" s="67">
        <v>43619</v>
      </c>
      <c r="J75" s="67">
        <v>43619</v>
      </c>
      <c r="K75" s="223">
        <v>0.3</v>
      </c>
      <c r="L75" t="s">
        <v>2579</v>
      </c>
      <c r="M75" s="67">
        <v>43614</v>
      </c>
      <c r="N75" t="s">
        <v>2572</v>
      </c>
      <c r="O75" t="s">
        <v>2573</v>
      </c>
      <c r="P75" t="s">
        <v>2527</v>
      </c>
      <c r="Q75" t="s">
        <v>2528</v>
      </c>
      <c r="R75" t="s">
        <v>2491</v>
      </c>
      <c r="T75" t="s">
        <v>2577</v>
      </c>
      <c r="U75">
        <f t="shared" si="6"/>
        <v>294.60000000000002</v>
      </c>
      <c r="V75" s="632">
        <f t="shared" si="7"/>
        <v>420.85714285714289</v>
      </c>
      <c r="W75" s="191">
        <f t="shared" si="8"/>
        <v>42.085714285714289</v>
      </c>
      <c r="X75" s="228">
        <v>14533.88</v>
      </c>
    </row>
    <row r="76" spans="1:24">
      <c r="A76">
        <f>main!A73</f>
        <v>2018</v>
      </c>
      <c r="B76" t="str">
        <f>main!B73</f>
        <v>47_3800</v>
      </c>
      <c r="C76">
        <f>main!C73</f>
        <v>19</v>
      </c>
      <c r="D76">
        <v>4</v>
      </c>
      <c r="E76">
        <v>10</v>
      </c>
      <c r="F76">
        <v>41.64</v>
      </c>
      <c r="G76">
        <v>400.53</v>
      </c>
      <c r="H76" s="67">
        <v>43616</v>
      </c>
      <c r="I76" s="67">
        <v>43619</v>
      </c>
      <c r="J76" s="67">
        <v>43619</v>
      </c>
      <c r="K76" s="223">
        <v>0.3</v>
      </c>
      <c r="L76" t="s">
        <v>2579</v>
      </c>
      <c r="M76" s="67">
        <v>43614</v>
      </c>
      <c r="N76" t="s">
        <v>2572</v>
      </c>
      <c r="O76" t="s">
        <v>2573</v>
      </c>
      <c r="P76" t="s">
        <v>2527</v>
      </c>
      <c r="Q76" t="s">
        <v>2528</v>
      </c>
      <c r="R76" t="s">
        <v>2491</v>
      </c>
      <c r="T76" t="s">
        <v>2578</v>
      </c>
      <c r="U76">
        <f t="shared" si="6"/>
        <v>358.89</v>
      </c>
      <c r="V76" s="632">
        <f t="shared" si="7"/>
        <v>512.69999999999993</v>
      </c>
      <c r="W76" s="191">
        <f t="shared" si="8"/>
        <v>51.269999999999996</v>
      </c>
      <c r="X76" s="228">
        <v>14814.67</v>
      </c>
    </row>
    <row r="77" spans="1:24">
      <c r="A77">
        <f>main!A74</f>
        <v>2018</v>
      </c>
      <c r="B77" t="str">
        <f>main!B74</f>
        <v>47_3800</v>
      </c>
      <c r="C77">
        <f>main!C74</f>
        <v>20</v>
      </c>
      <c r="D77">
        <v>4</v>
      </c>
      <c r="E77">
        <v>10</v>
      </c>
      <c r="F77">
        <v>41.55</v>
      </c>
      <c r="G77">
        <v>622.29</v>
      </c>
      <c r="H77" s="67">
        <v>43616</v>
      </c>
      <c r="I77" s="67">
        <v>43619</v>
      </c>
      <c r="J77" s="67">
        <v>43619</v>
      </c>
      <c r="K77" s="223">
        <v>0.3</v>
      </c>
      <c r="L77" t="s">
        <v>2579</v>
      </c>
      <c r="M77" s="67">
        <v>43614</v>
      </c>
      <c r="N77" t="s">
        <v>2572</v>
      </c>
      <c r="O77" t="s">
        <v>2573</v>
      </c>
      <c r="P77" t="s">
        <v>2527</v>
      </c>
      <c r="Q77" t="s">
        <v>2528</v>
      </c>
      <c r="R77" t="s">
        <v>2491</v>
      </c>
      <c r="T77" t="s">
        <v>2578</v>
      </c>
      <c r="U77">
        <f t="shared" si="6"/>
        <v>580.74</v>
      </c>
      <c r="V77" s="632">
        <f t="shared" si="7"/>
        <v>829.62857142857149</v>
      </c>
      <c r="W77" s="191">
        <f t="shared" si="8"/>
        <v>82.962857142857146</v>
      </c>
      <c r="X77" s="228">
        <v>14942.93</v>
      </c>
    </row>
    <row r="78" spans="1:24">
      <c r="A78">
        <f>main!A75</f>
        <v>2018</v>
      </c>
      <c r="B78" t="str">
        <f>main!B75</f>
        <v>47_3800</v>
      </c>
      <c r="C78">
        <f>main!C75</f>
        <v>21</v>
      </c>
      <c r="D78">
        <v>4</v>
      </c>
      <c r="E78">
        <v>10</v>
      </c>
      <c r="F78">
        <v>40.65</v>
      </c>
      <c r="G78">
        <v>573</v>
      </c>
      <c r="H78" s="67">
        <v>43616</v>
      </c>
      <c r="I78" s="67">
        <v>43619</v>
      </c>
      <c r="J78" s="67">
        <v>43619</v>
      </c>
      <c r="K78" s="223">
        <v>0.3</v>
      </c>
      <c r="L78" t="s">
        <v>2579</v>
      </c>
      <c r="M78" s="67">
        <v>43614</v>
      </c>
      <c r="N78" t="s">
        <v>2572</v>
      </c>
      <c r="O78" t="s">
        <v>2573</v>
      </c>
      <c r="P78" t="s">
        <v>2527</v>
      </c>
      <c r="Q78" t="s">
        <v>2528</v>
      </c>
      <c r="R78" t="s">
        <v>2491</v>
      </c>
      <c r="T78" t="s">
        <v>2578</v>
      </c>
      <c r="U78">
        <f t="shared" si="6"/>
        <v>532.35</v>
      </c>
      <c r="V78" s="632">
        <f t="shared" si="7"/>
        <v>760.5</v>
      </c>
      <c r="W78" s="191">
        <f t="shared" si="8"/>
        <v>76.05</v>
      </c>
      <c r="X78" s="228">
        <v>14897.93</v>
      </c>
    </row>
    <row r="84" spans="16:16">
      <c r="P84" s="636"/>
    </row>
    <row r="85" spans="16:16">
      <c r="P85" s="636"/>
    </row>
  </sheetData>
  <conditionalFormatting sqref="U1:U5">
    <cfRule type="cellIs" dxfId="4" priority="3" operator="lessThan">
      <formula>10</formula>
    </cfRule>
  </conditionalFormatting>
  <conditionalFormatting sqref="U32">
    <cfRule type="cellIs" dxfId="3" priority="2" operator="lessThan">
      <formula>10</formula>
    </cfRule>
  </conditionalFormatting>
  <conditionalFormatting sqref="U56">
    <cfRule type="cellIs" dxfId="2" priority="1" operator="lessThan">
      <formula>10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A26C-75F9-4544-975A-CD5D74EB3E93}">
  <dimension ref="A1:AP68"/>
  <sheetViews>
    <sheetView workbookViewId="0">
      <selection activeCell="W24" sqref="W24"/>
    </sheetView>
  </sheetViews>
  <sheetFormatPr defaultColWidth="8.83203125" defaultRowHeight="15.5"/>
  <cols>
    <col min="8" max="8" width="10.33203125" customWidth="1"/>
    <col min="13" max="14" width="9.33203125" bestFit="1" customWidth="1"/>
    <col min="22" max="23" width="10.33203125" bestFit="1" customWidth="1"/>
    <col min="24" max="24" width="23.83203125" bestFit="1" customWidth="1"/>
  </cols>
  <sheetData>
    <row r="1" spans="1:42">
      <c r="A1" t="s">
        <v>2541</v>
      </c>
      <c r="B1" t="s">
        <v>109</v>
      </c>
      <c r="C1" t="s">
        <v>110</v>
      </c>
      <c r="D1" t="s">
        <v>43</v>
      </c>
      <c r="E1" t="s">
        <v>2542</v>
      </c>
      <c r="F1" t="s">
        <v>2543</v>
      </c>
      <c r="G1" t="s">
        <v>2544</v>
      </c>
      <c r="H1" t="s">
        <v>2544</v>
      </c>
      <c r="I1" t="s">
        <v>131</v>
      </c>
      <c r="J1" t="s">
        <v>132</v>
      </c>
      <c r="K1" t="s">
        <v>144</v>
      </c>
      <c r="L1" t="s">
        <v>145</v>
      </c>
      <c r="M1" t="s">
        <v>133</v>
      </c>
      <c r="N1" t="s">
        <v>149</v>
      </c>
      <c r="O1" t="s">
        <v>150</v>
      </c>
      <c r="P1" t="s">
        <v>131</v>
      </c>
      <c r="Q1" t="s">
        <v>132</v>
      </c>
      <c r="R1" t="s">
        <v>144</v>
      </c>
      <c r="S1" t="s">
        <v>145</v>
      </c>
      <c r="T1" t="s">
        <v>133</v>
      </c>
      <c r="U1" t="s">
        <v>150</v>
      </c>
      <c r="V1" t="s">
        <v>115</v>
      </c>
      <c r="W1" t="s">
        <v>115</v>
      </c>
      <c r="X1" t="s">
        <v>115</v>
      </c>
      <c r="Y1" t="s">
        <v>115</v>
      </c>
      <c r="Z1" t="s">
        <v>149</v>
      </c>
      <c r="AA1" t="s">
        <v>2545</v>
      </c>
      <c r="AB1" t="s">
        <v>2546</v>
      </c>
      <c r="AC1" t="s">
        <v>2547</v>
      </c>
      <c r="AD1" t="s">
        <v>2548</v>
      </c>
      <c r="AE1" t="s">
        <v>2549</v>
      </c>
      <c r="AF1" t="s">
        <v>42</v>
      </c>
      <c r="AH1" t="s">
        <v>2545</v>
      </c>
      <c r="AI1" t="s">
        <v>2546</v>
      </c>
      <c r="AJ1" t="s">
        <v>2547</v>
      </c>
      <c r="AK1" t="s">
        <v>2548</v>
      </c>
      <c r="AL1" t="s">
        <v>2549</v>
      </c>
      <c r="AM1" t="s">
        <v>136</v>
      </c>
      <c r="AN1" t="s">
        <v>2550</v>
      </c>
      <c r="AO1" t="s">
        <v>2551</v>
      </c>
      <c r="AP1" t="s">
        <v>125</v>
      </c>
    </row>
    <row r="2" spans="1:42">
      <c r="A2" t="s">
        <v>2552</v>
      </c>
      <c r="E2" t="s">
        <v>2553</v>
      </c>
      <c r="G2" t="s">
        <v>203</v>
      </c>
      <c r="H2" t="s">
        <v>203</v>
      </c>
      <c r="I2" t="s">
        <v>128</v>
      </c>
      <c r="J2" t="s">
        <v>128</v>
      </c>
      <c r="K2" t="s">
        <v>128</v>
      </c>
      <c r="L2" t="s">
        <v>128</v>
      </c>
      <c r="M2" t="s">
        <v>128</v>
      </c>
      <c r="N2" t="s">
        <v>128</v>
      </c>
      <c r="O2" t="s">
        <v>128</v>
      </c>
      <c r="P2" t="s">
        <v>203</v>
      </c>
      <c r="Q2" t="s">
        <v>203</v>
      </c>
      <c r="R2" t="s">
        <v>203</v>
      </c>
      <c r="S2" t="s">
        <v>203</v>
      </c>
      <c r="T2" t="s">
        <v>203</v>
      </c>
      <c r="U2" t="s">
        <v>203</v>
      </c>
      <c r="V2" t="s">
        <v>2554</v>
      </c>
      <c r="W2" t="s">
        <v>2555</v>
      </c>
      <c r="X2" t="s">
        <v>2556</v>
      </c>
      <c r="Y2" t="s">
        <v>2557</v>
      </c>
      <c r="Z2" t="s">
        <v>203</v>
      </c>
      <c r="AA2" t="s">
        <v>2558</v>
      </c>
      <c r="AB2" t="s">
        <v>2559</v>
      </c>
      <c r="AC2" t="s">
        <v>2560</v>
      </c>
      <c r="AD2" t="s">
        <v>2561</v>
      </c>
      <c r="AE2" t="s">
        <v>2562</v>
      </c>
      <c r="AF2" t="s">
        <v>2563</v>
      </c>
      <c r="AH2" t="s">
        <v>2558</v>
      </c>
      <c r="AI2" t="s">
        <v>2559</v>
      </c>
      <c r="AJ2" t="s">
        <v>2560</v>
      </c>
      <c r="AK2" t="s">
        <v>2561</v>
      </c>
      <c r="AL2" t="s">
        <v>2562</v>
      </c>
    </row>
    <row r="3" spans="1:42">
      <c r="F3" t="s">
        <v>155</v>
      </c>
      <c r="G3" t="s">
        <v>155</v>
      </c>
      <c r="H3" t="s">
        <v>155</v>
      </c>
      <c r="I3" t="s">
        <v>155</v>
      </c>
      <c r="J3" t="s">
        <v>155</v>
      </c>
      <c r="K3" t="s">
        <v>155</v>
      </c>
      <c r="L3" t="s">
        <v>155</v>
      </c>
      <c r="M3" t="s">
        <v>155</v>
      </c>
      <c r="N3" t="s">
        <v>155</v>
      </c>
      <c r="O3" t="s">
        <v>155</v>
      </c>
      <c r="P3" t="s">
        <v>155</v>
      </c>
      <c r="Q3" t="s">
        <v>155</v>
      </c>
      <c r="R3" t="s">
        <v>155</v>
      </c>
      <c r="S3" t="s">
        <v>155</v>
      </c>
      <c r="T3" t="s">
        <v>155</v>
      </c>
      <c r="U3" t="s">
        <v>155</v>
      </c>
      <c r="X3">
        <v>1</v>
      </c>
      <c r="Z3" t="s">
        <v>155</v>
      </c>
      <c r="AA3" t="s">
        <v>2564</v>
      </c>
      <c r="AB3" t="s">
        <v>2564</v>
      </c>
      <c r="AC3" t="s">
        <v>2564</v>
      </c>
      <c r="AD3" t="s">
        <v>2564</v>
      </c>
      <c r="AE3" t="s">
        <v>2564</v>
      </c>
      <c r="AF3" t="s">
        <v>2565</v>
      </c>
      <c r="AH3" t="s">
        <v>2566</v>
      </c>
      <c r="AI3" t="s">
        <v>2566</v>
      </c>
      <c r="AJ3" t="s">
        <v>2566</v>
      </c>
      <c r="AK3" t="s">
        <v>2566</v>
      </c>
      <c r="AL3" t="s">
        <v>2566</v>
      </c>
      <c r="AM3" t="s">
        <v>2567</v>
      </c>
    </row>
    <row r="4" spans="1:42">
      <c r="E4" t="s">
        <v>2568</v>
      </c>
      <c r="F4" t="s">
        <v>165</v>
      </c>
      <c r="G4" t="s">
        <v>168</v>
      </c>
      <c r="H4" t="s">
        <v>169</v>
      </c>
      <c r="I4" t="s">
        <v>174</v>
      </c>
      <c r="J4" t="s">
        <v>174</v>
      </c>
      <c r="K4" t="s">
        <v>174</v>
      </c>
      <c r="L4" t="s">
        <v>174</v>
      </c>
      <c r="M4" t="s">
        <v>174</v>
      </c>
      <c r="N4" t="s">
        <v>174</v>
      </c>
      <c r="O4" t="s">
        <v>174</v>
      </c>
      <c r="P4" t="s">
        <v>169</v>
      </c>
      <c r="Q4" t="s">
        <v>169</v>
      </c>
      <c r="R4" t="s">
        <v>169</v>
      </c>
      <c r="S4" t="s">
        <v>169</v>
      </c>
      <c r="T4" t="s">
        <v>169</v>
      </c>
      <c r="U4" t="s">
        <v>169</v>
      </c>
      <c r="V4" t="s">
        <v>2465</v>
      </c>
      <c r="W4" t="s">
        <v>2465</v>
      </c>
      <c r="X4" t="s">
        <v>2569</v>
      </c>
      <c r="Y4" t="s">
        <v>167</v>
      </c>
      <c r="Z4" t="s">
        <v>169</v>
      </c>
      <c r="AA4" t="s">
        <v>155</v>
      </c>
      <c r="AB4" t="s">
        <v>155</v>
      </c>
      <c r="AC4" t="s">
        <v>155</v>
      </c>
      <c r="AD4" t="s">
        <v>155</v>
      </c>
      <c r="AE4" t="s">
        <v>155</v>
      </c>
      <c r="AH4" t="s">
        <v>155</v>
      </c>
      <c r="AI4" t="s">
        <v>155</v>
      </c>
      <c r="AJ4" t="s">
        <v>155</v>
      </c>
      <c r="AK4" t="s">
        <v>155</v>
      </c>
      <c r="AL4" t="s">
        <v>155</v>
      </c>
    </row>
    <row r="6" spans="1:42">
      <c r="A6">
        <f>main!A7</f>
        <v>2018</v>
      </c>
      <c r="B6" t="str">
        <f>main!B7</f>
        <v>47_1000</v>
      </c>
      <c r="C6">
        <v>1</v>
      </c>
      <c r="D6" t="str">
        <f>main!$B$6</f>
        <v>McLane-PARFLUX-Mark78H-21 ; frame controller sn 12419-01, frame sn 12419-01, motor sn 12419-01, cup set O250x21</v>
      </c>
      <c r="E6">
        <v>1000</v>
      </c>
      <c r="F6" s="97">
        <f>main!E7</f>
        <v>156.17142857142858</v>
      </c>
      <c r="G6" s="90">
        <f>main!I7</f>
        <v>18.373109243697481</v>
      </c>
      <c r="H6" s="101">
        <f>main!J7</f>
        <v>6.7107781512605049</v>
      </c>
      <c r="I6" s="101">
        <f>main!AF7</f>
        <v>90.314150985944266</v>
      </c>
      <c r="J6" s="101">
        <f>main!AG7</f>
        <v>10.83731190936267</v>
      </c>
      <c r="K6" s="101">
        <f>main!M7</f>
        <v>13.717081069946289</v>
      </c>
      <c r="L6" s="101">
        <f>main!O7</f>
        <v>0.42717266082763672</v>
      </c>
      <c r="M6" s="101">
        <f>main!AH7</f>
        <v>2.8797691605836189</v>
      </c>
      <c r="N6" s="101">
        <f>main!AB7</f>
        <v>0.40676725214504</v>
      </c>
      <c r="O6" s="101">
        <f>main!AC7</f>
        <v>0.87015465223906929</v>
      </c>
      <c r="P6" s="101">
        <f>(I6/100)*$H6</f>
        <v>6.0607823118611712</v>
      </c>
      <c r="Q6" s="101">
        <f>(J6/100)*$H6</f>
        <v>0.72726795979746273</v>
      </c>
      <c r="R6" s="101">
        <f>(K6/100)*$H6</f>
        <v>0.92052287943264621</v>
      </c>
      <c r="S6" s="101">
        <f t="shared" ref="S6" si="0">(L6/100)*$H6</f>
        <v>2.8666609590979185E-2</v>
      </c>
      <c r="T6" s="101">
        <f>(M6/100)*$H6</f>
        <v>0.19325491963518354</v>
      </c>
      <c r="U6" s="101">
        <f>(O6/100)*$H6</f>
        <v>5.8394148284636287E-2</v>
      </c>
      <c r="V6" s="67">
        <f>main!T7</f>
        <v>43173</v>
      </c>
      <c r="W6" s="67">
        <f>main!U7</f>
        <v>43190</v>
      </c>
      <c r="X6" s="67">
        <f>main!V7</f>
        <v>43181.5</v>
      </c>
      <c r="Y6" s="97">
        <f>main!H7</f>
        <v>17</v>
      </c>
      <c r="Z6" s="90">
        <f>(N6/100)*$H6</f>
        <v>2.7297247883432071E-2</v>
      </c>
      <c r="AA6" s="90">
        <f>R6/12.01</f>
        <v>7.6646367979404342E-2</v>
      </c>
      <c r="AB6" s="90">
        <f>S6/14.01</f>
        <v>2.0461534326180718E-3</v>
      </c>
      <c r="AC6" s="90">
        <f>T6/12.01</f>
        <v>1.6091167330156832E-2</v>
      </c>
      <c r="AD6" s="90">
        <f>Q6/12.01</f>
        <v>6.055520064924752E-2</v>
      </c>
      <c r="AE6" s="395">
        <f>Z6/28.09</f>
        <v>9.7177813753763153E-4</v>
      </c>
      <c r="AF6" s="101">
        <f>depths!$B$2</f>
        <v>776.42</v>
      </c>
      <c r="AH6" s="101">
        <f>AA6*1000</f>
        <v>76.646367979404346</v>
      </c>
      <c r="AI6" s="101">
        <f>AB6*1000</f>
        <v>2.0461534326180719</v>
      </c>
      <c r="AJ6" s="101">
        <f>AC6*1000</f>
        <v>16.091167330156832</v>
      </c>
      <c r="AK6" s="101">
        <f t="shared" ref="AK6:AL6" si="1">AD6*1000</f>
        <v>60.555200649247517</v>
      </c>
      <c r="AL6" s="101">
        <f t="shared" si="1"/>
        <v>0.97177813753763154</v>
      </c>
      <c r="AM6" s="101">
        <f>AJ6/AI6</f>
        <v>7.8641059236540425</v>
      </c>
      <c r="AN6" s="101">
        <f>AK6/AI6</f>
        <v>29.594652915039021</v>
      </c>
      <c r="AO6" s="101">
        <f>main!R7</f>
        <v>34.19</v>
      </c>
      <c r="AP6" s="101">
        <f>main!S7</f>
        <v>8.0990000000000002</v>
      </c>
    </row>
    <row r="7" spans="1:42">
      <c r="A7">
        <f>main!A8</f>
        <v>2018</v>
      </c>
      <c r="B7" t="str">
        <f>main!B8</f>
        <v>47_1000</v>
      </c>
      <c r="C7">
        <f>main!C8</f>
        <v>2</v>
      </c>
      <c r="D7" t="str">
        <f>main!$B$6</f>
        <v>McLane-PARFLUX-Mark78H-21 ; frame controller sn 12419-01, frame sn 12419-01, motor sn 12419-01, cup set O250x21</v>
      </c>
      <c r="E7">
        <v>1000</v>
      </c>
      <c r="F7" s="97">
        <f>main!E8</f>
        <v>245.78571428571428</v>
      </c>
      <c r="G7" s="90">
        <f>main!I8</f>
        <v>28.915966386554622</v>
      </c>
      <c r="H7" s="101">
        <f>main!J8</f>
        <v>10.561556722689076</v>
      </c>
      <c r="I7" s="101">
        <f>main!AF8</f>
        <v>76.935824783728762</v>
      </c>
      <c r="J7" s="101">
        <f>main!AG8</f>
        <v>9.2319699746178809</v>
      </c>
      <c r="K7" s="101">
        <f>main!M8</f>
        <v>18.464334487915039</v>
      </c>
      <c r="L7" s="101">
        <f>main!O8</f>
        <v>1.1302868127822876</v>
      </c>
      <c r="M7" s="101">
        <f>main!AH8</f>
        <v>9.2323645132971581</v>
      </c>
      <c r="N7" s="101">
        <f>main!AB8</f>
        <v>0.70060000092503527</v>
      </c>
      <c r="O7" s="101">
        <f>main!AC8</f>
        <v>1.4987203294975211</v>
      </c>
      <c r="P7" s="101">
        <f t="shared" ref="P7:P31" si="2">(I7/100)*$H7</f>
        <v>8.1256207746021936</v>
      </c>
      <c r="Q7" s="101">
        <f>(J7/100)*$H7</f>
        <v>0.97503974549089178</v>
      </c>
      <c r="R7" s="101">
        <f t="shared" ref="R7:R31" si="3">(K7/100)*$H7</f>
        <v>1.9501211604081883</v>
      </c>
      <c r="S7" s="101">
        <f t="shared" ref="S7:S31" si="4">(L7/100)*$H7</f>
        <v>0.11937588286107578</v>
      </c>
      <c r="T7" s="101">
        <f t="shared" ref="T7:T31" si="5">(M7/100)*$H7</f>
        <v>0.97508141491729672</v>
      </c>
      <c r="U7" s="101">
        <f t="shared" ref="U7:U31" si="6">(O7/100)*$H7</f>
        <v>0.15828819771435329</v>
      </c>
      <c r="V7" s="67">
        <f>main!T8</f>
        <v>43190</v>
      </c>
      <c r="W7" s="67">
        <f>main!U8</f>
        <v>43207</v>
      </c>
      <c r="X7" s="67">
        <f>main!V8</f>
        <v>43198.5</v>
      </c>
      <c r="Y7" s="97">
        <f>main!H8</f>
        <v>17</v>
      </c>
      <c r="Z7" s="90">
        <f t="shared" ref="Z7:Z31" si="7">(N7/100)*$H7</f>
        <v>7.3994266496857794E-2</v>
      </c>
      <c r="AA7" s="90">
        <f>R7/12.01</f>
        <v>0.1623747843803654</v>
      </c>
      <c r="AB7" s="90">
        <f t="shared" ref="AB7:AB31" si="8">S7/14.01</f>
        <v>8.5207625168505201E-3</v>
      </c>
      <c r="AC7" s="90">
        <f t="shared" ref="AC7:AC31" si="9">T7/12.01</f>
        <v>8.1189126970632533E-2</v>
      </c>
      <c r="AD7" s="90">
        <f t="shared" ref="AD7:AD31" si="10">Q7/12.01</f>
        <v>8.1185657409732867E-2</v>
      </c>
      <c r="AE7" s="395">
        <f t="shared" ref="AE7:AE31" si="11">Z7/28.09</f>
        <v>2.6341853505467351E-3</v>
      </c>
      <c r="AF7" s="101">
        <f>depths!$B$2</f>
        <v>776.42</v>
      </c>
      <c r="AH7" s="101">
        <f t="shared" ref="AH7:AH31" si="12">AA7*1000</f>
        <v>162.37478438036541</v>
      </c>
      <c r="AI7" s="101">
        <f t="shared" ref="AI7:AI31" si="13">AB7*1000</f>
        <v>8.520762516850521</v>
      </c>
      <c r="AJ7" s="101">
        <f>AC7*1000</f>
        <v>81.189126970632529</v>
      </c>
      <c r="AK7" s="101">
        <f t="shared" ref="AK7:AK31" si="14">AD7*1000</f>
        <v>81.185657409732869</v>
      </c>
      <c r="AL7" s="101">
        <f t="shared" ref="AL7:AL31" si="15">AE7*1000</f>
        <v>2.6341853505467352</v>
      </c>
      <c r="AM7" s="101">
        <f t="shared" ref="AM7:AM31" si="16">AJ7/AI7</f>
        <v>9.5283874899780674</v>
      </c>
      <c r="AN7" s="101">
        <f t="shared" ref="AN7:AN31" si="17">AK7/AI7</f>
        <v>9.5279803009626711</v>
      </c>
      <c r="AO7" s="101">
        <f>main!R8</f>
        <v>34.409999999999997</v>
      </c>
      <c r="AP7" s="101">
        <f>main!S8</f>
        <v>8.0449999999999999</v>
      </c>
    </row>
    <row r="8" spans="1:42">
      <c r="A8">
        <f>main!A9</f>
        <v>2018</v>
      </c>
      <c r="B8" t="str">
        <f>main!B9</f>
        <v>47_1000</v>
      </c>
      <c r="C8">
        <f>main!C9</f>
        <v>3</v>
      </c>
      <c r="D8" t="str">
        <f>main!$B$6</f>
        <v>McLane-PARFLUX-Mark78H-21 ; frame controller sn 12419-01, frame sn 12419-01, motor sn 12419-01, cup set O250x21</v>
      </c>
      <c r="E8">
        <v>1000</v>
      </c>
      <c r="F8" s="97">
        <f>main!E9</f>
        <v>221.41428571428571</v>
      </c>
      <c r="G8" s="90">
        <f>main!I9</f>
        <v>26.048739495798319</v>
      </c>
      <c r="H8" s="101">
        <f>main!J9</f>
        <v>9.5143021008403377</v>
      </c>
      <c r="I8" s="101">
        <f>main!AF9</f>
        <v>95.056545469080149</v>
      </c>
      <c r="J8" s="101">
        <f>main!AG9</f>
        <v>11.406378967513756</v>
      </c>
      <c r="K8" s="101">
        <f>main!M9</f>
        <v>13.149158477783203</v>
      </c>
      <c r="L8" s="101">
        <f>main!O9</f>
        <v>0.26112067699432373</v>
      </c>
      <c r="M8" s="101">
        <f>main!AH9</f>
        <v>1.7427795102694468</v>
      </c>
      <c r="N8" s="101">
        <f>main!AB9</f>
        <v>0.11143208474468959</v>
      </c>
      <c r="O8" s="101">
        <f>main!AC9</f>
        <v>0.23837500791414734</v>
      </c>
      <c r="P8" s="101">
        <f t="shared" si="2"/>
        <v>9.0439669025509435</v>
      </c>
      <c r="Q8" s="101">
        <f t="shared" ref="Q8:Q31" si="18">(J8/100)*$H8</f>
        <v>1.0852373537359719</v>
      </c>
      <c r="R8" s="101">
        <f>(K8/100)*$H8</f>
        <v>1.2510506612945527</v>
      </c>
      <c r="S8" s="101">
        <f t="shared" si="4"/>
        <v>2.4843810056999455E-2</v>
      </c>
      <c r="T8" s="101">
        <f t="shared" si="5"/>
        <v>0.16581330755858092</v>
      </c>
      <c r="U8" s="101">
        <f t="shared" si="6"/>
        <v>2.2679718385854041E-2</v>
      </c>
      <c r="V8" s="67">
        <f>main!T9</f>
        <v>43207</v>
      </c>
      <c r="W8" s="67">
        <f>main!U9</f>
        <v>43224</v>
      </c>
      <c r="X8" s="67">
        <f>main!V9</f>
        <v>43215.5</v>
      </c>
      <c r="Y8" s="97">
        <f>main!H9</f>
        <v>17</v>
      </c>
      <c r="Z8" s="90">
        <f t="shared" si="7"/>
        <v>1.0601985179874186E-2</v>
      </c>
      <c r="AA8" s="90">
        <f t="shared" ref="AA8:AA31" si="19">R8/12.01</f>
        <v>0.10416741559488366</v>
      </c>
      <c r="AB8" s="90">
        <f t="shared" si="8"/>
        <v>1.7732912246252288E-3</v>
      </c>
      <c r="AC8" s="90">
        <f t="shared" si="9"/>
        <v>1.3806270404544624E-2</v>
      </c>
      <c r="AD8" s="90">
        <f t="shared" si="10"/>
        <v>9.036114519033904E-2</v>
      </c>
      <c r="AE8" s="395">
        <f t="shared" si="11"/>
        <v>3.774291626868703E-4</v>
      </c>
      <c r="AF8" s="101">
        <f>depths!$B$2</f>
        <v>776.42</v>
      </c>
      <c r="AH8" s="101">
        <f t="shared" si="12"/>
        <v>104.16741559488365</v>
      </c>
      <c r="AI8" s="101">
        <f t="shared" si="13"/>
        <v>1.7732912246252288</v>
      </c>
      <c r="AJ8" s="101">
        <f t="shared" ref="AJ8:AJ31" si="20">AC8*1000</f>
        <v>13.806270404544625</v>
      </c>
      <c r="AK8" s="101">
        <f>AD8*1000</f>
        <v>90.361145190339045</v>
      </c>
      <c r="AL8" s="101">
        <f t="shared" si="15"/>
        <v>0.37742916268687032</v>
      </c>
      <c r="AM8" s="101">
        <f t="shared" si="16"/>
        <v>7.78567570448699</v>
      </c>
      <c r="AN8" s="101">
        <f t="shared" si="17"/>
        <v>50.956742996027721</v>
      </c>
      <c r="AO8" s="101">
        <f>main!R9</f>
        <v>34.22</v>
      </c>
      <c r="AP8" s="101">
        <f>main!S9</f>
        <v>8.1460000000000008</v>
      </c>
    </row>
    <row r="9" spans="1:42">
      <c r="A9">
        <f>main!A10</f>
        <v>2018</v>
      </c>
      <c r="B9" t="str">
        <f>main!B10</f>
        <v>47_1000</v>
      </c>
      <c r="C9">
        <f>main!C10</f>
        <v>4</v>
      </c>
      <c r="D9" t="str">
        <f>main!$B$6</f>
        <v>McLane-PARFLUX-Mark78H-21 ; frame controller sn 12419-01, frame sn 12419-01, motor sn 12419-01, cup set O250x21</v>
      </c>
      <c r="E9">
        <v>1000</v>
      </c>
      <c r="F9" s="97">
        <f>main!E10</f>
        <v>111.82857142857144</v>
      </c>
      <c r="G9" s="90">
        <f>main!I10</f>
        <v>13.156302521008405</v>
      </c>
      <c r="H9" s="101">
        <f>main!J10</f>
        <v>4.8053394957983198</v>
      </c>
      <c r="I9" s="101">
        <f>main!AF10</f>
        <v>88.614830630948248</v>
      </c>
      <c r="J9" s="101">
        <f>main!AG10</f>
        <v>10.633400733539439</v>
      </c>
      <c r="K9" s="101">
        <f>main!M10</f>
        <v>14.327220916748047</v>
      </c>
      <c r="L9" s="101">
        <f>main!O10</f>
        <v>0.57253855466842651</v>
      </c>
      <c r="M9" s="101">
        <f>main!AH10</f>
        <v>3.6938201832086079</v>
      </c>
      <c r="N9" s="101">
        <f>main!AB10</f>
        <v>0.28834022634973727</v>
      </c>
      <c r="O9" s="101">
        <f>main!AC10</f>
        <v>0.61681609830387008</v>
      </c>
      <c r="P9" s="101">
        <f t="shared" si="2"/>
        <v>4.2582434554437434</v>
      </c>
      <c r="Q9" s="101">
        <f t="shared" si="18"/>
        <v>0.51097100519527894</v>
      </c>
      <c r="R9" s="101">
        <f t="shared" si="3"/>
        <v>0.68847160536277197</v>
      </c>
      <c r="S9" s="101">
        <f>(L9/100)*$H9</f>
        <v>2.7512421296154752E-2</v>
      </c>
      <c r="T9" s="101">
        <f t="shared" si="5"/>
        <v>0.17750060016749308</v>
      </c>
      <c r="U9" s="101">
        <f t="shared" si="6"/>
        <v>2.9640107588238058E-2</v>
      </c>
      <c r="V9" s="67">
        <f>main!T10</f>
        <v>43224</v>
      </c>
      <c r="W9" s="67">
        <f>main!U10</f>
        <v>43241</v>
      </c>
      <c r="X9" s="67">
        <f>main!V10</f>
        <v>43232.5</v>
      </c>
      <c r="Y9" s="97">
        <f>main!H10</f>
        <v>17</v>
      </c>
      <c r="Z9" s="90">
        <f t="shared" si="7"/>
        <v>1.3855726779058199E-2</v>
      </c>
      <c r="AA9" s="90">
        <f t="shared" si="19"/>
        <v>5.732486306101349E-2</v>
      </c>
      <c r="AB9" s="90">
        <f t="shared" si="8"/>
        <v>1.9637702566848501E-3</v>
      </c>
      <c r="AC9" s="90">
        <f t="shared" si="9"/>
        <v>1.4779400513529816E-2</v>
      </c>
      <c r="AD9" s="90">
        <f t="shared" si="10"/>
        <v>4.2545462547483676E-2</v>
      </c>
      <c r="AE9" s="395">
        <f t="shared" si="11"/>
        <v>4.9326190028687071E-4</v>
      </c>
      <c r="AF9" s="101">
        <f>depths!$B$2</f>
        <v>776.42</v>
      </c>
      <c r="AH9" s="101">
        <f t="shared" si="12"/>
        <v>57.324863061013488</v>
      </c>
      <c r="AI9" s="101">
        <f t="shared" si="13"/>
        <v>1.9637702566848501</v>
      </c>
      <c r="AJ9" s="101">
        <f t="shared" si="20"/>
        <v>14.779400513529815</v>
      </c>
      <c r="AK9" s="101">
        <f t="shared" si="14"/>
        <v>42.545462547483673</v>
      </c>
      <c r="AL9" s="101">
        <f>AE9*1000</f>
        <v>0.49326190028687072</v>
      </c>
      <c r="AM9" s="101">
        <f t="shared" si="16"/>
        <v>7.5260333856363344</v>
      </c>
      <c r="AN9" s="101">
        <f t="shared" si="17"/>
        <v>21.66519347294069</v>
      </c>
      <c r="AO9" s="101">
        <f>main!R10</f>
        <v>34.26</v>
      </c>
      <c r="AP9" s="101">
        <f>main!S10</f>
        <v>8.0690000000000008</v>
      </c>
    </row>
    <row r="10" spans="1:42">
      <c r="A10">
        <f>main!A11</f>
        <v>2018</v>
      </c>
      <c r="B10" t="str">
        <f>main!B11</f>
        <v>47_1000</v>
      </c>
      <c r="C10">
        <f>main!C11</f>
        <v>5</v>
      </c>
      <c r="D10" t="str">
        <f>main!$B$6</f>
        <v>McLane-PARFLUX-Mark78H-21 ; frame controller sn 12419-01, frame sn 12419-01, motor sn 12419-01, cup set O250x21</v>
      </c>
      <c r="E10">
        <v>1000</v>
      </c>
      <c r="F10" s="97">
        <f>main!E11</f>
        <v>39.985714285714288</v>
      </c>
      <c r="G10" s="90">
        <f>main!I11</f>
        <v>4.7042016806722691</v>
      </c>
      <c r="H10" s="101">
        <f>main!J11</f>
        <v>1.7182096638655464</v>
      </c>
      <c r="I10" s="101" t="str">
        <f>main!AF11</f>
        <v>NA</v>
      </c>
      <c r="J10" s="101" t="str">
        <f>main!AG11</f>
        <v>NA</v>
      </c>
      <c r="K10" s="101" t="str">
        <f>main!M11</f>
        <v>NA</v>
      </c>
      <c r="L10" s="101" t="str">
        <f>main!O11</f>
        <v>NA</v>
      </c>
      <c r="M10" s="101" t="str">
        <f>main!AH11</f>
        <v>NA</v>
      </c>
      <c r="N10" s="101" t="str">
        <f>main!AB11</f>
        <v>NA</v>
      </c>
      <c r="O10" s="101" t="str">
        <f>main!AC11</f>
        <v>NA</v>
      </c>
      <c r="P10" s="101" t="s">
        <v>2622</v>
      </c>
      <c r="Q10" s="101" t="s">
        <v>2622</v>
      </c>
      <c r="R10" s="101" t="s">
        <v>2622</v>
      </c>
      <c r="S10" s="101" t="s">
        <v>2622</v>
      </c>
      <c r="T10" s="101" t="s">
        <v>2622</v>
      </c>
      <c r="U10" s="101" t="s">
        <v>2622</v>
      </c>
      <c r="V10" s="67">
        <f>main!T11</f>
        <v>43241</v>
      </c>
      <c r="W10" s="67">
        <f>main!U11</f>
        <v>43258</v>
      </c>
      <c r="X10" s="67">
        <f>main!V11</f>
        <v>43249.5</v>
      </c>
      <c r="Y10" s="97">
        <f>main!H11</f>
        <v>17</v>
      </c>
      <c r="Z10" s="90" t="s">
        <v>3357</v>
      </c>
      <c r="AA10" s="90" t="s">
        <v>2622</v>
      </c>
      <c r="AB10" s="90" t="s">
        <v>2622</v>
      </c>
      <c r="AC10" s="90" t="s">
        <v>2622</v>
      </c>
      <c r="AD10" s="90" t="s">
        <v>2622</v>
      </c>
      <c r="AE10" s="90" t="s">
        <v>2622</v>
      </c>
      <c r="AF10" s="101">
        <f>depths!$B$2</f>
        <v>776.42</v>
      </c>
      <c r="AH10" s="101" t="s">
        <v>2622</v>
      </c>
      <c r="AI10" s="101" t="s">
        <v>2622</v>
      </c>
      <c r="AJ10" s="101" t="s">
        <v>2622</v>
      </c>
      <c r="AK10" s="101" t="s">
        <v>2622</v>
      </c>
      <c r="AL10" s="101" t="s">
        <v>2622</v>
      </c>
      <c r="AM10" s="101" t="s">
        <v>2622</v>
      </c>
      <c r="AN10" s="101" t="s">
        <v>2622</v>
      </c>
      <c r="AO10" s="101">
        <f>main!R11</f>
        <v>34.555</v>
      </c>
      <c r="AP10" s="101">
        <f>main!S11</f>
        <v>7.4964999999999993</v>
      </c>
    </row>
    <row r="11" spans="1:42">
      <c r="A11">
        <f>main!A12</f>
        <v>2018</v>
      </c>
      <c r="B11" t="str">
        <f>main!B12</f>
        <v>47_1000</v>
      </c>
      <c r="C11">
        <f>main!C12</f>
        <v>6</v>
      </c>
      <c r="D11" t="str">
        <f>main!$B$6</f>
        <v>McLane-PARFLUX-Mark78H-21 ; frame controller sn 12419-01, frame sn 12419-01, motor sn 12419-01, cup set O250x21</v>
      </c>
      <c r="E11">
        <v>1000</v>
      </c>
      <c r="F11" s="97">
        <f>main!E12</f>
        <v>18.157142857142858</v>
      </c>
      <c r="G11" s="90">
        <f>main!I12</f>
        <v>2.1361344537815126</v>
      </c>
      <c r="H11" s="101">
        <f>main!J12</f>
        <v>0.78022310924369753</v>
      </c>
      <c r="I11" s="101">
        <f>main!AF12</f>
        <v>52.788837032790425</v>
      </c>
      <c r="J11" s="101">
        <f>main!AG12</f>
        <v>6.3344347038804578</v>
      </c>
      <c r="K11" s="101">
        <f>main!M12</f>
        <v>22.348100662231445</v>
      </c>
      <c r="L11" s="101">
        <f>main!O12</f>
        <v>2.6412904262542725</v>
      </c>
      <c r="M11" s="101">
        <f>main!AH12</f>
        <v>16.013665958350987</v>
      </c>
      <c r="N11" s="101">
        <f>main!AB12</f>
        <v>0.49115051534407933</v>
      </c>
      <c r="O11" s="101">
        <f>main!AC12</f>
        <v>1.0506669443583385</v>
      </c>
      <c r="P11" s="101">
        <f t="shared" si="2"/>
        <v>0.4118707056308259</v>
      </c>
      <c r="Q11" s="101">
        <f t="shared" si="18"/>
        <v>4.9422723399627916E-2</v>
      </c>
      <c r="R11" s="101">
        <f t="shared" si="3"/>
        <v>0.17436504584377355</v>
      </c>
      <c r="S11" s="101">
        <f t="shared" si="4"/>
        <v>2.0607958287877197E-2</v>
      </c>
      <c r="T11" s="101">
        <f>(M11/100)*$H11</f>
        <v>0.12494232244414562</v>
      </c>
      <c r="U11" s="101">
        <f t="shared" si="6"/>
        <v>8.1975463010683786E-3</v>
      </c>
      <c r="V11" s="67">
        <f>main!T12</f>
        <v>43258</v>
      </c>
      <c r="W11" s="67">
        <f>main!U12</f>
        <v>43275</v>
      </c>
      <c r="X11" s="67">
        <f>main!V12</f>
        <v>43266.5</v>
      </c>
      <c r="Y11" s="97">
        <f>main!H12</f>
        <v>17</v>
      </c>
      <c r="Z11" s="90">
        <f t="shared" si="7"/>
        <v>3.8320698218840192E-3</v>
      </c>
      <c r="AA11" s="90">
        <f t="shared" si="19"/>
        <v>1.4518321885409954E-2</v>
      </c>
      <c r="AB11" s="90">
        <f t="shared" si="8"/>
        <v>1.4709463446022268E-3</v>
      </c>
      <c r="AC11" s="90">
        <f t="shared" si="9"/>
        <v>1.0403190877947178E-2</v>
      </c>
      <c r="AD11" s="90">
        <f>Q11/12.01</f>
        <v>4.1151310074627745E-3</v>
      </c>
      <c r="AE11" s="395">
        <f t="shared" si="11"/>
        <v>1.3642113997451119E-4</v>
      </c>
      <c r="AF11" s="101">
        <f>depths!$B$2</f>
        <v>776.42</v>
      </c>
      <c r="AH11" s="101">
        <f t="shared" si="12"/>
        <v>14.518321885409954</v>
      </c>
      <c r="AI11" s="101">
        <f t="shared" si="13"/>
        <v>1.4709463446022268</v>
      </c>
      <c r="AJ11" s="101">
        <f t="shared" si="20"/>
        <v>10.403190877947178</v>
      </c>
      <c r="AK11" s="101">
        <f t="shared" si="14"/>
        <v>4.1151310074627743</v>
      </c>
      <c r="AL11" s="101">
        <f t="shared" si="15"/>
        <v>0.13642113997451119</v>
      </c>
      <c r="AM11" s="101">
        <f>AJ11/AI11</f>
        <v>7.0724475546797789</v>
      </c>
      <c r="AN11" s="101">
        <f t="shared" si="17"/>
        <v>2.7976078274803338</v>
      </c>
      <c r="AO11" s="101">
        <f>main!R12</f>
        <v>34.21</v>
      </c>
      <c r="AP11" s="101">
        <f>main!S12</f>
        <v>7.88</v>
      </c>
    </row>
    <row r="12" spans="1:42">
      <c r="A12">
        <f>main!A13</f>
        <v>2018</v>
      </c>
      <c r="B12" t="str">
        <f>main!B13</f>
        <v>47_1000</v>
      </c>
      <c r="C12">
        <f>main!C13</f>
        <v>7</v>
      </c>
      <c r="D12" t="str">
        <f>main!$B$6</f>
        <v>McLane-PARFLUX-Mark78H-21 ; frame controller sn 12419-01, frame sn 12419-01, motor sn 12419-01, cup set O250x21</v>
      </c>
      <c r="E12">
        <v>1000</v>
      </c>
      <c r="F12" s="97">
        <f>main!E13</f>
        <v>24.357142857142854</v>
      </c>
      <c r="G12" s="90">
        <f>main!I13</f>
        <v>2.8655462184873945</v>
      </c>
      <c r="H12" s="101">
        <f>main!J13</f>
        <v>1.0466407563025211</v>
      </c>
      <c r="I12" s="101">
        <f>main!AF13</f>
        <v>62.40103589859973</v>
      </c>
      <c r="J12" s="101">
        <f>main!AG13</f>
        <v>7.4878574632862316</v>
      </c>
      <c r="K12" s="101">
        <f>main!M13</f>
        <v>14.52754020690918</v>
      </c>
      <c r="L12" s="101">
        <f>main!O13</f>
        <v>1.6864792108535767</v>
      </c>
      <c r="M12" s="101">
        <f>main!AH13</f>
        <v>7.0396827436229481</v>
      </c>
      <c r="N12" s="101">
        <f>main!AB13</f>
        <v>0.87233667623988664</v>
      </c>
      <c r="O12" s="101">
        <f>main!AC13</f>
        <v>1.8660986427644994</v>
      </c>
      <c r="P12" s="101">
        <f t="shared" si="2"/>
        <v>0.65311467406971191</v>
      </c>
      <c r="Q12" s="101">
        <f t="shared" si="18"/>
        <v>7.8370967984593795E-2</v>
      </c>
      <c r="R12" s="101">
        <f t="shared" si="3"/>
        <v>0.15205115669374705</v>
      </c>
      <c r="S12" s="101">
        <f t="shared" si="4"/>
        <v>1.7651378767362665E-2</v>
      </c>
      <c r="T12" s="101">
        <f t="shared" si="5"/>
        <v>7.3680188709153285E-2</v>
      </c>
      <c r="U12" s="101">
        <f>(O12/100)*$H12</f>
        <v>1.9531348947981437E-2</v>
      </c>
      <c r="V12" s="67">
        <f>main!T13</f>
        <v>43275</v>
      </c>
      <c r="W12" s="67">
        <f>main!U13</f>
        <v>43292</v>
      </c>
      <c r="X12" s="67">
        <f>main!V13</f>
        <v>43283.5</v>
      </c>
      <c r="Y12" s="97">
        <f>main!H13</f>
        <v>17</v>
      </c>
      <c r="Z12" s="90">
        <f t="shared" si="7"/>
        <v>9.1302311857014238E-3</v>
      </c>
      <c r="AA12" s="90">
        <f t="shared" si="19"/>
        <v>1.2660379408305333E-2</v>
      </c>
      <c r="AB12" s="90">
        <f t="shared" si="8"/>
        <v>1.2599128313606472E-3</v>
      </c>
      <c r="AC12" s="90">
        <f>T12/12.01</f>
        <v>6.1349033063408231E-3</v>
      </c>
      <c r="AD12" s="90">
        <f t="shared" si="10"/>
        <v>6.5254761019645129E-3</v>
      </c>
      <c r="AE12" s="395">
        <f t="shared" si="11"/>
        <v>3.2503493007125041E-4</v>
      </c>
      <c r="AF12" s="101">
        <f>depths!$B$2</f>
        <v>776.42</v>
      </c>
      <c r="AH12" s="101">
        <f t="shared" si="12"/>
        <v>12.660379408305333</v>
      </c>
      <c r="AI12" s="101">
        <f t="shared" si="13"/>
        <v>1.2599128313606471</v>
      </c>
      <c r="AJ12" s="101">
        <f t="shared" si="20"/>
        <v>6.1349033063408234</v>
      </c>
      <c r="AK12" s="101">
        <f t="shared" si="14"/>
        <v>6.5254761019645127</v>
      </c>
      <c r="AL12" s="101">
        <f t="shared" si="15"/>
        <v>0.32503493007125039</v>
      </c>
      <c r="AM12" s="101">
        <f t="shared" si="16"/>
        <v>4.8693077438662273</v>
      </c>
      <c r="AN12" s="101">
        <f>AK12/AI12</f>
        <v>5.1793075993339182</v>
      </c>
      <c r="AO12" s="101">
        <f>main!R13</f>
        <v>34.14</v>
      </c>
      <c r="AP12" s="101">
        <f>main!S13</f>
        <v>7.944</v>
      </c>
    </row>
    <row r="13" spans="1:42">
      <c r="A13">
        <f>main!A14</f>
        <v>2018</v>
      </c>
      <c r="B13" t="str">
        <f>main!B14</f>
        <v>47_1000</v>
      </c>
      <c r="C13">
        <f>main!C14</f>
        <v>8</v>
      </c>
      <c r="D13" t="str">
        <f>main!$B$6</f>
        <v>McLane-PARFLUX-Mark78H-21 ; frame controller sn 12419-01, frame sn 12419-01, motor sn 12419-01, cup set O250x21</v>
      </c>
      <c r="E13">
        <v>1000</v>
      </c>
      <c r="F13" s="97">
        <f>main!E14</f>
        <v>31.014285714285712</v>
      </c>
      <c r="G13" s="90">
        <f>main!I14</f>
        <v>3.6487394957983192</v>
      </c>
      <c r="H13" s="101">
        <f>main!J14</f>
        <v>1.3327021008403361</v>
      </c>
      <c r="I13" s="101" t="str">
        <f>main!AF14</f>
        <v>NA</v>
      </c>
      <c r="J13" s="101" t="str">
        <f>main!AG14</f>
        <v>NA</v>
      </c>
      <c r="K13" s="101" t="str">
        <f>main!M14</f>
        <v>NA</v>
      </c>
      <c r="L13" s="101" t="str">
        <f>main!O14</f>
        <v>NA</v>
      </c>
      <c r="M13" s="101" t="str">
        <f>main!AH14</f>
        <v>NA</v>
      </c>
      <c r="N13" s="101" t="str">
        <f>main!AB14</f>
        <v>NA</v>
      </c>
      <c r="O13" s="101" t="str">
        <f>main!AC14</f>
        <v>NA</v>
      </c>
      <c r="P13" s="101" t="s">
        <v>2622</v>
      </c>
      <c r="Q13" s="101" t="s">
        <v>2622</v>
      </c>
      <c r="R13" s="101" t="s">
        <v>2622</v>
      </c>
      <c r="S13" s="101" t="s">
        <v>2622</v>
      </c>
      <c r="T13" s="101" t="s">
        <v>2622</v>
      </c>
      <c r="U13" s="101" t="s">
        <v>2622</v>
      </c>
      <c r="V13" s="67">
        <f>main!T14</f>
        <v>43292</v>
      </c>
      <c r="W13" s="67">
        <f>main!U14</f>
        <v>43309</v>
      </c>
      <c r="X13" s="67">
        <f>main!V14</f>
        <v>43300.5</v>
      </c>
      <c r="Y13" s="97">
        <f>main!H14</f>
        <v>17</v>
      </c>
      <c r="Z13" s="90" t="s">
        <v>2622</v>
      </c>
      <c r="AA13" s="90" t="s">
        <v>2622</v>
      </c>
      <c r="AB13" s="90" t="s">
        <v>2622</v>
      </c>
      <c r="AC13" s="90" t="s">
        <v>2622</v>
      </c>
      <c r="AD13" s="90" t="s">
        <v>2622</v>
      </c>
      <c r="AE13" s="90" t="s">
        <v>2622</v>
      </c>
      <c r="AF13" s="101">
        <f>depths!$B$2</f>
        <v>776.42</v>
      </c>
      <c r="AH13" s="101" t="s">
        <v>2622</v>
      </c>
      <c r="AI13" s="101" t="s">
        <v>2622</v>
      </c>
      <c r="AJ13" s="101" t="s">
        <v>2622</v>
      </c>
      <c r="AK13" s="101" t="s">
        <v>2622</v>
      </c>
      <c r="AL13" s="101" t="s">
        <v>2622</v>
      </c>
      <c r="AM13" s="101" t="s">
        <v>2622</v>
      </c>
      <c r="AN13" s="101" t="s">
        <v>2622</v>
      </c>
      <c r="AO13" s="101">
        <f>main!R14</f>
        <v>34.42</v>
      </c>
      <c r="AP13" s="101">
        <f>main!S14</f>
        <v>7.4980000000000002</v>
      </c>
    </row>
    <row r="14" spans="1:42">
      <c r="A14">
        <f>main!A15</f>
        <v>2018</v>
      </c>
      <c r="B14" t="str">
        <f>main!B15</f>
        <v>47_1000</v>
      </c>
      <c r="C14">
        <f>main!C15</f>
        <v>9</v>
      </c>
      <c r="D14" t="str">
        <f>main!$B$6</f>
        <v>McLane-PARFLUX-Mark78H-21 ; frame controller sn 12419-01, frame sn 12419-01, motor sn 12419-01, cup set O250x21</v>
      </c>
      <c r="E14">
        <v>1000</v>
      </c>
      <c r="F14" s="97">
        <f>main!E15</f>
        <v>130.57142857142858</v>
      </c>
      <c r="G14" s="90">
        <f>main!I15</f>
        <v>15.361344537815128</v>
      </c>
      <c r="H14" s="101">
        <f>main!J15</f>
        <v>5.6107310924369758</v>
      </c>
      <c r="I14" s="101">
        <f>main!AF15</f>
        <v>65.562312598881192</v>
      </c>
      <c r="J14" s="101">
        <f>main!AG15</f>
        <v>7.8671971488033208</v>
      </c>
      <c r="K14" s="101">
        <f>main!M15</f>
        <v>17.012327194213867</v>
      </c>
      <c r="L14" s="101">
        <f>main!O15</f>
        <v>1.703624963760376</v>
      </c>
      <c r="M14" s="101">
        <f>main!AH15</f>
        <v>9.1451300454105464</v>
      </c>
      <c r="N14" s="101">
        <f>main!AB15</f>
        <v>2.7596372216964755</v>
      </c>
      <c r="O14" s="101">
        <f>main!AC15</f>
        <v>5.9034033695885091</v>
      </c>
      <c r="P14" s="101">
        <f t="shared" si="2"/>
        <v>3.6785250579061515</v>
      </c>
      <c r="Q14" s="101">
        <f t="shared" si="18"/>
        <v>0.44140727653122314</v>
      </c>
      <c r="R14" s="101">
        <f t="shared" si="3"/>
        <v>0.95451593143286839</v>
      </c>
      <c r="S14" s="101">
        <f t="shared" si="4"/>
        <v>9.558581554022158E-2</v>
      </c>
      <c r="T14" s="101">
        <f t="shared" si="5"/>
        <v>0.51310865490164526</v>
      </c>
      <c r="U14" s="101">
        <f t="shared" si="6"/>
        <v>0.33122408836947459</v>
      </c>
      <c r="V14" s="67">
        <f>main!T15</f>
        <v>43309</v>
      </c>
      <c r="W14" s="67">
        <f>main!U15</f>
        <v>43326</v>
      </c>
      <c r="X14" s="67">
        <f>main!V15</f>
        <v>43317.5</v>
      </c>
      <c r="Y14" s="97">
        <f>main!H15</f>
        <v>17</v>
      </c>
      <c r="Z14" s="90">
        <f t="shared" si="7"/>
        <v>0.15483582363618809</v>
      </c>
      <c r="AA14" s="90">
        <f t="shared" si="19"/>
        <v>7.9476763649697621E-2</v>
      </c>
      <c r="AB14" s="90">
        <f>S14/14.01</f>
        <v>6.8226849065111768E-3</v>
      </c>
      <c r="AC14" s="90">
        <f t="shared" si="9"/>
        <v>4.2723451698721507E-2</v>
      </c>
      <c r="AD14" s="90">
        <f t="shared" si="10"/>
        <v>3.6753311950976114E-2</v>
      </c>
      <c r="AE14" s="395">
        <f t="shared" si="11"/>
        <v>5.5121332729152041E-3</v>
      </c>
      <c r="AF14" s="101">
        <f>depths!$B$2</f>
        <v>776.42</v>
      </c>
      <c r="AH14" s="101">
        <f t="shared" si="12"/>
        <v>79.476763649697617</v>
      </c>
      <c r="AI14" s="101">
        <f t="shared" si="13"/>
        <v>6.822684906511177</v>
      </c>
      <c r="AJ14" s="101">
        <f t="shared" si="20"/>
        <v>42.723451698721504</v>
      </c>
      <c r="AK14" s="101">
        <f t="shared" si="14"/>
        <v>36.753311950976112</v>
      </c>
      <c r="AL14" s="101">
        <f t="shared" si="15"/>
        <v>5.5121332729152037</v>
      </c>
      <c r="AM14" s="101">
        <f t="shared" si="16"/>
        <v>6.2619705122170757</v>
      </c>
      <c r="AN14" s="101">
        <f t="shared" si="17"/>
        <v>5.386927940333412</v>
      </c>
      <c r="AO14" s="101">
        <f>main!R15</f>
        <v>37.67</v>
      </c>
      <c r="AP14" s="101">
        <f>main!S15</f>
        <v>8.0449999999999999</v>
      </c>
    </row>
    <row r="15" spans="1:42">
      <c r="A15">
        <f>main!A16</f>
        <v>2018</v>
      </c>
      <c r="B15" t="str">
        <f>main!B16</f>
        <v>47_1000</v>
      </c>
      <c r="C15">
        <f>main!C16</f>
        <v>10</v>
      </c>
      <c r="D15" t="str">
        <f>main!$B$6</f>
        <v>McLane-PARFLUX-Mark78H-21 ; frame controller sn 12419-01, frame sn 12419-01, motor sn 12419-01, cup set O250x21</v>
      </c>
      <c r="E15">
        <v>1000</v>
      </c>
      <c r="F15" s="97">
        <f>main!E16</f>
        <v>135.87142857142857</v>
      </c>
      <c r="G15" s="90">
        <f>main!I16</f>
        <v>15.984873949579832</v>
      </c>
      <c r="H15" s="101">
        <f>main!J16</f>
        <v>5.8384752100840345</v>
      </c>
      <c r="I15" s="101">
        <f>main!AF16</f>
        <v>71.277577819822241</v>
      </c>
      <c r="J15" s="101">
        <f>main!AG16</f>
        <v>8.5530045352195465</v>
      </c>
      <c r="K15" s="101">
        <f>main!M16</f>
        <v>17.110343933105469</v>
      </c>
      <c r="L15" s="101">
        <f>main!O16</f>
        <v>1.6167234182357788</v>
      </c>
      <c r="M15" s="101">
        <f>main!AH16</f>
        <v>8.5573393978859222</v>
      </c>
      <c r="N15" s="101">
        <f>main!AB16</f>
        <v>1.7420282981914221</v>
      </c>
      <c r="O15" s="101">
        <f>main!AC16</f>
        <v>3.7265389974482943</v>
      </c>
      <c r="P15" s="101">
        <f t="shared" si="2"/>
        <v>4.1615237113586785</v>
      </c>
      <c r="Q15" s="101">
        <f t="shared" si="18"/>
        <v>0.4993650495061564</v>
      </c>
      <c r="R15" s="101">
        <f t="shared" si="3"/>
        <v>0.99898318889448035</v>
      </c>
      <c r="S15" s="101">
        <f t="shared" si="4"/>
        <v>9.4391995989319175E-2</v>
      </c>
      <c r="T15" s="101">
        <f t="shared" si="5"/>
        <v>0.499618139388324</v>
      </c>
      <c r="U15" s="101">
        <f t="shared" si="6"/>
        <v>0.21757305556013276</v>
      </c>
      <c r="V15" s="67">
        <f>main!T16</f>
        <v>43326</v>
      </c>
      <c r="W15" s="67">
        <f>main!U16</f>
        <v>43343</v>
      </c>
      <c r="X15" s="67">
        <f>main!V16</f>
        <v>43334.5</v>
      </c>
      <c r="Y15" s="97">
        <f>main!H16</f>
        <v>17</v>
      </c>
      <c r="Z15" s="90">
        <f t="shared" si="7"/>
        <v>0.10170789034255497</v>
      </c>
      <c r="AA15" s="90">
        <f t="shared" si="19"/>
        <v>8.3179283005368893E-2</v>
      </c>
      <c r="AB15" s="90">
        <f t="shared" si="8"/>
        <v>6.7374729471319896E-3</v>
      </c>
      <c r="AC15" s="90">
        <f t="shared" si="9"/>
        <v>4.1600178133915408E-2</v>
      </c>
      <c r="AD15" s="90">
        <f t="shared" si="10"/>
        <v>4.1579104871453491E-2</v>
      </c>
      <c r="AE15" s="395">
        <f>Z15/28.09</f>
        <v>3.6207864130493048E-3</v>
      </c>
      <c r="AF15" s="101">
        <f>depths!$B$2</f>
        <v>776.42</v>
      </c>
      <c r="AH15" s="101">
        <f t="shared" si="12"/>
        <v>83.179283005368887</v>
      </c>
      <c r="AI15" s="101">
        <f t="shared" si="13"/>
        <v>6.7374729471319892</v>
      </c>
      <c r="AJ15" s="101">
        <f t="shared" si="20"/>
        <v>41.600178133915406</v>
      </c>
      <c r="AK15" s="101">
        <f t="shared" si="14"/>
        <v>41.579104871453488</v>
      </c>
      <c r="AL15" s="101">
        <f t="shared" si="15"/>
        <v>3.6207864130493048</v>
      </c>
      <c r="AM15" s="101">
        <f t="shared" si="16"/>
        <v>6.1744482627754058</v>
      </c>
      <c r="AN15" s="101">
        <f t="shared" si="17"/>
        <v>6.1713204932648971</v>
      </c>
      <c r="AO15" s="101">
        <f>main!R16</f>
        <v>36.22</v>
      </c>
      <c r="AP15" s="101">
        <f>main!S16</f>
        <v>8.4139999999999997</v>
      </c>
    </row>
    <row r="16" spans="1:42">
      <c r="A16">
        <f>main!A17</f>
        <v>2018</v>
      </c>
      <c r="B16" t="str">
        <f>main!B17</f>
        <v>47_1000</v>
      </c>
      <c r="C16">
        <f>main!C17</f>
        <v>11</v>
      </c>
      <c r="D16" t="str">
        <f>main!$B$6</f>
        <v>McLane-PARFLUX-Mark78H-21 ; frame controller sn 12419-01, frame sn 12419-01, motor sn 12419-01, cup set O250x21</v>
      </c>
      <c r="E16">
        <v>1000</v>
      </c>
      <c r="F16" s="97">
        <f>main!E17</f>
        <v>333.31428571428569</v>
      </c>
      <c r="G16" s="90">
        <f>main!I17</f>
        <v>39.213445378151256</v>
      </c>
      <c r="H16" s="101">
        <f>main!J17</f>
        <v>14.322710924369748</v>
      </c>
      <c r="I16" s="101">
        <f>main!AF17</f>
        <v>60.772920769917285</v>
      </c>
      <c r="J16" s="101">
        <f>main!AG17</f>
        <v>7.2924906101268654</v>
      </c>
      <c r="K16" s="101">
        <f>main!M17</f>
        <v>16.932502746582031</v>
      </c>
      <c r="L16" s="101">
        <f>main!O17</f>
        <v>1.6241707801818848</v>
      </c>
      <c r="M16" s="101">
        <f>main!AH17</f>
        <v>9.6400121364551659</v>
      </c>
      <c r="N16" s="101">
        <f>main!AB17</f>
        <v>4.1619051934427338</v>
      </c>
      <c r="O16" s="101">
        <f>main!AC17</f>
        <v>8.9031286249189705</v>
      </c>
      <c r="P16" s="101">
        <f t="shared" si="2"/>
        <v>8.7043297621715148</v>
      </c>
      <c r="Q16" s="101">
        <f t="shared" si="18"/>
        <v>1.0444823492752786</v>
      </c>
      <c r="R16" s="101">
        <f t="shared" si="3"/>
        <v>2.4251934206539123</v>
      </c>
      <c r="S16" s="101">
        <f t="shared" si="4"/>
        <v>0.23262528576353217</v>
      </c>
      <c r="T16" s="101">
        <f t="shared" si="5"/>
        <v>1.3807110713786335</v>
      </c>
      <c r="U16" s="101">
        <f t="shared" si="6"/>
        <v>1.2751693761719596</v>
      </c>
      <c r="V16" s="67">
        <f>main!T17</f>
        <v>43343</v>
      </c>
      <c r="W16" s="67">
        <f>main!U17</f>
        <v>43360</v>
      </c>
      <c r="X16" s="67">
        <f>main!V17</f>
        <v>43351.5</v>
      </c>
      <c r="Y16" s="97">
        <f>main!H17</f>
        <v>17</v>
      </c>
      <c r="Z16" s="90">
        <f t="shared" si="7"/>
        <v>0.59609764980313429</v>
      </c>
      <c r="AA16" s="90">
        <f t="shared" si="19"/>
        <v>0.2019311757413749</v>
      </c>
      <c r="AB16" s="90">
        <f t="shared" si="8"/>
        <v>1.660423167477032E-2</v>
      </c>
      <c r="AC16" s="90">
        <f t="shared" si="9"/>
        <v>0.11496345307066057</v>
      </c>
      <c r="AD16" s="90">
        <f t="shared" si="10"/>
        <v>8.6967722670714287E-2</v>
      </c>
      <c r="AE16" s="395">
        <f t="shared" si="11"/>
        <v>2.1220991449025783E-2</v>
      </c>
      <c r="AF16" s="101">
        <f>depths!$B$2</f>
        <v>776.42</v>
      </c>
      <c r="AH16" s="101">
        <f t="shared" si="12"/>
        <v>201.93117574137489</v>
      </c>
      <c r="AI16" s="101">
        <f t="shared" si="13"/>
        <v>16.604231674770318</v>
      </c>
      <c r="AJ16" s="101">
        <f t="shared" si="20"/>
        <v>114.96345307066056</v>
      </c>
      <c r="AK16" s="101">
        <f t="shared" si="14"/>
        <v>86.967722670714281</v>
      </c>
      <c r="AL16" s="101">
        <f t="shared" si="15"/>
        <v>21.220991449025782</v>
      </c>
      <c r="AM16" s="101">
        <f t="shared" si="16"/>
        <v>6.9237442190923186</v>
      </c>
      <c r="AN16" s="101">
        <f t="shared" si="17"/>
        <v>5.2376842466525799</v>
      </c>
      <c r="AO16" s="101">
        <f>main!R17</f>
        <v>38.04</v>
      </c>
      <c r="AP16" s="101">
        <f>main!S17</f>
        <v>8.2799999999999994</v>
      </c>
    </row>
    <row r="17" spans="1:42">
      <c r="A17">
        <f>main!A18</f>
        <v>2018</v>
      </c>
      <c r="B17" t="str">
        <f>main!B18</f>
        <v>47_1000</v>
      </c>
      <c r="C17">
        <f>main!C18</f>
        <v>12</v>
      </c>
      <c r="D17" t="str">
        <f>main!$B$6</f>
        <v>McLane-PARFLUX-Mark78H-21 ; frame controller sn 12419-01, frame sn 12419-01, motor sn 12419-01, cup set O250x21</v>
      </c>
      <c r="E17">
        <v>1000</v>
      </c>
      <c r="F17" s="97">
        <f>main!E18</f>
        <v>430.51428571428573</v>
      </c>
      <c r="G17" s="90">
        <f>main!I18</f>
        <v>50.648739495798324</v>
      </c>
      <c r="H17" s="101">
        <f>main!J18</f>
        <v>18.499452100840337</v>
      </c>
      <c r="I17" s="101">
        <f>main!AF18</f>
        <v>64.764945757710507</v>
      </c>
      <c r="J17" s="101">
        <f>main!AG18</f>
        <v>7.7715165376298314</v>
      </c>
      <c r="K17" s="101">
        <f>main!M18</f>
        <v>14.753036499023438</v>
      </c>
      <c r="L17" s="101">
        <f>main!O18</f>
        <v>1.2112077474594116</v>
      </c>
      <c r="M17" s="101">
        <f>main!AH18</f>
        <v>6.9815199613936061</v>
      </c>
      <c r="N17" s="101">
        <f>main!AB18</f>
        <v>4.989911490032636</v>
      </c>
      <c r="O17" s="101">
        <f>main!AC18</f>
        <v>10.674395921540091</v>
      </c>
      <c r="P17" s="101">
        <f t="shared" si="2"/>
        <v>11.98116011858288</v>
      </c>
      <c r="Q17" s="101">
        <f t="shared" si="18"/>
        <v>1.437687979387716</v>
      </c>
      <c r="R17" s="101">
        <f t="shared" si="3"/>
        <v>2.7292309205563328</v>
      </c>
      <c r="S17" s="101">
        <f t="shared" si="4"/>
        <v>0.22406679708292104</v>
      </c>
      <c r="T17" s="101">
        <f t="shared" si="5"/>
        <v>1.291542941168617</v>
      </c>
      <c r="U17" s="101">
        <f t="shared" si="6"/>
        <v>1.9747047605593635</v>
      </c>
      <c r="V17" s="67">
        <f>main!T18</f>
        <v>43360</v>
      </c>
      <c r="W17" s="67">
        <f>main!U18</f>
        <v>43377</v>
      </c>
      <c r="X17" s="67">
        <f>main!V18</f>
        <v>43368.5</v>
      </c>
      <c r="Y17" s="97">
        <f>main!H18</f>
        <v>17</v>
      </c>
      <c r="Z17" s="90">
        <f t="shared" si="7"/>
        <v>0.92310628597291589</v>
      </c>
      <c r="AA17" s="90">
        <f t="shared" si="19"/>
        <v>0.22724653793141822</v>
      </c>
      <c r="AB17" s="90">
        <f t="shared" si="8"/>
        <v>1.5993347400636761E-2</v>
      </c>
      <c r="AC17" s="90">
        <f t="shared" si="9"/>
        <v>0.10753896262852765</v>
      </c>
      <c r="AD17" s="90">
        <f t="shared" si="10"/>
        <v>0.1197075753028906</v>
      </c>
      <c r="AE17" s="395">
        <f t="shared" si="11"/>
        <v>3.2862452330826485E-2</v>
      </c>
      <c r="AF17" s="101">
        <f>depths!$B$2</f>
        <v>776.42</v>
      </c>
      <c r="AH17" s="101">
        <f t="shared" si="12"/>
        <v>227.24653793141823</v>
      </c>
      <c r="AI17" s="101">
        <f t="shared" si="13"/>
        <v>15.993347400636761</v>
      </c>
      <c r="AJ17" s="101">
        <f t="shared" si="20"/>
        <v>107.53896262852764</v>
      </c>
      <c r="AK17" s="101">
        <f t="shared" si="14"/>
        <v>119.7075753028906</v>
      </c>
      <c r="AL17" s="101">
        <f t="shared" si="15"/>
        <v>32.862452330826486</v>
      </c>
      <c r="AM17" s="101">
        <f t="shared" si="16"/>
        <v>6.7239809112285069</v>
      </c>
      <c r="AN17" s="101">
        <f t="shared" si="17"/>
        <v>7.4848355571970222</v>
      </c>
      <c r="AO17" s="101">
        <f>main!R18</f>
        <v>38.29</v>
      </c>
      <c r="AP17" s="101">
        <f>main!S18</f>
        <v>8.3680000000000003</v>
      </c>
    </row>
    <row r="18" spans="1:42">
      <c r="A18">
        <f>main!A19</f>
        <v>2018</v>
      </c>
      <c r="B18" t="str">
        <f>main!B19</f>
        <v>47_1000</v>
      </c>
      <c r="C18">
        <f>main!C19</f>
        <v>13</v>
      </c>
      <c r="D18" t="str">
        <f>main!$B$6</f>
        <v>McLane-PARFLUX-Mark78H-21 ; frame controller sn 12419-01, frame sn 12419-01, motor sn 12419-01, cup set O250x21</v>
      </c>
      <c r="E18">
        <v>1000</v>
      </c>
      <c r="F18" s="97">
        <f>main!E19</f>
        <v>528.9</v>
      </c>
      <c r="G18" s="90">
        <f>main!I19</f>
        <v>62.223529411764702</v>
      </c>
      <c r="H18" s="101">
        <f>main!J19</f>
        <v>22.727144117647057</v>
      </c>
      <c r="I18" s="101">
        <f>main!AF19</f>
        <v>68.129102447720584</v>
      </c>
      <c r="J18" s="101">
        <f>main!AG19</f>
        <v>8.1752009543419195</v>
      </c>
      <c r="K18" s="101">
        <f>main!M19</f>
        <v>15.142020225524902</v>
      </c>
      <c r="L18" s="101">
        <f>main!O19</f>
        <v>1.163560152053833</v>
      </c>
      <c r="M18" s="101">
        <f>main!AH19</f>
        <v>6.9668192711829828</v>
      </c>
      <c r="N18" s="101">
        <f>main!AB19</f>
        <v>5.2909932683023175</v>
      </c>
      <c r="O18" s="101">
        <f>main!AC19</f>
        <v>11.318468689650635</v>
      </c>
      <c r="P18" s="101">
        <f t="shared" si="2"/>
        <v>15.483799299352865</v>
      </c>
      <c r="Q18" s="101">
        <f t="shared" si="18"/>
        <v>1.8579897028005457</v>
      </c>
      <c r="R18" s="101">
        <f t="shared" si="3"/>
        <v>3.4413487589783105</v>
      </c>
      <c r="S18" s="101">
        <f t="shared" si="4"/>
        <v>0.26444399265278784</v>
      </c>
      <c r="T18" s="101">
        <f t="shared" si="5"/>
        <v>1.5833590561777651</v>
      </c>
      <c r="U18" s="101">
        <f t="shared" si="6"/>
        <v>2.5723646910076581</v>
      </c>
      <c r="V18" s="67">
        <f>main!T19</f>
        <v>43377</v>
      </c>
      <c r="W18" s="67">
        <f>main!U19</f>
        <v>43394</v>
      </c>
      <c r="X18" s="67">
        <f>main!V19</f>
        <v>43385.5</v>
      </c>
      <c r="Y18" s="97">
        <f>main!H19</f>
        <v>17</v>
      </c>
      <c r="Z18" s="90">
        <f t="shared" si="7"/>
        <v>1.2024916653420719</v>
      </c>
      <c r="AA18" s="90">
        <f t="shared" si="19"/>
        <v>0.28654027968179108</v>
      </c>
      <c r="AB18" s="90">
        <f t="shared" si="8"/>
        <v>1.8875374207907768E-2</v>
      </c>
      <c r="AC18" s="90">
        <f t="shared" si="9"/>
        <v>0.13183672407808203</v>
      </c>
      <c r="AD18" s="90">
        <f t="shared" si="10"/>
        <v>0.15470355560370905</v>
      </c>
      <c r="AE18" s="395">
        <f t="shared" si="11"/>
        <v>4.2808532052049549E-2</v>
      </c>
      <c r="AF18" s="101">
        <f>depths!$B$2</f>
        <v>776.42</v>
      </c>
      <c r="AH18" s="101">
        <f t="shared" si="12"/>
        <v>286.54027968179105</v>
      </c>
      <c r="AI18" s="101">
        <f t="shared" si="13"/>
        <v>18.875374207907768</v>
      </c>
      <c r="AJ18" s="101">
        <f t="shared" si="20"/>
        <v>131.83672407808203</v>
      </c>
      <c r="AK18" s="101">
        <f t="shared" si="14"/>
        <v>154.70355560370905</v>
      </c>
      <c r="AL18" s="101">
        <f t="shared" si="15"/>
        <v>42.80853205204955</v>
      </c>
      <c r="AM18" s="101">
        <f t="shared" si="16"/>
        <v>6.9845886299223423</v>
      </c>
      <c r="AN18" s="101">
        <f t="shared" si="17"/>
        <v>8.1960523748926022</v>
      </c>
      <c r="AO18" s="101">
        <f>main!R19</f>
        <v>39.01</v>
      </c>
      <c r="AP18" s="101">
        <f>main!S19</f>
        <v>8.4489999999999998</v>
      </c>
    </row>
    <row r="19" spans="1:42">
      <c r="A19">
        <f>main!A20</f>
        <v>2018</v>
      </c>
      <c r="B19" t="str">
        <f>main!B20</f>
        <v>47_1000</v>
      </c>
      <c r="C19">
        <f>main!C20</f>
        <v>14</v>
      </c>
      <c r="D19" t="str">
        <f>main!$B$6</f>
        <v>McLane-PARFLUX-Mark78H-21 ; frame controller sn 12419-01, frame sn 12419-01, motor sn 12419-01, cup set O250x21</v>
      </c>
      <c r="E19">
        <v>1000</v>
      </c>
      <c r="F19" s="97">
        <f>main!E20</f>
        <v>667.71428571428578</v>
      </c>
      <c r="G19" s="90">
        <f>main!I20</f>
        <v>78.554621848739501</v>
      </c>
      <c r="H19" s="101">
        <f>main!J20</f>
        <v>28.692075630252106</v>
      </c>
      <c r="I19" s="101">
        <f>main!AF20</f>
        <v>72.674484388031445</v>
      </c>
      <c r="J19" s="101">
        <f>main!AG20</f>
        <v>8.7206273498355689</v>
      </c>
      <c r="K19" s="101">
        <f>main!M20</f>
        <v>14.642641544342041</v>
      </c>
      <c r="L19" s="101">
        <f>main!O20</f>
        <v>0.96227487921714783</v>
      </c>
      <c r="M19" s="101">
        <f>main!AH20</f>
        <v>5.9220141945064722</v>
      </c>
      <c r="N19" s="101">
        <f>main!AB20</f>
        <v>3.8862777681241218</v>
      </c>
      <c r="O19" s="101">
        <f>main!AC20</f>
        <v>8.313507692651422</v>
      </c>
      <c r="P19" s="101">
        <f t="shared" si="2"/>
        <v>20.851818024509743</v>
      </c>
      <c r="Q19" s="101">
        <f t="shared" si="18"/>
        <v>2.5021289946472716</v>
      </c>
      <c r="R19" s="101">
        <f t="shared" si="3"/>
        <v>4.2012777861693333</v>
      </c>
      <c r="S19" s="101">
        <f t="shared" si="4"/>
        <v>0.27609663611590113</v>
      </c>
      <c r="T19" s="101">
        <f t="shared" si="5"/>
        <v>1.6991487915220622</v>
      </c>
      <c r="U19" s="101">
        <f t="shared" si="6"/>
        <v>2.3853179147023726</v>
      </c>
      <c r="V19" s="67">
        <f>main!T20</f>
        <v>43394</v>
      </c>
      <c r="W19" s="67">
        <f>main!U20</f>
        <v>43411</v>
      </c>
      <c r="X19" s="67">
        <f>main!V20</f>
        <v>43402.5</v>
      </c>
      <c r="Y19" s="97">
        <f>main!H20</f>
        <v>17</v>
      </c>
      <c r="Z19" s="90">
        <f t="shared" si="7"/>
        <v>1.1150537564318466</v>
      </c>
      <c r="AA19" s="90">
        <f t="shared" si="19"/>
        <v>0.34981496970602277</v>
      </c>
      <c r="AB19" s="90">
        <f t="shared" si="8"/>
        <v>1.9707111785574671E-2</v>
      </c>
      <c r="AC19" s="90">
        <f t="shared" si="9"/>
        <v>0.14147783443147896</v>
      </c>
      <c r="AD19" s="90">
        <f t="shared" si="10"/>
        <v>0.20833713527454384</v>
      </c>
      <c r="AE19" s="395">
        <f t="shared" si="11"/>
        <v>3.9695754945953954E-2</v>
      </c>
      <c r="AF19" s="101">
        <f>depths!$B$2</f>
        <v>776.42</v>
      </c>
      <c r="AH19" s="101">
        <f t="shared" si="12"/>
        <v>349.81496970602279</v>
      </c>
      <c r="AI19" s="101">
        <f t="shared" si="13"/>
        <v>19.707111785574671</v>
      </c>
      <c r="AJ19" s="101">
        <f t="shared" si="20"/>
        <v>141.47783443147895</v>
      </c>
      <c r="AK19" s="101">
        <f t="shared" si="14"/>
        <v>208.33713527454384</v>
      </c>
      <c r="AL19" s="101">
        <f t="shared" si="15"/>
        <v>39.695754945953951</v>
      </c>
      <c r="AM19" s="101">
        <f t="shared" si="16"/>
        <v>7.1790243020308404</v>
      </c>
      <c r="AN19" s="101">
        <f t="shared" si="17"/>
        <v>10.571672680470797</v>
      </c>
      <c r="AO19" s="101">
        <f>main!R20</f>
        <v>39.729999999999997</v>
      </c>
      <c r="AP19" s="101">
        <f>main!S20</f>
        <v>8.4209999999999994</v>
      </c>
    </row>
    <row r="20" spans="1:42">
      <c r="A20">
        <f>main!A21</f>
        <v>2018</v>
      </c>
      <c r="B20" t="str">
        <f>main!B21</f>
        <v>47_1000</v>
      </c>
      <c r="C20">
        <f>main!C21</f>
        <v>15</v>
      </c>
      <c r="D20" t="str">
        <f>main!$B$6</f>
        <v>McLane-PARFLUX-Mark78H-21 ; frame controller sn 12419-01, frame sn 12419-01, motor sn 12419-01, cup set O250x21</v>
      </c>
      <c r="E20">
        <v>1000</v>
      </c>
      <c r="F20" s="97">
        <f>main!E21</f>
        <v>417.12857142857149</v>
      </c>
      <c r="G20" s="90">
        <f>main!I21</f>
        <v>49.07394957983194</v>
      </c>
      <c r="H20" s="101">
        <f>main!J21</f>
        <v>17.924260084033616</v>
      </c>
      <c r="I20" s="101">
        <f>main!AF21</f>
        <v>69.718063936323162</v>
      </c>
      <c r="J20" s="101">
        <f>main!AG21</f>
        <v>8.365869538123782</v>
      </c>
      <c r="K20" s="101">
        <f>main!M21</f>
        <v>15.936421394348145</v>
      </c>
      <c r="L20" s="101">
        <f>main!O21</f>
        <v>1.2388161420822144</v>
      </c>
      <c r="M20" s="101">
        <f>main!AH21</f>
        <v>7.5705518562243626</v>
      </c>
      <c r="N20" s="101">
        <f>main!AB21</f>
        <v>3.1913938289543204</v>
      </c>
      <c r="O20" s="101">
        <f>main!AC21</f>
        <v>6.8270151364138529</v>
      </c>
      <c r="P20" s="101">
        <f t="shared" si="2"/>
        <v>12.496447105499408</v>
      </c>
      <c r="Q20" s="101">
        <f t="shared" si="18"/>
        <v>1.4995202143042485</v>
      </c>
      <c r="R20" s="101">
        <f t="shared" si="3"/>
        <v>2.8564856188105376</v>
      </c>
      <c r="S20" s="101">
        <f t="shared" si="4"/>
        <v>0.22204862726980751</v>
      </c>
      <c r="T20" s="101">
        <f t="shared" si="5"/>
        <v>1.3569654045062893</v>
      </c>
      <c r="U20" s="101">
        <f t="shared" si="6"/>
        <v>1.2236919490271614</v>
      </c>
      <c r="V20" s="67">
        <f>main!T21</f>
        <v>43411</v>
      </c>
      <c r="W20" s="67">
        <f>main!U21</f>
        <v>43428</v>
      </c>
      <c r="X20" s="67">
        <f>main!V21</f>
        <v>43419.5</v>
      </c>
      <c r="Y20" s="97">
        <f>main!H21</f>
        <v>17</v>
      </c>
      <c r="Z20" s="90">
        <f t="shared" si="7"/>
        <v>0.57203373020757131</v>
      </c>
      <c r="AA20" s="90">
        <f t="shared" si="19"/>
        <v>0.23784226634559014</v>
      </c>
      <c r="AB20" s="90">
        <f t="shared" si="8"/>
        <v>1.5849295308337438E-2</v>
      </c>
      <c r="AC20" s="90">
        <f t="shared" si="9"/>
        <v>0.11298629512958279</v>
      </c>
      <c r="AD20" s="90">
        <f t="shared" si="10"/>
        <v>0.12485597121600737</v>
      </c>
      <c r="AE20" s="395">
        <f t="shared" si="11"/>
        <v>2.0364319338112186E-2</v>
      </c>
      <c r="AF20" s="101">
        <f>depths!$B$2</f>
        <v>776.42</v>
      </c>
      <c r="AH20" s="101">
        <f t="shared" si="12"/>
        <v>237.84226634559013</v>
      </c>
      <c r="AI20" s="101">
        <f t="shared" si="13"/>
        <v>15.849295308337439</v>
      </c>
      <c r="AJ20" s="101">
        <f t="shared" si="20"/>
        <v>112.98629512958279</v>
      </c>
      <c r="AK20" s="101">
        <f t="shared" si="14"/>
        <v>124.85597121600738</v>
      </c>
      <c r="AL20" s="101">
        <f t="shared" si="15"/>
        <v>20.364319338112185</v>
      </c>
      <c r="AM20" s="101">
        <f t="shared" si="16"/>
        <v>7.128789825131653</v>
      </c>
      <c r="AN20" s="101">
        <f t="shared" si="17"/>
        <v>7.8776985845123058</v>
      </c>
      <c r="AO20" s="101">
        <f>main!R21</f>
        <v>37.72</v>
      </c>
      <c r="AP20" s="101">
        <f>main!S21</f>
        <v>8.266</v>
      </c>
    </row>
    <row r="21" spans="1:42">
      <c r="A21">
        <f>main!A22</f>
        <v>2018</v>
      </c>
      <c r="B21" t="str">
        <f>main!B22</f>
        <v>47_1000</v>
      </c>
      <c r="C21">
        <f>main!C22</f>
        <v>16</v>
      </c>
      <c r="D21" t="str">
        <f>main!$B$6</f>
        <v>McLane-PARFLUX-Mark78H-21 ; frame controller sn 12419-01, frame sn 12419-01, motor sn 12419-01, cup set O250x21</v>
      </c>
      <c r="E21">
        <v>1000</v>
      </c>
      <c r="F21" s="97">
        <f>main!E22</f>
        <v>150.07142857142856</v>
      </c>
      <c r="G21" s="90">
        <f>main!I22</f>
        <v>17.655462184873947</v>
      </c>
      <c r="H21" s="101">
        <f>main!J22</f>
        <v>6.4486575630252094</v>
      </c>
      <c r="I21" s="101">
        <f>main!AF22</f>
        <v>53.863813456594855</v>
      </c>
      <c r="J21" s="101">
        <f>main!AG22</f>
        <v>6.4634272778326052</v>
      </c>
      <c r="K21" s="101">
        <f>main!M22</f>
        <v>21.282453536987305</v>
      </c>
      <c r="L21" s="101">
        <f>main!O22</f>
        <v>2.6349039077758789</v>
      </c>
      <c r="M21" s="101">
        <f>main!AH22</f>
        <v>14.8190262591547</v>
      </c>
      <c r="N21" s="101">
        <f>main!AB22</f>
        <v>2.4138138849839077</v>
      </c>
      <c r="O21" s="101">
        <f>main!AC22</f>
        <v>5.1636196635344609</v>
      </c>
      <c r="P21" s="101">
        <f t="shared" si="2"/>
        <v>3.4734928802024947</v>
      </c>
      <c r="Q21" s="101">
        <f t="shared" si="18"/>
        <v>0.41680429198258667</v>
      </c>
      <c r="R21" s="101">
        <f t="shared" si="3"/>
        <v>1.3724325496102581</v>
      </c>
      <c r="S21" s="101">
        <f t="shared" si="4"/>
        <v>0.16991593012723602</v>
      </c>
      <c r="T21" s="101">
        <f t="shared" si="5"/>
        <v>0.95562825762767134</v>
      </c>
      <c r="U21" s="101">
        <f t="shared" si="6"/>
        <v>0.33298414995837189</v>
      </c>
      <c r="V21" s="67">
        <f>main!T22</f>
        <v>43428</v>
      </c>
      <c r="W21" s="67">
        <f>main!U22</f>
        <v>43445</v>
      </c>
      <c r="X21" s="67">
        <f>main!V22</f>
        <v>43436.5</v>
      </c>
      <c r="Y21" s="97">
        <f>main!H22</f>
        <v>17</v>
      </c>
      <c r="Z21" s="90">
        <f t="shared" si="7"/>
        <v>0.15565859165136739</v>
      </c>
      <c r="AA21" s="90">
        <f t="shared" si="19"/>
        <v>0.11427415067529209</v>
      </c>
      <c r="AB21" s="90">
        <f t="shared" si="8"/>
        <v>1.212818915968851E-2</v>
      </c>
      <c r="AC21" s="90">
        <f t="shared" si="9"/>
        <v>7.9569380318707028E-2</v>
      </c>
      <c r="AD21" s="90">
        <f t="shared" si="10"/>
        <v>3.470477035658507E-2</v>
      </c>
      <c r="AE21" s="395">
        <f t="shared" si="11"/>
        <v>5.5414236970938906E-3</v>
      </c>
      <c r="AF21" s="101">
        <f>depths!$B$2</f>
        <v>776.42</v>
      </c>
      <c r="AH21" s="101">
        <f t="shared" si="12"/>
        <v>114.27415067529209</v>
      </c>
      <c r="AI21" s="101">
        <f t="shared" si="13"/>
        <v>12.12818915968851</v>
      </c>
      <c r="AJ21" s="101">
        <f t="shared" si="20"/>
        <v>79.569380318707033</v>
      </c>
      <c r="AK21" s="101">
        <f t="shared" si="14"/>
        <v>34.704770356585072</v>
      </c>
      <c r="AL21" s="101">
        <f t="shared" si="15"/>
        <v>5.541423697093891</v>
      </c>
      <c r="AM21" s="101">
        <f t="shared" si="16"/>
        <v>6.5606975015840385</v>
      </c>
      <c r="AN21" s="101">
        <f t="shared" si="17"/>
        <v>2.8614964608184259</v>
      </c>
      <c r="AO21" s="101">
        <f>main!R22</f>
        <v>38.19</v>
      </c>
      <c r="AP21" s="101">
        <f>main!S22</f>
        <v>8.3539999999999992</v>
      </c>
    </row>
    <row r="22" spans="1:42">
      <c r="A22">
        <f>main!A23</f>
        <v>2018</v>
      </c>
      <c r="B22" t="str">
        <f>main!B23</f>
        <v>47_1000</v>
      </c>
      <c r="C22">
        <f>main!C23</f>
        <v>17</v>
      </c>
      <c r="D22" t="str">
        <f>main!$B$6</f>
        <v>McLane-PARFLUX-Mark78H-21 ; frame controller sn 12419-01, frame sn 12419-01, motor sn 12419-01, cup set O250x21</v>
      </c>
      <c r="E22">
        <v>1000</v>
      </c>
      <c r="F22" s="97">
        <f>main!E23</f>
        <v>117.07142857142856</v>
      </c>
      <c r="G22" s="90">
        <f>main!I23</f>
        <v>13.773109243697476</v>
      </c>
      <c r="H22" s="101">
        <f>main!J23</f>
        <v>5.0306281512605038</v>
      </c>
      <c r="I22" s="101">
        <f>main!AF23</f>
        <v>53.121151206821395</v>
      </c>
      <c r="J22" s="101">
        <f>main!AG23</f>
        <v>6.3743109836944196</v>
      </c>
      <c r="K22" s="101">
        <f>main!M23</f>
        <v>22.321132659912109</v>
      </c>
      <c r="L22" s="101">
        <f>main!O23</f>
        <v>2.7832210063934326</v>
      </c>
      <c r="M22" s="101">
        <f>main!AH23</f>
        <v>15.94682167621769</v>
      </c>
      <c r="N22" s="101">
        <f>main!AB23</f>
        <v>3.0719049634190676</v>
      </c>
      <c r="O22" s="101">
        <f>main!AC23</f>
        <v>6.5714050997455251</v>
      </c>
      <c r="P22" s="101">
        <f t="shared" si="2"/>
        <v>2.6723275868840157</v>
      </c>
      <c r="Q22" s="101">
        <f t="shared" si="18"/>
        <v>0.32066788279462183</v>
      </c>
      <c r="R22" s="101">
        <f t="shared" si="3"/>
        <v>1.1228931832697411</v>
      </c>
      <c r="S22" s="101">
        <f t="shared" si="4"/>
        <v>0.14001349945942393</v>
      </c>
      <c r="T22" s="101">
        <f t="shared" si="5"/>
        <v>0.80222530047511931</v>
      </c>
      <c r="U22" s="101">
        <f t="shared" si="6"/>
        <v>0.33058295488116679</v>
      </c>
      <c r="V22" s="67">
        <f>main!T23</f>
        <v>43445</v>
      </c>
      <c r="W22" s="67">
        <f>main!U23</f>
        <v>43462</v>
      </c>
      <c r="X22" s="67">
        <f>main!V23</f>
        <v>43453.5</v>
      </c>
      <c r="Y22" s="97">
        <f>main!H23</f>
        <v>17</v>
      </c>
      <c r="Z22" s="90">
        <f t="shared" si="7"/>
        <v>0.15453611586972829</v>
      </c>
      <c r="AA22" s="90">
        <f t="shared" si="19"/>
        <v>9.3496518174000093E-2</v>
      </c>
      <c r="AB22" s="90">
        <f t="shared" si="8"/>
        <v>9.9938258001016373E-3</v>
      </c>
      <c r="AC22" s="90">
        <f t="shared" si="9"/>
        <v>6.6796444669035754E-2</v>
      </c>
      <c r="AD22" s="90">
        <f t="shared" si="10"/>
        <v>2.6700073504964349E-2</v>
      </c>
      <c r="AE22" s="395">
        <f t="shared" si="11"/>
        <v>5.5014637191074505E-3</v>
      </c>
      <c r="AF22" s="101">
        <f>depths!$B$2</f>
        <v>776.42</v>
      </c>
      <c r="AH22" s="101">
        <f t="shared" si="12"/>
        <v>93.496518174000087</v>
      </c>
      <c r="AI22" s="101">
        <f t="shared" si="13"/>
        <v>9.9938258001016376</v>
      </c>
      <c r="AJ22" s="101">
        <f t="shared" si="20"/>
        <v>66.796444669035751</v>
      </c>
      <c r="AK22" s="101">
        <f t="shared" si="14"/>
        <v>26.700073504964351</v>
      </c>
      <c r="AL22" s="101">
        <f t="shared" si="15"/>
        <v>5.5014637191074502</v>
      </c>
      <c r="AM22" s="101">
        <f t="shared" si="16"/>
        <v>6.6837711608257599</v>
      </c>
      <c r="AN22" s="101">
        <f t="shared" si="17"/>
        <v>2.671656884863133</v>
      </c>
      <c r="AO22" s="101">
        <f>main!R23</f>
        <v>37.445</v>
      </c>
      <c r="AP22" s="101">
        <f>main!S23</f>
        <v>8.3795000000000002</v>
      </c>
    </row>
    <row r="23" spans="1:42">
      <c r="A23">
        <f>main!A24</f>
        <v>2018</v>
      </c>
      <c r="B23" t="str">
        <f>main!B24</f>
        <v>47_1000</v>
      </c>
      <c r="C23">
        <f>main!C24</f>
        <v>18</v>
      </c>
      <c r="D23" t="str">
        <f>main!$B$6</f>
        <v>McLane-PARFLUX-Mark78H-21 ; frame controller sn 12419-01, frame sn 12419-01, motor sn 12419-01, cup set O250x21</v>
      </c>
      <c r="E23">
        <v>1000</v>
      </c>
      <c r="F23" s="97">
        <f>main!E24</f>
        <v>269.42857142857144</v>
      </c>
      <c r="G23" s="90">
        <f>main!I24</f>
        <v>31.69747899159664</v>
      </c>
      <c r="H23" s="101">
        <f>main!J24</f>
        <v>11.577504201680673</v>
      </c>
      <c r="I23" s="101">
        <f>main!AF24</f>
        <v>54.888539067690488</v>
      </c>
      <c r="J23" s="101">
        <f>main!AG24</f>
        <v>6.5863899691464391</v>
      </c>
      <c r="K23" s="101">
        <f>main!M24</f>
        <v>16.888715744018555</v>
      </c>
      <c r="L23" s="101">
        <f>main!O24</f>
        <v>1.7875549793243408</v>
      </c>
      <c r="M23" s="101">
        <f>main!AH24</f>
        <v>10.302325774872116</v>
      </c>
      <c r="N23" s="101">
        <f>main!AB24</f>
        <v>5.8894588655587841</v>
      </c>
      <c r="O23" s="101">
        <f>main!AC24</f>
        <v>12.59870356822454</v>
      </c>
      <c r="P23" s="101">
        <f t="shared" si="2"/>
        <v>6.3547229168030039</v>
      </c>
      <c r="Q23" s="101">
        <f t="shared" si="18"/>
        <v>0.76253957541700335</v>
      </c>
      <c r="R23" s="101">
        <f t="shared" si="3"/>
        <v>1.9552917748736534</v>
      </c>
      <c r="S23" s="101">
        <f t="shared" si="4"/>
        <v>0.20695425283862767</v>
      </c>
      <c r="T23" s="101">
        <f t="shared" si="5"/>
        <v>1.1927521994566501</v>
      </c>
      <c r="U23" s="101">
        <f t="shared" si="6"/>
        <v>1.458615434968489</v>
      </c>
      <c r="V23" s="67">
        <f>main!T24</f>
        <v>43462</v>
      </c>
      <c r="W23" s="67">
        <f>main!U24</f>
        <v>43479</v>
      </c>
      <c r="X23" s="67">
        <f>main!V24</f>
        <v>43470.5</v>
      </c>
      <c r="Y23" s="97">
        <f>main!H24</f>
        <v>17</v>
      </c>
      <c r="Z23" s="90">
        <f t="shared" si="7"/>
        <v>0.68185234761632307</v>
      </c>
      <c r="AA23" s="90">
        <f t="shared" si="19"/>
        <v>0.16280531014768138</v>
      </c>
      <c r="AB23" s="90">
        <f t="shared" si="8"/>
        <v>1.4771895277560862E-2</v>
      </c>
      <c r="AC23" s="90">
        <f t="shared" si="9"/>
        <v>9.9313255575074949E-2</v>
      </c>
      <c r="AD23" s="90">
        <f t="shared" si="10"/>
        <v>6.3492054572606441E-2</v>
      </c>
      <c r="AE23" s="395">
        <f t="shared" si="11"/>
        <v>2.4273846479755182E-2</v>
      </c>
      <c r="AF23" s="101">
        <f>depths!$B$2</f>
        <v>776.42</v>
      </c>
      <c r="AH23" s="101">
        <f t="shared" si="12"/>
        <v>162.80531014768138</v>
      </c>
      <c r="AI23" s="101">
        <f t="shared" si="13"/>
        <v>14.771895277560862</v>
      </c>
      <c r="AJ23" s="101">
        <f t="shared" si="20"/>
        <v>99.313255575074948</v>
      </c>
      <c r="AK23" s="101">
        <f t="shared" si="14"/>
        <v>63.492054572606442</v>
      </c>
      <c r="AL23" s="101">
        <f t="shared" si="15"/>
        <v>24.273846479755182</v>
      </c>
      <c r="AM23" s="101">
        <f t="shared" si="16"/>
        <v>6.7231220983495605</v>
      </c>
      <c r="AN23" s="101">
        <f t="shared" si="17"/>
        <v>4.2981657654352299</v>
      </c>
      <c r="AO23" s="101">
        <f>main!R24</f>
        <v>39.44</v>
      </c>
      <c r="AP23" s="101">
        <f>main!S24</f>
        <v>8.4499999999999993</v>
      </c>
    </row>
    <row r="24" spans="1:42">
      <c r="A24">
        <f>main!A25</f>
        <v>2018</v>
      </c>
      <c r="B24" t="str">
        <f>main!B25</f>
        <v>47_1000</v>
      </c>
      <c r="C24">
        <f>main!C25</f>
        <v>19</v>
      </c>
      <c r="D24" t="str">
        <f>main!$B$6</f>
        <v>McLane-PARFLUX-Mark78H-21 ; frame controller sn 12419-01, frame sn 12419-01, motor sn 12419-01, cup set O250x21</v>
      </c>
      <c r="E24">
        <v>1000</v>
      </c>
      <c r="F24" s="97">
        <f>main!E25</f>
        <v>315.14285714285717</v>
      </c>
      <c r="G24" s="90">
        <f>main!I25</f>
        <v>37.075630252100844</v>
      </c>
      <c r="H24" s="101">
        <f>main!J25</f>
        <v>13.541873949579834</v>
      </c>
      <c r="I24" s="101">
        <f>main!AF25</f>
        <v>42.521045153292263</v>
      </c>
      <c r="J24" s="101">
        <f>main!AG25</f>
        <v>5.1023435863338769</v>
      </c>
      <c r="K24" s="101">
        <f>main!M25</f>
        <v>18.287374496459961</v>
      </c>
      <c r="L24" s="101">
        <f>main!O25</f>
        <v>2.4158401489257813</v>
      </c>
      <c r="M24" s="101">
        <f>main!AH25</f>
        <v>13.185030910126084</v>
      </c>
      <c r="N24" s="101">
        <f>main!AB25</f>
        <v>4.2840596150028123</v>
      </c>
      <c r="O24" s="101">
        <f>main!AC25</f>
        <v>9.1644408068892496</v>
      </c>
      <c r="P24" s="101">
        <f t="shared" si="2"/>
        <v>5.7581463367027634</v>
      </c>
      <c r="Q24" s="101">
        <f t="shared" si="18"/>
        <v>0.69095293693580473</v>
      </c>
      <c r="R24" s="101">
        <f t="shared" si="3"/>
        <v>2.4764532029982176</v>
      </c>
      <c r="S24" s="101">
        <f t="shared" si="4"/>
        <v>0.32715002779087105</v>
      </c>
      <c r="T24" s="101">
        <f t="shared" si="5"/>
        <v>1.7855002660624131</v>
      </c>
      <c r="U24" s="101">
        <f t="shared" si="6"/>
        <v>1.2410370222527993</v>
      </c>
      <c r="V24" s="67">
        <f>main!T25</f>
        <v>43479</v>
      </c>
      <c r="W24" s="67">
        <f>main!U25</f>
        <v>43496</v>
      </c>
      <c r="X24" s="67">
        <f>main!V25</f>
        <v>43487.5</v>
      </c>
      <c r="Y24" s="97">
        <f>main!H25</f>
        <v>17</v>
      </c>
      <c r="Z24" s="90">
        <f t="shared" si="7"/>
        <v>0.58014195298853599</v>
      </c>
      <c r="AA24" s="90">
        <f t="shared" si="19"/>
        <v>0.20619926752691237</v>
      </c>
      <c r="AB24" s="90">
        <f t="shared" si="8"/>
        <v>2.3351179713838047E-2</v>
      </c>
      <c r="AC24" s="90">
        <f t="shared" si="9"/>
        <v>0.14866779900602939</v>
      </c>
      <c r="AD24" s="90">
        <f t="shared" si="10"/>
        <v>5.7531468520882992E-2</v>
      </c>
      <c r="AE24" s="395">
        <f t="shared" si="11"/>
        <v>2.0652970914508222E-2</v>
      </c>
      <c r="AF24" s="101">
        <f>depths!$B$2</f>
        <v>776.42</v>
      </c>
      <c r="AH24" s="101">
        <f t="shared" si="12"/>
        <v>206.19926752691237</v>
      </c>
      <c r="AI24" s="101">
        <f t="shared" si="13"/>
        <v>23.351179713838047</v>
      </c>
      <c r="AJ24" s="101">
        <f t="shared" si="20"/>
        <v>148.66779900602938</v>
      </c>
      <c r="AK24" s="101">
        <f t="shared" si="14"/>
        <v>57.531468520882989</v>
      </c>
      <c r="AL24" s="101">
        <f t="shared" si="15"/>
        <v>20.652970914508224</v>
      </c>
      <c r="AM24" s="101">
        <f t="shared" si="16"/>
        <v>6.3666076330151311</v>
      </c>
      <c r="AN24" s="101">
        <f t="shared" si="17"/>
        <v>2.4637499786269683</v>
      </c>
      <c r="AO24" s="101">
        <f>main!R25</f>
        <v>38.979999999999997</v>
      </c>
      <c r="AP24" s="101">
        <f>main!S25</f>
        <v>8.3770000000000007</v>
      </c>
    </row>
    <row r="25" spans="1:42">
      <c r="A25">
        <f>main!A26</f>
        <v>2018</v>
      </c>
      <c r="B25" t="str">
        <f>main!B26</f>
        <v>47_1000</v>
      </c>
      <c r="C25">
        <f>main!C26</f>
        <v>20</v>
      </c>
      <c r="D25" t="str">
        <f>main!$B$6</f>
        <v>McLane-PARFLUX-Mark78H-21 ; frame controller sn 12419-01, frame sn 12419-01, motor sn 12419-01, cup set O250x21</v>
      </c>
      <c r="E25">
        <v>1000</v>
      </c>
      <c r="F25" s="97">
        <f>main!E26</f>
        <v>300.71428571428572</v>
      </c>
      <c r="G25" s="90">
        <f>main!I26</f>
        <v>35.378151260504204</v>
      </c>
      <c r="H25" s="101">
        <f>main!J26</f>
        <v>12.92186974789916</v>
      </c>
      <c r="I25" s="101">
        <f>main!AF26</f>
        <v>58.033841127246092</v>
      </c>
      <c r="J25" s="101">
        <f>main!AG26</f>
        <v>6.963812766088525</v>
      </c>
      <c r="K25" s="101">
        <f>main!M26</f>
        <v>15.935337066650391</v>
      </c>
      <c r="L25" s="101">
        <f>main!O26</f>
        <v>1.5406123399734497</v>
      </c>
      <c r="M25" s="101">
        <f>main!AH26</f>
        <v>8.9715243005618657</v>
      </c>
      <c r="N25" s="101">
        <f>main!AB26</f>
        <v>6.8323837752053782</v>
      </c>
      <c r="O25" s="101">
        <f>main!AC26</f>
        <v>14.615804238237493</v>
      </c>
      <c r="P25" s="101">
        <f t="shared" si="2"/>
        <v>7.4990573601654731</v>
      </c>
      <c r="Q25" s="101">
        <f t="shared" si="18"/>
        <v>0.89985481512153276</v>
      </c>
      <c r="R25" s="101">
        <f t="shared" si="3"/>
        <v>2.0591434996412583</v>
      </c>
      <c r="S25" s="101">
        <f t="shared" si="4"/>
        <v>0.19907591989143056</v>
      </c>
      <c r="T25" s="101">
        <f t="shared" si="5"/>
        <v>1.1592886845197254</v>
      </c>
      <c r="U25" s="101">
        <f t="shared" si="6"/>
        <v>1.8886351862729738</v>
      </c>
      <c r="V25" s="67">
        <f>main!T26</f>
        <v>43496</v>
      </c>
      <c r="W25" s="67">
        <f>main!U26</f>
        <v>43513</v>
      </c>
      <c r="X25" s="67">
        <f>main!V26</f>
        <v>43504.5</v>
      </c>
      <c r="Y25" s="97">
        <f>main!H26</f>
        <v>17</v>
      </c>
      <c r="Z25" s="90">
        <f t="shared" si="7"/>
        <v>0.88287173210863434</v>
      </c>
      <c r="AA25" s="90">
        <f t="shared" si="19"/>
        <v>0.17145241462458438</v>
      </c>
      <c r="AB25" s="90">
        <f t="shared" si="8"/>
        <v>1.4209558878760211E-2</v>
      </c>
      <c r="AC25" s="90">
        <f t="shared" si="9"/>
        <v>9.6526951250601623E-2</v>
      </c>
      <c r="AD25" s="90">
        <f t="shared" si="10"/>
        <v>7.4925463373982745E-2</v>
      </c>
      <c r="AE25" s="395">
        <f t="shared" si="11"/>
        <v>3.1430107942635614E-2</v>
      </c>
      <c r="AF25" s="101">
        <f>depths!$B$2</f>
        <v>776.42</v>
      </c>
      <c r="AH25" s="101">
        <f t="shared" si="12"/>
        <v>171.45241462458438</v>
      </c>
      <c r="AI25" s="101">
        <f t="shared" si="13"/>
        <v>14.209558878760211</v>
      </c>
      <c r="AJ25" s="101">
        <f t="shared" si="20"/>
        <v>96.526951250601627</v>
      </c>
      <c r="AK25" s="101">
        <f t="shared" si="14"/>
        <v>74.925463373982751</v>
      </c>
      <c r="AL25" s="101">
        <f t="shared" si="15"/>
        <v>31.430107942635615</v>
      </c>
      <c r="AM25" s="101">
        <f t="shared" si="16"/>
        <v>6.7930997770019195</v>
      </c>
      <c r="AN25" s="101">
        <f t="shared" si="17"/>
        <v>5.2728915804682623</v>
      </c>
      <c r="AO25" s="101">
        <f>main!R26</f>
        <v>39.76</v>
      </c>
      <c r="AP25" s="101">
        <f>main!S26</f>
        <v>8.4849999999999994</v>
      </c>
    </row>
    <row r="26" spans="1:42">
      <c r="A26">
        <f>main!A27</f>
        <v>2018</v>
      </c>
      <c r="B26" t="str">
        <f>main!B27</f>
        <v>47_1000</v>
      </c>
      <c r="C26">
        <f>main!C27</f>
        <v>21</v>
      </c>
      <c r="D26" t="str">
        <f>main!$B$6</f>
        <v>McLane-PARFLUX-Mark78H-21 ; frame controller sn 12419-01, frame sn 12419-01, motor sn 12419-01, cup set O250x21</v>
      </c>
      <c r="E26">
        <v>1000</v>
      </c>
      <c r="F26" s="97">
        <f>main!E27</f>
        <v>392.88571428571436</v>
      </c>
      <c r="G26" s="90">
        <f>main!I27</f>
        <v>46.221848739495805</v>
      </c>
      <c r="H26" s="101">
        <f>main!J27</f>
        <v>16.882530252100846</v>
      </c>
      <c r="I26" s="101">
        <f>main!AF27</f>
        <v>65.025254990167966</v>
      </c>
      <c r="J26" s="101">
        <f>main!AG27</f>
        <v>7.8027525323685447</v>
      </c>
      <c r="K26" s="101">
        <f>main!M27</f>
        <v>13.513463020324707</v>
      </c>
      <c r="L26" s="101">
        <f>main!O27</f>
        <v>0.72829163074493408</v>
      </c>
      <c r="M26" s="101">
        <f>main!AH27</f>
        <v>5.7107104879561623</v>
      </c>
      <c r="N26" s="101">
        <f>main!AB27</f>
        <v>6.0113129714439664</v>
      </c>
      <c r="O26" s="101">
        <f>main!AC27</f>
        <v>12.859373316271553</v>
      </c>
      <c r="P26" s="101">
        <f t="shared" si="2"/>
        <v>10.977908345220822</v>
      </c>
      <c r="Q26" s="101">
        <f t="shared" si="18"/>
        <v>1.3173020567736846</v>
      </c>
      <c r="R26" s="101">
        <f t="shared" si="3"/>
        <v>2.2814144825127793</v>
      </c>
      <c r="S26" s="101">
        <f t="shared" si="4"/>
        <v>0.12295405488403208</v>
      </c>
      <c r="T26" s="101">
        <f t="shared" si="5"/>
        <v>0.96411242573909495</v>
      </c>
      <c r="U26" s="101">
        <f t="shared" si="6"/>
        <v>2.1709875903501286</v>
      </c>
      <c r="V26" s="67">
        <f>main!T27</f>
        <v>43513</v>
      </c>
      <c r="W26" s="67">
        <f>main!U27</f>
        <v>43530</v>
      </c>
      <c r="X26" s="67">
        <f>main!V27</f>
        <v>43521.5</v>
      </c>
      <c r="Y26" s="97">
        <f>main!H27</f>
        <v>17</v>
      </c>
      <c r="Z26" s="90">
        <f t="shared" si="7"/>
        <v>1.0148617309524899</v>
      </c>
      <c r="AA26" s="90">
        <f t="shared" si="19"/>
        <v>0.18995957389781676</v>
      </c>
      <c r="AB26" s="90">
        <f t="shared" si="8"/>
        <v>8.7761638032856585E-3</v>
      </c>
      <c r="AC26" s="90">
        <f t="shared" si="9"/>
        <v>8.0275805640224393E-2</v>
      </c>
      <c r="AD26" s="90">
        <f t="shared" si="10"/>
        <v>0.10968376825759239</v>
      </c>
      <c r="AE26" s="395">
        <f t="shared" si="11"/>
        <v>3.6128933106176216E-2</v>
      </c>
      <c r="AF26" s="101">
        <f>depths!$B$2</f>
        <v>776.42</v>
      </c>
      <c r="AH26" s="101">
        <f t="shared" si="12"/>
        <v>189.95957389781677</v>
      </c>
      <c r="AI26" s="101">
        <f t="shared" si="13"/>
        <v>8.7761638032856588</v>
      </c>
      <c r="AJ26" s="101">
        <f t="shared" si="20"/>
        <v>80.275805640224391</v>
      </c>
      <c r="AK26" s="101">
        <f t="shared" si="14"/>
        <v>109.68376825759239</v>
      </c>
      <c r="AL26" s="101">
        <f t="shared" si="15"/>
        <v>36.128933106176213</v>
      </c>
      <c r="AM26" s="101">
        <f t="shared" si="16"/>
        <v>9.1470268148562113</v>
      </c>
      <c r="AN26" s="101">
        <f t="shared" si="17"/>
        <v>12.497917167011913</v>
      </c>
      <c r="AO26" s="101">
        <f>main!R27</f>
        <v>39.979999999999997</v>
      </c>
      <c r="AP26" s="101">
        <f>main!S27</f>
        <v>8.5739999999999998</v>
      </c>
    </row>
    <row r="27" spans="1:42">
      <c r="A27">
        <f>main!A31</f>
        <v>2018</v>
      </c>
      <c r="B27" t="str">
        <f>main!B31</f>
        <v>47_2000</v>
      </c>
      <c r="C27">
        <v>1</v>
      </c>
      <c r="D27" t="str">
        <f>main!$B$30</f>
        <v>McLane-PARFLUX-Mark78H-21 ; frame controller sn 12419-02, frame sn 12419-02, motor sn 12419-02, cup set S250x21</v>
      </c>
      <c r="E27">
        <v>2000</v>
      </c>
      <c r="F27" s="97">
        <f>main!E31</f>
        <v>478.12857142857138</v>
      </c>
      <c r="G27" s="90">
        <f>main!I31</f>
        <v>56.250420168067222</v>
      </c>
      <c r="H27" s="101">
        <f>main!J31</f>
        <v>20.545465966386555</v>
      </c>
      <c r="I27" s="101">
        <f>main!AF31</f>
        <v>76.460712308064089</v>
      </c>
      <c r="J27" s="101">
        <f>main!AG31</f>
        <v>9.1749585092539565</v>
      </c>
      <c r="K27" s="101">
        <f>main!M31</f>
        <v>15.315581321716309</v>
      </c>
      <c r="L27" s="101">
        <f>main!O31</f>
        <v>1.025126576423645</v>
      </c>
      <c r="M27" s="101">
        <f>main!AH31</f>
        <v>6.1406228124623521</v>
      </c>
      <c r="N27" s="101">
        <f>main!AB31</f>
        <v>3.7894980519616905</v>
      </c>
      <c r="O27" s="101">
        <f>main!AC31</f>
        <v>8.1064769648407982</v>
      </c>
      <c r="P27" s="101">
        <f t="shared" si="2"/>
        <v>15.709209624910043</v>
      </c>
      <c r="Q27" s="101">
        <f t="shared" si="18"/>
        <v>1.8850379779488589</v>
      </c>
      <c r="R27" s="101">
        <f t="shared" si="3"/>
        <v>3.1466575480074805</v>
      </c>
      <c r="S27" s="101">
        <f t="shared" si="4"/>
        <v>0.21061703187150366</v>
      </c>
      <c r="T27" s="101">
        <f t="shared" si="5"/>
        <v>1.2616195700586215</v>
      </c>
      <c r="U27" s="101">
        <f t="shared" si="6"/>
        <v>1.6655134658843318</v>
      </c>
      <c r="V27" s="67">
        <f>main!T31</f>
        <v>43173</v>
      </c>
      <c r="W27" s="67">
        <f>main!U31</f>
        <v>43190</v>
      </c>
      <c r="X27" s="67">
        <f>main!V31</f>
        <v>43181.5</v>
      </c>
      <c r="Y27" s="97">
        <f>main!H31</f>
        <v>17</v>
      </c>
      <c r="Z27" s="90">
        <f t="shared" si="7"/>
        <v>0.77857003256267066</v>
      </c>
      <c r="AA27" s="90">
        <f t="shared" si="19"/>
        <v>0.26200312639529399</v>
      </c>
      <c r="AB27" s="90">
        <f t="shared" si="8"/>
        <v>1.5033335608244373E-2</v>
      </c>
      <c r="AC27" s="90">
        <f t="shared" si="9"/>
        <v>0.10504742465100929</v>
      </c>
      <c r="AD27" s="90">
        <f t="shared" si="10"/>
        <v>0.15695570174428466</v>
      </c>
      <c r="AE27" s="395">
        <f t="shared" si="11"/>
        <v>2.7716982291301911E-2</v>
      </c>
      <c r="AF27">
        <f>depths!$B$3</f>
        <v>1798.9</v>
      </c>
      <c r="AH27" s="101">
        <f t="shared" si="12"/>
        <v>262.00312639529398</v>
      </c>
      <c r="AI27" s="101">
        <f t="shared" si="13"/>
        <v>15.033335608244373</v>
      </c>
      <c r="AJ27" s="101">
        <f t="shared" si="20"/>
        <v>105.04742465100929</v>
      </c>
      <c r="AK27" s="101">
        <f t="shared" si="14"/>
        <v>156.95570174428465</v>
      </c>
      <c r="AL27" s="101">
        <f t="shared" si="15"/>
        <v>27.71698229130191</v>
      </c>
      <c r="AM27" s="101">
        <f t="shared" si="16"/>
        <v>6.9876325114035662</v>
      </c>
      <c r="AN27" s="101">
        <f t="shared" si="17"/>
        <v>10.440510731245112</v>
      </c>
      <c r="AO27" s="101">
        <f>main!R31</f>
        <v>38.75</v>
      </c>
      <c r="AP27" s="101">
        <f>main!S31</f>
        <v>8.5389999999999997</v>
      </c>
    </row>
    <row r="28" spans="1:42">
      <c r="A28">
        <f>main!A32</f>
        <v>2018</v>
      </c>
      <c r="B28" t="str">
        <f>main!B32</f>
        <v>47_2000</v>
      </c>
      <c r="C28">
        <f>main!C32</f>
        <v>2</v>
      </c>
      <c r="D28" t="str">
        <f>main!$B$30</f>
        <v>McLane-PARFLUX-Mark78H-21 ; frame controller sn 12419-02, frame sn 12419-02, motor sn 12419-02, cup set S250x21</v>
      </c>
      <c r="E28">
        <v>2000</v>
      </c>
      <c r="F28" s="97">
        <f>main!E32</f>
        <v>930.21428571428589</v>
      </c>
      <c r="G28" s="90">
        <f>main!I32</f>
        <v>109.43697478991599</v>
      </c>
      <c r="H28" s="101">
        <f>main!J32</f>
        <v>39.971855042016813</v>
      </c>
      <c r="I28" s="101">
        <f>main!AF32</f>
        <v>65.755428283319191</v>
      </c>
      <c r="J28" s="101">
        <f>main!AG32</f>
        <v>7.890370205118387</v>
      </c>
      <c r="K28" s="101">
        <f>main!M32</f>
        <v>17.504707336425781</v>
      </c>
      <c r="L28" s="101">
        <f>main!O32</f>
        <v>1.4818569421768188</v>
      </c>
      <c r="M28" s="101">
        <f>main!AH32</f>
        <v>9.6143371313073942</v>
      </c>
      <c r="N28" s="101">
        <f>main!AB32</f>
        <v>2.8942785566524658</v>
      </c>
      <c r="O28" s="101">
        <f>main!AC32</f>
        <v>6.1914274997951821</v>
      </c>
      <c r="P28" s="101">
        <f t="shared" si="2"/>
        <v>26.283664475665674</v>
      </c>
      <c r="Q28" s="101">
        <f t="shared" si="18"/>
        <v>3.1539273406684063</v>
      </c>
      <c r="R28" s="101">
        <f t="shared" si="3"/>
        <v>6.9969562420453961</v>
      </c>
      <c r="S28" s="101">
        <f t="shared" si="4"/>
        <v>0.59232570885698088</v>
      </c>
      <c r="T28" s="101">
        <f t="shared" si="5"/>
        <v>3.8430289013769894</v>
      </c>
      <c r="U28" s="101">
        <f t="shared" si="6"/>
        <v>2.4748284252496959</v>
      </c>
      <c r="V28" s="67">
        <f>main!T32</f>
        <v>43190</v>
      </c>
      <c r="W28" s="67">
        <f>main!U32</f>
        <v>43207</v>
      </c>
      <c r="X28" s="67">
        <f>main!V32</f>
        <v>43198.5</v>
      </c>
      <c r="Y28" s="97">
        <f>main!H32</f>
        <v>17</v>
      </c>
      <c r="Z28" s="90">
        <f t="shared" si="7"/>
        <v>1.1568968291773001</v>
      </c>
      <c r="AA28" s="90">
        <f t="shared" si="19"/>
        <v>0.58259419167738524</v>
      </c>
      <c r="AB28" s="90">
        <f t="shared" si="8"/>
        <v>4.2278780075444743E-2</v>
      </c>
      <c r="AC28" s="90">
        <f t="shared" si="9"/>
        <v>0.31998575365337129</v>
      </c>
      <c r="AD28" s="90">
        <f t="shared" si="10"/>
        <v>0.26260843802401385</v>
      </c>
      <c r="AE28" s="395">
        <f t="shared" si="11"/>
        <v>4.1185362377262377E-2</v>
      </c>
      <c r="AF28">
        <f>depths!$B$3</f>
        <v>1798.9</v>
      </c>
      <c r="AH28" s="101">
        <f t="shared" si="12"/>
        <v>582.5941916773852</v>
      </c>
      <c r="AI28" s="101">
        <f t="shared" si="13"/>
        <v>42.278780075444743</v>
      </c>
      <c r="AJ28" s="101">
        <f t="shared" si="20"/>
        <v>319.98575365337126</v>
      </c>
      <c r="AK28" s="101">
        <f t="shared" si="14"/>
        <v>262.60843802401382</v>
      </c>
      <c r="AL28" s="101">
        <f t="shared" si="15"/>
        <v>41.185362377262379</v>
      </c>
      <c r="AM28" s="101">
        <f t="shared" si="16"/>
        <v>7.568471774312548</v>
      </c>
      <c r="AN28" s="101">
        <f t="shared" si="17"/>
        <v>6.21135324991402</v>
      </c>
      <c r="AO28" s="101">
        <f>main!R32</f>
        <v>38.14</v>
      </c>
      <c r="AP28" s="101">
        <f>main!S32</f>
        <v>8.4949999999999992</v>
      </c>
    </row>
    <row r="29" spans="1:42">
      <c r="A29">
        <f>main!A33</f>
        <v>2018</v>
      </c>
      <c r="B29" t="str">
        <f>main!B33</f>
        <v>47_2000</v>
      </c>
      <c r="C29">
        <f>main!C33</f>
        <v>3</v>
      </c>
      <c r="D29" t="str">
        <f>main!$B$30</f>
        <v>McLane-PARFLUX-Mark78H-21 ; frame controller sn 12419-02, frame sn 12419-02, motor sn 12419-02, cup set S250x21</v>
      </c>
      <c r="E29">
        <v>2000</v>
      </c>
      <c r="F29" s="97">
        <f>main!E33</f>
        <v>1151.6285714285714</v>
      </c>
      <c r="G29" s="90">
        <f>main!I33</f>
        <v>135.48571428571427</v>
      </c>
      <c r="H29" s="101">
        <f>main!J33</f>
        <v>49.486157142857145</v>
      </c>
      <c r="I29" s="101">
        <f>main!AF33</f>
        <v>66.076046730741837</v>
      </c>
      <c r="J29" s="101">
        <f>main!AG33</f>
        <v>7.9288430477535972</v>
      </c>
      <c r="K29" s="101">
        <f>main!M33</f>
        <v>16.713186264038086</v>
      </c>
      <c r="L29" s="101">
        <f>main!O33</f>
        <v>1.443390429019928</v>
      </c>
      <c r="M29" s="101">
        <f>main!AH33</f>
        <v>8.7843432162844888</v>
      </c>
      <c r="N29" s="101">
        <f>main!AB33</f>
        <v>4.1143394714809558</v>
      </c>
      <c r="O29" s="101">
        <f>main!AC33</f>
        <v>8.8013762492449512</v>
      </c>
      <c r="P29" s="101">
        <f t="shared" si="2"/>
        <v>32.698496318962626</v>
      </c>
      <c r="Q29" s="101">
        <f t="shared" si="18"/>
        <v>3.9236797302218491</v>
      </c>
      <c r="R29" s="101">
        <f t="shared" si="3"/>
        <v>8.2707136182003023</v>
      </c>
      <c r="S29" s="101">
        <f t="shared" si="4"/>
        <v>0.71427845588976147</v>
      </c>
      <c r="T29" s="101">
        <f t="shared" si="5"/>
        <v>4.347033887978454</v>
      </c>
      <c r="U29" s="101">
        <f t="shared" si="6"/>
        <v>4.3554628814354626</v>
      </c>
      <c r="V29" s="67">
        <f>main!T33</f>
        <v>43207</v>
      </c>
      <c r="W29" s="67">
        <f>main!U33</f>
        <v>43224</v>
      </c>
      <c r="X29" s="67">
        <f>main!V33</f>
        <v>43215.5</v>
      </c>
      <c r="Y29" s="97">
        <f>main!H33</f>
        <v>17</v>
      </c>
      <c r="Z29" s="90">
        <f t="shared" si="7"/>
        <v>2.0360284962476638</v>
      </c>
      <c r="AA29" s="90">
        <f t="shared" si="19"/>
        <v>0.68865225796838492</v>
      </c>
      <c r="AB29" s="90">
        <f t="shared" si="8"/>
        <v>5.0983472940025802E-2</v>
      </c>
      <c r="AC29" s="90">
        <f t="shared" si="9"/>
        <v>0.3619511979998713</v>
      </c>
      <c r="AD29" s="90">
        <f t="shared" si="10"/>
        <v>0.32670105996851367</v>
      </c>
      <c r="AE29" s="395">
        <f t="shared" si="11"/>
        <v>7.2482324537118684E-2</v>
      </c>
      <c r="AF29">
        <f>depths!$B$3</f>
        <v>1798.9</v>
      </c>
      <c r="AH29" s="101">
        <f t="shared" si="12"/>
        <v>688.6522579683849</v>
      </c>
      <c r="AI29" s="101">
        <f t="shared" si="13"/>
        <v>50.983472940025806</v>
      </c>
      <c r="AJ29" s="101">
        <f t="shared" si="20"/>
        <v>361.95119799987128</v>
      </c>
      <c r="AK29" s="101">
        <f t="shared" si="14"/>
        <v>326.70105996851368</v>
      </c>
      <c r="AL29" s="101">
        <f t="shared" si="15"/>
        <v>72.482324537118686</v>
      </c>
      <c r="AM29" s="101">
        <f t="shared" si="16"/>
        <v>7.0993829397548307</v>
      </c>
      <c r="AN29" s="101">
        <f t="shared" si="17"/>
        <v>6.4079797065379811</v>
      </c>
      <c r="AO29" s="101">
        <f>main!R33</f>
        <v>38.549999999999997</v>
      </c>
      <c r="AP29" s="101">
        <f>main!S33</f>
        <v>8.423</v>
      </c>
    </row>
    <row r="30" spans="1:42">
      <c r="A30">
        <f>main!A34</f>
        <v>2018</v>
      </c>
      <c r="B30" t="str">
        <f>main!B34</f>
        <v>47_2000</v>
      </c>
      <c r="C30">
        <f>main!C34</f>
        <v>4</v>
      </c>
      <c r="D30" t="str">
        <f>main!$B$30</f>
        <v>McLane-PARFLUX-Mark78H-21 ; frame controller sn 12419-02, frame sn 12419-02, motor sn 12419-02, cup set S250x21</v>
      </c>
      <c r="E30">
        <v>2000</v>
      </c>
      <c r="F30" s="97">
        <f>main!E34</f>
        <v>488.38571428571424</v>
      </c>
      <c r="G30" s="90">
        <f>main!I34</f>
        <v>57.457142857142856</v>
      </c>
      <c r="H30" s="101">
        <f>main!J34</f>
        <v>20.986221428571429</v>
      </c>
      <c r="I30" s="101">
        <f>main!AF34</f>
        <v>69.214721987207426</v>
      </c>
      <c r="J30" s="101">
        <f>main!AG34</f>
        <v>8.3054706566629726</v>
      </c>
      <c r="K30" s="101">
        <f>main!M34</f>
        <v>15.659294128417969</v>
      </c>
      <c r="L30" s="101">
        <f>main!O34</f>
        <v>1.2726815938949585</v>
      </c>
      <c r="M30" s="101">
        <f>main!AH34</f>
        <v>7.3538234717549962</v>
      </c>
      <c r="N30" s="101">
        <f>main!AB34</f>
        <v>4.1572859777582041</v>
      </c>
      <c r="O30" s="101">
        <f>main!AC34</f>
        <v>8.8932472197753807</v>
      </c>
      <c r="P30" s="101">
        <f t="shared" si="2"/>
        <v>14.525554817405466</v>
      </c>
      <c r="Q30" s="101">
        <f t="shared" si="18"/>
        <v>1.7430044626923169</v>
      </c>
      <c r="R30" s="101">
        <f t="shared" si="3"/>
        <v>3.2862941399410794</v>
      </c>
      <c r="S30" s="101">
        <f t="shared" si="4"/>
        <v>0.26708777737546818</v>
      </c>
      <c r="T30" s="101">
        <f t="shared" si="5"/>
        <v>1.5432896772487623</v>
      </c>
      <c r="U30" s="101">
        <f t="shared" si="6"/>
        <v>1.8663565537323339</v>
      </c>
      <c r="V30" s="67">
        <f>main!T34</f>
        <v>43224</v>
      </c>
      <c r="W30" s="67">
        <f>main!U34</f>
        <v>43241</v>
      </c>
      <c r="X30" s="67">
        <f>main!V34</f>
        <v>43232.5</v>
      </c>
      <c r="Y30" s="97">
        <f>main!H34</f>
        <v>17</v>
      </c>
      <c r="Z30" s="90">
        <f t="shared" si="7"/>
        <v>0.87245724071128761</v>
      </c>
      <c r="AA30" s="90">
        <f t="shared" si="19"/>
        <v>0.27362982014496917</v>
      </c>
      <c r="AB30" s="90">
        <f t="shared" si="8"/>
        <v>1.9064081183116931E-2</v>
      </c>
      <c r="AC30" s="90">
        <f t="shared" si="9"/>
        <v>0.12850038944619172</v>
      </c>
      <c r="AD30" s="90">
        <f t="shared" si="10"/>
        <v>0.14512943069877743</v>
      </c>
      <c r="AE30" s="395">
        <f t="shared" si="11"/>
        <v>3.105935353190771E-2</v>
      </c>
      <c r="AF30">
        <f>depths!$B$3</f>
        <v>1798.9</v>
      </c>
      <c r="AH30" s="101">
        <f t="shared" si="12"/>
        <v>273.62982014496919</v>
      </c>
      <c r="AI30" s="101">
        <f t="shared" si="13"/>
        <v>19.064081183116933</v>
      </c>
      <c r="AJ30" s="101">
        <f t="shared" si="20"/>
        <v>128.50038944619172</v>
      </c>
      <c r="AK30" s="101">
        <f t="shared" si="14"/>
        <v>145.12943069877744</v>
      </c>
      <c r="AL30" s="101">
        <f t="shared" si="15"/>
        <v>31.059353531907711</v>
      </c>
      <c r="AM30" s="101">
        <f t="shared" si="16"/>
        <v>6.7404449347389006</v>
      </c>
      <c r="AN30" s="101">
        <f t="shared" si="17"/>
        <v>7.6127157298985608</v>
      </c>
      <c r="AO30" s="101">
        <f>main!R34</f>
        <v>39.76</v>
      </c>
      <c r="AP30" s="101">
        <f>main!S34</f>
        <v>8.6419999999999995</v>
      </c>
    </row>
    <row r="31" spans="1:42">
      <c r="A31">
        <f>main!A35</f>
        <v>2018</v>
      </c>
      <c r="B31" t="str">
        <f>main!B35</f>
        <v>47_2000</v>
      </c>
      <c r="C31">
        <f>main!C35</f>
        <v>5</v>
      </c>
      <c r="D31" t="str">
        <f>main!$B$30</f>
        <v>McLane-PARFLUX-Mark78H-21 ; frame controller sn 12419-02, frame sn 12419-02, motor sn 12419-02, cup set S250x21</v>
      </c>
      <c r="E31">
        <v>2000</v>
      </c>
      <c r="F31" s="97">
        <f>main!E35</f>
        <v>279.21428571428572</v>
      </c>
      <c r="G31" s="90">
        <f>main!I35</f>
        <v>32.84873949579832</v>
      </c>
      <c r="H31" s="101">
        <f>main!J35</f>
        <v>11.998002100840338</v>
      </c>
      <c r="I31" s="101">
        <f>main!AF35</f>
        <v>70.751824067911755</v>
      </c>
      <c r="J31" s="101">
        <f>main!AG35</f>
        <v>8.4899163332625971</v>
      </c>
      <c r="K31" s="101">
        <f>main!M35</f>
        <v>15.882658958435059</v>
      </c>
      <c r="L31" s="101">
        <f>main!O35</f>
        <v>1.1502739191055298</v>
      </c>
      <c r="M31" s="101">
        <f>main!AH35</f>
        <v>7.3927426251724615</v>
      </c>
      <c r="N31" s="101">
        <f>main!AB35</f>
        <v>3.976697124404676</v>
      </c>
      <c r="O31" s="101">
        <f>main!AC35</f>
        <v>8.5069323675855131</v>
      </c>
      <c r="P31" s="101">
        <f t="shared" si="2"/>
        <v>8.4888053380509128</v>
      </c>
      <c r="Q31" s="101">
        <f t="shared" si="18"/>
        <v>1.0186203400244334</v>
      </c>
      <c r="R31" s="101">
        <f t="shared" si="3"/>
        <v>1.9056017555023446</v>
      </c>
      <c r="S31" s="101">
        <f t="shared" si="4"/>
        <v>0.13800988897969996</v>
      </c>
      <c r="T31" s="101">
        <f t="shared" si="5"/>
        <v>0.88698141547791109</v>
      </c>
      <c r="U31" s="101">
        <f t="shared" si="6"/>
        <v>1.0206619241799766</v>
      </c>
      <c r="V31" s="67">
        <f>main!T35</f>
        <v>43241</v>
      </c>
      <c r="W31" s="67">
        <f>main!U35</f>
        <v>43258</v>
      </c>
      <c r="X31" s="67">
        <f>main!V35</f>
        <v>43249.5</v>
      </c>
      <c r="Y31" s="97">
        <f>main!H35</f>
        <v>17</v>
      </c>
      <c r="Z31" s="90">
        <f t="shared" si="7"/>
        <v>0.47712420453013032</v>
      </c>
      <c r="AA31" s="90">
        <f t="shared" si="19"/>
        <v>0.15866792302267649</v>
      </c>
      <c r="AB31" s="90">
        <f t="shared" si="8"/>
        <v>9.8508129178943582E-3</v>
      </c>
      <c r="AC31" s="90">
        <f t="shared" si="9"/>
        <v>7.3853573312065865E-2</v>
      </c>
      <c r="AD31" s="90">
        <f t="shared" si="10"/>
        <v>8.4814349710610609E-2</v>
      </c>
      <c r="AE31" s="395">
        <f t="shared" si="11"/>
        <v>1.6985553739057684E-2</v>
      </c>
      <c r="AF31">
        <f>depths!$B$3</f>
        <v>1798.9</v>
      </c>
      <c r="AH31" s="101">
        <f t="shared" si="12"/>
        <v>158.66792302267649</v>
      </c>
      <c r="AI31" s="101">
        <f t="shared" si="13"/>
        <v>9.8508129178943591</v>
      </c>
      <c r="AJ31" s="101">
        <f t="shared" si="20"/>
        <v>73.853573312065862</v>
      </c>
      <c r="AK31" s="101">
        <f t="shared" si="14"/>
        <v>84.814349710610614</v>
      </c>
      <c r="AL31" s="101">
        <f t="shared" si="15"/>
        <v>16.985553739057682</v>
      </c>
      <c r="AM31" s="101">
        <f t="shared" si="16"/>
        <v>7.4972059593080047</v>
      </c>
      <c r="AN31" s="101">
        <f t="shared" si="17"/>
        <v>8.6098833078580022</v>
      </c>
      <c r="AO31" s="101">
        <f>main!R35</f>
        <v>39.465000000000003</v>
      </c>
      <c r="AP31" s="101">
        <f>main!S35</f>
        <v>8.4845000000000006</v>
      </c>
    </row>
    <row r="32" spans="1:42">
      <c r="A32">
        <f>main!A36</f>
        <v>2018</v>
      </c>
      <c r="B32" t="str">
        <f>main!B36</f>
        <v>47_2000</v>
      </c>
      <c r="C32">
        <f>main!C36</f>
        <v>6</v>
      </c>
      <c r="D32" t="str">
        <f>main!$B$30</f>
        <v>McLane-PARFLUX-Mark78H-21 ; frame controller sn 12419-02, frame sn 12419-02, motor sn 12419-02, cup set S250x21</v>
      </c>
      <c r="E32">
        <v>2000</v>
      </c>
      <c r="F32" s="97">
        <f>main!E36</f>
        <v>272.29999999999995</v>
      </c>
      <c r="G32" s="90">
        <f>main!I36</f>
        <v>32.035294117647055</v>
      </c>
      <c r="H32" s="101">
        <f>main!J36</f>
        <v>11.700891176470588</v>
      </c>
      <c r="I32" s="101">
        <f>main!AF36</f>
        <v>77.291264097712428</v>
      </c>
      <c r="J32" s="101">
        <f>main!AG36</f>
        <v>9.2746211723365022</v>
      </c>
      <c r="K32" s="101">
        <f>main!M36</f>
        <v>13.839174270629883</v>
      </c>
      <c r="L32" s="101">
        <f>main!O36</f>
        <v>0.83555901050567627</v>
      </c>
      <c r="M32" s="101">
        <f>main!AH36</f>
        <v>4.5645530982933806</v>
      </c>
      <c r="N32" s="101">
        <f>main!AB36</f>
        <v>3.9159988171518298</v>
      </c>
      <c r="O32" s="101">
        <f>main!AC36</f>
        <v>8.3770868252991626</v>
      </c>
      <c r="P32" s="101">
        <f t="shared" ref="P32:P48" si="21">(I32/100)*$H32</f>
        <v>9.0437667009918137</v>
      </c>
      <c r="Q32" s="101">
        <f t="shared" ref="Q32:Q48" si="22">(J32/100)*$H32</f>
        <v>1.0852133304049947</v>
      </c>
      <c r="R32" s="101">
        <f t="shared" ref="R32:R48" si="23">(K32/100)*$H32</f>
        <v>1.6193067211285199</v>
      </c>
      <c r="S32" s="101">
        <f t="shared" ref="S32:S48" si="24">(L32/100)*$H32</f>
        <v>9.7767850534463629E-2</v>
      </c>
      <c r="T32" s="101">
        <f t="shared" ref="T32:T48" si="25">(M32/100)*$H32</f>
        <v>0.53409339072352502</v>
      </c>
      <c r="U32" s="101">
        <f t="shared" ref="U32:U48" si="26">(O32/100)*$H32</f>
        <v>0.98019381318670984</v>
      </c>
      <c r="V32" s="67">
        <f>main!T36</f>
        <v>43258</v>
      </c>
      <c r="W32" s="67">
        <f>main!U36</f>
        <v>43275</v>
      </c>
      <c r="X32" s="67">
        <f>main!V36</f>
        <v>43266.5</v>
      </c>
      <c r="Y32" s="97">
        <f>main!H36</f>
        <v>17</v>
      </c>
      <c r="Z32" s="90">
        <f t="shared" ref="Z32:Z48" si="27">(N32/100)*$H32</f>
        <v>0.45820676006681105</v>
      </c>
      <c r="AA32" s="90">
        <f t="shared" ref="AA32:AA48" si="28">R32/12.01</f>
        <v>0.13482986853692921</v>
      </c>
      <c r="AB32" s="90">
        <f t="shared" ref="AB32:AB48" si="29">S32/14.01</f>
        <v>6.9784333001044708E-3</v>
      </c>
      <c r="AC32" s="90">
        <f t="shared" ref="AC32:AC48" si="30">T32/12.01</f>
        <v>4.4470723623940465E-2</v>
      </c>
      <c r="AD32" s="90">
        <f t="shared" ref="AD32:AD48" si="31">Q32/12.01</f>
        <v>9.0359144912988729E-2</v>
      </c>
      <c r="AE32" s="395">
        <f t="shared" ref="AE32:AE48" si="32">Z32/28.09</f>
        <v>1.6312095409996834E-2</v>
      </c>
      <c r="AF32">
        <f>depths!$B$3</f>
        <v>1798.9</v>
      </c>
      <c r="AH32" s="101">
        <f t="shared" ref="AH32:AH48" si="33">AA32*1000</f>
        <v>134.82986853692921</v>
      </c>
      <c r="AI32" s="101">
        <f t="shared" ref="AI32:AI48" si="34">AB32*1000</f>
        <v>6.9784333001044709</v>
      </c>
      <c r="AJ32" s="101">
        <f t="shared" ref="AJ32:AJ48" si="35">AC32*1000</f>
        <v>44.470723623940465</v>
      </c>
      <c r="AK32" s="101">
        <f t="shared" ref="AK32:AK48" si="36">AD32*1000</f>
        <v>90.359144912988725</v>
      </c>
      <c r="AL32" s="101">
        <f t="shared" ref="AL32:AL48" si="37">AE32*1000</f>
        <v>16.312095409996832</v>
      </c>
      <c r="AM32" s="101">
        <f t="shared" ref="AM32:AM48" si="38">AJ32/AI32</f>
        <v>6.3725942072520363</v>
      </c>
      <c r="AN32" s="101">
        <f t="shared" ref="AN32:AN48" si="39">AK32/AI32</f>
        <v>12.948342561594162</v>
      </c>
      <c r="AO32" s="101">
        <f>main!R36</f>
        <v>38.39</v>
      </c>
      <c r="AP32" s="101">
        <f>main!S36</f>
        <v>8.6669999999999998</v>
      </c>
    </row>
    <row r="33" spans="1:42">
      <c r="A33">
        <f>main!A37</f>
        <v>2018</v>
      </c>
      <c r="B33" t="str">
        <f>main!B37</f>
        <v>47_2000</v>
      </c>
      <c r="C33">
        <f>main!C37</f>
        <v>7</v>
      </c>
      <c r="D33" t="str">
        <f>main!$B$30</f>
        <v>McLane-PARFLUX-Mark78H-21 ; frame controller sn 12419-02, frame sn 12419-02, motor sn 12419-02, cup set S250x21</v>
      </c>
      <c r="E33">
        <v>2000</v>
      </c>
      <c r="F33" s="97">
        <f>main!E37</f>
        <v>103.95714285714286</v>
      </c>
      <c r="G33" s="90">
        <f>main!I37</f>
        <v>12.230252100840335</v>
      </c>
      <c r="H33" s="101">
        <f>main!J37</f>
        <v>4.4670995798319328</v>
      </c>
      <c r="I33" s="101">
        <f>main!AF37</f>
        <v>72.003198413578801</v>
      </c>
      <c r="J33" s="101">
        <f>main!AG37</f>
        <v>8.6400759035106631</v>
      </c>
      <c r="K33" s="101">
        <f>main!M37</f>
        <v>13.684504508972168</v>
      </c>
      <c r="L33" s="101">
        <f>main!O37</f>
        <v>0.79686939716339111</v>
      </c>
      <c r="M33" s="101">
        <f>main!AH37</f>
        <v>5.0444286054615048</v>
      </c>
      <c r="N33" s="101">
        <f>main!AB37</f>
        <v>3.7302617346461475</v>
      </c>
      <c r="O33" s="101">
        <f>main!AC37</f>
        <v>7.9797589047663582</v>
      </c>
      <c r="P33" s="101">
        <f t="shared" si="21"/>
        <v>3.2164545737985319</v>
      </c>
      <c r="Q33" s="101">
        <f t="shared" si="22"/>
        <v>0.38596079438288494</v>
      </c>
      <c r="R33" s="101">
        <f t="shared" si="23"/>
        <v>0.61130044342237755</v>
      </c>
      <c r="S33" s="101">
        <f t="shared" si="24"/>
        <v>3.5596949492495103E-2</v>
      </c>
      <c r="T33" s="101">
        <f t="shared" si="25"/>
        <v>0.22533964903949269</v>
      </c>
      <c r="U33" s="101">
        <f t="shared" si="26"/>
        <v>0.35646377650641925</v>
      </c>
      <c r="V33" s="67">
        <f>main!T37</f>
        <v>43275</v>
      </c>
      <c r="W33" s="67">
        <f>main!U37</f>
        <v>43292</v>
      </c>
      <c r="X33" s="67">
        <f>main!V37</f>
        <v>43283.5</v>
      </c>
      <c r="Y33" s="97">
        <f>main!H37</f>
        <v>17</v>
      </c>
      <c r="Z33" s="90">
        <f t="shared" si="27"/>
        <v>0.16663450627500942</v>
      </c>
      <c r="AA33" s="90">
        <f t="shared" si="28"/>
        <v>5.0899287545576814E-2</v>
      </c>
      <c r="AB33" s="90">
        <f t="shared" si="29"/>
        <v>2.5408243749104283E-3</v>
      </c>
      <c r="AC33" s="90">
        <f t="shared" si="30"/>
        <v>1.8762668529516462E-2</v>
      </c>
      <c r="AD33" s="90">
        <f t="shared" si="31"/>
        <v>3.213661901606036E-2</v>
      </c>
      <c r="AE33" s="395">
        <f t="shared" si="32"/>
        <v>5.9321646947315563E-3</v>
      </c>
      <c r="AF33">
        <f>depths!$B$3</f>
        <v>1798.9</v>
      </c>
      <c r="AH33" s="101">
        <f t="shared" si="33"/>
        <v>50.899287545576811</v>
      </c>
      <c r="AI33" s="101">
        <f t="shared" si="34"/>
        <v>2.5408243749104282</v>
      </c>
      <c r="AJ33" s="101">
        <f t="shared" si="35"/>
        <v>18.762668529516461</v>
      </c>
      <c r="AK33" s="101">
        <f t="shared" si="36"/>
        <v>32.136619016060358</v>
      </c>
      <c r="AL33" s="101">
        <f t="shared" si="37"/>
        <v>5.9321646947315561</v>
      </c>
      <c r="AM33" s="101">
        <f t="shared" si="38"/>
        <v>7.3844806885473542</v>
      </c>
      <c r="AN33" s="101">
        <f t="shared" si="39"/>
        <v>12.64810717867632</v>
      </c>
      <c r="AO33" s="101">
        <f>main!R37</f>
        <v>37.01</v>
      </c>
      <c r="AP33" s="101">
        <f>main!S37</f>
        <v>8.5950000000000006</v>
      </c>
    </row>
    <row r="34" spans="1:42">
      <c r="A34">
        <f>main!A38</f>
        <v>2018</v>
      </c>
      <c r="B34" t="str">
        <f>main!B38</f>
        <v>47_2000</v>
      </c>
      <c r="C34">
        <f>main!C38</f>
        <v>8</v>
      </c>
      <c r="D34" t="str">
        <f>main!$B$30</f>
        <v>McLane-PARFLUX-Mark78H-21 ; frame controller sn 12419-02, frame sn 12419-02, motor sn 12419-02, cup set S250x21</v>
      </c>
      <c r="E34">
        <v>2000</v>
      </c>
      <c r="F34" s="97">
        <f>main!E38</f>
        <v>180.85714285714286</v>
      </c>
      <c r="G34" s="90">
        <f>main!I38</f>
        <v>21.277310924369747</v>
      </c>
      <c r="H34" s="101">
        <f>main!J38</f>
        <v>7.7715378151260515</v>
      </c>
      <c r="I34" s="101">
        <f>main!AF38</f>
        <v>69.064882638943757</v>
      </c>
      <c r="J34" s="101">
        <f>main!AG38</f>
        <v>8.2874905756269257</v>
      </c>
      <c r="K34" s="101">
        <f>main!M38</f>
        <v>13.781223297119141</v>
      </c>
      <c r="L34" s="101">
        <f>main!O38</f>
        <v>0.99969804286956787</v>
      </c>
      <c r="M34" s="101">
        <f>main!AH38</f>
        <v>5.4937327214922149</v>
      </c>
      <c r="N34" s="101">
        <f>main!AB38</f>
        <v>4.2819351401976178</v>
      </c>
      <c r="O34" s="101">
        <f>main!AC38</f>
        <v>9.1598961400667456</v>
      </c>
      <c r="P34" s="101">
        <f t="shared" si="21"/>
        <v>5.3674034712579415</v>
      </c>
      <c r="Q34" s="101">
        <f t="shared" si="22"/>
        <v>0.6440654640098542</v>
      </c>
      <c r="R34" s="101">
        <f t="shared" si="23"/>
        <v>1.0710129799225754</v>
      </c>
      <c r="S34" s="101">
        <f t="shared" si="24"/>
        <v>7.7691911438683509E-2</v>
      </c>
      <c r="T34" s="101">
        <f t="shared" si="25"/>
        <v>0.42694751591272107</v>
      </c>
      <c r="U34" s="101">
        <f t="shared" si="26"/>
        <v>0.71186479235155864</v>
      </c>
      <c r="V34" s="67">
        <f>main!T38</f>
        <v>43292</v>
      </c>
      <c r="W34" s="67">
        <f>main!U38</f>
        <v>43309</v>
      </c>
      <c r="X34" s="67">
        <f>main!V38</f>
        <v>43300.5</v>
      </c>
      <c r="Y34" s="97">
        <f>main!H38</f>
        <v>17</v>
      </c>
      <c r="Z34" s="90">
        <f t="shared" si="27"/>
        <v>0.33277220863962859</v>
      </c>
      <c r="AA34" s="90">
        <f t="shared" si="28"/>
        <v>8.9176767687142E-2</v>
      </c>
      <c r="AB34" s="90">
        <f t="shared" si="29"/>
        <v>5.5454612019046048E-3</v>
      </c>
      <c r="AC34" s="90">
        <f t="shared" si="30"/>
        <v>3.5549335213382272E-2</v>
      </c>
      <c r="AD34" s="90">
        <f t="shared" si="31"/>
        <v>5.3627432473759722E-2</v>
      </c>
      <c r="AE34" s="395">
        <f t="shared" si="32"/>
        <v>1.1846643240997814E-2</v>
      </c>
      <c r="AF34">
        <f>depths!$B$3</f>
        <v>1798.9</v>
      </c>
      <c r="AH34" s="101">
        <f t="shared" si="33"/>
        <v>89.176767687142004</v>
      </c>
      <c r="AI34" s="101">
        <f t="shared" si="34"/>
        <v>5.5454612019046046</v>
      </c>
      <c r="AJ34" s="101">
        <f t="shared" si="35"/>
        <v>35.549335213382271</v>
      </c>
      <c r="AK34" s="101">
        <f t="shared" si="36"/>
        <v>53.627432473759718</v>
      </c>
      <c r="AL34" s="101">
        <f t="shared" si="37"/>
        <v>11.846643240997814</v>
      </c>
      <c r="AM34" s="101">
        <f t="shared" si="38"/>
        <v>6.4105281633153881</v>
      </c>
      <c r="AN34" s="101">
        <f t="shared" si="39"/>
        <v>9.670509002090073</v>
      </c>
      <c r="AO34" s="101">
        <f>main!R38</f>
        <v>39.08</v>
      </c>
      <c r="AP34" s="101">
        <f>main!S38</f>
        <v>8.65</v>
      </c>
    </row>
    <row r="35" spans="1:42">
      <c r="A35">
        <f>main!A39</f>
        <v>2018</v>
      </c>
      <c r="B35" t="str">
        <f>main!B39</f>
        <v>47_2000</v>
      </c>
      <c r="C35">
        <f>main!C39</f>
        <v>9</v>
      </c>
      <c r="D35" t="str">
        <f>main!$B$30</f>
        <v>McLane-PARFLUX-Mark78H-21 ; frame controller sn 12419-02, frame sn 12419-02, motor sn 12419-02, cup set S250x21</v>
      </c>
      <c r="E35">
        <v>2000</v>
      </c>
      <c r="F35" s="97">
        <f>main!E39</f>
        <v>341.75714285714287</v>
      </c>
      <c r="G35" s="90">
        <f>main!I39</f>
        <v>40.206722689075633</v>
      </c>
      <c r="H35" s="101">
        <f>main!J39</f>
        <v>14.685505462184876</v>
      </c>
      <c r="I35" s="101">
        <f>main!AF39</f>
        <v>70.955305839225673</v>
      </c>
      <c r="J35" s="101">
        <f>main!AG39</f>
        <v>8.5143332756744421</v>
      </c>
      <c r="K35" s="101">
        <f>main!M39</f>
        <v>13.291887283325195</v>
      </c>
      <c r="L35" s="101">
        <f>main!O39</f>
        <v>0.69631367921829224</v>
      </c>
      <c r="M35" s="101">
        <f>main!AH39</f>
        <v>4.7775540076507532</v>
      </c>
      <c r="N35" s="101">
        <f>main!AB39</f>
        <v>4.515026126421235</v>
      </c>
      <c r="O35" s="101">
        <f>main!AC39</f>
        <v>9.6585233156515482</v>
      </c>
      <c r="P35" s="101">
        <f t="shared" si="21"/>
        <v>10.420145314729471</v>
      </c>
      <c r="Q35" s="101">
        <f t="shared" si="22"/>
        <v>1.2503728782677948</v>
      </c>
      <c r="R35" s="101">
        <f t="shared" si="23"/>
        <v>1.9519808330201787</v>
      </c>
      <c r="S35" s="101">
        <f t="shared" si="24"/>
        <v>0.10225718339554278</v>
      </c>
      <c r="T35" s="101">
        <f t="shared" si="25"/>
        <v>0.70160795475238391</v>
      </c>
      <c r="U35" s="101">
        <f t="shared" si="26"/>
        <v>1.4184029690864079</v>
      </c>
      <c r="V35" s="67">
        <f>main!T39</f>
        <v>43309</v>
      </c>
      <c r="W35" s="67">
        <f>main!U39</f>
        <v>43326</v>
      </c>
      <c r="X35" s="67">
        <f>main!V39</f>
        <v>43317.5</v>
      </c>
      <c r="Y35" s="97">
        <f>main!H39</f>
        <v>17</v>
      </c>
      <c r="Z35" s="90">
        <f t="shared" si="27"/>
        <v>0.66305440841466468</v>
      </c>
      <c r="AA35" s="90">
        <f t="shared" si="28"/>
        <v>0.16252962806163021</v>
      </c>
      <c r="AB35" s="90">
        <f t="shared" si="29"/>
        <v>7.2988710489323896E-3</v>
      </c>
      <c r="AC35" s="90">
        <f t="shared" si="30"/>
        <v>5.8418647356568189E-2</v>
      </c>
      <c r="AD35" s="90">
        <f t="shared" si="31"/>
        <v>0.10411098070506201</v>
      </c>
      <c r="AE35" s="395">
        <f t="shared" si="32"/>
        <v>2.3604642520991977E-2</v>
      </c>
      <c r="AF35">
        <f>depths!$B$3</f>
        <v>1798.9</v>
      </c>
      <c r="AH35" s="101">
        <f t="shared" si="33"/>
        <v>162.52962806163021</v>
      </c>
      <c r="AI35" s="101">
        <f t="shared" si="34"/>
        <v>7.2988710489323898</v>
      </c>
      <c r="AJ35" s="101">
        <f t="shared" si="35"/>
        <v>58.418647356568187</v>
      </c>
      <c r="AK35" s="101">
        <f t="shared" si="36"/>
        <v>104.11098070506202</v>
      </c>
      <c r="AL35" s="101">
        <f t="shared" si="37"/>
        <v>23.604642520991977</v>
      </c>
      <c r="AM35" s="101">
        <f t="shared" si="38"/>
        <v>8.0037922255268672</v>
      </c>
      <c r="AN35" s="101">
        <f t="shared" si="39"/>
        <v>14.263984115775054</v>
      </c>
      <c r="AO35" s="101">
        <f>main!R39</f>
        <v>39.520000000000003</v>
      </c>
      <c r="AP35" s="101">
        <f>main!S39</f>
        <v>8.6980000000000004</v>
      </c>
    </row>
    <row r="36" spans="1:42">
      <c r="A36">
        <f>main!A40</f>
        <v>2018</v>
      </c>
      <c r="B36" t="str">
        <f>main!B40</f>
        <v>47_2000</v>
      </c>
      <c r="C36">
        <f>main!C40</f>
        <v>10</v>
      </c>
      <c r="D36" t="str">
        <f>main!$B$30</f>
        <v>McLane-PARFLUX-Mark78H-21 ; frame controller sn 12419-02, frame sn 12419-02, motor sn 12419-02, cup set S250x21</v>
      </c>
      <c r="E36">
        <v>2000</v>
      </c>
      <c r="F36" s="97">
        <f>main!E40</f>
        <v>297.91428571428577</v>
      </c>
      <c r="G36" s="90">
        <f>main!I40</f>
        <v>35.048739495798323</v>
      </c>
      <c r="H36" s="101">
        <f>main!J40</f>
        <v>12.80155210084034</v>
      </c>
      <c r="I36" s="101">
        <f>main!AF40</f>
        <v>69.040640282371555</v>
      </c>
      <c r="J36" s="101">
        <f>main!AG40</f>
        <v>8.2845815965054594</v>
      </c>
      <c r="K36" s="101">
        <f>main!M40</f>
        <v>13.503268241882324</v>
      </c>
      <c r="L36" s="101">
        <f>main!O40</f>
        <v>0.88421434164047241</v>
      </c>
      <c r="M36" s="101">
        <f>main!AH40</f>
        <v>5.2186866453768648</v>
      </c>
      <c r="N36" s="101">
        <f>main!AB40</f>
        <v>4.7751875154016767</v>
      </c>
      <c r="O36" s="101">
        <f>main!AC40</f>
        <v>10.215059373459832</v>
      </c>
      <c r="P36" s="101">
        <f t="shared" si="21"/>
        <v>8.838273536501557</v>
      </c>
      <c r="Q36" s="101">
        <f t="shared" si="22"/>
        <v>1.0605550294132768</v>
      </c>
      <c r="R36" s="101">
        <f t="shared" si="23"/>
        <v>1.728627919300793</v>
      </c>
      <c r="S36" s="101">
        <f t="shared" si="24"/>
        <v>0.11319315962820746</v>
      </c>
      <c r="T36" s="101">
        <f t="shared" si="25"/>
        <v>0.66807288988751623</v>
      </c>
      <c r="U36" s="101">
        <f t="shared" si="26"/>
        <v>1.3076861478252353</v>
      </c>
      <c r="V36" s="67">
        <f>main!T40</f>
        <v>43326</v>
      </c>
      <c r="W36" s="67">
        <f>main!U40</f>
        <v>43343</v>
      </c>
      <c r="X36" s="67">
        <f>main!V40</f>
        <v>43334.5</v>
      </c>
      <c r="Y36" s="97">
        <f>main!H40</f>
        <v>17</v>
      </c>
      <c r="Z36" s="90">
        <f t="shared" si="27"/>
        <v>0.61129811769696896</v>
      </c>
      <c r="AA36" s="90">
        <f t="shared" si="28"/>
        <v>0.14393238295593613</v>
      </c>
      <c r="AB36" s="90">
        <f t="shared" si="29"/>
        <v>8.079454648694322E-3</v>
      </c>
      <c r="AC36" s="90">
        <f t="shared" si="30"/>
        <v>5.5626385502707432E-2</v>
      </c>
      <c r="AD36" s="90">
        <f t="shared" si="31"/>
        <v>8.8305997453228716E-2</v>
      </c>
      <c r="AE36" s="395">
        <f t="shared" si="32"/>
        <v>2.176212594150833E-2</v>
      </c>
      <c r="AF36">
        <f>depths!$B$3</f>
        <v>1798.9</v>
      </c>
      <c r="AH36" s="101">
        <f t="shared" si="33"/>
        <v>143.93238295593613</v>
      </c>
      <c r="AI36" s="101">
        <f t="shared" si="34"/>
        <v>8.0794546486943215</v>
      </c>
      <c r="AJ36" s="101">
        <f t="shared" si="35"/>
        <v>55.626385502707429</v>
      </c>
      <c r="AK36" s="101">
        <f t="shared" si="36"/>
        <v>88.305997453228713</v>
      </c>
      <c r="AL36" s="101">
        <f t="shared" si="37"/>
        <v>21.76212594150833</v>
      </c>
      <c r="AM36" s="101">
        <f t="shared" si="38"/>
        <v>6.8849183418211179</v>
      </c>
      <c r="AN36" s="101">
        <f t="shared" si="39"/>
        <v>10.929697769576489</v>
      </c>
      <c r="AO36" s="101">
        <f>main!R40</f>
        <v>40.21</v>
      </c>
      <c r="AP36" s="101">
        <f>main!S40</f>
        <v>8.7279999999999998</v>
      </c>
    </row>
    <row r="37" spans="1:42">
      <c r="A37">
        <f>main!A41</f>
        <v>2018</v>
      </c>
      <c r="B37" t="str">
        <f>main!B41</f>
        <v>47_2000</v>
      </c>
      <c r="C37">
        <f>main!C41</f>
        <v>11</v>
      </c>
      <c r="D37" t="str">
        <f>main!$B$30</f>
        <v>McLane-PARFLUX-Mark78H-21 ; frame controller sn 12419-02, frame sn 12419-02, motor sn 12419-02, cup set S250x21</v>
      </c>
      <c r="E37">
        <v>2000</v>
      </c>
      <c r="F37" s="97">
        <f>main!E41</f>
        <v>399.8428571428571</v>
      </c>
      <c r="G37" s="90">
        <f>main!I41</f>
        <v>47.040336134453774</v>
      </c>
      <c r="H37" s="101">
        <f>main!J41</f>
        <v>17.181482773109245</v>
      </c>
      <c r="I37" s="101">
        <f>main!AF41</f>
        <v>67.776995108616362</v>
      </c>
      <c r="J37" s="101">
        <f>main!AG41</f>
        <v>8.1329495793603606</v>
      </c>
      <c r="K37" s="101">
        <f>main!M41</f>
        <v>13.014858245849609</v>
      </c>
      <c r="L37" s="101">
        <f>main!O41</f>
        <v>0.7449190616607666</v>
      </c>
      <c r="M37" s="101">
        <f>main!AH41</f>
        <v>4.8819086664892488</v>
      </c>
      <c r="N37" s="101">
        <f>main!AB41</f>
        <v>5.7540897631468635</v>
      </c>
      <c r="O37" s="101">
        <f>main!AC41</f>
        <v>12.309122601192419</v>
      </c>
      <c r="P37" s="101">
        <f t="shared" si="21"/>
        <v>11.645092738718017</v>
      </c>
      <c r="Q37" s="101">
        <f t="shared" si="22"/>
        <v>1.3973613309234612</v>
      </c>
      <c r="R37" s="101">
        <f t="shared" si="23"/>
        <v>2.2361456274552385</v>
      </c>
      <c r="S37" s="101">
        <f t="shared" si="24"/>
        <v>0.12798814025285163</v>
      </c>
      <c r="T37" s="101">
        <f t="shared" si="25"/>
        <v>0.83878429653177755</v>
      </c>
      <c r="U37" s="101">
        <f t="shared" si="26"/>
        <v>2.1148897792447721</v>
      </c>
      <c r="V37" s="67">
        <f>main!T41</f>
        <v>43343</v>
      </c>
      <c r="W37" s="67">
        <f>main!U41</f>
        <v>43360</v>
      </c>
      <c r="X37" s="67">
        <f>main!V41</f>
        <v>43351.5</v>
      </c>
      <c r="Y37" s="97">
        <f>main!H41</f>
        <v>17</v>
      </c>
      <c r="Z37" s="90">
        <f t="shared" si="27"/>
        <v>0.98863794140432093</v>
      </c>
      <c r="AA37" s="90">
        <f t="shared" si="28"/>
        <v>0.18619031036263434</v>
      </c>
      <c r="AB37" s="90">
        <f t="shared" si="29"/>
        <v>9.1354846718666397E-3</v>
      </c>
      <c r="AC37" s="90">
        <f t="shared" si="30"/>
        <v>6.984049096850771E-2</v>
      </c>
      <c r="AD37" s="90">
        <f t="shared" si="31"/>
        <v>0.11634981939412666</v>
      </c>
      <c r="AE37" s="395">
        <f t="shared" si="32"/>
        <v>3.5195369932514098E-2</v>
      </c>
      <c r="AF37">
        <f>depths!$B$3</f>
        <v>1798.9</v>
      </c>
      <c r="AH37" s="101">
        <f t="shared" si="33"/>
        <v>186.19031036263434</v>
      </c>
      <c r="AI37" s="101">
        <f t="shared" si="34"/>
        <v>9.1354846718666405</v>
      </c>
      <c r="AJ37" s="101">
        <f t="shared" si="35"/>
        <v>69.840490968507709</v>
      </c>
      <c r="AK37" s="101">
        <f t="shared" si="36"/>
        <v>116.34981939412665</v>
      </c>
      <c r="AL37" s="101">
        <f t="shared" si="37"/>
        <v>35.195369932514097</v>
      </c>
      <c r="AM37" s="101">
        <f t="shared" si="38"/>
        <v>7.6449683270321005</v>
      </c>
      <c r="AN37" s="101">
        <f t="shared" si="39"/>
        <v>12.736031373620932</v>
      </c>
      <c r="AO37" s="101">
        <f>main!R41</f>
        <v>40.299999999999997</v>
      </c>
      <c r="AP37" s="101">
        <f>main!S41</f>
        <v>8.6869999999999994</v>
      </c>
    </row>
    <row r="38" spans="1:42">
      <c r="A38">
        <f>main!A42</f>
        <v>2018</v>
      </c>
      <c r="B38" t="str">
        <f>main!B42</f>
        <v>47_2000</v>
      </c>
      <c r="C38">
        <f>main!C42</f>
        <v>12</v>
      </c>
      <c r="D38" t="str">
        <f>main!$B$30</f>
        <v>McLane-PARFLUX-Mark78H-21 ; frame controller sn 12419-02, frame sn 12419-02, motor sn 12419-02, cup set S250x21</v>
      </c>
      <c r="E38">
        <v>2000</v>
      </c>
      <c r="F38" s="97">
        <f>main!E42</f>
        <v>716.05714285714294</v>
      </c>
      <c r="G38" s="90">
        <f>main!I42</f>
        <v>84.242016806722702</v>
      </c>
      <c r="H38" s="101">
        <f>main!J42</f>
        <v>30.769396638655468</v>
      </c>
      <c r="I38" s="101">
        <f>main!AF42</f>
        <v>66.445680366956879</v>
      </c>
      <c r="J38" s="101">
        <f>main!AG42</f>
        <v>7.9731975034410301</v>
      </c>
      <c r="K38" s="101">
        <f>main!M42</f>
        <v>12.492358207702637</v>
      </c>
      <c r="L38" s="101">
        <f>main!O42</f>
        <v>0.71064901351928711</v>
      </c>
      <c r="M38" s="101">
        <f>main!AH42</f>
        <v>4.5191607042616067</v>
      </c>
      <c r="N38" s="101">
        <f>main!AB42</f>
        <v>7.7138576097263618</v>
      </c>
      <c r="O38" s="101">
        <f>main!AC42</f>
        <v>16.501449048360879</v>
      </c>
      <c r="P38" s="101">
        <f t="shared" si="21"/>
        <v>20.444934941362188</v>
      </c>
      <c r="Q38" s="101">
        <f t="shared" si="22"/>
        <v>2.4533047646171462</v>
      </c>
      <c r="R38" s="101">
        <f t="shared" si="23"/>
        <v>3.8438232464496553</v>
      </c>
      <c r="S38" s="101">
        <f t="shared" si="24"/>
        <v>0.21866241367844177</v>
      </c>
      <c r="T38" s="101">
        <f t="shared" si="25"/>
        <v>1.3905184818325096</v>
      </c>
      <c r="U38" s="101">
        <f t="shared" si="26"/>
        <v>5.0773963088157963</v>
      </c>
      <c r="V38" s="67">
        <f>main!T42</f>
        <v>43360</v>
      </c>
      <c r="W38" s="67">
        <f>main!U42</f>
        <v>43377</v>
      </c>
      <c r="X38" s="67">
        <f>main!V42</f>
        <v>43368.5</v>
      </c>
      <c r="Y38" s="97">
        <f>main!H42</f>
        <v>17</v>
      </c>
      <c r="Z38" s="90">
        <f t="shared" si="27"/>
        <v>2.3735074440778123</v>
      </c>
      <c r="AA38" s="90">
        <f t="shared" si="28"/>
        <v>0.320051893959172</v>
      </c>
      <c r="AB38" s="90">
        <f t="shared" si="29"/>
        <v>1.5607595551637529E-2</v>
      </c>
      <c r="AC38" s="90">
        <f t="shared" si="30"/>
        <v>0.11578005677206575</v>
      </c>
      <c r="AD38" s="90">
        <f t="shared" si="31"/>
        <v>0.20427183718710626</v>
      </c>
      <c r="AE38" s="395">
        <f t="shared" si="32"/>
        <v>8.4496527023062026E-2</v>
      </c>
      <c r="AF38">
        <f>depths!$B$3</f>
        <v>1798.9</v>
      </c>
      <c r="AH38" s="101">
        <f t="shared" si="33"/>
        <v>320.05189395917199</v>
      </c>
      <c r="AI38" s="101">
        <f t="shared" si="34"/>
        <v>15.607595551637528</v>
      </c>
      <c r="AJ38" s="101">
        <f t="shared" si="35"/>
        <v>115.78005677206575</v>
      </c>
      <c r="AK38" s="101">
        <f t="shared" si="36"/>
        <v>204.27183718710626</v>
      </c>
      <c r="AL38" s="101">
        <f t="shared" si="37"/>
        <v>84.496527023062029</v>
      </c>
      <c r="AM38" s="101">
        <f t="shared" si="38"/>
        <v>7.4181866379743715</v>
      </c>
      <c r="AN38" s="101">
        <f t="shared" si="39"/>
        <v>13.087976076217219</v>
      </c>
      <c r="AO38" s="101">
        <f>main!R42</f>
        <v>40.049999999999997</v>
      </c>
      <c r="AP38" s="101">
        <f>main!S42</f>
        <v>8.6370000000000005</v>
      </c>
    </row>
    <row r="39" spans="1:42">
      <c r="A39">
        <f>main!A43</f>
        <v>2018</v>
      </c>
      <c r="B39" t="str">
        <f>main!B43</f>
        <v>47_2000</v>
      </c>
      <c r="C39">
        <f>main!C43</f>
        <v>13</v>
      </c>
      <c r="D39" t="str">
        <f>main!$B$30</f>
        <v>McLane-PARFLUX-Mark78H-21 ; frame controller sn 12419-02, frame sn 12419-02, motor sn 12419-02, cup set S250x21</v>
      </c>
      <c r="E39">
        <v>2000</v>
      </c>
      <c r="F39" s="97">
        <f>main!E43</f>
        <v>592.9571428571428</v>
      </c>
      <c r="G39" s="90">
        <f>main!I43</f>
        <v>69.759663865546216</v>
      </c>
      <c r="H39" s="101">
        <f>main!J43</f>
        <v>25.479717226890756</v>
      </c>
      <c r="I39" s="101">
        <f>main!AF43</f>
        <v>67.590204655428948</v>
      </c>
      <c r="J39" s="101">
        <f>main!AG43</f>
        <v>8.110535523746881</v>
      </c>
      <c r="K39" s="101">
        <f>main!M43</f>
        <v>12.407177925109863</v>
      </c>
      <c r="L39" s="101">
        <f>main!O43</f>
        <v>0.67137563228607178</v>
      </c>
      <c r="M39" s="101">
        <f>main!AH43</f>
        <v>4.2966424013629823</v>
      </c>
      <c r="N39" s="101">
        <f>main!AB43</f>
        <v>7.4446572151482302</v>
      </c>
      <c r="O39" s="101">
        <f>main!AC43</f>
        <v>15.925576790966794</v>
      </c>
      <c r="P39" s="101">
        <f t="shared" si="21"/>
        <v>17.221793019280049</v>
      </c>
      <c r="Q39" s="101">
        <f t="shared" si="22"/>
        <v>2.0665415170372285</v>
      </c>
      <c r="R39" s="101">
        <f t="shared" si="23"/>
        <v>3.1613138511552048</v>
      </c>
      <c r="S39" s="101">
        <f t="shared" si="24"/>
        <v>0.17106461263674097</v>
      </c>
      <c r="T39" s="101">
        <f t="shared" si="25"/>
        <v>1.0947723341179765</v>
      </c>
      <c r="U39" s="101">
        <f t="shared" si="26"/>
        <v>4.0577919330896828</v>
      </c>
      <c r="V39" s="67">
        <f>main!T43</f>
        <v>43377</v>
      </c>
      <c r="W39" s="67">
        <f>main!U43</f>
        <v>43394</v>
      </c>
      <c r="X39" s="67">
        <f>main!V43</f>
        <v>43385.5</v>
      </c>
      <c r="Y39" s="97">
        <f>main!H43</f>
        <v>17</v>
      </c>
      <c r="Z39" s="90">
        <f t="shared" si="27"/>
        <v>1.8968776069310893</v>
      </c>
      <c r="AA39" s="90">
        <f t="shared" si="28"/>
        <v>0.26322346803956742</v>
      </c>
      <c r="AB39" s="90">
        <f t="shared" si="29"/>
        <v>1.2210179345948678E-2</v>
      </c>
      <c r="AC39" s="90">
        <f t="shared" si="30"/>
        <v>9.1155065288757414E-2</v>
      </c>
      <c r="AD39" s="90">
        <f t="shared" si="31"/>
        <v>0.17206840275081003</v>
      </c>
      <c r="AE39" s="395">
        <f t="shared" si="32"/>
        <v>6.7528572692456004E-2</v>
      </c>
      <c r="AF39">
        <f>depths!$B$3</f>
        <v>1798.9</v>
      </c>
      <c r="AH39" s="101">
        <f t="shared" si="33"/>
        <v>263.22346803956742</v>
      </c>
      <c r="AI39" s="101">
        <f t="shared" si="34"/>
        <v>12.210179345948678</v>
      </c>
      <c r="AJ39" s="101">
        <f t="shared" si="35"/>
        <v>91.155065288757413</v>
      </c>
      <c r="AK39" s="101">
        <f t="shared" si="36"/>
        <v>172.06840275081004</v>
      </c>
      <c r="AL39" s="101">
        <f t="shared" si="37"/>
        <v>67.528572692456009</v>
      </c>
      <c r="AM39" s="101">
        <f t="shared" si="38"/>
        <v>7.4654976561832855</v>
      </c>
      <c r="AN39" s="101">
        <f t="shared" si="39"/>
        <v>14.09220928502595</v>
      </c>
      <c r="AO39" s="101">
        <f>main!R43</f>
        <v>39.909999999999997</v>
      </c>
      <c r="AP39" s="101">
        <f>main!S43</f>
        <v>8.5920000000000005</v>
      </c>
    </row>
    <row r="40" spans="1:42">
      <c r="A40">
        <f>main!A44</f>
        <v>2018</v>
      </c>
      <c r="B40" t="str">
        <f>main!B44</f>
        <v>47_2000</v>
      </c>
      <c r="C40">
        <f>main!C44</f>
        <v>14</v>
      </c>
      <c r="D40" t="str">
        <f>main!$B$30</f>
        <v>McLane-PARFLUX-Mark78H-21 ; frame controller sn 12419-02, frame sn 12419-02, motor sn 12419-02, cup set S250x21</v>
      </c>
      <c r="E40">
        <v>2000</v>
      </c>
      <c r="F40" s="97">
        <f>main!E44</f>
        <v>459.25714285714287</v>
      </c>
      <c r="G40" s="90">
        <f>main!I44</f>
        <v>54.030252100840336</v>
      </c>
      <c r="H40" s="101">
        <f>main!J44</f>
        <v>19.734549579831935</v>
      </c>
      <c r="I40" s="101">
        <f>main!AF44</f>
        <v>66.632919837869395</v>
      </c>
      <c r="J40" s="101">
        <f>main!AG44</f>
        <v>7.9956654392613959</v>
      </c>
      <c r="K40" s="101">
        <f>main!M44</f>
        <v>15.202922821044922</v>
      </c>
      <c r="L40" s="101">
        <f>main!O44</f>
        <v>1.17836594581604</v>
      </c>
      <c r="M40" s="101">
        <f>main!AH44</f>
        <v>7.2072573817835259</v>
      </c>
      <c r="N40" s="101">
        <f>main!AB44</f>
        <v>5.0217392437140722</v>
      </c>
      <c r="O40" s="101">
        <f>main!AC44</f>
        <v>10.742481707183291</v>
      </c>
      <c r="P40" s="101">
        <f t="shared" si="21"/>
        <v>13.149706601894005</v>
      </c>
      <c r="Q40" s="101">
        <f t="shared" si="22"/>
        <v>1.577908560348527</v>
      </c>
      <c r="R40" s="101">
        <f t="shared" si="23"/>
        <v>3.000228341702694</v>
      </c>
      <c r="S40" s="101">
        <f t="shared" si="24"/>
        <v>0.23254521180892193</v>
      </c>
      <c r="T40" s="101">
        <f t="shared" si="25"/>
        <v>1.4223197813541668</v>
      </c>
      <c r="U40" s="101">
        <f t="shared" si="26"/>
        <v>2.1199803786084623</v>
      </c>
      <c r="V40" s="67">
        <f>main!T44</f>
        <v>43394</v>
      </c>
      <c r="W40" s="67">
        <f>main!U44</f>
        <v>43411</v>
      </c>
      <c r="X40" s="67">
        <f>main!V44</f>
        <v>43402.5</v>
      </c>
      <c r="Y40" s="97">
        <f>main!H44</f>
        <v>17</v>
      </c>
      <c r="Z40" s="90">
        <f t="shared" si="27"/>
        <v>0.99101762082063072</v>
      </c>
      <c r="AA40" s="90">
        <f t="shared" si="28"/>
        <v>0.24981085276458734</v>
      </c>
      <c r="AB40" s="90">
        <f t="shared" si="29"/>
        <v>1.6598516189073657E-2</v>
      </c>
      <c r="AC40" s="90">
        <f t="shared" si="30"/>
        <v>0.11842795848077992</v>
      </c>
      <c r="AD40" s="90">
        <f t="shared" si="31"/>
        <v>0.13138289428380742</v>
      </c>
      <c r="AE40" s="395">
        <f t="shared" si="32"/>
        <v>3.5280086180869731E-2</v>
      </c>
      <c r="AF40">
        <f>depths!$B$3</f>
        <v>1798.9</v>
      </c>
      <c r="AH40" s="101">
        <f t="shared" si="33"/>
        <v>249.81085276458734</v>
      </c>
      <c r="AI40" s="101">
        <f t="shared" si="34"/>
        <v>16.598516189073656</v>
      </c>
      <c r="AJ40" s="101">
        <f t="shared" si="35"/>
        <v>118.42795848077992</v>
      </c>
      <c r="AK40" s="101">
        <f t="shared" si="36"/>
        <v>131.38289428380742</v>
      </c>
      <c r="AL40" s="101">
        <f t="shared" si="37"/>
        <v>35.280086180869731</v>
      </c>
      <c r="AM40" s="101">
        <f t="shared" si="38"/>
        <v>7.1348521236336637</v>
      </c>
      <c r="AN40" s="101">
        <f t="shared" si="39"/>
        <v>7.9153397079127554</v>
      </c>
      <c r="AO40" s="101">
        <f>main!R44</f>
        <v>40.22</v>
      </c>
      <c r="AP40" s="101">
        <f>main!S44</f>
        <v>8.2270000000000003</v>
      </c>
    </row>
    <row r="41" spans="1:42">
      <c r="A41">
        <f>main!A45</f>
        <v>2018</v>
      </c>
      <c r="B41" t="str">
        <f>main!B45</f>
        <v>47_2000</v>
      </c>
      <c r="C41">
        <f>main!C45</f>
        <v>15</v>
      </c>
      <c r="D41" t="str">
        <f>main!$B$30</f>
        <v>McLane-PARFLUX-Mark78H-21 ; frame controller sn 12419-02, frame sn 12419-02, motor sn 12419-02, cup set S250x21</v>
      </c>
      <c r="E41">
        <v>2000</v>
      </c>
      <c r="F41" s="97">
        <f>main!E45</f>
        <v>426.5</v>
      </c>
      <c r="G41" s="90">
        <f>main!I45</f>
        <v>50.176470588235297</v>
      </c>
      <c r="H41" s="101">
        <f>main!J45</f>
        <v>18.326955882352944</v>
      </c>
      <c r="I41" s="101">
        <f>main!AF45</f>
        <v>78.515368335862746</v>
      </c>
      <c r="J41" s="101">
        <f>main!AG45</f>
        <v>9.4215084462972829</v>
      </c>
      <c r="K41" s="101">
        <f>main!M45</f>
        <v>13.092334747314453</v>
      </c>
      <c r="L41" s="101">
        <f>main!O45</f>
        <v>0.600413978099823</v>
      </c>
      <c r="M41" s="101">
        <f>main!AH45</f>
        <v>3.6708263010171702</v>
      </c>
      <c r="N41" s="101">
        <f>main!AB45</f>
        <v>4.1466224682896895</v>
      </c>
      <c r="O41" s="101">
        <f>main!AC45</f>
        <v>8.8704358889116222</v>
      </c>
      <c r="P41" s="101">
        <f t="shared" si="21"/>
        <v>14.389476915780479</v>
      </c>
      <c r="Q41" s="101">
        <f t="shared" si="22"/>
        <v>1.7266756964050594</v>
      </c>
      <c r="R41" s="101">
        <f t="shared" si="23"/>
        <v>2.3994264131102843</v>
      </c>
      <c r="S41" s="101">
        <f t="shared" si="24"/>
        <v>0.11003760487783483</v>
      </c>
      <c r="T41" s="101">
        <f t="shared" si="25"/>
        <v>0.67275071670522524</v>
      </c>
      <c r="U41" s="101">
        <f t="shared" si="26"/>
        <v>1.6256808719332352</v>
      </c>
      <c r="V41" s="67">
        <f>main!T45</f>
        <v>43411</v>
      </c>
      <c r="W41" s="67">
        <f>main!U45</f>
        <v>43428</v>
      </c>
      <c r="X41" s="67">
        <f>main!V45</f>
        <v>43419.5</v>
      </c>
      <c r="Y41" s="97">
        <f>main!H45</f>
        <v>17</v>
      </c>
      <c r="Z41" s="90">
        <f t="shared" si="27"/>
        <v>0.7599496703711861</v>
      </c>
      <c r="AA41" s="90">
        <f t="shared" si="28"/>
        <v>0.1997857129983584</v>
      </c>
      <c r="AB41" s="90">
        <f t="shared" si="29"/>
        <v>7.8542187635856405E-3</v>
      </c>
      <c r="AC41" s="90">
        <f t="shared" si="30"/>
        <v>5.6015879825580789E-2</v>
      </c>
      <c r="AD41" s="90">
        <f t="shared" si="31"/>
        <v>0.14376983317277764</v>
      </c>
      <c r="AE41" s="395">
        <f t="shared" si="32"/>
        <v>2.705410004881403E-2</v>
      </c>
      <c r="AF41">
        <f>depths!$B$3</f>
        <v>1798.9</v>
      </c>
      <c r="AH41" s="101">
        <f t="shared" si="33"/>
        <v>199.78571299835841</v>
      </c>
      <c r="AI41" s="101">
        <f t="shared" si="34"/>
        <v>7.8542187635856404</v>
      </c>
      <c r="AJ41" s="101">
        <f t="shared" si="35"/>
        <v>56.015879825580789</v>
      </c>
      <c r="AK41" s="101">
        <f t="shared" si="36"/>
        <v>143.76983317277765</v>
      </c>
      <c r="AL41" s="101">
        <f t="shared" si="37"/>
        <v>27.054100048814032</v>
      </c>
      <c r="AM41" s="101">
        <f t="shared" si="38"/>
        <v>7.1319480029364737</v>
      </c>
      <c r="AN41" s="101">
        <f t="shared" si="39"/>
        <v>18.304791030183026</v>
      </c>
      <c r="AO41" s="101">
        <f>main!R45</f>
        <v>40.03</v>
      </c>
      <c r="AP41" s="101">
        <f>main!S45</f>
        <v>8.5150000000000006</v>
      </c>
    </row>
    <row r="42" spans="1:42">
      <c r="A42">
        <f>main!A46</f>
        <v>2018</v>
      </c>
      <c r="B42" t="str">
        <f>main!B46</f>
        <v>47_2000</v>
      </c>
      <c r="C42">
        <f>main!C46</f>
        <v>16</v>
      </c>
      <c r="D42" t="str">
        <f>main!$B$30</f>
        <v>McLane-PARFLUX-Mark78H-21 ; frame controller sn 12419-02, frame sn 12419-02, motor sn 12419-02, cup set S250x21</v>
      </c>
      <c r="E42">
        <v>2000</v>
      </c>
      <c r="F42" s="97">
        <f>main!E46</f>
        <v>392.8142857142858</v>
      </c>
      <c r="G42" s="90">
        <f>main!I46</f>
        <v>46.21344537815127</v>
      </c>
      <c r="H42" s="101">
        <f>main!J46</f>
        <v>16.879460924369752</v>
      </c>
      <c r="I42" s="101">
        <f>main!AF46</f>
        <v>76.947655061320717</v>
      </c>
      <c r="J42" s="101">
        <f>main!AG46</f>
        <v>9.2333895573392901</v>
      </c>
      <c r="K42" s="101">
        <f>main!M46</f>
        <v>13.344470024108887</v>
      </c>
      <c r="L42" s="101">
        <f>main!O46</f>
        <v>0.58693116903305054</v>
      </c>
      <c r="M42" s="101">
        <f>main!AH46</f>
        <v>4.1110804667695966</v>
      </c>
      <c r="N42" s="101">
        <f>main!AB46</f>
        <v>4.0806182274664495</v>
      </c>
      <c r="O42" s="101">
        <f>main!AC46</f>
        <v>8.7292399177094673</v>
      </c>
      <c r="P42" s="101">
        <f t="shared" si="21"/>
        <v>12.988349368294454</v>
      </c>
      <c r="Q42" s="101">
        <f t="shared" si="22"/>
        <v>1.5585463823259227</v>
      </c>
      <c r="R42" s="101">
        <f t="shared" si="23"/>
        <v>2.2524746032836944</v>
      </c>
      <c r="S42" s="101">
        <f t="shared" si="24"/>
        <v>9.9070817329880351E-2</v>
      </c>
      <c r="T42" s="101">
        <f t="shared" si="25"/>
        <v>0.69392822095777174</v>
      </c>
      <c r="U42" s="101">
        <f t="shared" si="26"/>
        <v>1.473448640904256</v>
      </c>
      <c r="V42" s="67">
        <f>main!T46</f>
        <v>43428</v>
      </c>
      <c r="W42" s="67">
        <f>main!U46</f>
        <v>43445</v>
      </c>
      <c r="X42" s="67">
        <f>main!V46</f>
        <v>43436.5</v>
      </c>
      <c r="Y42" s="97">
        <f>main!H46</f>
        <v>17</v>
      </c>
      <c r="Z42" s="90">
        <f t="shared" si="27"/>
        <v>0.68878635917790898</v>
      </c>
      <c r="AA42" s="90">
        <f t="shared" si="28"/>
        <v>0.18754992533586132</v>
      </c>
      <c r="AB42" s="90">
        <f t="shared" si="29"/>
        <v>7.0714359264725446E-3</v>
      </c>
      <c r="AC42" s="90">
        <f t="shared" si="30"/>
        <v>5.7779202411138361E-2</v>
      </c>
      <c r="AD42" s="90">
        <f t="shared" si="31"/>
        <v>0.12977072292472297</v>
      </c>
      <c r="AE42" s="395">
        <f t="shared" si="32"/>
        <v>2.4520696303948344E-2</v>
      </c>
      <c r="AF42">
        <f>depths!$B$3</f>
        <v>1798.9</v>
      </c>
      <c r="AH42" s="101">
        <f t="shared" si="33"/>
        <v>187.5499253358613</v>
      </c>
      <c r="AI42" s="101">
        <f t="shared" si="34"/>
        <v>7.0714359264725442</v>
      </c>
      <c r="AJ42" s="101">
        <f t="shared" si="35"/>
        <v>57.779202411138364</v>
      </c>
      <c r="AK42" s="101">
        <f t="shared" si="36"/>
        <v>129.77072292472297</v>
      </c>
      <c r="AL42" s="101">
        <f t="shared" si="37"/>
        <v>24.520696303948345</v>
      </c>
      <c r="AM42" s="101">
        <f t="shared" si="38"/>
        <v>8.1707878020695652</v>
      </c>
      <c r="AN42" s="101">
        <f t="shared" si="39"/>
        <v>18.351396275672219</v>
      </c>
      <c r="AO42" s="101">
        <f>main!R46</f>
        <v>39.75</v>
      </c>
      <c r="AP42" s="101">
        <f>main!S46</f>
        <v>8.6809999999999992</v>
      </c>
    </row>
    <row r="43" spans="1:42">
      <c r="A43">
        <f>main!A47</f>
        <v>2018</v>
      </c>
      <c r="B43" t="str">
        <f>main!B47</f>
        <v>47_2000</v>
      </c>
      <c r="C43">
        <f>main!C47</f>
        <v>17</v>
      </c>
      <c r="D43" t="str">
        <f>main!$B$30</f>
        <v>McLane-PARFLUX-Mark78H-21 ; frame controller sn 12419-02, frame sn 12419-02, motor sn 12419-02, cup set S250x21</v>
      </c>
      <c r="E43">
        <v>2000</v>
      </c>
      <c r="F43" s="97">
        <f>main!E47</f>
        <v>258.54285714285714</v>
      </c>
      <c r="G43" s="90">
        <f>main!I47</f>
        <v>30.416806722689074</v>
      </c>
      <c r="H43" s="101">
        <f>main!J47</f>
        <v>11.109738655462184</v>
      </c>
      <c r="I43" s="101">
        <f>main!AF47</f>
        <v>77.17781049289664</v>
      </c>
      <c r="J43" s="101">
        <f>main!AG47</f>
        <v>9.2610072249184316</v>
      </c>
      <c r="K43" s="101">
        <f>main!M47</f>
        <v>13.119449901580799</v>
      </c>
      <c r="L43" s="101">
        <f>main!O47</f>
        <v>0.56543075044949853</v>
      </c>
      <c r="M43" s="101">
        <f>main!AH47</f>
        <v>3.8584426766623672</v>
      </c>
      <c r="N43" s="101">
        <f>main!AB47</f>
        <v>4.1918138793433686</v>
      </c>
      <c r="O43" s="101">
        <f>main!AC47</f>
        <v>8.9671091495102555</v>
      </c>
      <c r="P43" s="101">
        <f t="shared" si="21"/>
        <v>8.5742530457686872</v>
      </c>
      <c r="Q43" s="101">
        <f t="shared" si="22"/>
        <v>1.0288736995519088</v>
      </c>
      <c r="R43" s="101">
        <f t="shared" si="23"/>
        <v>1.4575365970999175</v>
      </c>
      <c r="S43" s="101">
        <f t="shared" si="24"/>
        <v>6.2817878652557863E-2</v>
      </c>
      <c r="T43" s="101">
        <f t="shared" si="25"/>
        <v>0.42866289754800879</v>
      </c>
      <c r="U43" s="101">
        <f t="shared" si="26"/>
        <v>0.99622239146062708</v>
      </c>
      <c r="V43" s="67">
        <f>main!T47</f>
        <v>43445</v>
      </c>
      <c r="W43" s="67">
        <f>main!U47</f>
        <v>43462</v>
      </c>
      <c r="X43" s="67">
        <f>main!V47</f>
        <v>43453.5</v>
      </c>
      <c r="Y43" s="97">
        <f>main!H47</f>
        <v>17</v>
      </c>
      <c r="Z43" s="90">
        <f t="shared" si="27"/>
        <v>0.46569956691843922</v>
      </c>
      <c r="AA43" s="90">
        <f t="shared" si="28"/>
        <v>0.12136024955036781</v>
      </c>
      <c r="AB43" s="90">
        <f t="shared" si="29"/>
        <v>4.4837886261640163E-3</v>
      </c>
      <c r="AC43" s="90">
        <f t="shared" si="30"/>
        <v>3.5692164658452021E-2</v>
      </c>
      <c r="AD43" s="90">
        <f t="shared" si="31"/>
        <v>8.5668084891915797E-2</v>
      </c>
      <c r="AE43" s="395">
        <f t="shared" si="32"/>
        <v>1.6578838266943369E-2</v>
      </c>
      <c r="AF43">
        <f>depths!$B$3</f>
        <v>1798.9</v>
      </c>
      <c r="AH43" s="101">
        <f t="shared" si="33"/>
        <v>121.36024955036781</v>
      </c>
      <c r="AI43" s="101">
        <f t="shared" si="34"/>
        <v>4.4837886261640163</v>
      </c>
      <c r="AJ43" s="101">
        <f t="shared" si="35"/>
        <v>35.692164658452022</v>
      </c>
      <c r="AK43" s="101">
        <f t="shared" si="36"/>
        <v>85.668084891915797</v>
      </c>
      <c r="AL43" s="101">
        <f t="shared" si="37"/>
        <v>16.578838266943368</v>
      </c>
      <c r="AM43" s="101">
        <f t="shared" si="38"/>
        <v>7.960269235302353</v>
      </c>
      <c r="AN43" s="101">
        <f t="shared" si="39"/>
        <v>19.106182747335886</v>
      </c>
      <c r="AO43" s="101">
        <f>main!R47</f>
        <v>39.9</v>
      </c>
      <c r="AP43" s="101">
        <f>main!S47</f>
        <v>8.6840000000000011</v>
      </c>
    </row>
    <row r="44" spans="1:42">
      <c r="A44">
        <f>main!A48</f>
        <v>2018</v>
      </c>
      <c r="B44" t="str">
        <f>main!B48</f>
        <v>47_2000</v>
      </c>
      <c r="C44">
        <f>main!C48</f>
        <v>18</v>
      </c>
      <c r="D44" t="str">
        <f>main!$B$30</f>
        <v>McLane-PARFLUX-Mark78H-21 ; frame controller sn 12419-02, frame sn 12419-02, motor sn 12419-02, cup set S250x21</v>
      </c>
      <c r="E44">
        <v>2000</v>
      </c>
      <c r="F44" s="97">
        <f>main!E48</f>
        <v>451.49999999999989</v>
      </c>
      <c r="G44" s="90">
        <f>main!I48</f>
        <v>53.117647058823515</v>
      </c>
      <c r="H44" s="101">
        <f>main!J48</f>
        <v>19.40122058823529</v>
      </c>
      <c r="I44" s="101">
        <f>main!AF48</f>
        <v>74.998076386991769</v>
      </c>
      <c r="J44" s="101">
        <f>main!AG48</f>
        <v>8.9994484533717323</v>
      </c>
      <c r="K44" s="101">
        <f>main!M48</f>
        <v>13.106645584106445</v>
      </c>
      <c r="L44" s="101">
        <f>main!O48</f>
        <v>0.62611663341522217</v>
      </c>
      <c r="M44" s="101">
        <f>main!AH48</f>
        <v>4.107197130734713</v>
      </c>
      <c r="N44" s="101">
        <f>main!AB48</f>
        <v>4.8736200989290257</v>
      </c>
      <c r="O44" s="101">
        <f>main!AC48</f>
        <v>10.425625907605736</v>
      </c>
      <c r="P44" s="101">
        <f t="shared" si="21"/>
        <v>14.550542236773477</v>
      </c>
      <c r="Q44" s="101">
        <f t="shared" si="22"/>
        <v>1.7460028461631789</v>
      </c>
      <c r="R44" s="101">
        <f t="shared" si="23"/>
        <v>2.5428492214906915</v>
      </c>
      <c r="S44" s="101">
        <f t="shared" si="24"/>
        <v>0.12147426918851977</v>
      </c>
      <c r="T44" s="101">
        <f t="shared" si="25"/>
        <v>0.79684637532751235</v>
      </c>
      <c r="U44" s="101">
        <f t="shared" si="26"/>
        <v>2.0226986800387965</v>
      </c>
      <c r="V44" s="67">
        <f>main!T48</f>
        <v>43462</v>
      </c>
      <c r="W44" s="67">
        <f>main!U48</f>
        <v>43479</v>
      </c>
      <c r="X44" s="67">
        <f>main!V48</f>
        <v>43470.5</v>
      </c>
      <c r="Y44" s="97">
        <f>main!H48</f>
        <v>17</v>
      </c>
      <c r="Z44" s="90">
        <f t="shared" si="27"/>
        <v>0.9455417860257912</v>
      </c>
      <c r="AA44" s="90">
        <f t="shared" si="28"/>
        <v>0.21172766207249721</v>
      </c>
      <c r="AB44" s="90">
        <f t="shared" si="29"/>
        <v>8.670540270415401E-3</v>
      </c>
      <c r="AC44" s="90">
        <f t="shared" si="30"/>
        <v>6.634857413218255E-2</v>
      </c>
      <c r="AD44" s="90">
        <f t="shared" si="31"/>
        <v>0.14537908794031465</v>
      </c>
      <c r="AE44" s="395">
        <f t="shared" si="32"/>
        <v>3.3661152937906412E-2</v>
      </c>
      <c r="AF44">
        <f>depths!$B$3</f>
        <v>1798.9</v>
      </c>
      <c r="AH44" s="101">
        <f t="shared" si="33"/>
        <v>211.72766207249722</v>
      </c>
      <c r="AI44" s="101">
        <f t="shared" si="34"/>
        <v>8.6705402704154011</v>
      </c>
      <c r="AJ44" s="101">
        <f t="shared" si="35"/>
        <v>66.348574132182549</v>
      </c>
      <c r="AK44" s="101">
        <f t="shared" si="36"/>
        <v>145.37908794031466</v>
      </c>
      <c r="AL44" s="101">
        <f t="shared" si="37"/>
        <v>33.661152937906415</v>
      </c>
      <c r="AM44" s="101">
        <f t="shared" si="38"/>
        <v>7.6521845309420176</v>
      </c>
      <c r="AN44" s="101">
        <f t="shared" si="39"/>
        <v>16.767016057391498</v>
      </c>
      <c r="AO44" s="101">
        <f>main!R48</f>
        <v>40.17</v>
      </c>
      <c r="AP44" s="101">
        <f>main!S48</f>
        <v>8.6980000000000004</v>
      </c>
    </row>
    <row r="45" spans="1:42">
      <c r="A45">
        <f>main!A49</f>
        <v>2018</v>
      </c>
      <c r="B45" t="str">
        <f>main!B49</f>
        <v>47_2000</v>
      </c>
      <c r="C45">
        <f>main!C49</f>
        <v>19</v>
      </c>
      <c r="D45" t="str">
        <f>main!$B$30</f>
        <v>McLane-PARFLUX-Mark78H-21 ; frame controller sn 12419-02, frame sn 12419-02, motor sn 12419-02, cup set S250x21</v>
      </c>
      <c r="E45">
        <v>2000</v>
      </c>
      <c r="F45" s="97">
        <f>main!E49</f>
        <v>492.02857142857147</v>
      </c>
      <c r="G45" s="90">
        <f>main!I49</f>
        <v>57.885714285714293</v>
      </c>
      <c r="H45" s="101">
        <f>main!J49</f>
        <v>21.142757142857146</v>
      </c>
      <c r="I45" s="101">
        <f>main!AF49</f>
        <v>68.215712572762769</v>
      </c>
      <c r="J45" s="101">
        <f>main!AG49</f>
        <v>8.1855937989774965</v>
      </c>
      <c r="K45" s="101">
        <f>main!M49</f>
        <v>13.113008499145508</v>
      </c>
      <c r="L45" s="101">
        <f>main!O49</f>
        <v>0.84665894508361816</v>
      </c>
      <c r="M45" s="101">
        <f>main!AH49</f>
        <v>4.9274147001680113</v>
      </c>
      <c r="N45" s="101">
        <f>main!AB49</f>
        <v>6.1389455013610688</v>
      </c>
      <c r="O45" s="101">
        <f>main!AC49</f>
        <v>13.132404242676632</v>
      </c>
      <c r="P45" s="101">
        <f t="shared" si="21"/>
        <v>14.4226824425287</v>
      </c>
      <c r="Q45" s="101">
        <f t="shared" si="22"/>
        <v>1.7306602176185861</v>
      </c>
      <c r="R45" s="101">
        <f t="shared" si="23"/>
        <v>2.7724515410965513</v>
      </c>
      <c r="S45" s="101">
        <f t="shared" si="24"/>
        <v>0.17900704458730562</v>
      </c>
      <c r="T45" s="101">
        <f t="shared" si="25"/>
        <v>1.0417913234779652</v>
      </c>
      <c r="U45" s="101">
        <f t="shared" si="26"/>
        <v>2.7765523360473883</v>
      </c>
      <c r="V45" s="67">
        <f>main!T49</f>
        <v>43479</v>
      </c>
      <c r="W45" s="67">
        <f>main!U49</f>
        <v>43496</v>
      </c>
      <c r="X45" s="67">
        <f>main!V49</f>
        <v>43487.5</v>
      </c>
      <c r="Y45" s="97">
        <f>main!H49</f>
        <v>17</v>
      </c>
      <c r="Z45" s="90">
        <f t="shared" si="27"/>
        <v>1.2979423384851247</v>
      </c>
      <c r="AA45" s="90">
        <f t="shared" si="28"/>
        <v>0.23084525737689854</v>
      </c>
      <c r="AB45" s="90">
        <f t="shared" si="29"/>
        <v>1.2777090976966854E-2</v>
      </c>
      <c r="AC45" s="90">
        <f t="shared" si="30"/>
        <v>8.6743657242128666E-2</v>
      </c>
      <c r="AD45" s="90">
        <f t="shared" si="31"/>
        <v>0.14410160013476986</v>
      </c>
      <c r="AE45" s="395">
        <f t="shared" si="32"/>
        <v>4.6206562423820749E-2</v>
      </c>
      <c r="AF45">
        <f>depths!$B$3</f>
        <v>1798.9</v>
      </c>
      <c r="AH45" s="101">
        <f t="shared" si="33"/>
        <v>230.84525737689853</v>
      </c>
      <c r="AI45" s="101">
        <f t="shared" si="34"/>
        <v>12.777090976966853</v>
      </c>
      <c r="AJ45" s="101">
        <f t="shared" si="35"/>
        <v>86.743657242128663</v>
      </c>
      <c r="AK45" s="101">
        <f t="shared" si="36"/>
        <v>144.10160013476985</v>
      </c>
      <c r="AL45" s="101">
        <f t="shared" si="37"/>
        <v>46.206562423820749</v>
      </c>
      <c r="AM45" s="101">
        <f t="shared" si="38"/>
        <v>6.7889989512088995</v>
      </c>
      <c r="AN45" s="101">
        <f t="shared" si="39"/>
        <v>11.278122727195143</v>
      </c>
      <c r="AO45" s="101">
        <f>main!R49</f>
        <v>39.96</v>
      </c>
      <c r="AP45" s="101">
        <f>main!S49</f>
        <v>8.6910000000000007</v>
      </c>
    </row>
    <row r="46" spans="1:42">
      <c r="A46">
        <f>main!A50</f>
        <v>2018</v>
      </c>
      <c r="B46" t="str">
        <f>main!B50</f>
        <v>47_2000</v>
      </c>
      <c r="C46">
        <f>main!C50</f>
        <v>20</v>
      </c>
      <c r="D46" t="str">
        <f>main!$B$30</f>
        <v>McLane-PARFLUX-Mark78H-21 ; frame controller sn 12419-02, frame sn 12419-02, motor sn 12419-02, cup set S250x21</v>
      </c>
      <c r="E46">
        <v>2000</v>
      </c>
      <c r="F46" s="97">
        <f>main!E50</f>
        <v>607.7285714285714</v>
      </c>
      <c r="G46" s="90">
        <f>main!I50</f>
        <v>71.497478991596637</v>
      </c>
      <c r="H46" s="101">
        <f>main!J50</f>
        <v>26.114454201680672</v>
      </c>
      <c r="I46" s="101">
        <f>main!AF50</f>
        <v>66.631008322156049</v>
      </c>
      <c r="J46" s="101">
        <f>main!AG50</f>
        <v>7.9954360655499785</v>
      </c>
      <c r="K46" s="101">
        <f>main!M50</f>
        <v>12.189061164855957</v>
      </c>
      <c r="L46" s="101">
        <f>main!O50</f>
        <v>0.64705199003219604</v>
      </c>
      <c r="M46" s="101">
        <f>main!AH50</f>
        <v>4.1936250993059785</v>
      </c>
      <c r="N46" s="101">
        <f>main!AB50</f>
        <v>8.0667512564647978</v>
      </c>
      <c r="O46" s="101">
        <f>main!AC50</f>
        <v>17.256357529404408</v>
      </c>
      <c r="P46" s="101">
        <f t="shared" si="21"/>
        <v>17.400324152407478</v>
      </c>
      <c r="Q46" s="101">
        <f t="shared" si="22"/>
        <v>2.0879644895627081</v>
      </c>
      <c r="R46" s="101">
        <f t="shared" si="23"/>
        <v>3.1831067955111538</v>
      </c>
      <c r="S46" s="101">
        <f t="shared" si="24"/>
        <v>0.16897409559802123</v>
      </c>
      <c r="T46" s="101">
        <f t="shared" si="25"/>
        <v>1.0951423059484453</v>
      </c>
      <c r="U46" s="101">
        <f t="shared" si="26"/>
        <v>4.5064035838945884</v>
      </c>
      <c r="V46" s="67">
        <f>main!T50</f>
        <v>43496</v>
      </c>
      <c r="W46" s="67">
        <f>main!U50</f>
        <v>43513</v>
      </c>
      <c r="X46" s="67">
        <f>main!V50</f>
        <v>43504.5</v>
      </c>
      <c r="Y46" s="97">
        <f>main!H50</f>
        <v>17</v>
      </c>
      <c r="Z46" s="90">
        <f t="shared" si="27"/>
        <v>2.106588062433</v>
      </c>
      <c r="AA46" s="90">
        <f t="shared" si="28"/>
        <v>0.26503803459709857</v>
      </c>
      <c r="AB46" s="90">
        <f t="shared" si="29"/>
        <v>1.2060963283227782E-2</v>
      </c>
      <c r="AC46" s="90">
        <f t="shared" si="30"/>
        <v>9.1185870603534169E-2</v>
      </c>
      <c r="AD46" s="90">
        <f t="shared" si="31"/>
        <v>0.17385216399356437</v>
      </c>
      <c r="AE46" s="395">
        <f t="shared" si="32"/>
        <v>7.4994235045674623E-2</v>
      </c>
      <c r="AF46">
        <f>depths!$B$3</f>
        <v>1798.9</v>
      </c>
      <c r="AH46" s="101">
        <f t="shared" si="33"/>
        <v>265.03803459709854</v>
      </c>
      <c r="AI46" s="101">
        <f t="shared" si="34"/>
        <v>12.060963283227782</v>
      </c>
      <c r="AJ46" s="101">
        <f t="shared" si="35"/>
        <v>91.18587060353417</v>
      </c>
      <c r="AK46" s="101">
        <f t="shared" si="36"/>
        <v>173.85216399356437</v>
      </c>
      <c r="AL46" s="101">
        <f t="shared" si="37"/>
        <v>74.994235045674628</v>
      </c>
      <c r="AM46" s="101">
        <f t="shared" si="38"/>
        <v>7.5604135807576061</v>
      </c>
      <c r="AN46" s="101">
        <f t="shared" si="39"/>
        <v>14.414450978001623</v>
      </c>
      <c r="AO46" s="101">
        <f>main!R50</f>
        <v>39.869999999999997</v>
      </c>
      <c r="AP46" s="101">
        <f>main!S50</f>
        <v>8.6620000000000008</v>
      </c>
    </row>
    <row r="47" spans="1:42">
      <c r="A47">
        <f>main!A51</f>
        <v>2018</v>
      </c>
      <c r="B47" t="str">
        <f>main!B51</f>
        <v>47_2000</v>
      </c>
      <c r="C47">
        <f>main!C51</f>
        <v>21</v>
      </c>
      <c r="D47" t="str">
        <f>main!$B$30</f>
        <v>McLane-PARFLUX-Mark78H-21 ; frame controller sn 12419-02, frame sn 12419-02, motor sn 12419-02, cup set S250x21</v>
      </c>
      <c r="E47">
        <v>2000</v>
      </c>
      <c r="F47" s="97">
        <f>main!E51</f>
        <v>602.38571428571436</v>
      </c>
      <c r="G47" s="90">
        <f>main!I51</f>
        <v>70.868907563025218</v>
      </c>
      <c r="H47" s="101">
        <f>main!J51</f>
        <v>25.884868487394964</v>
      </c>
      <c r="I47" s="101">
        <f>main!AF51</f>
        <v>67.106526977103215</v>
      </c>
      <c r="J47" s="101">
        <f>main!AG51</f>
        <v>8.0524962706908649</v>
      </c>
      <c r="K47" s="101">
        <f>main!M51</f>
        <v>15.38349723815918</v>
      </c>
      <c r="L47" s="101">
        <f>main!O51</f>
        <v>1.2290290594100952</v>
      </c>
      <c r="M47" s="101">
        <f>main!AH51</f>
        <v>7.3310009674683148</v>
      </c>
      <c r="N47" s="101">
        <f>main!AB51</f>
        <v>8.194419891678379</v>
      </c>
      <c r="O47" s="101">
        <f>main!AC51</f>
        <v>17.52946569209519</v>
      </c>
      <c r="P47" s="101">
        <f t="shared" si="21"/>
        <v>17.37043625448139</v>
      </c>
      <c r="Q47" s="101">
        <f t="shared" si="22"/>
        <v>2.0843780696207146</v>
      </c>
      <c r="R47" s="101">
        <f t="shared" si="23"/>
        <v>3.9819980288595405</v>
      </c>
      <c r="S47" s="101">
        <f t="shared" si="24"/>
        <v>0.31813255570017046</v>
      </c>
      <c r="T47" s="101">
        <f t="shared" si="25"/>
        <v>1.8976199592388259</v>
      </c>
      <c r="U47" s="101">
        <f t="shared" si="26"/>
        <v>4.5374791409418593</v>
      </c>
      <c r="V47" s="67">
        <f>main!T51</f>
        <v>43513</v>
      </c>
      <c r="W47" s="67">
        <f>main!U51</f>
        <v>43530</v>
      </c>
      <c r="X47" s="67">
        <f>main!V51</f>
        <v>43521.5</v>
      </c>
      <c r="Y47" s="97">
        <f>main!H51</f>
        <v>17</v>
      </c>
      <c r="Z47" s="90">
        <f t="shared" si="27"/>
        <v>2.1211148122658812</v>
      </c>
      <c r="AA47" s="90">
        <f t="shared" si="28"/>
        <v>0.3315568716785629</v>
      </c>
      <c r="AB47" s="90">
        <f t="shared" si="29"/>
        <v>2.2707534311218448E-2</v>
      </c>
      <c r="AC47" s="90">
        <f t="shared" si="30"/>
        <v>0.15800332716393223</v>
      </c>
      <c r="AD47" s="90">
        <f t="shared" si="31"/>
        <v>0.1735535445146307</v>
      </c>
      <c r="AE47" s="395">
        <f t="shared" si="32"/>
        <v>7.551138527112429E-2</v>
      </c>
      <c r="AF47">
        <f>depths!$B$3</f>
        <v>1798.9</v>
      </c>
      <c r="AH47" s="101">
        <f t="shared" si="33"/>
        <v>331.55687167856291</v>
      </c>
      <c r="AI47" s="101">
        <f t="shared" si="34"/>
        <v>22.707534311218449</v>
      </c>
      <c r="AJ47" s="101">
        <f t="shared" si="35"/>
        <v>158.00332716393223</v>
      </c>
      <c r="AK47" s="101">
        <f t="shared" si="36"/>
        <v>173.55354451463072</v>
      </c>
      <c r="AL47" s="101">
        <f t="shared" si="37"/>
        <v>75.511385271124297</v>
      </c>
      <c r="AM47" s="101">
        <f t="shared" si="38"/>
        <v>6.9581895153571178</v>
      </c>
      <c r="AN47" s="101">
        <f t="shared" si="39"/>
        <v>7.6429938246922822</v>
      </c>
      <c r="AO47" s="101">
        <f>main!R51</f>
        <v>40.14</v>
      </c>
      <c r="AP47" s="101">
        <f>main!S51</f>
        <v>8.6809999999999992</v>
      </c>
    </row>
    <row r="48" spans="1:42">
      <c r="A48">
        <f>main!A55</f>
        <v>2018</v>
      </c>
      <c r="B48" t="str">
        <f>main!B55</f>
        <v>47_3800</v>
      </c>
      <c r="C48">
        <v>1</v>
      </c>
      <c r="D48" t="str">
        <f>main!$B$54</f>
        <v>McLane-PARFLUX-Mark78H-21 ; frame controller sn 12993-01, frame sn 12993-01, motor sn 12993-01, cup set R250x21</v>
      </c>
      <c r="E48">
        <v>3800</v>
      </c>
      <c r="F48" s="97">
        <f>main!E55</f>
        <v>429.47142857142859</v>
      </c>
      <c r="G48" s="90">
        <f>main!I55</f>
        <v>50.526050420168069</v>
      </c>
      <c r="H48" s="101">
        <f>main!J55</f>
        <v>18.454639915966389</v>
      </c>
      <c r="I48" s="101">
        <f>main!AF55</f>
        <v>71.080591169762215</v>
      </c>
      <c r="J48" s="101">
        <f>main!AG55</f>
        <v>8.5293669795831839</v>
      </c>
      <c r="K48" s="101">
        <f>main!M55</f>
        <v>13.80047607421875</v>
      </c>
      <c r="L48" s="101">
        <f>main!O55</f>
        <v>0.69819456338882446</v>
      </c>
      <c r="M48" s="101">
        <f>main!AH55</f>
        <v>5.2711090946355661</v>
      </c>
      <c r="N48" s="101">
        <f>main!AB55</f>
        <v>3.4230651777853867</v>
      </c>
      <c r="O48" s="101">
        <f>main!AC55</f>
        <v>7.3226054301574903</v>
      </c>
      <c r="P48" s="101">
        <f t="shared" si="21"/>
        <v>13.11766715051982</v>
      </c>
      <c r="Q48" s="101">
        <f t="shared" si="22"/>
        <v>1.574063963193415</v>
      </c>
      <c r="R48" s="101">
        <f t="shared" si="23"/>
        <v>2.5468281661861649</v>
      </c>
      <c r="S48" s="101">
        <f t="shared" si="24"/>
        <v>0.12884929258626127</v>
      </c>
      <c r="T48" s="101">
        <f t="shared" si="25"/>
        <v>0.97276420299274979</v>
      </c>
      <c r="U48" s="101">
        <f t="shared" si="26"/>
        <v>1.3513604646025665</v>
      </c>
      <c r="V48" s="67">
        <f>main!T55</f>
        <v>43173</v>
      </c>
      <c r="W48" s="67">
        <f>main!U55</f>
        <v>43190</v>
      </c>
      <c r="X48" s="67">
        <f>main!V55</f>
        <v>43181.5</v>
      </c>
      <c r="Y48" s="97">
        <f>main!H55</f>
        <v>17</v>
      </c>
      <c r="Z48" s="90">
        <f t="shared" si="27"/>
        <v>0.63171435264912779</v>
      </c>
      <c r="AA48" s="90">
        <f t="shared" si="28"/>
        <v>0.21205896471158742</v>
      </c>
      <c r="AB48" s="90">
        <f t="shared" si="29"/>
        <v>9.1969516478416329E-3</v>
      </c>
      <c r="AC48" s="90">
        <f t="shared" si="30"/>
        <v>8.0996186760428787E-2</v>
      </c>
      <c r="AD48" s="90">
        <f t="shared" si="31"/>
        <v>0.13106277795115862</v>
      </c>
      <c r="AE48" s="395">
        <f t="shared" si="32"/>
        <v>2.2488940998544954E-2</v>
      </c>
      <c r="AF48">
        <f>depths!$B$4</f>
        <v>3799.6</v>
      </c>
      <c r="AH48" s="101">
        <f t="shared" si="33"/>
        <v>212.05896471158741</v>
      </c>
      <c r="AI48" s="101">
        <f t="shared" si="34"/>
        <v>9.1969516478416331</v>
      </c>
      <c r="AJ48" s="101">
        <f t="shared" si="35"/>
        <v>80.996186760428785</v>
      </c>
      <c r="AK48" s="101">
        <f t="shared" si="36"/>
        <v>131.06277795115861</v>
      </c>
      <c r="AL48" s="101">
        <f t="shared" si="37"/>
        <v>22.488940998544955</v>
      </c>
      <c r="AM48" s="101">
        <f t="shared" si="38"/>
        <v>8.8068514288032826</v>
      </c>
      <c r="AN48" s="101">
        <f t="shared" si="39"/>
        <v>14.250675981526639</v>
      </c>
      <c r="AO48" s="101">
        <f>main!R55</f>
        <v>39.130000000000003</v>
      </c>
      <c r="AP48" s="101">
        <f>main!S55</f>
        <v>8.6329999999999991</v>
      </c>
    </row>
    <row r="49" spans="1:42">
      <c r="A49">
        <f>main!A56</f>
        <v>2018</v>
      </c>
      <c r="B49" t="str">
        <f>main!B56</f>
        <v>47_3800</v>
      </c>
      <c r="C49">
        <f>main!C56</f>
        <v>2</v>
      </c>
      <c r="D49" t="str">
        <f>main!$B$54</f>
        <v>McLane-PARFLUX-Mark78H-21 ; frame controller sn 12993-01, frame sn 12993-01, motor sn 12993-01, cup set R250x21</v>
      </c>
      <c r="E49">
        <v>3800</v>
      </c>
      <c r="F49" s="97">
        <f>main!E56</f>
        <v>529.78571428571433</v>
      </c>
      <c r="G49" s="90">
        <f>main!I56</f>
        <v>62.327731092436977</v>
      </c>
      <c r="H49" s="101">
        <f>main!J56</f>
        <v>22.765203781512611</v>
      </c>
      <c r="I49" s="101">
        <f>main!AF56</f>
        <v>72.101436974036943</v>
      </c>
      <c r="J49" s="101">
        <f>main!AG56</f>
        <v>8.6518641106696652</v>
      </c>
      <c r="K49" s="101">
        <f>main!M56</f>
        <v>15.48238468170166</v>
      </c>
      <c r="L49" s="101">
        <f>main!O56</f>
        <v>1.0298765897750854</v>
      </c>
      <c r="M49" s="101">
        <f>main!AH56</f>
        <v>6.8305205710319949</v>
      </c>
      <c r="N49" s="101">
        <f>main!AB56</f>
        <v>2.599755406638391</v>
      </c>
      <c r="O49" s="101">
        <f>main!AC56</f>
        <v>5.5613849193627951</v>
      </c>
      <c r="P49" s="101">
        <f t="shared" ref="P49:P65" si="40">(I49/100)*$H49</f>
        <v>16.414039056538392</v>
      </c>
      <c r="Q49" s="101">
        <f t="shared" ref="Q49:Q65" si="41">(J49/100)*$H49</f>
        <v>1.9696144956935031</v>
      </c>
      <c r="R49" s="101">
        <f t="shared" ref="R49:R65" si="42">(K49/100)*$H49</f>
        <v>3.5245964230270759</v>
      </c>
      <c r="S49" s="101">
        <f t="shared" ref="S49:S65" si="43">(L49/100)*$H49</f>
        <v>0.23445350436039086</v>
      </c>
      <c r="T49" s="101">
        <f t="shared" ref="T49:T65" si="44">(M49/100)*$H49</f>
        <v>1.5549819273335725</v>
      </c>
      <c r="U49" s="101">
        <f t="shared" ref="U49:U65" si="45">(O49/100)*$H49</f>
        <v>1.2660606099672511</v>
      </c>
      <c r="V49" s="67">
        <f>main!T56</f>
        <v>43190</v>
      </c>
      <c r="W49" s="67">
        <f>main!U56</f>
        <v>43207</v>
      </c>
      <c r="X49" s="67">
        <f>main!V56</f>
        <v>43198.5</v>
      </c>
      <c r="Y49" s="97">
        <f>main!H56</f>
        <v>17</v>
      </c>
      <c r="Z49" s="90">
        <f t="shared" ref="Z49:Z65" si="46">(N49/100)*$H49</f>
        <v>0.59183961614212155</v>
      </c>
      <c r="AA49" s="90">
        <f t="shared" ref="AA49:AA65" si="47">R49/12.01</f>
        <v>0.29347180874496887</v>
      </c>
      <c r="AB49" s="90">
        <f t="shared" ref="AB49:AB65" si="48">S49/14.01</f>
        <v>1.6734725507522547E-2</v>
      </c>
      <c r="AC49" s="90">
        <f t="shared" ref="AC49:AC65" si="49">T49/12.01</f>
        <v>0.12947393233418589</v>
      </c>
      <c r="AD49" s="90">
        <f t="shared" ref="AD49:AD65" si="50">Q49/12.01</f>
        <v>0.16399787641078295</v>
      </c>
      <c r="AE49" s="395">
        <f t="shared" ref="AE49:AE65" si="51">Z49/28.09</f>
        <v>2.1069406057035299E-2</v>
      </c>
      <c r="AF49">
        <f>depths!$B$4</f>
        <v>3799.6</v>
      </c>
      <c r="AH49" s="101">
        <f t="shared" ref="AH49:AH65" si="52">AA49*1000</f>
        <v>293.47180874496888</v>
      </c>
      <c r="AI49" s="101">
        <f t="shared" ref="AI49:AI65" si="53">AB49*1000</f>
        <v>16.734725507522548</v>
      </c>
      <c r="AJ49" s="101">
        <f t="shared" ref="AJ49:AJ65" si="54">AC49*1000</f>
        <v>129.47393233418589</v>
      </c>
      <c r="AK49" s="101">
        <f t="shared" ref="AK49:AK65" si="55">AD49*1000</f>
        <v>163.99787641078294</v>
      </c>
      <c r="AL49" s="101">
        <f t="shared" ref="AL49:AL65" si="56">AE49*1000</f>
        <v>21.069406057035298</v>
      </c>
      <c r="AM49" s="101">
        <f t="shared" ref="AM49:AM65" si="57">AJ49/AI49</f>
        <v>7.7368423088855041</v>
      </c>
      <c r="AN49" s="101">
        <f t="shared" ref="AN49:AN65" si="58">AK49/AI49</f>
        <v>9.7998545800505106</v>
      </c>
      <c r="AO49" s="101">
        <f>main!R56</f>
        <v>38.5</v>
      </c>
      <c r="AP49" s="101">
        <f>main!S56</f>
        <v>8.6050000000000004</v>
      </c>
    </row>
    <row r="50" spans="1:42">
      <c r="A50">
        <f>main!A57</f>
        <v>2018</v>
      </c>
      <c r="B50" t="str">
        <f>main!B57</f>
        <v>47_3800</v>
      </c>
      <c r="C50">
        <f>main!C57</f>
        <v>3</v>
      </c>
      <c r="D50" t="str">
        <f>main!$B$54</f>
        <v>McLane-PARFLUX-Mark78H-21 ; frame controller sn 12993-01, frame sn 12993-01, motor sn 12993-01, cup set R250x21</v>
      </c>
      <c r="E50">
        <v>3800</v>
      </c>
      <c r="F50" s="97">
        <f>main!E57</f>
        <v>805.89999999999964</v>
      </c>
      <c r="G50" s="90">
        <f>main!I57</f>
        <v>94.811764705882311</v>
      </c>
      <c r="H50" s="101">
        <f>main!J57</f>
        <v>34.62999705882352</v>
      </c>
      <c r="I50" s="101">
        <f>main!AF57</f>
        <v>66.044303764239771</v>
      </c>
      <c r="J50" s="101">
        <f>main!AG57</f>
        <v>7.9250340275152853</v>
      </c>
      <c r="K50" s="101">
        <f>main!M57</f>
        <v>15.915286064147949</v>
      </c>
      <c r="L50" s="101">
        <f>main!O57</f>
        <v>1.1960781216621399</v>
      </c>
      <c r="M50" s="101">
        <f>main!AH57</f>
        <v>7.9902520366326639</v>
      </c>
      <c r="N50" s="101">
        <f>main!AB57</f>
        <v>3.5089683834913665</v>
      </c>
      <c r="O50" s="101">
        <f>main!AC57</f>
        <v>7.5063691763615594</v>
      </c>
      <c r="P50" s="101">
        <f t="shared" si="40"/>
        <v>22.871140451076705</v>
      </c>
      <c r="Q50" s="101">
        <f t="shared" si="41"/>
        <v>2.7444390506393064</v>
      </c>
      <c r="R50" s="101">
        <f t="shared" si="42"/>
        <v>5.5114630959177839</v>
      </c>
      <c r="S50" s="101">
        <f t="shared" si="43"/>
        <v>0.4142018183528306</v>
      </c>
      <c r="T50" s="101">
        <f t="shared" si="44"/>
        <v>2.767024045278478</v>
      </c>
      <c r="U50" s="101">
        <f t="shared" si="45"/>
        <v>2.599455424998443</v>
      </c>
      <c r="V50" s="67">
        <f>main!T57</f>
        <v>43207</v>
      </c>
      <c r="W50" s="67">
        <f>main!U57</f>
        <v>43224</v>
      </c>
      <c r="X50" s="67">
        <f>main!V57</f>
        <v>43215.5</v>
      </c>
      <c r="Y50" s="97">
        <f>main!H57</f>
        <v>17</v>
      </c>
      <c r="Z50" s="90">
        <f t="shared" si="46"/>
        <v>1.2151556479981074</v>
      </c>
      <c r="AA50" s="90">
        <f t="shared" si="47"/>
        <v>0.4589061695185499</v>
      </c>
      <c r="AB50" s="90">
        <f t="shared" si="48"/>
        <v>2.9564726506269137E-2</v>
      </c>
      <c r="AC50" s="90">
        <f t="shared" si="49"/>
        <v>0.2303933426543279</v>
      </c>
      <c r="AD50" s="90">
        <f t="shared" si="50"/>
        <v>0.22851282686422203</v>
      </c>
      <c r="AE50" s="395">
        <f t="shared" si="51"/>
        <v>4.3259368031260501E-2</v>
      </c>
      <c r="AF50">
        <f>depths!$B$4</f>
        <v>3799.6</v>
      </c>
      <c r="AH50" s="101">
        <f t="shared" si="52"/>
        <v>458.90616951854992</v>
      </c>
      <c r="AI50" s="101">
        <f t="shared" si="53"/>
        <v>29.564726506269139</v>
      </c>
      <c r="AJ50" s="101">
        <f t="shared" si="54"/>
        <v>230.39334265432791</v>
      </c>
      <c r="AK50" s="101">
        <f t="shared" si="55"/>
        <v>228.51282686422203</v>
      </c>
      <c r="AL50" s="101">
        <f t="shared" si="56"/>
        <v>43.2593680312605</v>
      </c>
      <c r="AM50" s="101">
        <f t="shared" si="57"/>
        <v>7.7928453897746515</v>
      </c>
      <c r="AN50" s="101">
        <f t="shared" si="58"/>
        <v>7.7292386525465187</v>
      </c>
      <c r="AO50" s="101">
        <f>main!R57</f>
        <v>39.47</v>
      </c>
      <c r="AP50" s="101">
        <f>main!S57</f>
        <v>8.548</v>
      </c>
    </row>
    <row r="51" spans="1:42">
      <c r="A51">
        <f>main!A58</f>
        <v>2018</v>
      </c>
      <c r="B51" t="str">
        <f>main!B58</f>
        <v>47_3800</v>
      </c>
      <c r="C51">
        <f>main!C58</f>
        <v>4</v>
      </c>
      <c r="D51" t="str">
        <f>main!$B$54</f>
        <v>McLane-PARFLUX-Mark78H-21 ; frame controller sn 12993-01, frame sn 12993-01, motor sn 12993-01, cup set R250x21</v>
      </c>
      <c r="E51">
        <v>3800</v>
      </c>
      <c r="F51" s="97">
        <f>main!E58</f>
        <v>574.41428571428571</v>
      </c>
      <c r="G51" s="90">
        <f>main!I58</f>
        <v>67.5781512605042</v>
      </c>
      <c r="H51" s="101">
        <f>main!J58</f>
        <v>24.68291974789916</v>
      </c>
      <c r="I51" s="101">
        <f>main!AF58</f>
        <v>71.023502723267811</v>
      </c>
      <c r="J51" s="101">
        <f>main!AG58</f>
        <v>8.5225166101302605</v>
      </c>
      <c r="K51" s="101">
        <f>main!M58</f>
        <v>14.182465553283691</v>
      </c>
      <c r="L51" s="101">
        <f>main!O58</f>
        <v>0.86751490831375122</v>
      </c>
      <c r="M51" s="101">
        <f>main!AH58</f>
        <v>5.6599489431534309</v>
      </c>
      <c r="N51" s="101">
        <f>main!AB58</f>
        <v>3.8465130903490761</v>
      </c>
      <c r="O51" s="101">
        <f>main!AC58</f>
        <v>8.2284432751540049</v>
      </c>
      <c r="P51" s="101">
        <f t="shared" si="40"/>
        <v>17.530674179331168</v>
      </c>
      <c r="Q51" s="101">
        <f t="shared" si="41"/>
        <v>2.1036059353798282</v>
      </c>
      <c r="R51" s="101">
        <f t="shared" si="42"/>
        <v>3.5006465907904558</v>
      </c>
      <c r="S51" s="101">
        <f t="shared" si="43"/>
        <v>0.21412800862014419</v>
      </c>
      <c r="T51" s="101">
        <f t="shared" si="44"/>
        <v>1.3970406554106281</v>
      </c>
      <c r="U51" s="101">
        <f t="shared" si="45"/>
        <v>2.0310200501076681</v>
      </c>
      <c r="V51" s="67">
        <f>main!T58</f>
        <v>43224</v>
      </c>
      <c r="W51" s="67">
        <f>main!U58</f>
        <v>43241</v>
      </c>
      <c r="X51" s="67">
        <f>main!V58</f>
        <v>43232.5</v>
      </c>
      <c r="Y51" s="97">
        <f>main!H58</f>
        <v>17</v>
      </c>
      <c r="Z51" s="90">
        <f t="shared" si="46"/>
        <v>0.94943173918329837</v>
      </c>
      <c r="AA51" s="90">
        <f t="shared" si="47"/>
        <v>0.29147765118987978</v>
      </c>
      <c r="AB51" s="90">
        <f t="shared" si="48"/>
        <v>1.5283940658111648E-2</v>
      </c>
      <c r="AC51" s="90">
        <f t="shared" si="49"/>
        <v>0.11632311868531457</v>
      </c>
      <c r="AD51" s="90">
        <f t="shared" si="50"/>
        <v>0.17515453250456522</v>
      </c>
      <c r="AE51" s="395">
        <f t="shared" si="51"/>
        <v>3.3799634716386556E-2</v>
      </c>
      <c r="AF51">
        <f>depths!$B$4</f>
        <v>3799.6</v>
      </c>
      <c r="AH51" s="101">
        <f t="shared" si="52"/>
        <v>291.47765118987979</v>
      </c>
      <c r="AI51" s="101">
        <f t="shared" si="53"/>
        <v>15.283940658111648</v>
      </c>
      <c r="AJ51" s="101">
        <f t="shared" si="54"/>
        <v>116.32311868531457</v>
      </c>
      <c r="AK51" s="101">
        <f t="shared" si="55"/>
        <v>175.15453250456522</v>
      </c>
      <c r="AL51" s="101">
        <f t="shared" si="56"/>
        <v>33.799634716386556</v>
      </c>
      <c r="AM51" s="101">
        <f t="shared" si="57"/>
        <v>7.6108067472493346</v>
      </c>
      <c r="AN51" s="101">
        <f t="shared" si="58"/>
        <v>11.460037461713478</v>
      </c>
      <c r="AO51" s="101">
        <f>main!R58</f>
        <v>40.06</v>
      </c>
      <c r="AP51" s="101">
        <f>main!S58</f>
        <v>8.5380000000000003</v>
      </c>
    </row>
    <row r="52" spans="1:42">
      <c r="A52">
        <f>main!A59</f>
        <v>2018</v>
      </c>
      <c r="B52" t="str">
        <f>main!B59</f>
        <v>47_3800</v>
      </c>
      <c r="C52">
        <f>main!C59</f>
        <v>5</v>
      </c>
      <c r="D52" t="str">
        <f>main!$B$54</f>
        <v>McLane-PARFLUX-Mark78H-21 ; frame controller sn 12993-01, frame sn 12993-01, motor sn 12993-01, cup set R250x21</v>
      </c>
      <c r="E52">
        <v>3800</v>
      </c>
      <c r="F52" s="97">
        <f>main!E59</f>
        <v>363.95714285714286</v>
      </c>
      <c r="G52" s="90">
        <f>main!I59</f>
        <v>42.818487394957984</v>
      </c>
      <c r="H52" s="101">
        <f>main!J59</f>
        <v>15.639452521008403</v>
      </c>
      <c r="I52" s="101">
        <f>main!AF59</f>
        <v>74.407085546384209</v>
      </c>
      <c r="J52" s="101">
        <f>main!AG59</f>
        <v>8.9285320797434462</v>
      </c>
      <c r="K52" s="101">
        <f>main!M59</f>
        <v>13.104650497436523</v>
      </c>
      <c r="L52" s="101">
        <f>main!O59</f>
        <v>0.61714720726013184</v>
      </c>
      <c r="M52" s="101">
        <f>main!AH59</f>
        <v>4.1761184176930772</v>
      </c>
      <c r="N52" s="101">
        <f>main!AB59</f>
        <v>3.9341420051180456</v>
      </c>
      <c r="O52" s="101">
        <f>main!AC59</f>
        <v>8.4158986503219424</v>
      </c>
      <c r="P52" s="101">
        <f t="shared" si="40"/>
        <v>11.636860816292865</v>
      </c>
      <c r="Q52" s="101">
        <f t="shared" si="41"/>
        <v>1.3963735354344804</v>
      </c>
      <c r="R52" s="101">
        <f t="shared" si="42"/>
        <v>2.0494955925906768</v>
      </c>
      <c r="S52" s="101">
        <f t="shared" si="43"/>
        <v>9.6518444464177636E-2</v>
      </c>
      <c r="T52" s="101">
        <f t="shared" si="44"/>
        <v>0.6531220571561962</v>
      </c>
      <c r="U52" s="101">
        <f t="shared" si="45"/>
        <v>1.3162004736332873</v>
      </c>
      <c r="V52" s="67">
        <f>main!T59</f>
        <v>43241</v>
      </c>
      <c r="W52" s="67">
        <f>main!U59</f>
        <v>43258</v>
      </c>
      <c r="X52" s="67">
        <f>main!V59</f>
        <v>43249.5</v>
      </c>
      <c r="Y52" s="97">
        <f>main!H59</f>
        <v>17</v>
      </c>
      <c r="Z52" s="90">
        <f t="shared" si="46"/>
        <v>0.61527827099948473</v>
      </c>
      <c r="AA52" s="90">
        <f t="shared" si="47"/>
        <v>0.17064909180605137</v>
      </c>
      <c r="AB52" s="90">
        <f t="shared" si="48"/>
        <v>6.8892537090776331E-3</v>
      </c>
      <c r="AC52" s="90">
        <f t="shared" si="49"/>
        <v>5.4381520162880614E-2</v>
      </c>
      <c r="AD52" s="90">
        <f t="shared" si="50"/>
        <v>0.11626757164317073</v>
      </c>
      <c r="AE52" s="395">
        <f t="shared" si="51"/>
        <v>2.1903818832306327E-2</v>
      </c>
      <c r="AF52">
        <f>depths!$B$4</f>
        <v>3799.6</v>
      </c>
      <c r="AH52" s="101">
        <f t="shared" si="52"/>
        <v>170.64909180605136</v>
      </c>
      <c r="AI52" s="101">
        <f t="shared" si="53"/>
        <v>6.8892537090776331</v>
      </c>
      <c r="AJ52" s="101">
        <f t="shared" si="54"/>
        <v>54.381520162880612</v>
      </c>
      <c r="AK52" s="101">
        <f t="shared" si="55"/>
        <v>116.26757164317073</v>
      </c>
      <c r="AL52" s="101">
        <f t="shared" si="56"/>
        <v>21.903818832306328</v>
      </c>
      <c r="AM52" s="101">
        <f t="shared" si="57"/>
        <v>7.8936736052012044</v>
      </c>
      <c r="AN52" s="101">
        <f t="shared" si="58"/>
        <v>16.876656972288686</v>
      </c>
      <c r="AO52" s="101">
        <f>main!R59</f>
        <v>40.07</v>
      </c>
      <c r="AP52" s="101">
        <f>main!S59</f>
        <v>8.6754999999999995</v>
      </c>
    </row>
    <row r="53" spans="1:42">
      <c r="A53">
        <f>main!A60</f>
        <v>2018</v>
      </c>
      <c r="B53" t="str">
        <f>main!B60</f>
        <v>47_3800</v>
      </c>
      <c r="C53">
        <f>main!C60</f>
        <v>6</v>
      </c>
      <c r="D53" t="str">
        <f>main!$B$54</f>
        <v>McLane-PARFLUX-Mark78H-21 ; frame controller sn 12993-01, frame sn 12993-01, motor sn 12993-01, cup set R250x21</v>
      </c>
      <c r="E53">
        <v>3800</v>
      </c>
      <c r="F53" s="97">
        <f>main!E60</f>
        <v>260.57142857142856</v>
      </c>
      <c r="G53" s="90">
        <f>main!I60</f>
        <v>30.655462184873947</v>
      </c>
      <c r="H53" s="101">
        <f>main!J60</f>
        <v>11.19690756302521</v>
      </c>
      <c r="I53" s="101">
        <f>main!AF60</f>
        <v>73.184713315188958</v>
      </c>
      <c r="J53" s="101">
        <f>main!AG60</f>
        <v>8.7818526392107188</v>
      </c>
      <c r="K53" s="101">
        <f>main!M60</f>
        <v>14.073051452636719</v>
      </c>
      <c r="L53" s="101">
        <f>main!O60</f>
        <v>0.82868802547454834</v>
      </c>
      <c r="M53" s="101">
        <f>main!AH60</f>
        <v>5.291198813426</v>
      </c>
      <c r="N53" s="101">
        <f>main!AB60</f>
        <v>3.4782095955131229</v>
      </c>
      <c r="O53" s="101">
        <f>main!AC60</f>
        <v>7.4405701172795853</v>
      </c>
      <c r="P53" s="101">
        <f t="shared" si="40"/>
        <v>8.1944247001667101</v>
      </c>
      <c r="Q53" s="101">
        <f t="shared" si="41"/>
        <v>0.98329592233351393</v>
      </c>
      <c r="R53" s="101">
        <f t="shared" si="42"/>
        <v>1.5757465624487101</v>
      </c>
      <c r="S53" s="101">
        <f t="shared" si="43"/>
        <v>9.278743219824398E-2</v>
      </c>
      <c r="T53" s="101">
        <f t="shared" si="44"/>
        <v>0.59245064011519599</v>
      </c>
      <c r="U53" s="101">
        <f t="shared" si="45"/>
        <v>0.83311375819387157</v>
      </c>
      <c r="V53" s="67">
        <f>main!T60</f>
        <v>43258</v>
      </c>
      <c r="W53" s="67">
        <f>main!U60</f>
        <v>43275</v>
      </c>
      <c r="X53" s="67">
        <f>main!V60</f>
        <v>43266.5</v>
      </c>
      <c r="Y53" s="97">
        <f>main!H60</f>
        <v>17</v>
      </c>
      <c r="Z53" s="90">
        <f t="shared" si="46"/>
        <v>0.38945191325787742</v>
      </c>
      <c r="AA53" s="90">
        <f t="shared" si="47"/>
        <v>0.1312028778058876</v>
      </c>
      <c r="AB53" s="90">
        <f t="shared" si="48"/>
        <v>6.6229430548354019E-3</v>
      </c>
      <c r="AC53" s="90">
        <f t="shared" si="49"/>
        <v>4.9329778527493422E-2</v>
      </c>
      <c r="AD53" s="90">
        <f t="shared" si="50"/>
        <v>8.1873099278394174E-2</v>
      </c>
      <c r="AE53" s="395">
        <f t="shared" si="51"/>
        <v>1.3864432654249819E-2</v>
      </c>
      <c r="AF53">
        <f>depths!$B$4</f>
        <v>3799.6</v>
      </c>
      <c r="AH53" s="101">
        <f t="shared" si="52"/>
        <v>131.2028778058876</v>
      </c>
      <c r="AI53" s="101">
        <f t="shared" si="53"/>
        <v>6.6229430548354022</v>
      </c>
      <c r="AJ53" s="101">
        <f t="shared" si="54"/>
        <v>49.329778527493424</v>
      </c>
      <c r="AK53" s="101">
        <f t="shared" si="55"/>
        <v>81.873099278394179</v>
      </c>
      <c r="AL53" s="101">
        <f t="shared" si="56"/>
        <v>13.86443265424982</v>
      </c>
      <c r="AM53" s="101">
        <f t="shared" si="57"/>
        <v>7.448316876509729</v>
      </c>
      <c r="AN53" s="101">
        <f t="shared" si="58"/>
        <v>12.362041859716539</v>
      </c>
      <c r="AO53" s="101">
        <f>main!R60</f>
        <v>40.1</v>
      </c>
      <c r="AP53" s="101">
        <f>main!S60</f>
        <v>8.6750000000000007</v>
      </c>
    </row>
    <row r="54" spans="1:42">
      <c r="A54">
        <f>main!A61</f>
        <v>2018</v>
      </c>
      <c r="B54" t="str">
        <f>main!B61</f>
        <v>47_3800</v>
      </c>
      <c r="C54">
        <f>main!C61</f>
        <v>7</v>
      </c>
      <c r="D54" t="str">
        <f>main!$B$54</f>
        <v>McLane-PARFLUX-Mark78H-21 ; frame controller sn 12993-01, frame sn 12993-01, motor sn 12993-01, cup set R250x21</v>
      </c>
      <c r="E54">
        <v>3800</v>
      </c>
      <c r="F54" s="97">
        <f>main!E61</f>
        <v>308.97142857142859</v>
      </c>
      <c r="G54" s="90">
        <f>main!I61</f>
        <v>36.349579831932772</v>
      </c>
      <c r="H54" s="101">
        <f>main!J61</f>
        <v>13.276684033613448</v>
      </c>
      <c r="I54" s="101">
        <f>main!AF61</f>
        <v>74.531284306016786</v>
      </c>
      <c r="J54" s="101">
        <f>main!AG61</f>
        <v>8.9434353997901983</v>
      </c>
      <c r="K54" s="101">
        <f>main!M61</f>
        <v>13.875494956970215</v>
      </c>
      <c r="L54" s="101">
        <f>main!O61</f>
        <v>0.75137102603912354</v>
      </c>
      <c r="M54" s="101">
        <f>main!AH61</f>
        <v>4.9320595571800165</v>
      </c>
      <c r="N54" s="101">
        <f>main!AB61</f>
        <v>3.4248683597168843</v>
      </c>
      <c r="O54" s="101">
        <f>main!AC61</f>
        <v>7.3264627887286426</v>
      </c>
      <c r="P54" s="101">
        <f t="shared" si="40"/>
        <v>9.895283123503976</v>
      </c>
      <c r="Q54" s="101">
        <f t="shared" si="41"/>
        <v>1.1873916597804781</v>
      </c>
      <c r="R54" s="101">
        <f t="shared" si="42"/>
        <v>1.8422056235369035</v>
      </c>
      <c r="S54" s="101">
        <f t="shared" si="43"/>
        <v>9.9757157047333858E-2</v>
      </c>
      <c r="T54" s="101">
        <f t="shared" si="44"/>
        <v>0.65481396375642531</v>
      </c>
      <c r="U54" s="101">
        <f t="shared" si="45"/>
        <v>0.97271131529976618</v>
      </c>
      <c r="V54" s="67">
        <f>main!T61</f>
        <v>43275</v>
      </c>
      <c r="W54" s="67">
        <f>main!U61</f>
        <v>43292</v>
      </c>
      <c r="X54" s="67">
        <f>main!V61</f>
        <v>43283.5</v>
      </c>
      <c r="Y54" s="97">
        <f>main!H61</f>
        <v>17</v>
      </c>
      <c r="Z54" s="90">
        <f t="shared" si="46"/>
        <v>0.45470895068681039</v>
      </c>
      <c r="AA54" s="90">
        <f t="shared" si="47"/>
        <v>0.15338931086901778</v>
      </c>
      <c r="AB54" s="90">
        <f t="shared" si="48"/>
        <v>7.1204251996669424E-3</v>
      </c>
      <c r="AC54" s="90">
        <f t="shared" si="49"/>
        <v>5.4522394983882207E-2</v>
      </c>
      <c r="AD54" s="90">
        <f t="shared" si="50"/>
        <v>9.8866915885135562E-2</v>
      </c>
      <c r="AE54" s="395">
        <f t="shared" si="51"/>
        <v>1.6187573894154872E-2</v>
      </c>
      <c r="AF54">
        <f>depths!$B$4</f>
        <v>3799.6</v>
      </c>
      <c r="AH54" s="101">
        <f t="shared" si="52"/>
        <v>153.38931086901778</v>
      </c>
      <c r="AI54" s="101">
        <f t="shared" si="53"/>
        <v>7.1204251996669425</v>
      </c>
      <c r="AJ54" s="101">
        <f t="shared" si="54"/>
        <v>54.522394983882208</v>
      </c>
      <c r="AK54" s="101">
        <f t="shared" si="55"/>
        <v>98.866915885135555</v>
      </c>
      <c r="AL54" s="101">
        <f t="shared" si="56"/>
        <v>16.187573894154873</v>
      </c>
      <c r="AM54" s="101">
        <f t="shared" si="57"/>
        <v>7.6571824652314993</v>
      </c>
      <c r="AN54" s="101">
        <f t="shared" si="58"/>
        <v>13.884973595363386</v>
      </c>
      <c r="AO54" s="101">
        <f>main!R61</f>
        <v>40.200000000000003</v>
      </c>
      <c r="AP54" s="101">
        <f>main!S61</f>
        <v>8.6389999999999993</v>
      </c>
    </row>
    <row r="55" spans="1:42">
      <c r="A55">
        <f>main!A62</f>
        <v>2018</v>
      </c>
      <c r="B55" t="str">
        <f>main!B62</f>
        <v>47_3800</v>
      </c>
      <c r="C55">
        <f>main!C62</f>
        <v>8</v>
      </c>
      <c r="D55" t="str">
        <f>main!$B$54</f>
        <v>McLane-PARFLUX-Mark78H-21 ; frame controller sn 12993-01, frame sn 12993-01, motor sn 12993-01, cup set R250x21</v>
      </c>
      <c r="E55">
        <v>3800</v>
      </c>
      <c r="F55" s="97">
        <f>main!E62</f>
        <v>245.39999999999998</v>
      </c>
      <c r="G55" s="90">
        <f>main!I62</f>
        <v>28.870588235294115</v>
      </c>
      <c r="H55" s="101">
        <f>main!J62</f>
        <v>10.544982352941176</v>
      </c>
      <c r="I55" s="101">
        <f>main!AF62</f>
        <v>74.080943714550642</v>
      </c>
      <c r="J55" s="101">
        <f>main!AG62</f>
        <v>8.8893964545984847</v>
      </c>
      <c r="K55" s="101">
        <f>main!M62</f>
        <v>13.573327493667591</v>
      </c>
      <c r="L55" s="101">
        <f>main!O62</f>
        <v>0.69269953668117523</v>
      </c>
      <c r="M55" s="101">
        <f>main!AH62</f>
        <v>4.6839310390691065</v>
      </c>
      <c r="N55" s="101">
        <f>main!AB62</f>
        <v>3.6072370145516657</v>
      </c>
      <c r="O55" s="101">
        <f>main!AC62</f>
        <v>7.7165849841370457</v>
      </c>
      <c r="P55" s="101">
        <f t="shared" si="40"/>
        <v>7.8118224415916506</v>
      </c>
      <c r="Q55" s="101">
        <f t="shared" si="41"/>
        <v>0.93738528742038874</v>
      </c>
      <c r="R55" s="101">
        <f t="shared" si="42"/>
        <v>1.4313049889141605</v>
      </c>
      <c r="S55" s="101">
        <f t="shared" si="43"/>
        <v>7.3045043901935211E-2</v>
      </c>
      <c r="T55" s="101">
        <f t="shared" si="44"/>
        <v>0.49391970149377151</v>
      </c>
      <c r="U55" s="101">
        <f t="shared" si="45"/>
        <v>0.8137125248269601</v>
      </c>
      <c r="V55" s="67">
        <f>main!T62</f>
        <v>43292</v>
      </c>
      <c r="W55" s="67">
        <f>main!U62</f>
        <v>43309</v>
      </c>
      <c r="X55" s="67">
        <f>main!V62</f>
        <v>43300.5</v>
      </c>
      <c r="Y55" s="97">
        <f>main!H62</f>
        <v>17</v>
      </c>
      <c r="Z55" s="90">
        <f t="shared" si="46"/>
        <v>0.38038250661323525</v>
      </c>
      <c r="AA55" s="90">
        <f t="shared" si="47"/>
        <v>0.11917610232424317</v>
      </c>
      <c r="AB55" s="90">
        <f t="shared" si="48"/>
        <v>5.2137790079896653E-3</v>
      </c>
      <c r="AC55" s="90">
        <f t="shared" si="49"/>
        <v>4.1125703704727019E-2</v>
      </c>
      <c r="AD55" s="90">
        <f t="shared" si="50"/>
        <v>7.8050398619516126E-2</v>
      </c>
      <c r="AE55" s="395">
        <f t="shared" si="51"/>
        <v>1.3541563069178898E-2</v>
      </c>
      <c r="AF55">
        <f>depths!$B$4</f>
        <v>3799.6</v>
      </c>
      <c r="AH55" s="101">
        <f t="shared" si="52"/>
        <v>119.17610232424316</v>
      </c>
      <c r="AI55" s="101">
        <f t="shared" si="53"/>
        <v>5.2137790079896655</v>
      </c>
      <c r="AJ55" s="101">
        <f t="shared" si="54"/>
        <v>41.125703704727016</v>
      </c>
      <c r="AK55" s="101">
        <f t="shared" si="55"/>
        <v>78.05039861951613</v>
      </c>
      <c r="AL55" s="101">
        <f t="shared" si="56"/>
        <v>13.541563069178899</v>
      </c>
      <c r="AM55" s="101">
        <f t="shared" si="57"/>
        <v>7.8878877761610973</v>
      </c>
      <c r="AN55" s="101">
        <f t="shared" si="58"/>
        <v>14.970024333580431</v>
      </c>
      <c r="AO55" s="101">
        <f>main!R62</f>
        <v>39.96</v>
      </c>
      <c r="AP55" s="101">
        <f>main!S62</f>
        <v>8.6780000000000008</v>
      </c>
    </row>
    <row r="56" spans="1:42">
      <c r="A56">
        <f>main!A63</f>
        <v>2018</v>
      </c>
      <c r="B56" t="str">
        <f>main!B63</f>
        <v>47_3800</v>
      </c>
      <c r="C56">
        <f>main!C63</f>
        <v>9</v>
      </c>
      <c r="D56" t="str">
        <f>main!$B$54</f>
        <v>McLane-PARFLUX-Mark78H-21 ; frame controller sn 12993-01, frame sn 12993-01, motor sn 12993-01, cup set R250x21</v>
      </c>
      <c r="E56">
        <v>3800</v>
      </c>
      <c r="F56" s="97">
        <f>main!E63</f>
        <v>262.42857142857139</v>
      </c>
      <c r="G56" s="90">
        <f>main!I63</f>
        <v>30.87394957983193</v>
      </c>
      <c r="H56" s="101">
        <f>main!J63</f>
        <v>11.276710084033612</v>
      </c>
      <c r="I56" s="101">
        <f>main!AF63</f>
        <v>74.925903760565873</v>
      </c>
      <c r="J56" s="101">
        <f>main!AG63</f>
        <v>8.9907880468312644</v>
      </c>
      <c r="K56" s="101">
        <f>main!M63</f>
        <v>13.004121780395508</v>
      </c>
      <c r="L56" s="101">
        <f>main!O63</f>
        <v>0.60184335708618164</v>
      </c>
      <c r="M56" s="101">
        <f>main!AH63</f>
        <v>4.0133337335642434</v>
      </c>
      <c r="N56" s="101">
        <f>main!AB63</f>
        <v>4.0467582150447088</v>
      </c>
      <c r="O56" s="101">
        <f>main!AC63</f>
        <v>8.6568067334295691</v>
      </c>
      <c r="P56" s="101">
        <f t="shared" si="40"/>
        <v>8.4491769449210512</v>
      </c>
      <c r="Q56" s="101">
        <f t="shared" si="41"/>
        <v>1.0138651023111098</v>
      </c>
      <c r="R56" s="101">
        <f t="shared" si="42"/>
        <v>1.4664371121498716</v>
      </c>
      <c r="S56" s="101">
        <f t="shared" si="43"/>
        <v>6.7868130538623866E-2</v>
      </c>
      <c r="T56" s="101">
        <f t="shared" si="44"/>
        <v>0.45257200983876167</v>
      </c>
      <c r="U56" s="101">
        <f t="shared" si="45"/>
        <v>0.97620299786395281</v>
      </c>
      <c r="V56" s="67">
        <f>main!T63</f>
        <v>43309</v>
      </c>
      <c r="W56" s="67">
        <f>main!U63</f>
        <v>43326</v>
      </c>
      <c r="X56" s="67">
        <f>main!V63</f>
        <v>43317.5</v>
      </c>
      <c r="Y56" s="97">
        <f>main!H63</f>
        <v>17</v>
      </c>
      <c r="Z56" s="90">
        <f t="shared" si="46"/>
        <v>0.45634119171240528</v>
      </c>
      <c r="AA56" s="90">
        <f t="shared" si="47"/>
        <v>0.12210134156118831</v>
      </c>
      <c r="AB56" s="90">
        <f t="shared" si="48"/>
        <v>4.844263421743317E-3</v>
      </c>
      <c r="AC56" s="90">
        <f t="shared" si="49"/>
        <v>3.7682931710138361E-2</v>
      </c>
      <c r="AD56" s="90">
        <f t="shared" si="50"/>
        <v>8.4418409851049939E-2</v>
      </c>
      <c r="AE56" s="395">
        <f t="shared" si="51"/>
        <v>1.624568144223586E-2</v>
      </c>
      <c r="AF56">
        <f>depths!$B$4</f>
        <v>3799.6</v>
      </c>
      <c r="AH56" s="101">
        <f t="shared" si="52"/>
        <v>122.10134156118831</v>
      </c>
      <c r="AI56" s="101">
        <f t="shared" si="53"/>
        <v>4.8442634217433174</v>
      </c>
      <c r="AJ56" s="101">
        <f t="shared" si="54"/>
        <v>37.682931710138362</v>
      </c>
      <c r="AK56" s="101">
        <f t="shared" si="55"/>
        <v>84.418409851049944</v>
      </c>
      <c r="AL56" s="101">
        <f t="shared" si="56"/>
        <v>16.24568144223586</v>
      </c>
      <c r="AM56" s="101">
        <f t="shared" si="57"/>
        <v>7.7788774947703629</v>
      </c>
      <c r="AN56" s="101">
        <f t="shared" si="58"/>
        <v>17.426469723372325</v>
      </c>
      <c r="AO56" s="101">
        <f>main!R63</f>
        <v>40.159999999999997</v>
      </c>
      <c r="AP56" s="101">
        <f>main!S63</f>
        <v>8.6489999999999991</v>
      </c>
    </row>
    <row r="57" spans="1:42">
      <c r="A57">
        <f>main!A64</f>
        <v>2018</v>
      </c>
      <c r="B57" t="str">
        <f>main!B64</f>
        <v>47_3800</v>
      </c>
      <c r="C57">
        <f>main!C64</f>
        <v>10</v>
      </c>
      <c r="D57" t="str">
        <f>main!$B$54</f>
        <v>McLane-PARFLUX-Mark78H-21 ; frame controller sn 12993-01, frame sn 12993-01, motor sn 12993-01, cup set R250x21</v>
      </c>
      <c r="E57">
        <v>3800</v>
      </c>
      <c r="F57" s="97">
        <f>main!E64</f>
        <v>214.08571428571429</v>
      </c>
      <c r="G57" s="90">
        <f>main!I64</f>
        <v>25.186554621848739</v>
      </c>
      <c r="H57" s="101">
        <f>main!J64</f>
        <v>9.1993890756302523</v>
      </c>
      <c r="I57" s="101">
        <f>main!AF64</f>
        <v>70.428110758985014</v>
      </c>
      <c r="J57" s="101">
        <f>main!AG64</f>
        <v>8.4510721204814025</v>
      </c>
      <c r="K57" s="101">
        <f>main!M64</f>
        <v>13.893876075744629</v>
      </c>
      <c r="L57" s="101">
        <f>main!O64</f>
        <v>0.91538608074188232</v>
      </c>
      <c r="M57" s="101">
        <f>main!AH64</f>
        <v>5.4428039552632264</v>
      </c>
      <c r="N57" s="101">
        <f>main!AB64</f>
        <v>3.8651785512901471</v>
      </c>
      <c r="O57" s="101">
        <f>main!AC64</f>
        <v>8.2683723441447121</v>
      </c>
      <c r="P57" s="101">
        <f t="shared" si="40"/>
        <v>6.4789559273348418</v>
      </c>
      <c r="Q57" s="101">
        <f t="shared" si="41"/>
        <v>0.77744700542520007</v>
      </c>
      <c r="R57" s="101">
        <f t="shared" si="42"/>
        <v>1.2781517178936566</v>
      </c>
      <c r="S57" s="101">
        <f t="shared" si="43"/>
        <v>8.4209927111608643E-2</v>
      </c>
      <c r="T57" s="101">
        <f t="shared" si="44"/>
        <v>0.50070471246845649</v>
      </c>
      <c r="U57" s="101">
        <f t="shared" si="45"/>
        <v>0.76063974215968155</v>
      </c>
      <c r="V57" s="67">
        <f>main!T64</f>
        <v>43326</v>
      </c>
      <c r="W57" s="67">
        <f>main!U64</f>
        <v>43343</v>
      </c>
      <c r="X57" s="67">
        <f>main!V64</f>
        <v>43334.5</v>
      </c>
      <c r="Y57" s="97">
        <f>main!H64</f>
        <v>17</v>
      </c>
      <c r="Z57" s="90">
        <f t="shared" si="46"/>
        <v>0.35557281340098945</v>
      </c>
      <c r="AA57" s="90">
        <f t="shared" si="47"/>
        <v>0.10642395652736525</v>
      </c>
      <c r="AB57" s="90">
        <f t="shared" si="48"/>
        <v>6.0107014355181045E-3</v>
      </c>
      <c r="AC57" s="90">
        <f t="shared" si="49"/>
        <v>4.1690650496957242E-2</v>
      </c>
      <c r="AD57" s="90">
        <f t="shared" si="50"/>
        <v>6.4733306030408E-2</v>
      </c>
      <c r="AE57" s="395">
        <f t="shared" si="51"/>
        <v>1.265834152370913E-2</v>
      </c>
      <c r="AF57">
        <f>depths!$B$4</f>
        <v>3799.6</v>
      </c>
      <c r="AH57" s="101">
        <f t="shared" si="52"/>
        <v>106.42395652736525</v>
      </c>
      <c r="AI57" s="101">
        <f t="shared" si="53"/>
        <v>6.0107014355181043</v>
      </c>
      <c r="AJ57" s="101">
        <f t="shared" si="54"/>
        <v>41.69065049695724</v>
      </c>
      <c r="AK57" s="101">
        <f t="shared" si="55"/>
        <v>64.733306030408002</v>
      </c>
      <c r="AL57" s="101">
        <f t="shared" si="56"/>
        <v>12.658341523709129</v>
      </c>
      <c r="AM57" s="101">
        <f t="shared" si="57"/>
        <v>6.9360707638215322</v>
      </c>
      <c r="AN57" s="101">
        <f t="shared" si="58"/>
        <v>10.769675839809565</v>
      </c>
      <c r="AO57" s="101">
        <f>main!R64</f>
        <v>40.08</v>
      </c>
      <c r="AP57" s="101">
        <f>main!S64</f>
        <v>8.6920000000000002</v>
      </c>
    </row>
    <row r="58" spans="1:42">
      <c r="A58">
        <f>main!A65</f>
        <v>2018</v>
      </c>
      <c r="B58" t="str">
        <f>main!B65</f>
        <v>47_3800</v>
      </c>
      <c r="C58">
        <f>main!C65</f>
        <v>11</v>
      </c>
      <c r="D58" t="str">
        <f>main!$B$54</f>
        <v>McLane-PARFLUX-Mark78H-21 ; frame controller sn 12993-01, frame sn 12993-01, motor sn 12993-01, cup set R250x21</v>
      </c>
      <c r="E58">
        <v>3800</v>
      </c>
      <c r="F58" s="97">
        <f>main!E65</f>
        <v>266.89999999999998</v>
      </c>
      <c r="G58" s="90">
        <f>main!I65</f>
        <v>31.4</v>
      </c>
      <c r="H58" s="101">
        <f>main!J65</f>
        <v>11.46885</v>
      </c>
      <c r="I58" s="101">
        <f>main!AF65</f>
        <v>75.002610374996266</v>
      </c>
      <c r="J58" s="101">
        <f>main!AG65</f>
        <v>8.9999925125436508</v>
      </c>
      <c r="K58" s="101">
        <f>main!M65</f>
        <v>12.262346267700195</v>
      </c>
      <c r="L58" s="101">
        <f>main!O65</f>
        <v>0.4686332643032074</v>
      </c>
      <c r="M58" s="101">
        <f>main!AH65</f>
        <v>3.2623537551565445</v>
      </c>
      <c r="N58" s="101">
        <f>main!AB65</f>
        <v>4.2728849205456028</v>
      </c>
      <c r="O58" s="101">
        <f>main!AC65</f>
        <v>9.1405359514270295</v>
      </c>
      <c r="P58" s="101">
        <f t="shared" si="40"/>
        <v>8.6019368799927598</v>
      </c>
      <c r="Q58" s="101">
        <f t="shared" si="41"/>
        <v>1.0321956412748625</v>
      </c>
      <c r="R58" s="101">
        <f t="shared" si="42"/>
        <v>1.4063500999231338</v>
      </c>
      <c r="S58" s="101">
        <f t="shared" si="43"/>
        <v>5.3746846133038401E-2</v>
      </c>
      <c r="T58" s="101">
        <f t="shared" si="44"/>
        <v>0.37415445864827135</v>
      </c>
      <c r="U58" s="101">
        <f t="shared" si="45"/>
        <v>1.0483143574652389</v>
      </c>
      <c r="V58" s="67">
        <f>main!T65</f>
        <v>43343</v>
      </c>
      <c r="W58" s="67">
        <f>main!U65</f>
        <v>43360</v>
      </c>
      <c r="X58" s="67">
        <f>main!V65</f>
        <v>43351.5</v>
      </c>
      <c r="Y58" s="97">
        <f>main!H65</f>
        <v>17</v>
      </c>
      <c r="Z58" s="90">
        <f t="shared" si="46"/>
        <v>0.49005076220999433</v>
      </c>
      <c r="AA58" s="90">
        <f t="shared" si="47"/>
        <v>0.11709825977711355</v>
      </c>
      <c r="AB58" s="90">
        <f t="shared" si="48"/>
        <v>3.8363202093532047E-3</v>
      </c>
      <c r="AC58" s="90">
        <f t="shared" si="49"/>
        <v>3.1153576906600446E-2</v>
      </c>
      <c r="AD58" s="90">
        <f t="shared" si="50"/>
        <v>8.5944682870513114E-2</v>
      </c>
      <c r="AE58" s="395">
        <f t="shared" si="51"/>
        <v>1.744573735172639E-2</v>
      </c>
      <c r="AF58">
        <f>depths!$B$4</f>
        <v>3799.6</v>
      </c>
      <c r="AH58" s="101">
        <f t="shared" si="52"/>
        <v>117.09825977711355</v>
      </c>
      <c r="AI58" s="101">
        <f t="shared" si="53"/>
        <v>3.8363202093532047</v>
      </c>
      <c r="AJ58" s="101">
        <f t="shared" si="54"/>
        <v>31.153576906600446</v>
      </c>
      <c r="AK58" s="101">
        <f t="shared" si="55"/>
        <v>85.94468287051312</v>
      </c>
      <c r="AL58" s="101">
        <f t="shared" si="56"/>
        <v>17.44573735172639</v>
      </c>
      <c r="AM58" s="101">
        <f t="shared" si="57"/>
        <v>8.1206925403791761</v>
      </c>
      <c r="AN58" s="101">
        <f t="shared" si="58"/>
        <v>22.402896051527254</v>
      </c>
      <c r="AO58" s="101">
        <f>main!R65</f>
        <v>40.119999999999997</v>
      </c>
      <c r="AP58" s="101">
        <f>main!S65</f>
        <v>8.7289999999999992</v>
      </c>
    </row>
    <row r="59" spans="1:42">
      <c r="A59">
        <f>main!A66</f>
        <v>2018</v>
      </c>
      <c r="B59" t="str">
        <f>main!B66</f>
        <v>47_3800</v>
      </c>
      <c r="C59">
        <f>main!C66</f>
        <v>12</v>
      </c>
      <c r="D59" t="str">
        <f>main!$B$54</f>
        <v>McLane-PARFLUX-Mark78H-21 ; frame controller sn 12993-01, frame sn 12993-01, motor sn 12993-01, cup set R250x21</v>
      </c>
      <c r="E59">
        <v>3800</v>
      </c>
      <c r="F59" s="97">
        <f>main!E66</f>
        <v>436.71428571428572</v>
      </c>
      <c r="G59" s="90">
        <f>main!I66</f>
        <v>51.378151260504204</v>
      </c>
      <c r="H59" s="101">
        <f>main!J66</f>
        <v>18.76586974789916</v>
      </c>
      <c r="I59" s="101">
        <f>main!AF66</f>
        <v>73.719778465474207</v>
      </c>
      <c r="J59" s="101">
        <f>main!AG66</f>
        <v>8.8460581691544569</v>
      </c>
      <c r="K59" s="101">
        <f>main!M66</f>
        <v>11.851734161376953</v>
      </c>
      <c r="L59" s="101">
        <f>main!O66</f>
        <v>0.43507429957389832</v>
      </c>
      <c r="M59" s="101">
        <f>main!AH66</f>
        <v>3.0056759922224963</v>
      </c>
      <c r="N59" s="101">
        <f>main!AB66</f>
        <v>5.57542301392668</v>
      </c>
      <c r="O59" s="101">
        <f>main!AC66</f>
        <v>11.926919505405989</v>
      </c>
      <c r="P59" s="101">
        <f t="shared" si="40"/>
        <v>13.834157605270704</v>
      </c>
      <c r="Q59" s="101">
        <f t="shared" si="41"/>
        <v>1.6600397538469185</v>
      </c>
      <c r="R59" s="101">
        <f t="shared" si="42"/>
        <v>2.2240809955912679</v>
      </c>
      <c r="S59" s="101">
        <f t="shared" si="43"/>
        <v>8.1645476364622341E-2</v>
      </c>
      <c r="T59" s="101">
        <f t="shared" si="44"/>
        <v>0.56404124174434933</v>
      </c>
      <c r="U59" s="101">
        <f t="shared" si="45"/>
        <v>2.2381901793212666</v>
      </c>
      <c r="V59" s="67">
        <f>main!T66</f>
        <v>43360</v>
      </c>
      <c r="W59" s="67">
        <f>main!U66</f>
        <v>43377</v>
      </c>
      <c r="X59" s="67">
        <f>main!V66</f>
        <v>43368.5</v>
      </c>
      <c r="Y59" s="97">
        <f>main!H66</f>
        <v>17</v>
      </c>
      <c r="Z59" s="90">
        <f t="shared" si="46"/>
        <v>1.0462766206878744</v>
      </c>
      <c r="AA59" s="90">
        <f t="shared" si="47"/>
        <v>0.18518576149802399</v>
      </c>
      <c r="AB59" s="90">
        <f t="shared" si="48"/>
        <v>5.8276571280958134E-3</v>
      </c>
      <c r="AC59" s="90">
        <f t="shared" si="49"/>
        <v>4.696429989544957E-2</v>
      </c>
      <c r="AD59" s="90">
        <f t="shared" si="50"/>
        <v>0.1382214616025744</v>
      </c>
      <c r="AE59" s="395">
        <f t="shared" si="51"/>
        <v>3.72472987072935E-2</v>
      </c>
      <c r="AF59">
        <f>depths!$B$4</f>
        <v>3799.6</v>
      </c>
      <c r="AH59" s="101">
        <f t="shared" si="52"/>
        <v>185.18576149802399</v>
      </c>
      <c r="AI59" s="101">
        <f t="shared" si="53"/>
        <v>5.8276571280958134</v>
      </c>
      <c r="AJ59" s="101">
        <f t="shared" si="54"/>
        <v>46.964299895449571</v>
      </c>
      <c r="AK59" s="101">
        <f t="shared" si="55"/>
        <v>138.22146160257441</v>
      </c>
      <c r="AL59" s="101">
        <f t="shared" si="56"/>
        <v>37.247298707293503</v>
      </c>
      <c r="AM59" s="101">
        <f t="shared" si="57"/>
        <v>8.0588646282962006</v>
      </c>
      <c r="AN59" s="101">
        <f t="shared" si="58"/>
        <v>23.718187011413669</v>
      </c>
      <c r="AO59" s="101">
        <f>main!R66</f>
        <v>39.770000000000003</v>
      </c>
      <c r="AP59" s="101">
        <f>main!S66</f>
        <v>8.7430000000000003</v>
      </c>
    </row>
    <row r="60" spans="1:42">
      <c r="A60">
        <f>main!A67</f>
        <v>2018</v>
      </c>
      <c r="B60" t="str">
        <f>main!B67</f>
        <v>47_3800</v>
      </c>
      <c r="C60">
        <f>main!C67</f>
        <v>13</v>
      </c>
      <c r="D60" t="str">
        <f>main!$B$54</f>
        <v>McLane-PARFLUX-Mark78H-21 ; frame controller sn 12993-01, frame sn 12993-01, motor sn 12993-01, cup set R250x21</v>
      </c>
      <c r="E60">
        <v>3800</v>
      </c>
      <c r="F60" s="97">
        <f>main!E67</f>
        <v>509.91428571428571</v>
      </c>
      <c r="G60" s="90">
        <f>main!I67</f>
        <v>59.989915966386555</v>
      </c>
      <c r="H60" s="101">
        <f>main!J67</f>
        <v>21.911316806722688</v>
      </c>
      <c r="I60" s="101">
        <f>main!AF67</f>
        <v>71.766218858351621</v>
      </c>
      <c r="J60" s="101">
        <f>main!AG67</f>
        <v>8.6116393702752596</v>
      </c>
      <c r="K60" s="101">
        <f>main!M67</f>
        <v>12.109560966491699</v>
      </c>
      <c r="L60" s="101">
        <f>main!O67</f>
        <v>0.5326191782951355</v>
      </c>
      <c r="M60" s="101">
        <f>main!AH67</f>
        <v>3.4979215962164396</v>
      </c>
      <c r="N60" s="101">
        <f>main!AB67</f>
        <v>5.9850283969520008</v>
      </c>
      <c r="O60" s="101">
        <f>main!AC67</f>
        <v>12.803145474291414</v>
      </c>
      <c r="P60" s="101">
        <f t="shared" si="40"/>
        <v>15.724923574259385</v>
      </c>
      <c r="Q60" s="101">
        <f t="shared" si="41"/>
        <v>1.8869235846734707</v>
      </c>
      <c r="R60" s="101">
        <f t="shared" si="42"/>
        <v>2.6533642672712259</v>
      </c>
      <c r="S60" s="101">
        <f t="shared" si="43"/>
        <v>0.1167038755296103</v>
      </c>
      <c r="T60" s="101">
        <f t="shared" si="44"/>
        <v>0.76644068259775533</v>
      </c>
      <c r="U60" s="101">
        <f t="shared" si="45"/>
        <v>2.8053377660975696</v>
      </c>
      <c r="V60" s="67">
        <f>main!T67</f>
        <v>43377</v>
      </c>
      <c r="W60" s="67">
        <f>main!U67</f>
        <v>43394</v>
      </c>
      <c r="X60" s="67">
        <f>main!V67</f>
        <v>43385.5</v>
      </c>
      <c r="Y60" s="97">
        <f>main!H67</f>
        <v>17</v>
      </c>
      <c r="Z60" s="90">
        <f t="shared" si="46"/>
        <v>1.3113985330284692</v>
      </c>
      <c r="AA60" s="90">
        <f t="shared" si="47"/>
        <v>0.22092958095513954</v>
      </c>
      <c r="AB60" s="90">
        <f t="shared" si="48"/>
        <v>8.3300410799150813E-3</v>
      </c>
      <c r="AC60" s="90">
        <f t="shared" si="49"/>
        <v>6.3816876153018759E-2</v>
      </c>
      <c r="AD60" s="90">
        <f t="shared" si="50"/>
        <v>0.15711270480212078</v>
      </c>
      <c r="AE60" s="395">
        <f t="shared" si="51"/>
        <v>4.6685601033409373E-2</v>
      </c>
      <c r="AF60">
        <f>depths!$B$4</f>
        <v>3799.6</v>
      </c>
      <c r="AH60" s="101">
        <f t="shared" si="52"/>
        <v>220.92958095513953</v>
      </c>
      <c r="AI60" s="101">
        <f t="shared" si="53"/>
        <v>8.3300410799150821</v>
      </c>
      <c r="AJ60" s="101">
        <f t="shared" si="54"/>
        <v>63.816876153018761</v>
      </c>
      <c r="AK60" s="101">
        <f t="shared" si="55"/>
        <v>157.11270480212079</v>
      </c>
      <c r="AL60" s="101">
        <f t="shared" si="56"/>
        <v>46.68560103340937</v>
      </c>
      <c r="AM60" s="101">
        <f t="shared" si="57"/>
        <v>7.6610517932366928</v>
      </c>
      <c r="AN60" s="101">
        <f t="shared" si="58"/>
        <v>18.860975989775362</v>
      </c>
      <c r="AO60" s="101">
        <f>main!R67</f>
        <v>39.6</v>
      </c>
      <c r="AP60" s="101">
        <f>main!S67</f>
        <v>8.6579999999999995</v>
      </c>
    </row>
    <row r="61" spans="1:42">
      <c r="A61">
        <f>main!A68</f>
        <v>2018</v>
      </c>
      <c r="B61" t="str">
        <f>main!B68</f>
        <v>47_3800</v>
      </c>
      <c r="C61">
        <f>main!C68</f>
        <v>14</v>
      </c>
      <c r="D61" t="str">
        <f>main!$B$54</f>
        <v>McLane-PARFLUX-Mark78H-21 ; frame controller sn 12993-01, frame sn 12993-01, motor sn 12993-01, cup set R250x21</v>
      </c>
      <c r="E61">
        <v>3800</v>
      </c>
      <c r="F61" s="97">
        <f>main!E68</f>
        <v>355.54285714285709</v>
      </c>
      <c r="G61" s="90">
        <f>main!I68</f>
        <v>41.828571428571422</v>
      </c>
      <c r="H61" s="101">
        <f>main!J68</f>
        <v>15.277885714285715</v>
      </c>
      <c r="I61" s="101">
        <f>main!AF68</f>
        <v>74.196587883549412</v>
      </c>
      <c r="J61" s="101">
        <f>main!AG68</f>
        <v>8.9032732603510389</v>
      </c>
      <c r="K61" s="101">
        <f>main!M68</f>
        <v>12.245630264282227</v>
      </c>
      <c r="L61" s="101">
        <f>main!O68</f>
        <v>0.50001806020736694</v>
      </c>
      <c r="M61" s="101">
        <f>main!AH68</f>
        <v>3.3423570039311876</v>
      </c>
      <c r="N61" s="101">
        <f>main!AB68</f>
        <v>5.2572202210734718</v>
      </c>
      <c r="O61" s="101">
        <f>main!AC68</f>
        <v>11.246221540915093</v>
      </c>
      <c r="P61" s="101">
        <f t="shared" si="40"/>
        <v>11.335669900748242</v>
      </c>
      <c r="Q61" s="101">
        <f t="shared" si="41"/>
        <v>1.3602319135469914</v>
      </c>
      <c r="R61" s="101">
        <f t="shared" si="42"/>
        <v>1.8708733967710223</v>
      </c>
      <c r="S61" s="101">
        <f t="shared" si="43"/>
        <v>7.6392187789269858E-2</v>
      </c>
      <c r="T61" s="101">
        <f t="shared" si="44"/>
        <v>0.51064148322403091</v>
      </c>
      <c r="U61" s="101">
        <f t="shared" si="45"/>
        <v>1.7181848741963897</v>
      </c>
      <c r="V61" s="67">
        <f>main!T68</f>
        <v>43394</v>
      </c>
      <c r="W61" s="67">
        <f>main!U68</f>
        <v>43411</v>
      </c>
      <c r="X61" s="67">
        <f>main!V68</f>
        <v>43402.5</v>
      </c>
      <c r="Y61" s="97">
        <f>main!H68</f>
        <v>17</v>
      </c>
      <c r="Z61" s="90">
        <f t="shared" si="46"/>
        <v>0.80319209712392381</v>
      </c>
      <c r="AA61" s="90">
        <f t="shared" si="47"/>
        <v>0.1557763028119086</v>
      </c>
      <c r="AB61" s="90">
        <f t="shared" si="48"/>
        <v>5.4526900634739375E-3</v>
      </c>
      <c r="AC61" s="90">
        <f t="shared" si="49"/>
        <v>4.251802524762955E-2</v>
      </c>
      <c r="AD61" s="90">
        <f t="shared" si="50"/>
        <v>0.11325827756427904</v>
      </c>
      <c r="AE61" s="395">
        <f t="shared" si="51"/>
        <v>2.8593524283514554E-2</v>
      </c>
      <c r="AF61">
        <f>depths!$B$4</f>
        <v>3799.6</v>
      </c>
      <c r="AH61" s="101">
        <f t="shared" si="52"/>
        <v>155.77630281190861</v>
      </c>
      <c r="AI61" s="101">
        <f t="shared" si="53"/>
        <v>5.4526900634739377</v>
      </c>
      <c r="AJ61" s="101">
        <f t="shared" si="54"/>
        <v>42.518025247629552</v>
      </c>
      <c r="AK61" s="101">
        <f t="shared" si="55"/>
        <v>113.25827756427904</v>
      </c>
      <c r="AL61" s="101">
        <f t="shared" si="56"/>
        <v>28.593524283514554</v>
      </c>
      <c r="AM61" s="101">
        <f t="shared" si="57"/>
        <v>7.7976236963193708</v>
      </c>
      <c r="AN61" s="101">
        <f t="shared" si="58"/>
        <v>20.771082941787743</v>
      </c>
      <c r="AO61" s="101">
        <f>main!R68</f>
        <v>40.17</v>
      </c>
      <c r="AP61" s="101">
        <f>main!S68</f>
        <v>8.7270000000000003</v>
      </c>
    </row>
    <row r="62" spans="1:42">
      <c r="A62">
        <f>main!A69</f>
        <v>2018</v>
      </c>
      <c r="B62" t="str">
        <f>main!B69</f>
        <v>47_3800</v>
      </c>
      <c r="C62">
        <f>main!C69</f>
        <v>15</v>
      </c>
      <c r="D62" t="str">
        <f>main!$B$54</f>
        <v>McLane-PARFLUX-Mark78H-21 ; frame controller sn 12993-01, frame sn 12993-01, motor sn 12993-01, cup set R250x21</v>
      </c>
      <c r="E62">
        <v>3800</v>
      </c>
      <c r="F62" s="97">
        <f>main!E69</f>
        <v>640.47142857142853</v>
      </c>
      <c r="G62" s="90">
        <f>main!I69</f>
        <v>75.349579831932772</v>
      </c>
      <c r="H62" s="101">
        <f>main!J69</f>
        <v>27.521434033613446</v>
      </c>
      <c r="I62" s="101">
        <f>main!AF69</f>
        <v>78.183310486830635</v>
      </c>
      <c r="J62" s="101">
        <f>main!AG69</f>
        <v>9.3816629243870668</v>
      </c>
      <c r="K62" s="101">
        <f>main!M69</f>
        <v>12.559001922607422</v>
      </c>
      <c r="L62" s="101">
        <f>main!O69</f>
        <v>0.3702196478843689</v>
      </c>
      <c r="M62" s="101">
        <f>main!AH69</f>
        <v>3.177338998220355</v>
      </c>
      <c r="N62" s="101">
        <f>main!AB69</f>
        <v>4.1483969163449652</v>
      </c>
      <c r="O62" s="101">
        <f>main!AC69</f>
        <v>8.8742317801056956</v>
      </c>
      <c r="P62" s="101">
        <f t="shared" si="40"/>
        <v>21.517168220928276</v>
      </c>
      <c r="Q62" s="101">
        <f t="shared" si="41"/>
        <v>2.5819681729911568</v>
      </c>
      <c r="R62" s="101">
        <f t="shared" si="42"/>
        <v>3.4564174294106458</v>
      </c>
      <c r="S62" s="101">
        <f t="shared" si="43"/>
        <v>0.10188975617197257</v>
      </c>
      <c r="T62" s="101">
        <f t="shared" si="44"/>
        <v>0.87444925641948934</v>
      </c>
      <c r="U62" s="101">
        <f t="shared" si="45"/>
        <v>2.4423158453517493</v>
      </c>
      <c r="V62" s="67">
        <f>main!T69</f>
        <v>43411</v>
      </c>
      <c r="W62" s="67">
        <f>main!U69</f>
        <v>43428</v>
      </c>
      <c r="X62" s="67">
        <f>main!V69</f>
        <v>43419.5</v>
      </c>
      <c r="Y62" s="97">
        <f>main!H69</f>
        <v>17</v>
      </c>
      <c r="Z62" s="90">
        <f t="shared" si="46"/>
        <v>1.1416983207843339</v>
      </c>
      <c r="AA62" s="90">
        <f t="shared" si="47"/>
        <v>0.28779495665367577</v>
      </c>
      <c r="AB62" s="90">
        <f t="shared" si="48"/>
        <v>7.2726449801550734E-3</v>
      </c>
      <c r="AC62" s="90">
        <f t="shared" si="49"/>
        <v>7.2810096288050741E-2</v>
      </c>
      <c r="AD62" s="90">
        <f t="shared" si="50"/>
        <v>0.21498486036562506</v>
      </c>
      <c r="AE62" s="395">
        <f t="shared" si="51"/>
        <v>4.0644297642731718E-2</v>
      </c>
      <c r="AF62">
        <f>depths!$B$4</f>
        <v>3799.6</v>
      </c>
      <c r="AH62" s="101">
        <f t="shared" si="52"/>
        <v>287.7949566536758</v>
      </c>
      <c r="AI62" s="101">
        <f t="shared" si="53"/>
        <v>7.2726449801550732</v>
      </c>
      <c r="AJ62" s="101">
        <f t="shared" si="54"/>
        <v>72.810096288050744</v>
      </c>
      <c r="AK62" s="101">
        <f t="shared" si="55"/>
        <v>214.98486036562505</v>
      </c>
      <c r="AL62" s="101">
        <f t="shared" si="56"/>
        <v>40.644297642731715</v>
      </c>
      <c r="AM62" s="101">
        <f t="shared" si="57"/>
        <v>10.011501522036104</v>
      </c>
      <c r="AN62" s="101">
        <f t="shared" si="58"/>
        <v>29.560752786951106</v>
      </c>
      <c r="AO62" s="101">
        <f>main!R69</f>
        <v>40.26</v>
      </c>
      <c r="AP62" s="101">
        <f>main!S69</f>
        <v>8.6950000000000003</v>
      </c>
    </row>
    <row r="63" spans="1:42">
      <c r="A63">
        <f>main!A70</f>
        <v>2018</v>
      </c>
      <c r="B63" t="str">
        <f>main!B70</f>
        <v>47_3800</v>
      </c>
      <c r="C63">
        <f>main!C70</f>
        <v>16</v>
      </c>
      <c r="D63" t="str">
        <f>main!$B$54</f>
        <v>McLane-PARFLUX-Mark78H-21 ; frame controller sn 12993-01, frame sn 12993-01, motor sn 12993-01, cup set R250x21</v>
      </c>
      <c r="E63">
        <v>3800</v>
      </c>
      <c r="F63" s="97">
        <f>main!E70</f>
        <v>345.07142857142856</v>
      </c>
      <c r="G63" s="90">
        <f>main!I70</f>
        <v>40.596638655462186</v>
      </c>
      <c r="H63" s="101">
        <f>main!J70</f>
        <v>14.827922268907562</v>
      </c>
      <c r="I63" s="101">
        <f>main!AF70</f>
        <v>78.511001225444204</v>
      </c>
      <c r="J63" s="101">
        <f>main!AG70</f>
        <v>9.4209844117220634</v>
      </c>
      <c r="K63" s="101">
        <f>main!M70</f>
        <v>12.772340774536133</v>
      </c>
      <c r="L63" s="101">
        <f>main!O70</f>
        <v>0.52661579847335815</v>
      </c>
      <c r="M63" s="101">
        <f>main!AH70</f>
        <v>3.3513563628140695</v>
      </c>
      <c r="N63" s="101">
        <f>main!AB70</f>
        <v>3.8515566720413403</v>
      </c>
      <c r="O63" s="101">
        <f>main!AC70</f>
        <v>8.239232482127596</v>
      </c>
      <c r="P63" s="101">
        <f t="shared" si="40"/>
        <v>11.64155023424993</v>
      </c>
      <c r="Q63" s="101">
        <f t="shared" si="41"/>
        <v>1.3969362455360459</v>
      </c>
      <c r="R63" s="101">
        <f t="shared" si="42"/>
        <v>1.8938727619682041</v>
      </c>
      <c r="S63" s="101">
        <f t="shared" si="43"/>
        <v>7.8086181253416445E-2</v>
      </c>
      <c r="T63" s="101">
        <f t="shared" si="44"/>
        <v>0.49693651643215792</v>
      </c>
      <c r="U63" s="101">
        <f t="shared" si="45"/>
        <v>1.2217069880044629</v>
      </c>
      <c r="V63" s="67">
        <f>main!T70</f>
        <v>43428</v>
      </c>
      <c r="W63" s="67">
        <f>main!U70</f>
        <v>43445</v>
      </c>
      <c r="X63" s="67">
        <f>main!V70</f>
        <v>43436.5</v>
      </c>
      <c r="Y63" s="97">
        <f>main!H70</f>
        <v>17</v>
      </c>
      <c r="Z63" s="90">
        <f t="shared" si="46"/>
        <v>0.57110582947321287</v>
      </c>
      <c r="AA63" s="90">
        <f t="shared" si="47"/>
        <v>0.15769132073007527</v>
      </c>
      <c r="AB63" s="90">
        <f t="shared" si="48"/>
        <v>5.5736032300796896E-3</v>
      </c>
      <c r="AC63" s="90">
        <f t="shared" si="49"/>
        <v>4.1376895622994E-2</v>
      </c>
      <c r="AD63" s="90">
        <f t="shared" si="50"/>
        <v>0.11631442510708126</v>
      </c>
      <c r="AE63" s="395">
        <f t="shared" si="51"/>
        <v>2.0331286204101563E-2</v>
      </c>
      <c r="AF63">
        <f>depths!$B$4</f>
        <v>3799.6</v>
      </c>
      <c r="AH63" s="101">
        <f t="shared" si="52"/>
        <v>157.69132073007526</v>
      </c>
      <c r="AI63" s="101">
        <f t="shared" si="53"/>
        <v>5.5736032300796898</v>
      </c>
      <c r="AJ63" s="101">
        <f t="shared" si="54"/>
        <v>41.376895622993999</v>
      </c>
      <c r="AK63" s="101">
        <f t="shared" si="55"/>
        <v>116.31442510708126</v>
      </c>
      <c r="AL63" s="101">
        <f t="shared" si="56"/>
        <v>20.331286204101563</v>
      </c>
      <c r="AM63" s="101">
        <f t="shared" si="57"/>
        <v>7.4237246382538791</v>
      </c>
      <c r="AN63" s="101">
        <f t="shared" si="58"/>
        <v>20.868802515283857</v>
      </c>
      <c r="AO63" s="101">
        <f>main!R70</f>
        <v>40.07</v>
      </c>
      <c r="AP63" s="101">
        <f>main!S70</f>
        <v>8.4930000000000003</v>
      </c>
    </row>
    <row r="64" spans="1:42">
      <c r="A64">
        <f>main!A71</f>
        <v>2018</v>
      </c>
      <c r="B64" t="str">
        <f>main!B71</f>
        <v>47_3800</v>
      </c>
      <c r="C64">
        <f>main!C71</f>
        <v>17</v>
      </c>
      <c r="D64" t="str">
        <f>main!$B$54</f>
        <v>McLane-PARFLUX-Mark78H-21 ; frame controller sn 12993-01, frame sn 12993-01, motor sn 12993-01, cup set R250x21</v>
      </c>
      <c r="E64">
        <v>3800</v>
      </c>
      <c r="F64" s="97">
        <f>main!E71</f>
        <v>385.62857142857138</v>
      </c>
      <c r="G64" s="90">
        <f>main!I71</f>
        <v>45.368067226890751</v>
      </c>
      <c r="H64" s="101">
        <f>main!J71</f>
        <v>16.570686554621847</v>
      </c>
      <c r="I64" s="101">
        <f>main!AF71</f>
        <v>79.722816754527287</v>
      </c>
      <c r="J64" s="101">
        <f>main!AG71</f>
        <v>9.5663970931447828</v>
      </c>
      <c r="K64" s="101">
        <f>main!M71</f>
        <v>12.438674926757813</v>
      </c>
      <c r="L64" s="101">
        <f>main!O71</f>
        <v>0.37589496374130249</v>
      </c>
      <c r="M64" s="101">
        <f>main!AH71</f>
        <v>2.8722778336130297</v>
      </c>
      <c r="N64" s="101">
        <f>main!AB71</f>
        <v>3.8105430751459139</v>
      </c>
      <c r="O64" s="101">
        <f>main!AC71</f>
        <v>8.1514963825389106</v>
      </c>
      <c r="P64" s="101">
        <f t="shared" si="40"/>
        <v>13.210618076908265</v>
      </c>
      <c r="Q64" s="101">
        <f t="shared" si="41"/>
        <v>1.5852176768754778</v>
      </c>
      <c r="R64" s="101">
        <f t="shared" si="42"/>
        <v>2.0611738336613761</v>
      </c>
      <c r="S64" s="101">
        <f t="shared" si="43"/>
        <v>6.2288376216180677E-2</v>
      </c>
      <c r="T64" s="101">
        <f t="shared" si="44"/>
        <v>0.47595615678589803</v>
      </c>
      <c r="U64" s="101">
        <f t="shared" si="45"/>
        <v>1.3507589150618615</v>
      </c>
      <c r="V64" s="67">
        <f>main!T71</f>
        <v>43445</v>
      </c>
      <c r="W64" s="67">
        <f>main!U71</f>
        <v>43462</v>
      </c>
      <c r="X64" s="67">
        <f>main!V71</f>
        <v>43453.5</v>
      </c>
      <c r="Y64" s="97">
        <f>main!H71</f>
        <v>17</v>
      </c>
      <c r="Z64" s="90">
        <f t="shared" si="46"/>
        <v>0.63143314901127789</v>
      </c>
      <c r="AA64" s="90">
        <f t="shared" si="47"/>
        <v>0.17162146824824115</v>
      </c>
      <c r="AB64" s="90">
        <f t="shared" si="48"/>
        <v>4.4459940197131105E-3</v>
      </c>
      <c r="AC64" s="90">
        <f t="shared" si="49"/>
        <v>3.9629988075428647E-2</v>
      </c>
      <c r="AD64" s="90">
        <f t="shared" si="50"/>
        <v>0.13199148017281248</v>
      </c>
      <c r="AE64" s="395">
        <f t="shared" si="51"/>
        <v>2.2478930189080738E-2</v>
      </c>
      <c r="AF64">
        <f>depths!$B$4</f>
        <v>3799.6</v>
      </c>
      <c r="AH64" s="101">
        <f t="shared" si="52"/>
        <v>171.62146824824114</v>
      </c>
      <c r="AI64" s="101">
        <f t="shared" si="53"/>
        <v>4.44599401971311</v>
      </c>
      <c r="AJ64" s="101">
        <f t="shared" si="54"/>
        <v>39.629988075428649</v>
      </c>
      <c r="AK64" s="101">
        <f t="shared" si="55"/>
        <v>131.99148017281249</v>
      </c>
      <c r="AL64" s="101">
        <f t="shared" si="56"/>
        <v>22.478930189080739</v>
      </c>
      <c r="AM64" s="101">
        <f t="shared" si="57"/>
        <v>8.9136395370108676</v>
      </c>
      <c r="AN64" s="101">
        <f t="shared" si="58"/>
        <v>29.68773227934517</v>
      </c>
      <c r="AO64" s="101">
        <f>main!R71</f>
        <v>39.97</v>
      </c>
      <c r="AP64" s="101">
        <f>main!S71</f>
        <v>8.7195</v>
      </c>
    </row>
    <row r="65" spans="1:42">
      <c r="A65">
        <f>main!A72</f>
        <v>2018</v>
      </c>
      <c r="B65" t="str">
        <f>main!B72</f>
        <v>47_3800</v>
      </c>
      <c r="C65">
        <f>main!C72</f>
        <v>18</v>
      </c>
      <c r="D65" t="str">
        <f>main!$B$54</f>
        <v>McLane-PARFLUX-Mark78H-21 ; frame controller sn 12993-01, frame sn 12993-01, motor sn 12993-01, cup set R250x21</v>
      </c>
      <c r="E65">
        <v>3800</v>
      </c>
      <c r="F65" s="97">
        <f>main!E72</f>
        <v>420.85714285714289</v>
      </c>
      <c r="G65" s="90">
        <f>main!I72</f>
        <v>49.512605042016808</v>
      </c>
      <c r="H65" s="101">
        <f>main!J72</f>
        <v>18.08447899159664</v>
      </c>
      <c r="I65" s="101">
        <f>main!AF72</f>
        <v>78.874750676926311</v>
      </c>
      <c r="J65" s="101">
        <f>main!AG72</f>
        <v>9.4646327904039893</v>
      </c>
      <c r="K65" s="101">
        <f>main!M72</f>
        <v>12.267759323120117</v>
      </c>
      <c r="L65" s="101">
        <f>main!O72</f>
        <v>0.36883670091629028</v>
      </c>
      <c r="M65" s="101">
        <f>main!AH72</f>
        <v>2.8031265327161279</v>
      </c>
      <c r="N65" s="101">
        <f>main!AB72</f>
        <v>4.0419267949207569</v>
      </c>
      <c r="O65" s="101">
        <f>main!AC72</f>
        <v>8.646471381516136</v>
      </c>
      <c r="P65" s="101">
        <f t="shared" si="40"/>
        <v>14.264087715842967</v>
      </c>
      <c r="Q65" s="101">
        <f t="shared" si="41"/>
        <v>1.7116295286123762</v>
      </c>
      <c r="R65" s="101">
        <f t="shared" si="42"/>
        <v>2.2185603575292956</v>
      </c>
      <c r="S65" s="101">
        <f t="shared" si="43"/>
        <v>6.6702195690504645E-2</v>
      </c>
      <c r="T65" s="101">
        <f t="shared" si="44"/>
        <v>0.50693082891691954</v>
      </c>
      <c r="U65" s="101">
        <f t="shared" si="45"/>
        <v>1.5636693005047013</v>
      </c>
      <c r="V65" s="67">
        <f>main!T72</f>
        <v>43462</v>
      </c>
      <c r="W65" s="67">
        <f>main!U72</f>
        <v>43479</v>
      </c>
      <c r="X65" s="67">
        <f>main!V72</f>
        <v>43470.5</v>
      </c>
      <c r="Y65" s="97">
        <f>main!H72</f>
        <v>17</v>
      </c>
      <c r="Z65" s="90">
        <f t="shared" si="46"/>
        <v>0.73096140208315974</v>
      </c>
      <c r="AA65" s="90">
        <f t="shared" si="47"/>
        <v>0.18472609138462079</v>
      </c>
      <c r="AB65" s="90">
        <f t="shared" si="48"/>
        <v>4.7610418051752066E-3</v>
      </c>
      <c r="AC65" s="90">
        <f t="shared" si="49"/>
        <v>4.2209061525139015E-2</v>
      </c>
      <c r="AD65" s="90">
        <f t="shared" si="50"/>
        <v>0.14251702985948178</v>
      </c>
      <c r="AE65" s="395">
        <f t="shared" si="51"/>
        <v>2.6022121825673185E-2</v>
      </c>
      <c r="AF65">
        <f>depths!$B$4</f>
        <v>3799.6</v>
      </c>
      <c r="AH65" s="101">
        <f t="shared" si="52"/>
        <v>184.72609138462079</v>
      </c>
      <c r="AI65" s="101">
        <f t="shared" si="53"/>
        <v>4.761041805175207</v>
      </c>
      <c r="AJ65" s="101">
        <f t="shared" si="54"/>
        <v>42.209061525139013</v>
      </c>
      <c r="AK65" s="101">
        <f t="shared" si="55"/>
        <v>142.5170298594818</v>
      </c>
      <c r="AL65" s="101">
        <f t="shared" si="56"/>
        <v>26.022121825673185</v>
      </c>
      <c r="AM65" s="101">
        <f t="shared" si="57"/>
        <v>8.8655095360133505</v>
      </c>
      <c r="AN65" s="101">
        <f t="shared" si="58"/>
        <v>29.934000937476991</v>
      </c>
      <c r="AO65" s="101">
        <f>main!R72</f>
        <v>40.17</v>
      </c>
      <c r="AP65" s="101">
        <f>main!S72</f>
        <v>8.7110000000000003</v>
      </c>
    </row>
    <row r="66" spans="1:42">
      <c r="A66">
        <f>main!A73</f>
        <v>2018</v>
      </c>
      <c r="B66" t="str">
        <f>main!B73</f>
        <v>47_3800</v>
      </c>
      <c r="C66">
        <f>main!C73</f>
        <v>19</v>
      </c>
      <c r="D66" t="str">
        <f>main!$B$54</f>
        <v>McLane-PARFLUX-Mark78H-21 ; frame controller sn 12993-01, frame sn 12993-01, motor sn 12993-01, cup set R250x21</v>
      </c>
      <c r="E66">
        <v>3800</v>
      </c>
      <c r="F66" s="97">
        <f>main!E73</f>
        <v>512.69999999999993</v>
      </c>
      <c r="G66" s="90">
        <f>main!I73</f>
        <v>60.317647058823525</v>
      </c>
      <c r="H66" s="101">
        <f>main!J73</f>
        <v>22.031020588235293</v>
      </c>
      <c r="I66" s="101">
        <f>main!AF73</f>
        <v>81.595685163621795</v>
      </c>
      <c r="J66" s="101">
        <f>main!AG73</f>
        <v>9.7911332933190831</v>
      </c>
      <c r="K66" s="101">
        <f>main!M73</f>
        <v>12.174908638000488</v>
      </c>
      <c r="L66" s="101">
        <f>main!O73</f>
        <v>0.39902999997138977</v>
      </c>
      <c r="M66" s="101">
        <f>main!AH73</f>
        <v>2.3837753446814052</v>
      </c>
      <c r="N66" s="101">
        <f>main!AB73</f>
        <v>5.1240978987708639</v>
      </c>
      <c r="O66" s="101">
        <f>main!AC73</f>
        <v>10.961446875654724</v>
      </c>
      <c r="P66" s="101">
        <f t="shared" ref="P66:P68" si="59">(I66/100)*$H66</f>
        <v>17.976362197509168</v>
      </c>
      <c r="Q66" s="101">
        <f t="shared" ref="Q66:Q68" si="60">(J66/100)*$H66</f>
        <v>2.1570865916726873</v>
      </c>
      <c r="R66" s="101">
        <f t="shared" ref="R66:R68" si="61">(K66/100)*$H66</f>
        <v>2.6822566286367246</v>
      </c>
      <c r="S66" s="101">
        <f t="shared" ref="S66:S68" si="62">(L66/100)*$H66</f>
        <v>8.7910381446932168E-2</v>
      </c>
      <c r="T66" s="101">
        <f t="shared" ref="T66:T68" si="63">(M66/100)*$H66</f>
        <v>0.52517003696403719</v>
      </c>
      <c r="U66" s="101">
        <f t="shared" ref="U66:U68" si="64">(O66/100)*$H66</f>
        <v>2.4149186179439668</v>
      </c>
      <c r="V66" s="67">
        <f>main!T73</f>
        <v>43479</v>
      </c>
      <c r="W66" s="67">
        <f>main!U73</f>
        <v>43496</v>
      </c>
      <c r="X66" s="67">
        <f>main!V73</f>
        <v>43487.5</v>
      </c>
      <c r="Y66" s="97">
        <f>main!H73</f>
        <v>17</v>
      </c>
      <c r="Z66" s="90">
        <f t="shared" ref="Z66:Z68" si="65">(N66/100)*$H66</f>
        <v>1.128891063039541</v>
      </c>
      <c r="AA66" s="90">
        <f t="shared" ref="AA66:AA68" si="66">R66/12.01</f>
        <v>0.22333527299223352</v>
      </c>
      <c r="AB66" s="90">
        <f t="shared" ref="AB66:AB68" si="67">S66/14.01</f>
        <v>6.2748309383963002E-3</v>
      </c>
      <c r="AC66" s="90">
        <f t="shared" ref="AC66:AC68" si="68">T66/12.01</f>
        <v>4.3727729972026411E-2</v>
      </c>
      <c r="AD66" s="90">
        <f t="shared" ref="AD66:AD68" si="69">Q66/12.01</f>
        <v>0.17960754302020712</v>
      </c>
      <c r="AE66" s="395">
        <f t="shared" ref="AE66:AE68" si="70">Z66/28.09</f>
        <v>4.0188361090763298E-2</v>
      </c>
      <c r="AF66">
        <f>depths!$B$4</f>
        <v>3799.6</v>
      </c>
      <c r="AH66" s="101">
        <f t="shared" ref="AH66:AH68" si="71">AA66*1000</f>
        <v>223.33527299223351</v>
      </c>
      <c r="AI66" s="101">
        <f t="shared" ref="AI66:AI68" si="72">AB66*1000</f>
        <v>6.2748309383962999</v>
      </c>
      <c r="AJ66" s="101">
        <f t="shared" ref="AJ66:AJ68" si="73">AC66*1000</f>
        <v>43.72772997202641</v>
      </c>
      <c r="AK66" s="101">
        <f t="shared" ref="AK66:AK68" si="74">AD66*1000</f>
        <v>179.60754302020712</v>
      </c>
      <c r="AL66" s="101">
        <f t="shared" ref="AL66:AL68" si="75">AE66*1000</f>
        <v>40.188361090763301</v>
      </c>
      <c r="AM66" s="101">
        <f t="shared" ref="AM66:AM68" si="76">AJ66/AI66</f>
        <v>6.9687502980282998</v>
      </c>
      <c r="AN66" s="101">
        <f t="shared" ref="AN66:AN68" si="77">AK66/AI66</f>
        <v>28.623487195674247</v>
      </c>
      <c r="AO66" s="101">
        <f>main!R73</f>
        <v>40</v>
      </c>
      <c r="AP66" s="101">
        <f>main!S73</f>
        <v>8.6980000000000004</v>
      </c>
    </row>
    <row r="67" spans="1:42">
      <c r="A67">
        <f>main!A74</f>
        <v>2018</v>
      </c>
      <c r="B67" t="str">
        <f>main!B74</f>
        <v>47_3800</v>
      </c>
      <c r="C67">
        <f>main!C74</f>
        <v>20</v>
      </c>
      <c r="D67" t="str">
        <f>main!$B$54</f>
        <v>McLane-PARFLUX-Mark78H-21 ; frame controller sn 12993-01, frame sn 12993-01, motor sn 12993-01, cup set R250x21</v>
      </c>
      <c r="E67">
        <v>3800</v>
      </c>
      <c r="F67" s="97">
        <f>main!E74</f>
        <v>829.62857142857149</v>
      </c>
      <c r="G67" s="90">
        <f>main!I74</f>
        <v>97.603361344537817</v>
      </c>
      <c r="H67" s="101">
        <f>main!J74</f>
        <v>35.649627731092444</v>
      </c>
      <c r="I67" s="101">
        <f>main!AF74</f>
        <v>75.42864664184728</v>
      </c>
      <c r="J67" s="101">
        <f>main!AG74</f>
        <v>9.0511150427137395</v>
      </c>
      <c r="K67" s="101">
        <f>main!M74</f>
        <v>11.52426815032959</v>
      </c>
      <c r="L67" s="101">
        <f>main!O74</f>
        <v>0.44593289494514465</v>
      </c>
      <c r="M67" s="101">
        <f>main!AH74</f>
        <v>2.4731531076158504</v>
      </c>
      <c r="N67" s="101">
        <f>main!AB74</f>
        <v>7.6781566565481354</v>
      </c>
      <c r="O67" s="101">
        <f>main!AC74</f>
        <v>16.425077732003469</v>
      </c>
      <c r="P67" s="101">
        <f t="shared" si="59"/>
        <v>26.890031730419715</v>
      </c>
      <c r="Q67" s="101">
        <f t="shared" si="60"/>
        <v>3.226688818240357</v>
      </c>
      <c r="R67" s="101">
        <f t="shared" si="61"/>
        <v>4.1083586943253518</v>
      </c>
      <c r="S67" s="101">
        <f t="shared" si="62"/>
        <v>0.15897341697842762</v>
      </c>
      <c r="T67" s="101">
        <f t="shared" si="63"/>
        <v>0.88166987608499481</v>
      </c>
      <c r="U67" s="101">
        <f t="shared" si="64"/>
        <v>5.8554790660017986</v>
      </c>
      <c r="V67" s="67">
        <f>main!T74</f>
        <v>43496</v>
      </c>
      <c r="W67" s="67">
        <f>main!U74</f>
        <v>43513</v>
      </c>
      <c r="X67" s="67">
        <f>main!V74</f>
        <v>43504.5</v>
      </c>
      <c r="Y67" s="97">
        <f>main!H74</f>
        <v>17</v>
      </c>
      <c r="Z67" s="90">
        <f t="shared" si="65"/>
        <v>2.7372342646695045</v>
      </c>
      <c r="AA67" s="90">
        <f t="shared" si="66"/>
        <v>0.3420781593942841</v>
      </c>
      <c r="AB67" s="90">
        <f t="shared" si="67"/>
        <v>1.1347138970622957E-2</v>
      </c>
      <c r="AC67" s="90">
        <f t="shared" si="68"/>
        <v>7.3411313579100315E-2</v>
      </c>
      <c r="AD67" s="90">
        <f t="shared" si="69"/>
        <v>0.2686668458151838</v>
      </c>
      <c r="AE67" s="395">
        <f t="shared" si="70"/>
        <v>9.744515004163419E-2</v>
      </c>
      <c r="AF67">
        <f>depths!$B$4</f>
        <v>3799.6</v>
      </c>
      <c r="AH67" s="101">
        <f t="shared" si="71"/>
        <v>342.07815939428411</v>
      </c>
      <c r="AI67" s="101">
        <f t="shared" si="72"/>
        <v>11.347138970622957</v>
      </c>
      <c r="AJ67" s="101">
        <f t="shared" si="73"/>
        <v>73.411313579100309</v>
      </c>
      <c r="AK67" s="101">
        <f t="shared" si="74"/>
        <v>268.66684581518382</v>
      </c>
      <c r="AL67" s="101">
        <f t="shared" si="75"/>
        <v>97.445150041634193</v>
      </c>
      <c r="AM67" s="101">
        <f t="shared" si="76"/>
        <v>6.4695879524484248</v>
      </c>
      <c r="AN67" s="101">
        <f t="shared" si="77"/>
        <v>23.677056085304471</v>
      </c>
      <c r="AO67" s="101">
        <f>main!R74</f>
        <v>39.83</v>
      </c>
      <c r="AP67" s="101">
        <f>main!S74</f>
        <v>8.6229999999999993</v>
      </c>
    </row>
    <row r="68" spans="1:42">
      <c r="A68">
        <f>main!A75</f>
        <v>2018</v>
      </c>
      <c r="B68" t="str">
        <f>main!B75</f>
        <v>47_3800</v>
      </c>
      <c r="C68">
        <f>main!C75</f>
        <v>21</v>
      </c>
      <c r="D68" t="str">
        <f>main!$B$54</f>
        <v>McLane-PARFLUX-Mark78H-21 ; frame controller sn 12993-01, frame sn 12993-01, motor sn 12993-01, cup set R250x21</v>
      </c>
      <c r="E68">
        <v>3800</v>
      </c>
      <c r="F68" s="97">
        <f>main!E75</f>
        <v>760.5</v>
      </c>
      <c r="G68" s="90">
        <f>main!I75</f>
        <v>89.470588235294116</v>
      </c>
      <c r="H68" s="101">
        <f>main!J75</f>
        <v>32.679132352941174</v>
      </c>
      <c r="I68" s="101">
        <f>main!AF75</f>
        <v>72.726973129339044</v>
      </c>
      <c r="J68" s="101">
        <f>main!AG75</f>
        <v>8.7269257743357205</v>
      </c>
      <c r="K68" s="101">
        <f>main!M75</f>
        <v>11.310412406921387</v>
      </c>
      <c r="L68" s="101">
        <f>main!O75</f>
        <v>0.49323287606239319</v>
      </c>
      <c r="M68" s="101">
        <f>main!AH75</f>
        <v>2.5834866325856662</v>
      </c>
      <c r="N68" s="101">
        <f>main!AB75</f>
        <v>8.9164435077159077</v>
      </c>
      <c r="O68" s="101">
        <f>main!AC75</f>
        <v>19.074015321418614</v>
      </c>
      <c r="P68" s="101">
        <f t="shared" si="59"/>
        <v>23.766543805224671</v>
      </c>
      <c r="Q68" s="101">
        <f t="shared" si="60"/>
        <v>2.8518836241381065</v>
      </c>
      <c r="R68" s="101">
        <f t="shared" si="61"/>
        <v>3.6961446401213194</v>
      </c>
      <c r="S68" s="101">
        <f t="shared" si="62"/>
        <v>0.16118422437664776</v>
      </c>
      <c r="T68" s="101">
        <f t="shared" si="63"/>
        <v>0.8442610159832129</v>
      </c>
      <c r="U68" s="101">
        <f t="shared" si="64"/>
        <v>6.2332227119066665</v>
      </c>
      <c r="V68" s="67">
        <f>main!T75</f>
        <v>43513</v>
      </c>
      <c r="W68" s="67">
        <f>main!U75</f>
        <v>43530</v>
      </c>
      <c r="X68" s="67">
        <f>main!V75</f>
        <v>43521.5</v>
      </c>
      <c r="Y68" s="97">
        <f>main!H75</f>
        <v>17</v>
      </c>
      <c r="Z68" s="90">
        <f t="shared" si="65"/>
        <v>2.9138163750617121</v>
      </c>
      <c r="AA68" s="90">
        <f t="shared" si="66"/>
        <v>0.3077555903514837</v>
      </c>
      <c r="AB68" s="90">
        <f t="shared" si="67"/>
        <v>1.1504941068996985E-2</v>
      </c>
      <c r="AC68" s="90">
        <f t="shared" si="68"/>
        <v>7.0296504245063521E-2</v>
      </c>
      <c r="AD68" s="90">
        <f t="shared" si="69"/>
        <v>0.23745908610642019</v>
      </c>
      <c r="AE68" s="395">
        <f t="shared" si="70"/>
        <v>0.10373144802640484</v>
      </c>
      <c r="AF68">
        <f>depths!$B$4</f>
        <v>3799.6</v>
      </c>
      <c r="AH68" s="101">
        <f t="shared" si="71"/>
        <v>307.7555903514837</v>
      </c>
      <c r="AI68" s="101">
        <f t="shared" si="72"/>
        <v>11.504941068996985</v>
      </c>
      <c r="AJ68" s="101">
        <f t="shared" si="73"/>
        <v>70.296504245063517</v>
      </c>
      <c r="AK68" s="101">
        <f t="shared" si="74"/>
        <v>237.45908610642019</v>
      </c>
      <c r="AL68" s="101">
        <f t="shared" si="75"/>
        <v>103.73144802640483</v>
      </c>
      <c r="AM68" s="101">
        <f t="shared" si="76"/>
        <v>6.1101142390459939</v>
      </c>
      <c r="AN68" s="101">
        <f t="shared" si="77"/>
        <v>20.639748146673661</v>
      </c>
      <c r="AO68" s="101">
        <f>main!R75</f>
        <v>39.880000000000003</v>
      </c>
      <c r="AP68" s="101">
        <f>main!S75</f>
        <v>8.6319999999999997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E264-CBA9-4A96-A1FE-EA8B8F853E8F}">
  <dimension ref="A1:BD68"/>
  <sheetViews>
    <sheetView topLeftCell="AV1" workbookViewId="0">
      <pane ySplit="660" activePane="bottomLeft"/>
      <selection activeCell="S1" sqref="S1:S1048576"/>
      <selection pane="bottomLeft" activeCell="BD6" sqref="BD6:BD68"/>
    </sheetView>
  </sheetViews>
  <sheetFormatPr defaultColWidth="8.83203125" defaultRowHeight="15.5"/>
  <cols>
    <col min="1" max="1" width="10.6640625" bestFit="1" customWidth="1"/>
    <col min="2" max="2" width="7.83203125" bestFit="1" customWidth="1"/>
    <col min="3" max="3" width="4" bestFit="1" customWidth="1"/>
    <col min="4" max="4" width="15" customWidth="1"/>
    <col min="5" max="5" width="7.33203125" bestFit="1" customWidth="1"/>
    <col min="6" max="6" width="9.1640625" bestFit="1" customWidth="1"/>
    <col min="7" max="7" width="8.6640625" bestFit="1" customWidth="1"/>
    <col min="8" max="8" width="10.1640625" bestFit="1" customWidth="1"/>
    <col min="9" max="9" width="8.6640625" bestFit="1" customWidth="1"/>
    <col min="10" max="10" width="3.33203125" customWidth="1"/>
    <col min="11" max="12" width="9.1640625" bestFit="1" customWidth="1"/>
    <col min="13" max="13" width="3.33203125" style="200" bestFit="1" customWidth="1"/>
    <col min="14" max="14" width="9.1640625" bestFit="1" customWidth="1"/>
    <col min="15" max="15" width="3.33203125" style="200" customWidth="1"/>
    <col min="16" max="16" width="9.1640625" bestFit="1" customWidth="1"/>
    <col min="17" max="17" width="3.33203125" bestFit="1" customWidth="1"/>
    <col min="18" max="18" width="9.1640625" bestFit="1" customWidth="1"/>
    <col min="19" max="19" width="3.33203125" style="200" customWidth="1"/>
    <col min="20" max="20" width="9.1640625" bestFit="1" customWidth="1"/>
    <col min="21" max="21" width="3.33203125" bestFit="1" customWidth="1"/>
    <col min="22" max="22" width="9.1640625" bestFit="1" customWidth="1"/>
    <col min="23" max="28" width="8.6640625" bestFit="1" customWidth="1"/>
    <col min="29" max="30" width="10.33203125" bestFit="1" customWidth="1"/>
    <col min="31" max="31" width="23.83203125" bestFit="1" customWidth="1"/>
    <col min="32" max="32" width="11" bestFit="1" customWidth="1"/>
    <col min="33" max="33" width="8.6640625" bestFit="1" customWidth="1"/>
    <col min="34" max="34" width="74.1640625" bestFit="1" customWidth="1"/>
    <col min="35" max="35" width="72" bestFit="1" customWidth="1"/>
    <col min="36" max="36" width="76.6640625" bestFit="1" customWidth="1"/>
    <col min="37" max="37" width="78.1640625" bestFit="1" customWidth="1"/>
    <col min="38" max="38" width="76" bestFit="1" customWidth="1"/>
    <col min="39" max="39" width="6.83203125" bestFit="1" customWidth="1"/>
    <col min="41" max="41" width="74.1640625" bestFit="1" customWidth="1"/>
    <col min="42" max="42" width="3.33203125" bestFit="1" customWidth="1"/>
    <col min="43" max="43" width="72" bestFit="1" customWidth="1"/>
    <col min="44" max="44" width="3.33203125" bestFit="1" customWidth="1"/>
    <col min="45" max="45" width="76.6640625" bestFit="1" customWidth="1"/>
    <col min="46" max="46" width="3.33203125" bestFit="1" customWidth="1"/>
    <col min="47" max="47" width="78.1640625" bestFit="1" customWidth="1"/>
    <col min="48" max="48" width="3.33203125" bestFit="1" customWidth="1"/>
    <col min="49" max="49" width="76" bestFit="1" customWidth="1"/>
    <col min="50" max="50" width="3.33203125" bestFit="1" customWidth="1"/>
    <col min="51" max="51" width="7.6640625" bestFit="1" customWidth="1"/>
    <col min="52" max="52" width="6.5" bestFit="1" customWidth="1"/>
    <col min="53" max="53" width="4.6640625" bestFit="1" customWidth="1"/>
    <col min="54" max="54" width="7.6640625" bestFit="1" customWidth="1"/>
    <col min="55" max="55" width="3.33203125" bestFit="1" customWidth="1"/>
    <col min="56" max="56" width="6.1640625" bestFit="1" customWidth="1"/>
  </cols>
  <sheetData>
    <row r="1" spans="1:56" s="146" customFormat="1">
      <c r="A1" s="146" t="s">
        <v>2541</v>
      </c>
      <c r="B1" s="146" t="s">
        <v>109</v>
      </c>
      <c r="C1" s="146" t="s">
        <v>110</v>
      </c>
      <c r="D1" s="146" t="s">
        <v>43</v>
      </c>
      <c r="E1" s="146" t="s">
        <v>2542</v>
      </c>
      <c r="F1" s="146" t="s">
        <v>3493</v>
      </c>
      <c r="G1" s="146" t="s">
        <v>2543</v>
      </c>
      <c r="H1" s="146" t="s">
        <v>2544</v>
      </c>
      <c r="I1" s="146" t="s">
        <v>2544</v>
      </c>
      <c r="J1" s="146" t="s">
        <v>117</v>
      </c>
      <c r="K1" s="146" t="s">
        <v>131</v>
      </c>
      <c r="L1" s="146" t="s">
        <v>132</v>
      </c>
      <c r="M1" s="200" t="s">
        <v>3481</v>
      </c>
      <c r="N1" s="146" t="s">
        <v>144</v>
      </c>
      <c r="O1" s="200" t="s">
        <v>3482</v>
      </c>
      <c r="P1" s="146" t="s">
        <v>145</v>
      </c>
      <c r="Q1" s="146" t="s">
        <v>3483</v>
      </c>
      <c r="R1" s="146" t="s">
        <v>133</v>
      </c>
      <c r="S1" s="200" t="s">
        <v>3484</v>
      </c>
      <c r="T1" s="146" t="s">
        <v>149</v>
      </c>
      <c r="U1" s="146" t="s">
        <v>3485</v>
      </c>
      <c r="V1" s="146" t="s">
        <v>150</v>
      </c>
      <c r="W1" s="146" t="s">
        <v>131</v>
      </c>
      <c r="X1" s="146" t="s">
        <v>132</v>
      </c>
      <c r="Y1" s="146" t="s">
        <v>144</v>
      </c>
      <c r="Z1" s="146" t="s">
        <v>145</v>
      </c>
      <c r="AA1" s="146" t="s">
        <v>133</v>
      </c>
      <c r="AB1" s="146" t="s">
        <v>150</v>
      </c>
      <c r="AC1" s="654" t="s">
        <v>115</v>
      </c>
      <c r="AD1" s="654" t="s">
        <v>115</v>
      </c>
      <c r="AE1" s="654" t="s">
        <v>115</v>
      </c>
      <c r="AF1" s="146" t="s">
        <v>115</v>
      </c>
      <c r="AG1" s="146" t="s">
        <v>149</v>
      </c>
      <c r="AH1" s="146" t="s">
        <v>2545</v>
      </c>
      <c r="AI1" s="146" t="s">
        <v>2546</v>
      </c>
      <c r="AJ1" s="146" t="s">
        <v>2547</v>
      </c>
      <c r="AK1" s="146" t="s">
        <v>2548</v>
      </c>
      <c r="AL1" s="146" t="s">
        <v>2549</v>
      </c>
      <c r="AM1" s="146" t="s">
        <v>42</v>
      </c>
      <c r="AO1" s="146" t="s">
        <v>2545</v>
      </c>
      <c r="AP1" s="146" t="s">
        <v>3486</v>
      </c>
      <c r="AQ1" s="146" t="s">
        <v>2546</v>
      </c>
      <c r="AR1" s="146" t="s">
        <v>3487</v>
      </c>
      <c r="AS1" s="146" t="s">
        <v>2547</v>
      </c>
      <c r="AT1" s="146" t="s">
        <v>3488</v>
      </c>
      <c r="AU1" s="146" t="s">
        <v>2548</v>
      </c>
      <c r="AV1" s="146" t="s">
        <v>3489</v>
      </c>
      <c r="AW1" s="146" t="s">
        <v>2549</v>
      </c>
      <c r="AX1" s="146" t="s">
        <v>3490</v>
      </c>
      <c r="AY1" s="146" t="s">
        <v>136</v>
      </c>
      <c r="AZ1" s="146" t="s">
        <v>2550</v>
      </c>
      <c r="BA1" s="146" t="s">
        <v>2551</v>
      </c>
      <c r="BB1" s="146" t="s">
        <v>3491</v>
      </c>
      <c r="BC1" s="146" t="s">
        <v>125</v>
      </c>
      <c r="BD1" s="146" t="s">
        <v>3492</v>
      </c>
    </row>
    <row r="2" spans="1:56">
      <c r="A2" t="s">
        <v>2552</v>
      </c>
      <c r="E2" t="s">
        <v>2553</v>
      </c>
      <c r="H2" t="s">
        <v>203</v>
      </c>
      <c r="I2" t="s">
        <v>203</v>
      </c>
      <c r="K2" t="s">
        <v>128</v>
      </c>
      <c r="L2" t="s">
        <v>128</v>
      </c>
      <c r="N2" t="s">
        <v>128</v>
      </c>
      <c r="P2" t="s">
        <v>128</v>
      </c>
      <c r="R2" t="s">
        <v>128</v>
      </c>
      <c r="T2" t="s">
        <v>128</v>
      </c>
      <c r="V2" t="s">
        <v>128</v>
      </c>
      <c r="W2" t="s">
        <v>203</v>
      </c>
      <c r="X2" t="s">
        <v>203</v>
      </c>
      <c r="Y2" t="s">
        <v>203</v>
      </c>
      <c r="Z2" t="s">
        <v>203</v>
      </c>
      <c r="AA2" t="s">
        <v>203</v>
      </c>
      <c r="AB2" t="s">
        <v>203</v>
      </c>
      <c r="AC2" t="s">
        <v>2554</v>
      </c>
      <c r="AD2" t="s">
        <v>2555</v>
      </c>
      <c r="AE2" t="s">
        <v>2556</v>
      </c>
      <c r="AF2" t="s">
        <v>2557</v>
      </c>
      <c r="AG2" t="s">
        <v>203</v>
      </c>
      <c r="AH2" t="s">
        <v>2558</v>
      </c>
      <c r="AI2" t="s">
        <v>2559</v>
      </c>
      <c r="AJ2" t="s">
        <v>2560</v>
      </c>
      <c r="AK2" t="s">
        <v>2561</v>
      </c>
      <c r="AL2" t="s">
        <v>2562</v>
      </c>
      <c r="AM2" t="s">
        <v>2563</v>
      </c>
      <c r="AO2" t="s">
        <v>2558</v>
      </c>
      <c r="AQ2" t="s">
        <v>2559</v>
      </c>
      <c r="AS2" t="s">
        <v>2560</v>
      </c>
      <c r="AU2" t="s">
        <v>2561</v>
      </c>
      <c r="AW2" t="s">
        <v>2562</v>
      </c>
    </row>
    <row r="3" spans="1:56">
      <c r="G3" t="s">
        <v>155</v>
      </c>
      <c r="H3" t="s">
        <v>155</v>
      </c>
      <c r="I3" t="s">
        <v>155</v>
      </c>
      <c r="K3" t="s">
        <v>155</v>
      </c>
      <c r="L3" t="s">
        <v>155</v>
      </c>
      <c r="N3" t="s">
        <v>155</v>
      </c>
      <c r="P3" t="s">
        <v>155</v>
      </c>
      <c r="R3" t="s">
        <v>155</v>
      </c>
      <c r="T3" t="s">
        <v>155</v>
      </c>
      <c r="V3" t="s">
        <v>155</v>
      </c>
      <c r="W3" t="s">
        <v>155</v>
      </c>
      <c r="X3" t="s">
        <v>155</v>
      </c>
      <c r="Y3" t="s">
        <v>155</v>
      </c>
      <c r="Z3" t="s">
        <v>155</v>
      </c>
      <c r="AA3" t="s">
        <v>155</v>
      </c>
      <c r="AB3" t="s">
        <v>155</v>
      </c>
      <c r="AE3">
        <v>1</v>
      </c>
      <c r="AG3" t="s">
        <v>155</v>
      </c>
      <c r="AH3" t="s">
        <v>2564</v>
      </c>
      <c r="AI3" t="s">
        <v>2564</v>
      </c>
      <c r="AJ3" t="s">
        <v>2564</v>
      </c>
      <c r="AK3" t="s">
        <v>2564</v>
      </c>
      <c r="AL3" t="s">
        <v>2564</v>
      </c>
      <c r="AM3" t="s">
        <v>2565</v>
      </c>
      <c r="AO3" t="s">
        <v>2566</v>
      </c>
      <c r="AQ3" t="s">
        <v>2566</v>
      </c>
      <c r="AS3" t="s">
        <v>2566</v>
      </c>
      <c r="AU3" t="s">
        <v>2566</v>
      </c>
      <c r="AW3" t="s">
        <v>2566</v>
      </c>
      <c r="AY3" t="s">
        <v>2567</v>
      </c>
    </row>
    <row r="4" spans="1:56">
      <c r="E4" t="s">
        <v>2568</v>
      </c>
      <c r="G4" t="s">
        <v>165</v>
      </c>
      <c r="H4" t="s">
        <v>168</v>
      </c>
      <c r="I4" t="s">
        <v>169</v>
      </c>
      <c r="K4" t="s">
        <v>174</v>
      </c>
      <c r="L4" t="s">
        <v>174</v>
      </c>
      <c r="N4" t="s">
        <v>174</v>
      </c>
      <c r="P4" t="s">
        <v>174</v>
      </c>
      <c r="R4" t="s">
        <v>174</v>
      </c>
      <c r="T4" t="s">
        <v>174</v>
      </c>
      <c r="V4" t="s">
        <v>174</v>
      </c>
      <c r="W4" t="s">
        <v>169</v>
      </c>
      <c r="X4" t="s">
        <v>169</v>
      </c>
      <c r="Y4" t="s">
        <v>169</v>
      </c>
      <c r="Z4" t="s">
        <v>169</v>
      </c>
      <c r="AA4" t="s">
        <v>169</v>
      </c>
      <c r="AB4" t="s">
        <v>169</v>
      </c>
      <c r="AC4" t="s">
        <v>2465</v>
      </c>
      <c r="AD4" t="s">
        <v>2465</v>
      </c>
      <c r="AE4" t="s">
        <v>2569</v>
      </c>
      <c r="AF4" t="s">
        <v>167</v>
      </c>
      <c r="AG4" t="s">
        <v>169</v>
      </c>
      <c r="AH4" t="s">
        <v>155</v>
      </c>
      <c r="AI4" t="s">
        <v>155</v>
      </c>
      <c r="AJ4" t="s">
        <v>155</v>
      </c>
      <c r="AK4" t="s">
        <v>155</v>
      </c>
      <c r="AL4" t="s">
        <v>155</v>
      </c>
      <c r="AO4" t="s">
        <v>155</v>
      </c>
      <c r="AQ4" t="s">
        <v>155</v>
      </c>
      <c r="AS4" t="s">
        <v>155</v>
      </c>
      <c r="AU4" t="s">
        <v>155</v>
      </c>
      <c r="AW4" t="s">
        <v>155</v>
      </c>
    </row>
    <row r="6" spans="1:56">
      <c r="A6">
        <f>main!A7</f>
        <v>2018</v>
      </c>
      <c r="B6" t="str">
        <f>main!B7</f>
        <v>47_1000</v>
      </c>
      <c r="C6">
        <v>1</v>
      </c>
      <c r="D6" t="str">
        <f>main!$B$6</f>
        <v>McLane-PARFLUX-Mark78H-21 ; frame controller sn 12419-01, frame sn 12419-01, motor sn 12419-01, cup set O250x21</v>
      </c>
      <c r="E6">
        <v>1000</v>
      </c>
      <c r="F6">
        <v>1</v>
      </c>
      <c r="G6" s="97">
        <f>main!E7</f>
        <v>156.17142857142858</v>
      </c>
      <c r="H6" s="90">
        <f>main!I7</f>
        <v>18.373109243697481</v>
      </c>
      <c r="I6" s="101">
        <f>main!J7</f>
        <v>6.7107781512605049</v>
      </c>
      <c r="J6" s="101">
        <v>1</v>
      </c>
      <c r="K6" s="101">
        <f>main!AF7</f>
        <v>90.314150985944266</v>
      </c>
      <c r="L6" s="101">
        <f>main!AG7</f>
        <v>10.83731190936267</v>
      </c>
      <c r="M6" s="655">
        <v>1</v>
      </c>
      <c r="N6" s="101">
        <f>main!M7</f>
        <v>13.717081069946289</v>
      </c>
      <c r="O6" s="655">
        <v>1</v>
      </c>
      <c r="P6" s="101">
        <f>main!O7</f>
        <v>0.42717266082763672</v>
      </c>
      <c r="Q6" s="101">
        <v>1</v>
      </c>
      <c r="R6" s="101">
        <f>main!AH7</f>
        <v>2.8797691605836189</v>
      </c>
      <c r="S6" s="655">
        <v>1</v>
      </c>
      <c r="T6" s="101">
        <f>main!AB7</f>
        <v>0.40676725214504</v>
      </c>
      <c r="U6" s="101">
        <v>1</v>
      </c>
      <c r="V6" s="101">
        <f>main!AC7</f>
        <v>0.87015465223906929</v>
      </c>
      <c r="W6" s="101">
        <f t="shared" ref="W6:X9" si="0">(K6/100)*$I6</f>
        <v>6.0607823118611712</v>
      </c>
      <c r="X6" s="101">
        <f t="shared" si="0"/>
        <v>0.72726795979746273</v>
      </c>
      <c r="Y6" s="101">
        <f>(N6/100)*$I6</f>
        <v>0.92052287943264621</v>
      </c>
      <c r="Z6" s="101">
        <f>(P6/100)*$I6</f>
        <v>2.8666609590979185E-2</v>
      </c>
      <c r="AA6" s="101">
        <f>(R6/100)*$I6</f>
        <v>0.19325491963518354</v>
      </c>
      <c r="AB6" s="101">
        <f>(V6/100)*$I6</f>
        <v>5.8394148284636287E-2</v>
      </c>
      <c r="AC6" s="67">
        <f>main!T7</f>
        <v>43173</v>
      </c>
      <c r="AD6" s="67">
        <f>main!U7</f>
        <v>43190</v>
      </c>
      <c r="AE6" s="67">
        <f>main!V7</f>
        <v>43181.5</v>
      </c>
      <c r="AF6" s="97">
        <f>main!H7</f>
        <v>17</v>
      </c>
      <c r="AG6" s="90">
        <f>(T6/100)*$I6</f>
        <v>2.7297247883432071E-2</v>
      </c>
      <c r="AH6" s="90">
        <f>Y6/12.01</f>
        <v>7.6646367979404342E-2</v>
      </c>
      <c r="AI6" s="90">
        <f>Z6/14.01</f>
        <v>2.0461534326180718E-3</v>
      </c>
      <c r="AJ6" s="90">
        <f>AA6/12.01</f>
        <v>1.6091167330156832E-2</v>
      </c>
      <c r="AK6" s="90">
        <f>X6/12.01</f>
        <v>6.055520064924752E-2</v>
      </c>
      <c r="AL6" s="395">
        <f>AG6/28.09</f>
        <v>9.7177813753763153E-4</v>
      </c>
      <c r="AM6" s="101">
        <f>depths!$B$2</f>
        <v>776.42</v>
      </c>
      <c r="AO6" s="101">
        <f>AH6*1000</f>
        <v>76.646367979404346</v>
      </c>
      <c r="AP6" s="101">
        <v>1</v>
      </c>
      <c r="AQ6" s="101">
        <f>AI6*1000</f>
        <v>2.0461534326180719</v>
      </c>
      <c r="AR6" s="101">
        <v>1</v>
      </c>
      <c r="AS6" s="101">
        <f>AJ6*1000</f>
        <v>16.091167330156832</v>
      </c>
      <c r="AT6" s="101">
        <v>1</v>
      </c>
      <c r="AU6" s="101">
        <f>AK6*1000</f>
        <v>60.555200649247517</v>
      </c>
      <c r="AV6" s="101">
        <v>1</v>
      </c>
      <c r="AW6" s="101">
        <f>AL6*1000</f>
        <v>0.97177813753763154</v>
      </c>
      <c r="AX6" s="101">
        <v>1</v>
      </c>
      <c r="AY6" s="101">
        <f>AS6/AQ6</f>
        <v>7.8641059236540425</v>
      </c>
      <c r="AZ6" s="101">
        <f>AU6/AQ6</f>
        <v>29.594652915039021</v>
      </c>
      <c r="BA6" s="101">
        <f>main!R7</f>
        <v>34.19</v>
      </c>
      <c r="BB6" s="101">
        <v>1</v>
      </c>
      <c r="BC6" s="101">
        <f>main!S7</f>
        <v>8.0990000000000002</v>
      </c>
      <c r="BD6" s="101">
        <v>1</v>
      </c>
    </row>
    <row r="7" spans="1:56">
      <c r="A7">
        <f>main!A8</f>
        <v>2018</v>
      </c>
      <c r="B7" t="str">
        <f>main!B8</f>
        <v>47_1000</v>
      </c>
      <c r="C7">
        <f>main!C8</f>
        <v>2</v>
      </c>
      <c r="D7" t="str">
        <f>main!$B$6</f>
        <v>McLane-PARFLUX-Mark78H-21 ; frame controller sn 12419-01, frame sn 12419-01, motor sn 12419-01, cup set O250x21</v>
      </c>
      <c r="E7">
        <v>1000</v>
      </c>
      <c r="F7">
        <v>1</v>
      </c>
      <c r="G7" s="97">
        <f>main!E8</f>
        <v>245.78571428571428</v>
      </c>
      <c r="H7" s="90">
        <f>main!I8</f>
        <v>28.915966386554622</v>
      </c>
      <c r="I7" s="101">
        <f>main!J8</f>
        <v>10.561556722689076</v>
      </c>
      <c r="J7" s="101">
        <v>1</v>
      </c>
      <c r="K7" s="101">
        <f>main!AF8</f>
        <v>76.935824783728762</v>
      </c>
      <c r="L7" s="101">
        <f>main!AG8</f>
        <v>9.2319699746178809</v>
      </c>
      <c r="M7" s="655">
        <v>1</v>
      </c>
      <c r="N7" s="101">
        <f>main!M8</f>
        <v>18.464334487915039</v>
      </c>
      <c r="O7" s="655">
        <v>1</v>
      </c>
      <c r="P7" s="101">
        <f>main!O8</f>
        <v>1.1302868127822876</v>
      </c>
      <c r="Q7" s="101">
        <v>1</v>
      </c>
      <c r="R7" s="101">
        <f>main!AH8</f>
        <v>9.2323645132971581</v>
      </c>
      <c r="S7" s="655">
        <v>1</v>
      </c>
      <c r="T7" s="101">
        <f>main!AB8</f>
        <v>0.70060000092503527</v>
      </c>
      <c r="U7" s="101">
        <v>1</v>
      </c>
      <c r="V7" s="101">
        <f>main!AC8</f>
        <v>1.4987203294975211</v>
      </c>
      <c r="W7" s="101">
        <f t="shared" si="0"/>
        <v>8.1256207746021936</v>
      </c>
      <c r="X7" s="101">
        <f t="shared" si="0"/>
        <v>0.97503974549089178</v>
      </c>
      <c r="Y7" s="101">
        <f>(N7/100)*$I7</f>
        <v>1.9501211604081883</v>
      </c>
      <c r="Z7" s="101">
        <f>(P7/100)*$I7</f>
        <v>0.11937588286107578</v>
      </c>
      <c r="AA7" s="101">
        <f t="shared" ref="AA7:AA21" si="1">(R7/100)*$I7</f>
        <v>0.97508141491729672</v>
      </c>
      <c r="AB7" s="101">
        <f t="shared" ref="AB7:AB68" si="2">(V7/100)*$I7</f>
        <v>0.15828819771435329</v>
      </c>
      <c r="AC7" s="67">
        <f>main!T8</f>
        <v>43190</v>
      </c>
      <c r="AD7" s="67">
        <f>main!U8</f>
        <v>43207</v>
      </c>
      <c r="AE7" s="67">
        <f>main!V8</f>
        <v>43198.5</v>
      </c>
      <c r="AF7" s="97">
        <f>main!H8</f>
        <v>17</v>
      </c>
      <c r="AG7" s="90">
        <f t="shared" ref="AG7:AG68" si="3">(T7/100)*$I7</f>
        <v>7.3994266496857794E-2</v>
      </c>
      <c r="AH7" s="90">
        <f>Y7/12.01</f>
        <v>0.1623747843803654</v>
      </c>
      <c r="AI7" s="90">
        <f t="shared" ref="AI7:AI68" si="4">Z7/14.01</f>
        <v>8.5207625168505201E-3</v>
      </c>
      <c r="AJ7" s="90">
        <f t="shared" ref="AJ7:AJ68" si="5">AA7/12.01</f>
        <v>8.1189126970632533E-2</v>
      </c>
      <c r="AK7" s="90">
        <f t="shared" ref="AK7:AK68" si="6">X7/12.01</f>
        <v>8.1185657409732867E-2</v>
      </c>
      <c r="AL7" s="395">
        <f t="shared" ref="AL7:AL68" si="7">AG7/28.09</f>
        <v>2.6341853505467351E-3</v>
      </c>
      <c r="AM7" s="101">
        <f>depths!$B$2</f>
        <v>776.42</v>
      </c>
      <c r="AO7" s="101">
        <f t="shared" ref="AO7:AO31" si="8">AH7*1000</f>
        <v>162.37478438036541</v>
      </c>
      <c r="AP7" s="101">
        <v>1</v>
      </c>
      <c r="AQ7" s="101">
        <f>AI7*1000</f>
        <v>8.520762516850521</v>
      </c>
      <c r="AR7" s="101">
        <v>1</v>
      </c>
      <c r="AS7" s="101">
        <f>AJ7*1000</f>
        <v>81.189126970632529</v>
      </c>
      <c r="AT7" s="101">
        <v>1</v>
      </c>
      <c r="AU7" s="101">
        <f>AK7*1000</f>
        <v>81.185657409732869</v>
      </c>
      <c r="AV7" s="101">
        <v>1</v>
      </c>
      <c r="AW7" s="101">
        <f>AL7*1000</f>
        <v>2.6341853505467352</v>
      </c>
      <c r="AX7" s="101">
        <v>1</v>
      </c>
      <c r="AY7" s="101">
        <f t="shared" ref="AY7:AY68" si="9">AS7/AQ7</f>
        <v>9.5283874899780674</v>
      </c>
      <c r="AZ7" s="101">
        <f t="shared" ref="AZ7:AZ68" si="10">AU7/AQ7</f>
        <v>9.5279803009626711</v>
      </c>
      <c r="BA7" s="101">
        <f>main!R8</f>
        <v>34.409999999999997</v>
      </c>
      <c r="BB7" s="101">
        <v>1</v>
      </c>
      <c r="BC7" s="101">
        <f>main!S8</f>
        <v>8.0449999999999999</v>
      </c>
      <c r="BD7" s="101">
        <v>1</v>
      </c>
    </row>
    <row r="8" spans="1:56" s="200" customFormat="1">
      <c r="A8" s="200">
        <f>main!A9</f>
        <v>2018</v>
      </c>
      <c r="B8" s="200" t="str">
        <f>main!B9</f>
        <v>47_1000</v>
      </c>
      <c r="C8" s="200">
        <f>main!C9</f>
        <v>3</v>
      </c>
      <c r="D8" s="200" t="str">
        <f>main!$B$6</f>
        <v>McLane-PARFLUX-Mark78H-21 ; frame controller sn 12419-01, frame sn 12419-01, motor sn 12419-01, cup set O250x21</v>
      </c>
      <c r="E8" s="200">
        <v>1000</v>
      </c>
      <c r="F8" s="200">
        <v>1</v>
      </c>
      <c r="G8" s="400">
        <f>main!E9</f>
        <v>221.41428571428571</v>
      </c>
      <c r="H8" s="401">
        <f>main!I9</f>
        <v>26.048739495798319</v>
      </c>
      <c r="I8" s="655">
        <f>main!J9</f>
        <v>9.5143021008403377</v>
      </c>
      <c r="J8" s="655">
        <v>1</v>
      </c>
      <c r="K8" s="655">
        <f>main!AF9</f>
        <v>95.056545469080149</v>
      </c>
      <c r="L8" s="655">
        <f>main!AG9</f>
        <v>11.406378967513756</v>
      </c>
      <c r="M8" s="655">
        <v>3</v>
      </c>
      <c r="N8" s="655">
        <f>main!M9</f>
        <v>13.149158477783203</v>
      </c>
      <c r="O8" s="655">
        <v>1</v>
      </c>
      <c r="P8" s="655">
        <f>main!O9</f>
        <v>0.26112067699432373</v>
      </c>
      <c r="Q8" s="655">
        <v>1</v>
      </c>
      <c r="R8" s="655">
        <f>main!AH9</f>
        <v>1.7427795102694468</v>
      </c>
      <c r="S8" s="655">
        <v>3</v>
      </c>
      <c r="T8" s="655">
        <f>main!AB9</f>
        <v>0.11143208474468959</v>
      </c>
      <c r="U8" s="655">
        <v>1</v>
      </c>
      <c r="V8" s="655">
        <f>main!AC9</f>
        <v>0.23837500791414734</v>
      </c>
      <c r="W8" s="655">
        <f t="shared" si="0"/>
        <v>9.0439669025509435</v>
      </c>
      <c r="X8" s="655">
        <f t="shared" si="0"/>
        <v>1.0852373537359719</v>
      </c>
      <c r="Y8" s="655">
        <f>(N8/100)*$I8</f>
        <v>1.2510506612945527</v>
      </c>
      <c r="Z8" s="655">
        <f>(P8/100)*$I8</f>
        <v>2.4843810056999455E-2</v>
      </c>
      <c r="AA8" s="655">
        <f t="shared" si="1"/>
        <v>0.16581330755858092</v>
      </c>
      <c r="AB8" s="655">
        <f t="shared" si="2"/>
        <v>2.2679718385854041E-2</v>
      </c>
      <c r="AC8" s="450">
        <f>main!T9</f>
        <v>43207</v>
      </c>
      <c r="AD8" s="450">
        <f>main!U9</f>
        <v>43224</v>
      </c>
      <c r="AE8" s="450">
        <f>main!V9</f>
        <v>43215.5</v>
      </c>
      <c r="AF8" s="400">
        <f>main!H9</f>
        <v>17</v>
      </c>
      <c r="AG8" s="401">
        <f t="shared" si="3"/>
        <v>1.0601985179874186E-2</v>
      </c>
      <c r="AH8" s="401">
        <f t="shared" ref="AH8:AH68" si="11">Y8/12.01</f>
        <v>0.10416741559488366</v>
      </c>
      <c r="AI8" s="401">
        <f t="shared" si="4"/>
        <v>1.7732912246252288E-3</v>
      </c>
      <c r="AJ8" s="401">
        <f t="shared" si="5"/>
        <v>1.3806270404544624E-2</v>
      </c>
      <c r="AK8" s="401">
        <f t="shared" si="6"/>
        <v>9.036114519033904E-2</v>
      </c>
      <c r="AL8" s="401">
        <f t="shared" si="7"/>
        <v>3.774291626868703E-4</v>
      </c>
      <c r="AM8" s="655">
        <f>depths!$B$2</f>
        <v>776.42</v>
      </c>
      <c r="AO8" s="655">
        <f t="shared" si="8"/>
        <v>104.16741559488365</v>
      </c>
      <c r="AP8" s="655">
        <v>1</v>
      </c>
      <c r="AQ8" s="655">
        <f>AI8*1000</f>
        <v>1.7732912246252288</v>
      </c>
      <c r="AR8" s="655">
        <v>1</v>
      </c>
      <c r="AS8" s="655">
        <f>AJ8*1000</f>
        <v>13.806270404544625</v>
      </c>
      <c r="AT8" s="655">
        <v>3</v>
      </c>
      <c r="AU8" s="655">
        <f>AK8*1000</f>
        <v>90.361145190339045</v>
      </c>
      <c r="AV8" s="655">
        <v>3</v>
      </c>
      <c r="AW8" s="655">
        <f>AL8*1000</f>
        <v>0.37742916268687032</v>
      </c>
      <c r="AX8" s="655">
        <v>1</v>
      </c>
      <c r="AY8" s="655">
        <f t="shared" si="9"/>
        <v>7.78567570448699</v>
      </c>
      <c r="AZ8" s="655">
        <f t="shared" si="10"/>
        <v>50.956742996027721</v>
      </c>
      <c r="BA8" s="655">
        <f>main!R9</f>
        <v>34.22</v>
      </c>
      <c r="BB8" s="101">
        <v>1</v>
      </c>
      <c r="BC8" s="655">
        <f>main!S9</f>
        <v>8.1460000000000008</v>
      </c>
      <c r="BD8" s="101">
        <v>1</v>
      </c>
    </row>
    <row r="9" spans="1:56">
      <c r="A9">
        <f>main!A10</f>
        <v>2018</v>
      </c>
      <c r="B9" t="str">
        <f>main!B10</f>
        <v>47_1000</v>
      </c>
      <c r="C9">
        <f>main!C10</f>
        <v>4</v>
      </c>
      <c r="D9" t="str">
        <f>main!$B$6</f>
        <v>McLane-PARFLUX-Mark78H-21 ; frame controller sn 12419-01, frame sn 12419-01, motor sn 12419-01, cup set O250x21</v>
      </c>
      <c r="E9">
        <v>1000</v>
      </c>
      <c r="F9">
        <v>1</v>
      </c>
      <c r="G9" s="97">
        <f>main!E10</f>
        <v>111.82857142857144</v>
      </c>
      <c r="H9" s="90">
        <f>main!I10</f>
        <v>13.156302521008405</v>
      </c>
      <c r="I9" s="101">
        <f>main!J10</f>
        <v>4.8053394957983198</v>
      </c>
      <c r="J9" s="101">
        <v>1</v>
      </c>
      <c r="K9" s="101">
        <f>main!AF10</f>
        <v>88.614830630948248</v>
      </c>
      <c r="L9" s="101">
        <f>main!AG10</f>
        <v>10.633400733539439</v>
      </c>
      <c r="M9" s="655">
        <v>1</v>
      </c>
      <c r="N9" s="101">
        <f>main!M10</f>
        <v>14.327220916748047</v>
      </c>
      <c r="O9" s="655">
        <v>1</v>
      </c>
      <c r="P9" s="101">
        <f>main!O10</f>
        <v>0.57253855466842651</v>
      </c>
      <c r="Q9" s="101">
        <v>1</v>
      </c>
      <c r="R9" s="101">
        <f>main!AH10</f>
        <v>3.6938201832086079</v>
      </c>
      <c r="S9" s="655">
        <v>1</v>
      </c>
      <c r="T9" s="101">
        <f>main!AB10</f>
        <v>0.28834022634973727</v>
      </c>
      <c r="U9" s="101">
        <v>1</v>
      </c>
      <c r="V9" s="101">
        <f>main!AC10</f>
        <v>0.61681609830387008</v>
      </c>
      <c r="W9" s="101">
        <f t="shared" si="0"/>
        <v>4.2582434554437434</v>
      </c>
      <c r="X9" s="101">
        <f t="shared" si="0"/>
        <v>0.51097100519527894</v>
      </c>
      <c r="Y9" s="101">
        <f>(N9/100)*$I9</f>
        <v>0.68847160536277197</v>
      </c>
      <c r="Z9" s="101">
        <f>(P9/100)*$I9</f>
        <v>2.7512421296154752E-2</v>
      </c>
      <c r="AA9" s="101">
        <f t="shared" si="1"/>
        <v>0.17750060016749308</v>
      </c>
      <c r="AB9" s="101">
        <f t="shared" si="2"/>
        <v>2.9640107588238058E-2</v>
      </c>
      <c r="AC9" s="67">
        <f>main!T10</f>
        <v>43224</v>
      </c>
      <c r="AD9" s="67">
        <f>main!U10</f>
        <v>43241</v>
      </c>
      <c r="AE9" s="67">
        <f>main!V10</f>
        <v>43232.5</v>
      </c>
      <c r="AF9" s="97">
        <f>main!H10</f>
        <v>17</v>
      </c>
      <c r="AG9" s="90">
        <f t="shared" si="3"/>
        <v>1.3855726779058199E-2</v>
      </c>
      <c r="AH9" s="90">
        <f t="shared" si="11"/>
        <v>5.732486306101349E-2</v>
      </c>
      <c r="AI9" s="90">
        <f t="shared" si="4"/>
        <v>1.9637702566848501E-3</v>
      </c>
      <c r="AJ9" s="90">
        <f t="shared" si="5"/>
        <v>1.4779400513529816E-2</v>
      </c>
      <c r="AK9" s="90">
        <f t="shared" si="6"/>
        <v>4.2545462547483676E-2</v>
      </c>
      <c r="AL9" s="395">
        <f t="shared" si="7"/>
        <v>4.9326190028687071E-4</v>
      </c>
      <c r="AM9" s="101">
        <f>depths!$B$2</f>
        <v>776.42</v>
      </c>
      <c r="AO9" s="101">
        <f t="shared" si="8"/>
        <v>57.324863061013488</v>
      </c>
      <c r="AP9" s="101">
        <v>1</v>
      </c>
      <c r="AQ9" s="101">
        <f>AI9*1000</f>
        <v>1.9637702566848501</v>
      </c>
      <c r="AR9" s="101">
        <v>1</v>
      </c>
      <c r="AS9" s="101">
        <f>AJ9*1000</f>
        <v>14.779400513529815</v>
      </c>
      <c r="AT9" s="101">
        <v>1</v>
      </c>
      <c r="AU9" s="101">
        <f>AK9*1000</f>
        <v>42.545462547483673</v>
      </c>
      <c r="AV9" s="101">
        <v>1</v>
      </c>
      <c r="AW9" s="101">
        <f>AL9*1000</f>
        <v>0.49326190028687072</v>
      </c>
      <c r="AX9" s="101">
        <v>1</v>
      </c>
      <c r="AY9" s="101">
        <f t="shared" si="9"/>
        <v>7.5260333856363344</v>
      </c>
      <c r="AZ9" s="101">
        <f t="shared" si="10"/>
        <v>21.66519347294069</v>
      </c>
      <c r="BA9" s="101">
        <f>main!R10</f>
        <v>34.26</v>
      </c>
      <c r="BB9" s="101">
        <v>1</v>
      </c>
      <c r="BC9" s="101">
        <f>main!S10</f>
        <v>8.0690000000000008</v>
      </c>
      <c r="BD9" s="101">
        <v>1</v>
      </c>
    </row>
    <row r="10" spans="1:56">
      <c r="A10">
        <f>main!A11</f>
        <v>2018</v>
      </c>
      <c r="B10" t="str">
        <f>main!B11</f>
        <v>47_1000</v>
      </c>
      <c r="C10">
        <f>main!C11</f>
        <v>5</v>
      </c>
      <c r="D10" t="str">
        <f>main!$B$6</f>
        <v>McLane-PARFLUX-Mark78H-21 ; frame controller sn 12419-01, frame sn 12419-01, motor sn 12419-01, cup set O250x21</v>
      </c>
      <c r="E10">
        <v>1000</v>
      </c>
      <c r="F10">
        <v>1</v>
      </c>
      <c r="G10" s="97">
        <f>main!E11</f>
        <v>39.985714285714288</v>
      </c>
      <c r="H10" s="90">
        <f>main!I11</f>
        <v>4.7042016806722691</v>
      </c>
      <c r="I10" s="101">
        <f>main!J11</f>
        <v>1.7182096638655464</v>
      </c>
      <c r="J10" s="101">
        <v>1</v>
      </c>
      <c r="K10" s="101" t="str">
        <f>main!AF11</f>
        <v>NA</v>
      </c>
      <c r="L10" s="101" t="str">
        <f>main!AG11</f>
        <v>NA</v>
      </c>
      <c r="M10" s="655">
        <v>9</v>
      </c>
      <c r="N10" s="101" t="str">
        <f>main!M11</f>
        <v>NA</v>
      </c>
      <c r="O10" s="655">
        <v>9</v>
      </c>
      <c r="P10" s="101" t="str">
        <f>main!O11</f>
        <v>NA</v>
      </c>
      <c r="Q10" s="101">
        <v>9</v>
      </c>
      <c r="R10" s="101" t="str">
        <f>main!AH11</f>
        <v>NA</v>
      </c>
      <c r="S10" s="655">
        <v>9</v>
      </c>
      <c r="T10" s="101" t="str">
        <f>main!AB11</f>
        <v>NA</v>
      </c>
      <c r="U10" s="101">
        <v>9</v>
      </c>
      <c r="V10" s="101" t="str">
        <f>main!AC11</f>
        <v>NA</v>
      </c>
      <c r="W10" s="101" t="s">
        <v>2622</v>
      </c>
      <c r="X10" s="101" t="s">
        <v>2622</v>
      </c>
      <c r="Y10" s="101" t="s">
        <v>2622</v>
      </c>
      <c r="Z10" s="101" t="s">
        <v>2622</v>
      </c>
      <c r="AA10" s="101" t="s">
        <v>2622</v>
      </c>
      <c r="AB10" s="101" t="s">
        <v>2622</v>
      </c>
      <c r="AC10" s="67">
        <f>main!T11</f>
        <v>43241</v>
      </c>
      <c r="AD10" s="67">
        <f>main!U11</f>
        <v>43258</v>
      </c>
      <c r="AE10" s="67">
        <f>main!V11</f>
        <v>43249.5</v>
      </c>
      <c r="AF10" s="97">
        <f>main!H11</f>
        <v>17</v>
      </c>
      <c r="AG10" s="90" t="s">
        <v>3357</v>
      </c>
      <c r="AH10" s="90" t="s">
        <v>2622</v>
      </c>
      <c r="AI10" s="90" t="s">
        <v>2622</v>
      </c>
      <c r="AJ10" s="90" t="s">
        <v>2622</v>
      </c>
      <c r="AK10" s="90" t="s">
        <v>2622</v>
      </c>
      <c r="AL10" s="90" t="s">
        <v>2622</v>
      </c>
      <c r="AM10" s="101">
        <f>depths!$B$2</f>
        <v>776.42</v>
      </c>
      <c r="AO10" s="101" t="s">
        <v>2622</v>
      </c>
      <c r="AP10" s="101">
        <v>9</v>
      </c>
      <c r="AQ10" s="101" t="s">
        <v>2622</v>
      </c>
      <c r="AR10" s="101">
        <v>9</v>
      </c>
      <c r="AS10" s="101" t="s">
        <v>2622</v>
      </c>
      <c r="AT10" s="101">
        <v>9</v>
      </c>
      <c r="AU10" s="101" t="s">
        <v>2622</v>
      </c>
      <c r="AV10" s="101">
        <v>9</v>
      </c>
      <c r="AW10" s="101" t="s">
        <v>2622</v>
      </c>
      <c r="AX10" s="101">
        <v>9</v>
      </c>
      <c r="AY10" s="101" t="s">
        <v>2622</v>
      </c>
      <c r="AZ10" s="101" t="s">
        <v>2622</v>
      </c>
      <c r="BA10" s="101">
        <f>main!R11</f>
        <v>34.555</v>
      </c>
      <c r="BB10" s="101">
        <v>1</v>
      </c>
      <c r="BC10" s="101">
        <f>main!S11</f>
        <v>7.4964999999999993</v>
      </c>
      <c r="BD10" s="101">
        <v>1</v>
      </c>
    </row>
    <row r="11" spans="1:56">
      <c r="A11">
        <f>main!A12</f>
        <v>2018</v>
      </c>
      <c r="B11" t="str">
        <f>main!B12</f>
        <v>47_1000</v>
      </c>
      <c r="C11">
        <f>main!C12</f>
        <v>6</v>
      </c>
      <c r="D11" t="str">
        <f>main!$B$6</f>
        <v>McLane-PARFLUX-Mark78H-21 ; frame controller sn 12419-01, frame sn 12419-01, motor sn 12419-01, cup set O250x21</v>
      </c>
      <c r="E11">
        <v>1000</v>
      </c>
      <c r="F11">
        <v>1</v>
      </c>
      <c r="G11" s="97">
        <f>main!E12</f>
        <v>18.157142857142858</v>
      </c>
      <c r="H11" s="90">
        <f>main!I12</f>
        <v>2.1361344537815126</v>
      </c>
      <c r="I11" s="101">
        <f>main!J12</f>
        <v>0.78022310924369753</v>
      </c>
      <c r="J11" s="101">
        <v>2</v>
      </c>
      <c r="K11" s="101">
        <f>main!AF12</f>
        <v>52.788837032790425</v>
      </c>
      <c r="L11" s="101">
        <f>main!AG12</f>
        <v>6.3344347038804578</v>
      </c>
      <c r="M11" s="655">
        <v>1</v>
      </c>
      <c r="N11" s="101">
        <f>main!M12</f>
        <v>22.348100662231445</v>
      </c>
      <c r="O11" s="655">
        <v>1</v>
      </c>
      <c r="P11" s="101">
        <f>main!O12</f>
        <v>2.6412904262542725</v>
      </c>
      <c r="Q11" s="101">
        <v>3</v>
      </c>
      <c r="R11" s="101">
        <f>main!AH12</f>
        <v>16.013665958350987</v>
      </c>
      <c r="S11" s="655">
        <v>3</v>
      </c>
      <c r="T11" s="101">
        <f>main!AB12</f>
        <v>0.49115051534407933</v>
      </c>
      <c r="U11" s="101">
        <v>1</v>
      </c>
      <c r="V11" s="101">
        <f>main!AC12</f>
        <v>1.0506669443583385</v>
      </c>
      <c r="W11" s="101">
        <f>(K11/100)*$I11</f>
        <v>0.4118707056308259</v>
      </c>
      <c r="X11" s="101">
        <f>(L11/100)*$I11</f>
        <v>4.9422723399627916E-2</v>
      </c>
      <c r="Y11" s="101">
        <f>(N11/100)*$I11</f>
        <v>0.17436504584377355</v>
      </c>
      <c r="Z11" s="101">
        <f>(P11/100)*$I11</f>
        <v>2.0607958287877197E-2</v>
      </c>
      <c r="AA11" s="101">
        <f>(R11/100)*$I11</f>
        <v>0.12494232244414562</v>
      </c>
      <c r="AB11" s="101">
        <f t="shared" si="2"/>
        <v>8.1975463010683786E-3</v>
      </c>
      <c r="AC11" s="67">
        <f>main!T12</f>
        <v>43258</v>
      </c>
      <c r="AD11" s="67">
        <f>main!U12</f>
        <v>43275</v>
      </c>
      <c r="AE11" s="67">
        <f>main!V12</f>
        <v>43266.5</v>
      </c>
      <c r="AF11" s="97">
        <f>main!H12</f>
        <v>17</v>
      </c>
      <c r="AG11" s="90">
        <f t="shared" si="3"/>
        <v>3.8320698218840192E-3</v>
      </c>
      <c r="AH11" s="90">
        <f t="shared" si="11"/>
        <v>1.4518321885409954E-2</v>
      </c>
      <c r="AI11" s="90">
        <f t="shared" si="4"/>
        <v>1.4709463446022268E-3</v>
      </c>
      <c r="AJ11" s="90">
        <f t="shared" si="5"/>
        <v>1.0403190877947178E-2</v>
      </c>
      <c r="AK11" s="90">
        <f>X11/12.01</f>
        <v>4.1151310074627745E-3</v>
      </c>
      <c r="AL11" s="395">
        <f t="shared" si="7"/>
        <v>1.3642113997451119E-4</v>
      </c>
      <c r="AM11" s="101">
        <f>depths!$B$2</f>
        <v>776.42</v>
      </c>
      <c r="AO11" s="101">
        <f t="shared" si="8"/>
        <v>14.518321885409954</v>
      </c>
      <c r="AP11" s="101">
        <v>2</v>
      </c>
      <c r="AQ11" s="101">
        <f>AI11*1000</f>
        <v>1.4709463446022268</v>
      </c>
      <c r="AR11" s="101">
        <v>3</v>
      </c>
      <c r="AS11" s="101">
        <f>AJ11*1000</f>
        <v>10.403190877947178</v>
      </c>
      <c r="AT11" s="101">
        <v>3</v>
      </c>
      <c r="AU11" s="101">
        <f>AK11*1000</f>
        <v>4.1151310074627743</v>
      </c>
      <c r="AV11" s="101">
        <v>2</v>
      </c>
      <c r="AW11" s="101">
        <f>AL11*1000</f>
        <v>0.13642113997451119</v>
      </c>
      <c r="AX11" s="101">
        <v>2</v>
      </c>
      <c r="AY11" s="101">
        <f>AS11/AQ11</f>
        <v>7.0724475546797789</v>
      </c>
      <c r="AZ11" s="101">
        <f t="shared" si="10"/>
        <v>2.7976078274803338</v>
      </c>
      <c r="BA11" s="101">
        <f>main!R12</f>
        <v>34.21</v>
      </c>
      <c r="BB11" s="101">
        <v>1</v>
      </c>
      <c r="BC11" s="101">
        <f>main!S12</f>
        <v>7.88</v>
      </c>
      <c r="BD11" s="101">
        <v>1</v>
      </c>
    </row>
    <row r="12" spans="1:56">
      <c r="A12">
        <f>main!A13</f>
        <v>2018</v>
      </c>
      <c r="B12" t="str">
        <f>main!B13</f>
        <v>47_1000</v>
      </c>
      <c r="C12">
        <f>main!C13</f>
        <v>7</v>
      </c>
      <c r="D12" t="str">
        <f>main!$B$6</f>
        <v>McLane-PARFLUX-Mark78H-21 ; frame controller sn 12419-01, frame sn 12419-01, motor sn 12419-01, cup set O250x21</v>
      </c>
      <c r="E12">
        <v>1000</v>
      </c>
      <c r="F12">
        <v>1</v>
      </c>
      <c r="G12" s="97">
        <f>main!E13</f>
        <v>24.357142857142854</v>
      </c>
      <c r="H12" s="90">
        <f>main!I13</f>
        <v>2.8655462184873945</v>
      </c>
      <c r="I12" s="101">
        <f>main!J13</f>
        <v>1.0466407563025211</v>
      </c>
      <c r="J12" s="101">
        <v>2</v>
      </c>
      <c r="K12" s="101">
        <f>main!AF13</f>
        <v>62.40103589859973</v>
      </c>
      <c r="L12" s="101">
        <f>main!AG13</f>
        <v>7.4878574632862316</v>
      </c>
      <c r="M12" s="655">
        <v>2</v>
      </c>
      <c r="N12" s="101">
        <f>main!M13</f>
        <v>14.52754020690918</v>
      </c>
      <c r="O12" s="655">
        <v>2</v>
      </c>
      <c r="P12" s="101">
        <f>main!O13</f>
        <v>1.6864792108535767</v>
      </c>
      <c r="Q12" s="101">
        <v>2</v>
      </c>
      <c r="R12" s="101">
        <f>main!AH13</f>
        <v>7.0396827436229481</v>
      </c>
      <c r="S12" s="655">
        <v>2</v>
      </c>
      <c r="T12" s="101">
        <f>main!AB13</f>
        <v>0.87233667623988664</v>
      </c>
      <c r="U12" s="101">
        <v>2</v>
      </c>
      <c r="V12" s="101">
        <f>main!AC13</f>
        <v>1.8660986427644994</v>
      </c>
      <c r="W12" s="101">
        <f>(K12/100)*$I12</f>
        <v>0.65311467406971191</v>
      </c>
      <c r="X12" s="101">
        <f>(L12/100)*$I12</f>
        <v>7.8370967984593795E-2</v>
      </c>
      <c r="Y12" s="101">
        <f>(N12/100)*$I12</f>
        <v>0.15205115669374705</v>
      </c>
      <c r="Z12" s="101">
        <f>(P12/100)*$I12</f>
        <v>1.7651378767362665E-2</v>
      </c>
      <c r="AA12" s="101">
        <f t="shared" si="1"/>
        <v>7.3680188709153285E-2</v>
      </c>
      <c r="AB12" s="101">
        <f>(V12/100)*$I12</f>
        <v>1.9531348947981437E-2</v>
      </c>
      <c r="AC12" s="67">
        <f>main!T13</f>
        <v>43275</v>
      </c>
      <c r="AD12" s="67">
        <f>main!U13</f>
        <v>43292</v>
      </c>
      <c r="AE12" s="67">
        <f>main!V13</f>
        <v>43283.5</v>
      </c>
      <c r="AF12" s="97">
        <f>main!H13</f>
        <v>17</v>
      </c>
      <c r="AG12" s="90">
        <f t="shared" si="3"/>
        <v>9.1302311857014238E-3</v>
      </c>
      <c r="AH12" s="90">
        <f t="shared" si="11"/>
        <v>1.2660379408305333E-2</v>
      </c>
      <c r="AI12" s="90">
        <f t="shared" si="4"/>
        <v>1.2599128313606472E-3</v>
      </c>
      <c r="AJ12" s="90">
        <f>AA12/12.01</f>
        <v>6.1349033063408231E-3</v>
      </c>
      <c r="AK12" s="90">
        <f t="shared" si="6"/>
        <v>6.5254761019645129E-3</v>
      </c>
      <c r="AL12" s="395">
        <f t="shared" si="7"/>
        <v>3.2503493007125041E-4</v>
      </c>
      <c r="AM12" s="101">
        <f>depths!$B$2</f>
        <v>776.42</v>
      </c>
      <c r="AO12" s="101">
        <f t="shared" si="8"/>
        <v>12.660379408305333</v>
      </c>
      <c r="AP12" s="101">
        <v>2</v>
      </c>
      <c r="AQ12" s="101">
        <f>AI12*1000</f>
        <v>1.2599128313606471</v>
      </c>
      <c r="AR12" s="101">
        <v>2</v>
      </c>
      <c r="AS12" s="101">
        <f>AJ12*1000</f>
        <v>6.1349033063408234</v>
      </c>
      <c r="AT12" s="101">
        <v>2</v>
      </c>
      <c r="AU12" s="101">
        <f>AK12*1000</f>
        <v>6.5254761019645127</v>
      </c>
      <c r="AV12" s="101">
        <v>2</v>
      </c>
      <c r="AW12" s="101">
        <f>AL12*1000</f>
        <v>0.32503493007125039</v>
      </c>
      <c r="AX12" s="101">
        <v>2</v>
      </c>
      <c r="AY12" s="101">
        <f t="shared" si="9"/>
        <v>4.8693077438662273</v>
      </c>
      <c r="AZ12" s="101">
        <f>AU12/AQ12</f>
        <v>5.1793075993339182</v>
      </c>
      <c r="BA12" s="101">
        <f>main!R13</f>
        <v>34.14</v>
      </c>
      <c r="BB12" s="101">
        <v>1</v>
      </c>
      <c r="BC12" s="101">
        <f>main!S13</f>
        <v>7.944</v>
      </c>
      <c r="BD12" s="101">
        <v>1</v>
      </c>
    </row>
    <row r="13" spans="1:56">
      <c r="A13">
        <f>main!A14</f>
        <v>2018</v>
      </c>
      <c r="B13" t="str">
        <f>main!B14</f>
        <v>47_1000</v>
      </c>
      <c r="C13">
        <f>main!C14</f>
        <v>8</v>
      </c>
      <c r="D13" t="str">
        <f>main!$B$6</f>
        <v>McLane-PARFLUX-Mark78H-21 ; frame controller sn 12419-01, frame sn 12419-01, motor sn 12419-01, cup set O250x21</v>
      </c>
      <c r="E13">
        <v>1000</v>
      </c>
      <c r="F13">
        <v>1</v>
      </c>
      <c r="G13" s="97">
        <f>main!E14</f>
        <v>31.014285714285712</v>
      </c>
      <c r="H13" s="90">
        <f>main!I14</f>
        <v>3.6487394957983192</v>
      </c>
      <c r="I13" s="101">
        <f>main!J14</f>
        <v>1.3327021008403361</v>
      </c>
      <c r="J13" s="101">
        <v>1</v>
      </c>
      <c r="K13" s="101" t="str">
        <f>main!AF14</f>
        <v>NA</v>
      </c>
      <c r="L13" s="101" t="str">
        <f>main!AG14</f>
        <v>NA</v>
      </c>
      <c r="M13" s="655">
        <v>9</v>
      </c>
      <c r="N13" s="101" t="str">
        <f>main!M14</f>
        <v>NA</v>
      </c>
      <c r="O13" s="655">
        <v>9</v>
      </c>
      <c r="P13" s="101" t="str">
        <f>main!O14</f>
        <v>NA</v>
      </c>
      <c r="Q13" s="101">
        <v>9</v>
      </c>
      <c r="R13" s="101" t="str">
        <f>main!AH14</f>
        <v>NA</v>
      </c>
      <c r="S13" s="655">
        <v>9</v>
      </c>
      <c r="T13" s="101" t="str">
        <f>main!AB14</f>
        <v>NA</v>
      </c>
      <c r="U13" s="101">
        <v>9</v>
      </c>
      <c r="V13" s="101" t="str">
        <f>main!AC14</f>
        <v>NA</v>
      </c>
      <c r="W13" s="101" t="s">
        <v>2622</v>
      </c>
      <c r="X13" s="101" t="s">
        <v>2622</v>
      </c>
      <c r="Y13" s="101" t="s">
        <v>2622</v>
      </c>
      <c r="Z13" s="101" t="s">
        <v>2622</v>
      </c>
      <c r="AA13" s="101" t="s">
        <v>2622</v>
      </c>
      <c r="AB13" s="101" t="s">
        <v>2622</v>
      </c>
      <c r="AC13" s="67">
        <f>main!T14</f>
        <v>43292</v>
      </c>
      <c r="AD13" s="67">
        <f>main!U14</f>
        <v>43309</v>
      </c>
      <c r="AE13" s="67">
        <f>main!V14</f>
        <v>43300.5</v>
      </c>
      <c r="AF13" s="97">
        <f>main!H14</f>
        <v>17</v>
      </c>
      <c r="AG13" s="90" t="s">
        <v>2622</v>
      </c>
      <c r="AH13" s="90" t="s">
        <v>2622</v>
      </c>
      <c r="AI13" s="90" t="s">
        <v>2622</v>
      </c>
      <c r="AJ13" s="90" t="s">
        <v>2622</v>
      </c>
      <c r="AK13" s="90" t="s">
        <v>2622</v>
      </c>
      <c r="AL13" s="90" t="s">
        <v>2622</v>
      </c>
      <c r="AM13" s="101">
        <f>depths!$B$2</f>
        <v>776.42</v>
      </c>
      <c r="AO13" s="101" t="s">
        <v>2622</v>
      </c>
      <c r="AP13" s="101">
        <v>9</v>
      </c>
      <c r="AQ13" s="101" t="s">
        <v>2622</v>
      </c>
      <c r="AR13" s="101">
        <v>9</v>
      </c>
      <c r="AS13" s="101" t="s">
        <v>2622</v>
      </c>
      <c r="AT13" s="101">
        <v>9</v>
      </c>
      <c r="AU13" s="101" t="s">
        <v>2622</v>
      </c>
      <c r="AV13" s="101">
        <v>9</v>
      </c>
      <c r="AW13" s="101" t="s">
        <v>2622</v>
      </c>
      <c r="AX13" s="101">
        <v>9</v>
      </c>
      <c r="AY13" s="101" t="s">
        <v>2622</v>
      </c>
      <c r="AZ13" s="101" t="s">
        <v>2622</v>
      </c>
      <c r="BA13" s="101">
        <f>main!R14</f>
        <v>34.42</v>
      </c>
      <c r="BB13" s="101">
        <v>1</v>
      </c>
      <c r="BC13" s="101">
        <f>main!S14</f>
        <v>7.4980000000000002</v>
      </c>
      <c r="BD13" s="101">
        <v>1</v>
      </c>
    </row>
    <row r="14" spans="1:56">
      <c r="A14">
        <f>main!A15</f>
        <v>2018</v>
      </c>
      <c r="B14" t="str">
        <f>main!B15</f>
        <v>47_1000</v>
      </c>
      <c r="C14">
        <f>main!C15</f>
        <v>9</v>
      </c>
      <c r="D14" t="str">
        <f>main!$B$6</f>
        <v>McLane-PARFLUX-Mark78H-21 ; frame controller sn 12419-01, frame sn 12419-01, motor sn 12419-01, cup set O250x21</v>
      </c>
      <c r="E14">
        <v>1000</v>
      </c>
      <c r="F14">
        <v>1</v>
      </c>
      <c r="G14" s="97">
        <f>main!E15</f>
        <v>130.57142857142858</v>
      </c>
      <c r="H14" s="90">
        <f>main!I15</f>
        <v>15.361344537815128</v>
      </c>
      <c r="I14" s="101">
        <f>main!J15</f>
        <v>5.6107310924369758</v>
      </c>
      <c r="J14" s="101">
        <v>1</v>
      </c>
      <c r="K14" s="101">
        <f>main!AF15</f>
        <v>65.562312598881192</v>
      </c>
      <c r="L14" s="101">
        <f>main!AG15</f>
        <v>7.8671971488033208</v>
      </c>
      <c r="M14" s="655">
        <v>1</v>
      </c>
      <c r="N14" s="101">
        <f>main!M15</f>
        <v>17.012327194213867</v>
      </c>
      <c r="O14" s="655">
        <v>1</v>
      </c>
      <c r="P14" s="101">
        <f>main!O15</f>
        <v>1.703624963760376</v>
      </c>
      <c r="Q14" s="101">
        <v>1</v>
      </c>
      <c r="R14" s="101">
        <f>main!AH15</f>
        <v>9.1451300454105464</v>
      </c>
      <c r="S14" s="655">
        <v>1</v>
      </c>
      <c r="T14" s="101">
        <f>main!AB15</f>
        <v>2.7596372216964755</v>
      </c>
      <c r="U14" s="101">
        <v>1</v>
      </c>
      <c r="V14" s="101">
        <f>main!AC15</f>
        <v>5.9034033695885091</v>
      </c>
      <c r="W14" s="101">
        <f t="shared" ref="W14:W45" si="12">(K14/100)*$I14</f>
        <v>3.6785250579061515</v>
      </c>
      <c r="X14" s="101">
        <f t="shared" ref="X14:X45" si="13">(L14/100)*$I14</f>
        <v>0.44140727653122314</v>
      </c>
      <c r="Y14" s="101">
        <f t="shared" ref="Y14:Y45" si="14">(N14/100)*$I14</f>
        <v>0.95451593143286839</v>
      </c>
      <c r="Z14" s="101">
        <f t="shared" ref="Z14:Z45" si="15">(P14/100)*$I14</f>
        <v>9.558581554022158E-2</v>
      </c>
      <c r="AA14" s="101">
        <f t="shared" si="1"/>
        <v>0.51310865490164526</v>
      </c>
      <c r="AB14" s="101">
        <f t="shared" si="2"/>
        <v>0.33122408836947459</v>
      </c>
      <c r="AC14" s="67">
        <f>main!T15</f>
        <v>43309</v>
      </c>
      <c r="AD14" s="67">
        <f>main!U15</f>
        <v>43326</v>
      </c>
      <c r="AE14" s="67">
        <f>main!V15</f>
        <v>43317.5</v>
      </c>
      <c r="AF14" s="97">
        <f>main!H15</f>
        <v>17</v>
      </c>
      <c r="AG14" s="90">
        <f t="shared" si="3"/>
        <v>0.15483582363618809</v>
      </c>
      <c r="AH14" s="90">
        <f t="shared" si="11"/>
        <v>7.9476763649697621E-2</v>
      </c>
      <c r="AI14" s="90">
        <f>Z14/14.01</f>
        <v>6.8226849065111768E-3</v>
      </c>
      <c r="AJ14" s="90">
        <f t="shared" si="5"/>
        <v>4.2723451698721507E-2</v>
      </c>
      <c r="AK14" s="90">
        <f t="shared" si="6"/>
        <v>3.6753311950976114E-2</v>
      </c>
      <c r="AL14" s="395">
        <f t="shared" si="7"/>
        <v>5.5121332729152041E-3</v>
      </c>
      <c r="AM14" s="101">
        <f>depths!$B$2</f>
        <v>776.42</v>
      </c>
      <c r="AO14" s="101">
        <f t="shared" si="8"/>
        <v>79.476763649697617</v>
      </c>
      <c r="AP14" s="101">
        <v>1</v>
      </c>
      <c r="AQ14" s="101">
        <f t="shared" ref="AQ14:AQ45" si="16">AI14*1000</f>
        <v>6.822684906511177</v>
      </c>
      <c r="AR14" s="101">
        <v>1</v>
      </c>
      <c r="AS14" s="101">
        <f t="shared" ref="AS14:AS45" si="17">AJ14*1000</f>
        <v>42.723451698721504</v>
      </c>
      <c r="AT14" s="101">
        <v>1</v>
      </c>
      <c r="AU14" s="101">
        <f t="shared" ref="AU14:AU45" si="18">AK14*1000</f>
        <v>36.753311950976112</v>
      </c>
      <c r="AV14" s="101">
        <v>1</v>
      </c>
      <c r="AW14" s="101">
        <f t="shared" ref="AW14:AW45" si="19">AL14*1000</f>
        <v>5.5121332729152037</v>
      </c>
      <c r="AX14" s="101">
        <v>1</v>
      </c>
      <c r="AY14" s="101">
        <f t="shared" si="9"/>
        <v>6.2619705122170757</v>
      </c>
      <c r="AZ14" s="101">
        <f t="shared" si="10"/>
        <v>5.386927940333412</v>
      </c>
      <c r="BA14" s="101">
        <f>main!R15</f>
        <v>37.67</v>
      </c>
      <c r="BB14" s="101">
        <v>1</v>
      </c>
      <c r="BC14" s="101">
        <f>main!S15</f>
        <v>8.0449999999999999</v>
      </c>
      <c r="BD14" s="101">
        <v>1</v>
      </c>
    </row>
    <row r="15" spans="1:56">
      <c r="A15">
        <f>main!A16</f>
        <v>2018</v>
      </c>
      <c r="B15" t="str">
        <f>main!B16</f>
        <v>47_1000</v>
      </c>
      <c r="C15">
        <f>main!C16</f>
        <v>10</v>
      </c>
      <c r="D15" t="str">
        <f>main!$B$6</f>
        <v>McLane-PARFLUX-Mark78H-21 ; frame controller sn 12419-01, frame sn 12419-01, motor sn 12419-01, cup set O250x21</v>
      </c>
      <c r="E15">
        <v>1000</v>
      </c>
      <c r="F15">
        <v>1</v>
      </c>
      <c r="G15" s="97">
        <f>main!E16</f>
        <v>135.87142857142857</v>
      </c>
      <c r="H15" s="90">
        <f>main!I16</f>
        <v>15.984873949579832</v>
      </c>
      <c r="I15" s="101">
        <f>main!J16</f>
        <v>5.8384752100840345</v>
      </c>
      <c r="J15" s="101">
        <v>1</v>
      </c>
      <c r="K15" s="101">
        <f>main!AF16</f>
        <v>71.277577819822241</v>
      </c>
      <c r="L15" s="101">
        <f>main!AG16</f>
        <v>8.5530045352195465</v>
      </c>
      <c r="M15" s="655">
        <v>1</v>
      </c>
      <c r="N15" s="101">
        <f>main!M16</f>
        <v>17.110343933105469</v>
      </c>
      <c r="O15" s="655">
        <v>1</v>
      </c>
      <c r="P15" s="101">
        <f>main!O16</f>
        <v>1.6167234182357788</v>
      </c>
      <c r="Q15" s="101">
        <v>1</v>
      </c>
      <c r="R15" s="101">
        <f>main!AH16</f>
        <v>8.5573393978859222</v>
      </c>
      <c r="S15" s="655">
        <v>1</v>
      </c>
      <c r="T15" s="101">
        <f>main!AB16</f>
        <v>1.7420282981914221</v>
      </c>
      <c r="U15" s="101">
        <v>1</v>
      </c>
      <c r="V15" s="101">
        <f>main!AC16</f>
        <v>3.7265389974482943</v>
      </c>
      <c r="W15" s="101">
        <f t="shared" si="12"/>
        <v>4.1615237113586785</v>
      </c>
      <c r="X15" s="101">
        <f t="shared" si="13"/>
        <v>0.4993650495061564</v>
      </c>
      <c r="Y15" s="101">
        <f t="shared" si="14"/>
        <v>0.99898318889448035</v>
      </c>
      <c r="Z15" s="101">
        <f t="shared" si="15"/>
        <v>9.4391995989319175E-2</v>
      </c>
      <c r="AA15" s="101">
        <f t="shared" si="1"/>
        <v>0.499618139388324</v>
      </c>
      <c r="AB15" s="101">
        <f t="shared" si="2"/>
        <v>0.21757305556013276</v>
      </c>
      <c r="AC15" s="67">
        <f>main!T16</f>
        <v>43326</v>
      </c>
      <c r="AD15" s="67">
        <f>main!U16</f>
        <v>43343</v>
      </c>
      <c r="AE15" s="67">
        <f>main!V16</f>
        <v>43334.5</v>
      </c>
      <c r="AF15" s="97">
        <f>main!H16</f>
        <v>17</v>
      </c>
      <c r="AG15" s="90">
        <f t="shared" si="3"/>
        <v>0.10170789034255497</v>
      </c>
      <c r="AH15" s="90">
        <f t="shared" si="11"/>
        <v>8.3179283005368893E-2</v>
      </c>
      <c r="AI15" s="90">
        <f t="shared" si="4"/>
        <v>6.7374729471319896E-3</v>
      </c>
      <c r="AJ15" s="90">
        <f t="shared" si="5"/>
        <v>4.1600178133915408E-2</v>
      </c>
      <c r="AK15" s="90">
        <f t="shared" si="6"/>
        <v>4.1579104871453491E-2</v>
      </c>
      <c r="AL15" s="395">
        <f>AG15/28.09</f>
        <v>3.6207864130493048E-3</v>
      </c>
      <c r="AM15" s="101">
        <f>depths!$B$2</f>
        <v>776.42</v>
      </c>
      <c r="AO15" s="101">
        <f t="shared" si="8"/>
        <v>83.179283005368887</v>
      </c>
      <c r="AP15" s="101">
        <v>1</v>
      </c>
      <c r="AQ15" s="101">
        <f t="shared" si="16"/>
        <v>6.7374729471319892</v>
      </c>
      <c r="AR15" s="101">
        <v>1</v>
      </c>
      <c r="AS15" s="101">
        <f t="shared" si="17"/>
        <v>41.600178133915406</v>
      </c>
      <c r="AT15" s="101">
        <v>1</v>
      </c>
      <c r="AU15" s="101">
        <f t="shared" si="18"/>
        <v>41.579104871453488</v>
      </c>
      <c r="AV15" s="101">
        <v>1</v>
      </c>
      <c r="AW15" s="101">
        <f t="shared" si="19"/>
        <v>3.6207864130493048</v>
      </c>
      <c r="AX15" s="101">
        <v>1</v>
      </c>
      <c r="AY15" s="101">
        <f t="shared" si="9"/>
        <v>6.1744482627754058</v>
      </c>
      <c r="AZ15" s="101">
        <f t="shared" si="10"/>
        <v>6.1713204932648971</v>
      </c>
      <c r="BA15" s="101">
        <f>main!R16</f>
        <v>36.22</v>
      </c>
      <c r="BB15" s="101">
        <v>1</v>
      </c>
      <c r="BC15" s="101">
        <f>main!S16</f>
        <v>8.4139999999999997</v>
      </c>
      <c r="BD15" s="101">
        <v>1</v>
      </c>
    </row>
    <row r="16" spans="1:56">
      <c r="A16">
        <f>main!A17</f>
        <v>2018</v>
      </c>
      <c r="B16" t="str">
        <f>main!B17</f>
        <v>47_1000</v>
      </c>
      <c r="C16">
        <f>main!C17</f>
        <v>11</v>
      </c>
      <c r="D16" t="str">
        <f>main!$B$6</f>
        <v>McLane-PARFLUX-Mark78H-21 ; frame controller sn 12419-01, frame sn 12419-01, motor sn 12419-01, cup set O250x21</v>
      </c>
      <c r="E16">
        <v>1000</v>
      </c>
      <c r="F16">
        <v>1</v>
      </c>
      <c r="G16" s="97">
        <f>main!E17</f>
        <v>333.31428571428569</v>
      </c>
      <c r="H16" s="90">
        <f>main!I17</f>
        <v>39.213445378151256</v>
      </c>
      <c r="I16" s="101">
        <f>main!J17</f>
        <v>14.322710924369748</v>
      </c>
      <c r="J16" s="101">
        <v>1</v>
      </c>
      <c r="K16" s="101">
        <f>main!AF17</f>
        <v>60.772920769917285</v>
      </c>
      <c r="L16" s="101">
        <f>main!AG17</f>
        <v>7.2924906101268654</v>
      </c>
      <c r="M16" s="655">
        <v>1</v>
      </c>
      <c r="N16" s="101">
        <f>main!M17</f>
        <v>16.932502746582031</v>
      </c>
      <c r="O16" s="655">
        <v>1</v>
      </c>
      <c r="P16" s="101">
        <f>main!O17</f>
        <v>1.6241707801818848</v>
      </c>
      <c r="Q16" s="101">
        <v>1</v>
      </c>
      <c r="R16" s="101">
        <f>main!AH17</f>
        <v>9.6400121364551659</v>
      </c>
      <c r="S16" s="655">
        <v>1</v>
      </c>
      <c r="T16" s="101">
        <f>main!AB17</f>
        <v>4.1619051934427338</v>
      </c>
      <c r="U16" s="101">
        <v>1</v>
      </c>
      <c r="V16" s="101">
        <f>main!AC17</f>
        <v>8.9031286249189705</v>
      </c>
      <c r="W16" s="101">
        <f t="shared" si="12"/>
        <v>8.7043297621715148</v>
      </c>
      <c r="X16" s="101">
        <f t="shared" si="13"/>
        <v>1.0444823492752786</v>
      </c>
      <c r="Y16" s="101">
        <f t="shared" si="14"/>
        <v>2.4251934206539123</v>
      </c>
      <c r="Z16" s="101">
        <f t="shared" si="15"/>
        <v>0.23262528576353217</v>
      </c>
      <c r="AA16" s="101">
        <f t="shared" si="1"/>
        <v>1.3807110713786335</v>
      </c>
      <c r="AB16" s="101">
        <f t="shared" si="2"/>
        <v>1.2751693761719596</v>
      </c>
      <c r="AC16" s="67">
        <f>main!T17</f>
        <v>43343</v>
      </c>
      <c r="AD16" s="67">
        <f>main!U17</f>
        <v>43360</v>
      </c>
      <c r="AE16" s="67">
        <f>main!V17</f>
        <v>43351.5</v>
      </c>
      <c r="AF16" s="97">
        <f>main!H17</f>
        <v>17</v>
      </c>
      <c r="AG16" s="90">
        <f t="shared" si="3"/>
        <v>0.59609764980313429</v>
      </c>
      <c r="AH16" s="90">
        <f t="shared" si="11"/>
        <v>0.2019311757413749</v>
      </c>
      <c r="AI16" s="90">
        <f t="shared" si="4"/>
        <v>1.660423167477032E-2</v>
      </c>
      <c r="AJ16" s="90">
        <f t="shared" si="5"/>
        <v>0.11496345307066057</v>
      </c>
      <c r="AK16" s="90">
        <f t="shared" si="6"/>
        <v>8.6967722670714287E-2</v>
      </c>
      <c r="AL16" s="395">
        <f t="shared" si="7"/>
        <v>2.1220991449025783E-2</v>
      </c>
      <c r="AM16" s="101">
        <f>depths!$B$2</f>
        <v>776.42</v>
      </c>
      <c r="AO16" s="101">
        <f t="shared" si="8"/>
        <v>201.93117574137489</v>
      </c>
      <c r="AP16" s="101">
        <v>1</v>
      </c>
      <c r="AQ16" s="101">
        <f t="shared" si="16"/>
        <v>16.604231674770318</v>
      </c>
      <c r="AR16" s="101">
        <v>1</v>
      </c>
      <c r="AS16" s="101">
        <f t="shared" si="17"/>
        <v>114.96345307066056</v>
      </c>
      <c r="AT16" s="101">
        <v>1</v>
      </c>
      <c r="AU16" s="101">
        <f t="shared" si="18"/>
        <v>86.967722670714281</v>
      </c>
      <c r="AV16" s="101">
        <v>1</v>
      </c>
      <c r="AW16" s="101">
        <f t="shared" si="19"/>
        <v>21.220991449025782</v>
      </c>
      <c r="AX16" s="101">
        <v>1</v>
      </c>
      <c r="AY16" s="101">
        <f t="shared" si="9"/>
        <v>6.9237442190923186</v>
      </c>
      <c r="AZ16" s="101">
        <f t="shared" si="10"/>
        <v>5.2376842466525799</v>
      </c>
      <c r="BA16" s="101">
        <f>main!R17</f>
        <v>38.04</v>
      </c>
      <c r="BB16" s="101">
        <v>1</v>
      </c>
      <c r="BC16" s="101">
        <f>main!S17</f>
        <v>8.2799999999999994</v>
      </c>
      <c r="BD16" s="101">
        <v>1</v>
      </c>
    </row>
    <row r="17" spans="1:56">
      <c r="A17">
        <f>main!A18</f>
        <v>2018</v>
      </c>
      <c r="B17" t="str">
        <f>main!B18</f>
        <v>47_1000</v>
      </c>
      <c r="C17">
        <f>main!C18</f>
        <v>12</v>
      </c>
      <c r="D17" t="str">
        <f>main!$B$6</f>
        <v>McLane-PARFLUX-Mark78H-21 ; frame controller sn 12419-01, frame sn 12419-01, motor sn 12419-01, cup set O250x21</v>
      </c>
      <c r="E17">
        <v>1000</v>
      </c>
      <c r="F17">
        <v>1</v>
      </c>
      <c r="G17" s="97">
        <f>main!E18</f>
        <v>430.51428571428573</v>
      </c>
      <c r="H17" s="90">
        <f>main!I18</f>
        <v>50.648739495798324</v>
      </c>
      <c r="I17" s="101">
        <f>main!J18</f>
        <v>18.499452100840337</v>
      </c>
      <c r="J17" s="101">
        <v>1</v>
      </c>
      <c r="K17" s="101">
        <f>main!AF18</f>
        <v>64.764945757710507</v>
      </c>
      <c r="L17" s="101">
        <f>main!AG18</f>
        <v>7.7715165376298314</v>
      </c>
      <c r="M17" s="655">
        <v>1</v>
      </c>
      <c r="N17" s="101">
        <f>main!M18</f>
        <v>14.753036499023438</v>
      </c>
      <c r="O17" s="655">
        <v>1</v>
      </c>
      <c r="P17" s="101">
        <f>main!O18</f>
        <v>1.2112077474594116</v>
      </c>
      <c r="Q17" s="101">
        <v>1</v>
      </c>
      <c r="R17" s="101">
        <f>main!AH18</f>
        <v>6.9815199613936061</v>
      </c>
      <c r="S17" s="655">
        <v>1</v>
      </c>
      <c r="T17" s="101">
        <f>main!AB18</f>
        <v>4.989911490032636</v>
      </c>
      <c r="U17" s="101">
        <v>1</v>
      </c>
      <c r="V17" s="101">
        <f>main!AC18</f>
        <v>10.674395921540091</v>
      </c>
      <c r="W17" s="101">
        <f t="shared" si="12"/>
        <v>11.98116011858288</v>
      </c>
      <c r="X17" s="101">
        <f t="shared" si="13"/>
        <v>1.437687979387716</v>
      </c>
      <c r="Y17" s="101">
        <f t="shared" si="14"/>
        <v>2.7292309205563328</v>
      </c>
      <c r="Z17" s="101">
        <f t="shared" si="15"/>
        <v>0.22406679708292104</v>
      </c>
      <c r="AA17" s="101">
        <f t="shared" si="1"/>
        <v>1.291542941168617</v>
      </c>
      <c r="AB17" s="101">
        <f t="shared" si="2"/>
        <v>1.9747047605593635</v>
      </c>
      <c r="AC17" s="67">
        <f>main!T18</f>
        <v>43360</v>
      </c>
      <c r="AD17" s="67">
        <f>main!U18</f>
        <v>43377</v>
      </c>
      <c r="AE17" s="67">
        <f>main!V18</f>
        <v>43368.5</v>
      </c>
      <c r="AF17" s="97">
        <f>main!H18</f>
        <v>17</v>
      </c>
      <c r="AG17" s="90">
        <f t="shared" si="3"/>
        <v>0.92310628597291589</v>
      </c>
      <c r="AH17" s="90">
        <f t="shared" si="11"/>
        <v>0.22724653793141822</v>
      </c>
      <c r="AI17" s="90">
        <f t="shared" si="4"/>
        <v>1.5993347400636761E-2</v>
      </c>
      <c r="AJ17" s="90">
        <f t="shared" si="5"/>
        <v>0.10753896262852765</v>
      </c>
      <c r="AK17" s="90">
        <f t="shared" si="6"/>
        <v>0.1197075753028906</v>
      </c>
      <c r="AL17" s="395">
        <f t="shared" si="7"/>
        <v>3.2862452330826485E-2</v>
      </c>
      <c r="AM17" s="101">
        <f>depths!$B$2</f>
        <v>776.42</v>
      </c>
      <c r="AO17" s="101">
        <f t="shared" si="8"/>
        <v>227.24653793141823</v>
      </c>
      <c r="AP17" s="101">
        <v>1</v>
      </c>
      <c r="AQ17" s="101">
        <f t="shared" si="16"/>
        <v>15.993347400636761</v>
      </c>
      <c r="AR17" s="101">
        <v>1</v>
      </c>
      <c r="AS17" s="101">
        <f t="shared" si="17"/>
        <v>107.53896262852764</v>
      </c>
      <c r="AT17" s="101">
        <v>1</v>
      </c>
      <c r="AU17" s="101">
        <f t="shared" si="18"/>
        <v>119.7075753028906</v>
      </c>
      <c r="AV17" s="101">
        <v>1</v>
      </c>
      <c r="AW17" s="101">
        <f t="shared" si="19"/>
        <v>32.862452330826486</v>
      </c>
      <c r="AX17" s="101">
        <v>1</v>
      </c>
      <c r="AY17" s="101">
        <f t="shared" si="9"/>
        <v>6.7239809112285069</v>
      </c>
      <c r="AZ17" s="101">
        <f t="shared" si="10"/>
        <v>7.4848355571970222</v>
      </c>
      <c r="BA17" s="101">
        <f>main!R18</f>
        <v>38.29</v>
      </c>
      <c r="BB17" s="101">
        <v>1</v>
      </c>
      <c r="BC17" s="101">
        <f>main!S18</f>
        <v>8.3680000000000003</v>
      </c>
      <c r="BD17" s="101">
        <v>1</v>
      </c>
    </row>
    <row r="18" spans="1:56">
      <c r="A18">
        <f>main!A19</f>
        <v>2018</v>
      </c>
      <c r="B18" t="str">
        <f>main!B19</f>
        <v>47_1000</v>
      </c>
      <c r="C18">
        <f>main!C19</f>
        <v>13</v>
      </c>
      <c r="D18" t="str">
        <f>main!$B$6</f>
        <v>McLane-PARFLUX-Mark78H-21 ; frame controller sn 12419-01, frame sn 12419-01, motor sn 12419-01, cup set O250x21</v>
      </c>
      <c r="E18">
        <v>1000</v>
      </c>
      <c r="F18">
        <v>1</v>
      </c>
      <c r="G18" s="97">
        <f>main!E19</f>
        <v>528.9</v>
      </c>
      <c r="H18" s="90">
        <f>main!I19</f>
        <v>62.223529411764702</v>
      </c>
      <c r="I18" s="101">
        <f>main!J19</f>
        <v>22.727144117647057</v>
      </c>
      <c r="J18" s="101">
        <v>1</v>
      </c>
      <c r="K18" s="101">
        <f>main!AF19</f>
        <v>68.129102447720584</v>
      </c>
      <c r="L18" s="101">
        <f>main!AG19</f>
        <v>8.1752009543419195</v>
      </c>
      <c r="M18" s="655">
        <v>1</v>
      </c>
      <c r="N18" s="101">
        <f>main!M19</f>
        <v>15.142020225524902</v>
      </c>
      <c r="O18" s="655">
        <v>1</v>
      </c>
      <c r="P18" s="101">
        <f>main!O19</f>
        <v>1.163560152053833</v>
      </c>
      <c r="Q18" s="101">
        <v>1</v>
      </c>
      <c r="R18" s="101">
        <f>main!AH19</f>
        <v>6.9668192711829828</v>
      </c>
      <c r="S18" s="655">
        <v>1</v>
      </c>
      <c r="T18" s="101">
        <f>main!AB19</f>
        <v>5.2909932683023175</v>
      </c>
      <c r="U18" s="101">
        <v>1</v>
      </c>
      <c r="V18" s="101">
        <f>main!AC19</f>
        <v>11.318468689650635</v>
      </c>
      <c r="W18" s="101">
        <f t="shared" si="12"/>
        <v>15.483799299352865</v>
      </c>
      <c r="X18" s="101">
        <f t="shared" si="13"/>
        <v>1.8579897028005457</v>
      </c>
      <c r="Y18" s="101">
        <f t="shared" si="14"/>
        <v>3.4413487589783105</v>
      </c>
      <c r="Z18" s="101">
        <f t="shared" si="15"/>
        <v>0.26444399265278784</v>
      </c>
      <c r="AA18" s="101">
        <f t="shared" si="1"/>
        <v>1.5833590561777651</v>
      </c>
      <c r="AB18" s="101">
        <f t="shared" si="2"/>
        <v>2.5723646910076581</v>
      </c>
      <c r="AC18" s="67">
        <f>main!T19</f>
        <v>43377</v>
      </c>
      <c r="AD18" s="67">
        <f>main!U19</f>
        <v>43394</v>
      </c>
      <c r="AE18" s="67">
        <f>main!V19</f>
        <v>43385.5</v>
      </c>
      <c r="AF18" s="97">
        <f>main!H19</f>
        <v>17</v>
      </c>
      <c r="AG18" s="90">
        <f t="shared" si="3"/>
        <v>1.2024916653420719</v>
      </c>
      <c r="AH18" s="90">
        <f t="shared" si="11"/>
        <v>0.28654027968179108</v>
      </c>
      <c r="AI18" s="90">
        <f t="shared" si="4"/>
        <v>1.8875374207907768E-2</v>
      </c>
      <c r="AJ18" s="90">
        <f t="shared" si="5"/>
        <v>0.13183672407808203</v>
      </c>
      <c r="AK18" s="90">
        <f t="shared" si="6"/>
        <v>0.15470355560370905</v>
      </c>
      <c r="AL18" s="395">
        <f t="shared" si="7"/>
        <v>4.2808532052049549E-2</v>
      </c>
      <c r="AM18" s="101">
        <f>depths!$B$2</f>
        <v>776.42</v>
      </c>
      <c r="AO18" s="101">
        <f t="shared" si="8"/>
        <v>286.54027968179105</v>
      </c>
      <c r="AP18" s="101">
        <v>1</v>
      </c>
      <c r="AQ18" s="101">
        <f t="shared" si="16"/>
        <v>18.875374207907768</v>
      </c>
      <c r="AR18" s="101">
        <v>1</v>
      </c>
      <c r="AS18" s="101">
        <f t="shared" si="17"/>
        <v>131.83672407808203</v>
      </c>
      <c r="AT18" s="101">
        <v>1</v>
      </c>
      <c r="AU18" s="101">
        <f t="shared" si="18"/>
        <v>154.70355560370905</v>
      </c>
      <c r="AV18" s="101">
        <v>1</v>
      </c>
      <c r="AW18" s="101">
        <f t="shared" si="19"/>
        <v>42.80853205204955</v>
      </c>
      <c r="AX18" s="101">
        <v>1</v>
      </c>
      <c r="AY18" s="101">
        <f t="shared" si="9"/>
        <v>6.9845886299223423</v>
      </c>
      <c r="AZ18" s="101">
        <f t="shared" si="10"/>
        <v>8.1960523748926022</v>
      </c>
      <c r="BA18" s="101">
        <f>main!R19</f>
        <v>39.01</v>
      </c>
      <c r="BB18" s="101">
        <v>1</v>
      </c>
      <c r="BC18" s="101">
        <f>main!S19</f>
        <v>8.4489999999999998</v>
      </c>
      <c r="BD18" s="101">
        <v>1</v>
      </c>
    </row>
    <row r="19" spans="1:56">
      <c r="A19">
        <f>main!A20</f>
        <v>2018</v>
      </c>
      <c r="B19" t="str">
        <f>main!B20</f>
        <v>47_1000</v>
      </c>
      <c r="C19">
        <f>main!C20</f>
        <v>14</v>
      </c>
      <c r="D19" t="str">
        <f>main!$B$6</f>
        <v>McLane-PARFLUX-Mark78H-21 ; frame controller sn 12419-01, frame sn 12419-01, motor sn 12419-01, cup set O250x21</v>
      </c>
      <c r="E19">
        <v>1000</v>
      </c>
      <c r="F19">
        <v>1</v>
      </c>
      <c r="G19" s="97">
        <f>main!E20</f>
        <v>667.71428571428578</v>
      </c>
      <c r="H19" s="90">
        <f>main!I20</f>
        <v>78.554621848739501</v>
      </c>
      <c r="I19" s="101">
        <f>main!J20</f>
        <v>28.692075630252106</v>
      </c>
      <c r="J19" s="101">
        <v>1</v>
      </c>
      <c r="K19" s="101">
        <f>main!AF20</f>
        <v>72.674484388031445</v>
      </c>
      <c r="L19" s="101">
        <f>main!AG20</f>
        <v>8.7206273498355689</v>
      </c>
      <c r="M19" s="655">
        <v>1</v>
      </c>
      <c r="N19" s="101">
        <f>main!M20</f>
        <v>14.642641544342041</v>
      </c>
      <c r="O19" s="655">
        <v>1</v>
      </c>
      <c r="P19" s="101">
        <f>main!O20</f>
        <v>0.96227487921714783</v>
      </c>
      <c r="Q19" s="101">
        <v>1</v>
      </c>
      <c r="R19" s="101">
        <f>main!AH20</f>
        <v>5.9220141945064722</v>
      </c>
      <c r="S19" s="655">
        <v>1</v>
      </c>
      <c r="T19" s="101">
        <f>main!AB20</f>
        <v>3.8862777681241218</v>
      </c>
      <c r="U19" s="101">
        <v>1</v>
      </c>
      <c r="V19" s="101">
        <f>main!AC20</f>
        <v>8.313507692651422</v>
      </c>
      <c r="W19" s="101">
        <f t="shared" si="12"/>
        <v>20.851818024509743</v>
      </c>
      <c r="X19" s="101">
        <f t="shared" si="13"/>
        <v>2.5021289946472716</v>
      </c>
      <c r="Y19" s="101">
        <f t="shared" si="14"/>
        <v>4.2012777861693333</v>
      </c>
      <c r="Z19" s="101">
        <f t="shared" si="15"/>
        <v>0.27609663611590113</v>
      </c>
      <c r="AA19" s="101">
        <f t="shared" si="1"/>
        <v>1.6991487915220622</v>
      </c>
      <c r="AB19" s="101">
        <f t="shared" si="2"/>
        <v>2.3853179147023726</v>
      </c>
      <c r="AC19" s="67">
        <f>main!T20</f>
        <v>43394</v>
      </c>
      <c r="AD19" s="67">
        <f>main!U20</f>
        <v>43411</v>
      </c>
      <c r="AE19" s="67">
        <f>main!V20</f>
        <v>43402.5</v>
      </c>
      <c r="AF19" s="97">
        <f>main!H20</f>
        <v>17</v>
      </c>
      <c r="AG19" s="90">
        <f t="shared" si="3"/>
        <v>1.1150537564318466</v>
      </c>
      <c r="AH19" s="90">
        <f t="shared" si="11"/>
        <v>0.34981496970602277</v>
      </c>
      <c r="AI19" s="90">
        <f t="shared" si="4"/>
        <v>1.9707111785574671E-2</v>
      </c>
      <c r="AJ19" s="90">
        <f t="shared" si="5"/>
        <v>0.14147783443147896</v>
      </c>
      <c r="AK19" s="90">
        <f t="shared" si="6"/>
        <v>0.20833713527454384</v>
      </c>
      <c r="AL19" s="395">
        <f t="shared" si="7"/>
        <v>3.9695754945953954E-2</v>
      </c>
      <c r="AM19" s="101">
        <f>depths!$B$2</f>
        <v>776.42</v>
      </c>
      <c r="AO19" s="101">
        <f t="shared" si="8"/>
        <v>349.81496970602279</v>
      </c>
      <c r="AP19" s="101">
        <v>1</v>
      </c>
      <c r="AQ19" s="101">
        <f t="shared" si="16"/>
        <v>19.707111785574671</v>
      </c>
      <c r="AR19" s="101">
        <v>1</v>
      </c>
      <c r="AS19" s="101">
        <f t="shared" si="17"/>
        <v>141.47783443147895</v>
      </c>
      <c r="AT19" s="101">
        <v>1</v>
      </c>
      <c r="AU19" s="101">
        <f t="shared" si="18"/>
        <v>208.33713527454384</v>
      </c>
      <c r="AV19" s="101">
        <v>1</v>
      </c>
      <c r="AW19" s="101">
        <f t="shared" si="19"/>
        <v>39.695754945953951</v>
      </c>
      <c r="AX19" s="101">
        <v>1</v>
      </c>
      <c r="AY19" s="101">
        <f t="shared" si="9"/>
        <v>7.1790243020308404</v>
      </c>
      <c r="AZ19" s="101">
        <f t="shared" si="10"/>
        <v>10.571672680470797</v>
      </c>
      <c r="BA19" s="101">
        <f>main!R20</f>
        <v>39.729999999999997</v>
      </c>
      <c r="BB19" s="101">
        <v>1</v>
      </c>
      <c r="BC19" s="101">
        <f>main!S20</f>
        <v>8.4209999999999994</v>
      </c>
      <c r="BD19" s="101">
        <v>1</v>
      </c>
    </row>
    <row r="20" spans="1:56">
      <c r="A20">
        <f>main!A21</f>
        <v>2018</v>
      </c>
      <c r="B20" t="str">
        <f>main!B21</f>
        <v>47_1000</v>
      </c>
      <c r="C20">
        <f>main!C21</f>
        <v>15</v>
      </c>
      <c r="D20" t="str">
        <f>main!$B$6</f>
        <v>McLane-PARFLUX-Mark78H-21 ; frame controller sn 12419-01, frame sn 12419-01, motor sn 12419-01, cup set O250x21</v>
      </c>
      <c r="E20">
        <v>1000</v>
      </c>
      <c r="F20">
        <v>1</v>
      </c>
      <c r="G20" s="97">
        <f>main!E21</f>
        <v>417.12857142857149</v>
      </c>
      <c r="H20" s="90">
        <f>main!I21</f>
        <v>49.07394957983194</v>
      </c>
      <c r="I20" s="101">
        <f>main!J21</f>
        <v>17.924260084033616</v>
      </c>
      <c r="J20" s="101">
        <v>1</v>
      </c>
      <c r="K20" s="101">
        <f>main!AF21</f>
        <v>69.718063936323162</v>
      </c>
      <c r="L20" s="101">
        <f>main!AG21</f>
        <v>8.365869538123782</v>
      </c>
      <c r="M20" s="655">
        <v>1</v>
      </c>
      <c r="N20" s="101">
        <f>main!M21</f>
        <v>15.936421394348145</v>
      </c>
      <c r="O20" s="655">
        <v>1</v>
      </c>
      <c r="P20" s="101">
        <f>main!O21</f>
        <v>1.2388161420822144</v>
      </c>
      <c r="Q20" s="101">
        <v>1</v>
      </c>
      <c r="R20" s="101">
        <f>main!AH21</f>
        <v>7.5705518562243626</v>
      </c>
      <c r="S20" s="655">
        <v>1</v>
      </c>
      <c r="T20" s="101">
        <f>main!AB21</f>
        <v>3.1913938289543204</v>
      </c>
      <c r="U20" s="101">
        <v>1</v>
      </c>
      <c r="V20" s="101">
        <f>main!AC21</f>
        <v>6.8270151364138529</v>
      </c>
      <c r="W20" s="101">
        <f t="shared" si="12"/>
        <v>12.496447105499408</v>
      </c>
      <c r="X20" s="101">
        <f t="shared" si="13"/>
        <v>1.4995202143042485</v>
      </c>
      <c r="Y20" s="101">
        <f t="shared" si="14"/>
        <v>2.8564856188105376</v>
      </c>
      <c r="Z20" s="101">
        <f t="shared" si="15"/>
        <v>0.22204862726980751</v>
      </c>
      <c r="AA20" s="101">
        <f t="shared" si="1"/>
        <v>1.3569654045062893</v>
      </c>
      <c r="AB20" s="101">
        <f t="shared" si="2"/>
        <v>1.2236919490271614</v>
      </c>
      <c r="AC20" s="67">
        <f>main!T21</f>
        <v>43411</v>
      </c>
      <c r="AD20" s="67">
        <f>main!U21</f>
        <v>43428</v>
      </c>
      <c r="AE20" s="67">
        <f>main!V21</f>
        <v>43419.5</v>
      </c>
      <c r="AF20" s="97">
        <f>main!H21</f>
        <v>17</v>
      </c>
      <c r="AG20" s="90">
        <f t="shared" si="3"/>
        <v>0.57203373020757131</v>
      </c>
      <c r="AH20" s="90">
        <f t="shared" si="11"/>
        <v>0.23784226634559014</v>
      </c>
      <c r="AI20" s="90">
        <f t="shared" si="4"/>
        <v>1.5849295308337438E-2</v>
      </c>
      <c r="AJ20" s="90">
        <f t="shared" si="5"/>
        <v>0.11298629512958279</v>
      </c>
      <c r="AK20" s="90">
        <f t="shared" si="6"/>
        <v>0.12485597121600737</v>
      </c>
      <c r="AL20" s="395">
        <f t="shared" si="7"/>
        <v>2.0364319338112186E-2</v>
      </c>
      <c r="AM20" s="101">
        <f>depths!$B$2</f>
        <v>776.42</v>
      </c>
      <c r="AO20" s="101">
        <f t="shared" si="8"/>
        <v>237.84226634559013</v>
      </c>
      <c r="AP20" s="101">
        <v>1</v>
      </c>
      <c r="AQ20" s="101">
        <f t="shared" si="16"/>
        <v>15.849295308337439</v>
      </c>
      <c r="AR20" s="101">
        <v>1</v>
      </c>
      <c r="AS20" s="101">
        <f t="shared" si="17"/>
        <v>112.98629512958279</v>
      </c>
      <c r="AT20" s="101">
        <v>1</v>
      </c>
      <c r="AU20" s="101">
        <f t="shared" si="18"/>
        <v>124.85597121600738</v>
      </c>
      <c r="AV20" s="101">
        <v>1</v>
      </c>
      <c r="AW20" s="101">
        <f t="shared" si="19"/>
        <v>20.364319338112185</v>
      </c>
      <c r="AX20" s="101">
        <v>1</v>
      </c>
      <c r="AY20" s="101">
        <f t="shared" si="9"/>
        <v>7.128789825131653</v>
      </c>
      <c r="AZ20" s="101">
        <f t="shared" si="10"/>
        <v>7.8776985845123058</v>
      </c>
      <c r="BA20" s="101">
        <f>main!R21</f>
        <v>37.72</v>
      </c>
      <c r="BB20" s="101">
        <v>1</v>
      </c>
      <c r="BC20" s="101">
        <f>main!S21</f>
        <v>8.266</v>
      </c>
      <c r="BD20" s="101">
        <v>1</v>
      </c>
    </row>
    <row r="21" spans="1:56">
      <c r="A21">
        <f>main!A22</f>
        <v>2018</v>
      </c>
      <c r="B21" t="str">
        <f>main!B22</f>
        <v>47_1000</v>
      </c>
      <c r="C21">
        <f>main!C22</f>
        <v>16</v>
      </c>
      <c r="D21" t="str">
        <f>main!$B$6</f>
        <v>McLane-PARFLUX-Mark78H-21 ; frame controller sn 12419-01, frame sn 12419-01, motor sn 12419-01, cup set O250x21</v>
      </c>
      <c r="E21">
        <v>1000</v>
      </c>
      <c r="F21">
        <v>1</v>
      </c>
      <c r="G21" s="97">
        <f>main!E22</f>
        <v>150.07142857142856</v>
      </c>
      <c r="H21" s="90">
        <f>main!I22</f>
        <v>17.655462184873947</v>
      </c>
      <c r="I21" s="101">
        <f>main!J22</f>
        <v>6.4486575630252094</v>
      </c>
      <c r="J21" s="101">
        <v>1</v>
      </c>
      <c r="K21" s="101">
        <f>main!AF22</f>
        <v>53.863813456594855</v>
      </c>
      <c r="L21" s="101">
        <f>main!AG22</f>
        <v>6.4634272778326052</v>
      </c>
      <c r="M21" s="655">
        <v>1</v>
      </c>
      <c r="N21" s="101">
        <f>main!M22</f>
        <v>21.282453536987305</v>
      </c>
      <c r="O21" s="655">
        <v>1</v>
      </c>
      <c r="P21" s="101">
        <f>main!O22</f>
        <v>2.6349039077758789</v>
      </c>
      <c r="Q21" s="101">
        <v>1</v>
      </c>
      <c r="R21" s="101">
        <f>main!AH22</f>
        <v>14.8190262591547</v>
      </c>
      <c r="S21" s="655">
        <v>1</v>
      </c>
      <c r="T21" s="101">
        <f>main!AB22</f>
        <v>2.4138138849839077</v>
      </c>
      <c r="U21" s="101">
        <v>1</v>
      </c>
      <c r="V21" s="101">
        <f>main!AC22</f>
        <v>5.1636196635344609</v>
      </c>
      <c r="W21" s="101">
        <f t="shared" si="12"/>
        <v>3.4734928802024947</v>
      </c>
      <c r="X21" s="101">
        <f t="shared" si="13"/>
        <v>0.41680429198258667</v>
      </c>
      <c r="Y21" s="101">
        <f t="shared" si="14"/>
        <v>1.3724325496102581</v>
      </c>
      <c r="Z21" s="101">
        <f t="shared" si="15"/>
        <v>0.16991593012723602</v>
      </c>
      <c r="AA21" s="101">
        <f t="shared" si="1"/>
        <v>0.95562825762767134</v>
      </c>
      <c r="AB21" s="101">
        <f t="shared" si="2"/>
        <v>0.33298414995837189</v>
      </c>
      <c r="AC21" s="67">
        <f>main!T22</f>
        <v>43428</v>
      </c>
      <c r="AD21" s="67">
        <f>main!U22</f>
        <v>43445</v>
      </c>
      <c r="AE21" s="67">
        <f>main!V22</f>
        <v>43436.5</v>
      </c>
      <c r="AF21" s="97">
        <f>main!H22</f>
        <v>17</v>
      </c>
      <c r="AG21" s="90">
        <f t="shared" si="3"/>
        <v>0.15565859165136739</v>
      </c>
      <c r="AH21" s="90">
        <f t="shared" si="11"/>
        <v>0.11427415067529209</v>
      </c>
      <c r="AI21" s="90">
        <f t="shared" si="4"/>
        <v>1.212818915968851E-2</v>
      </c>
      <c r="AJ21" s="90">
        <f t="shared" si="5"/>
        <v>7.9569380318707028E-2</v>
      </c>
      <c r="AK21" s="90">
        <f t="shared" si="6"/>
        <v>3.470477035658507E-2</v>
      </c>
      <c r="AL21" s="395">
        <f t="shared" si="7"/>
        <v>5.5414236970938906E-3</v>
      </c>
      <c r="AM21" s="101">
        <f>depths!$B$2</f>
        <v>776.42</v>
      </c>
      <c r="AO21" s="101">
        <f t="shared" si="8"/>
        <v>114.27415067529209</v>
      </c>
      <c r="AP21" s="101">
        <v>1</v>
      </c>
      <c r="AQ21" s="101">
        <f t="shared" si="16"/>
        <v>12.12818915968851</v>
      </c>
      <c r="AR21" s="101">
        <v>1</v>
      </c>
      <c r="AS21" s="101">
        <f t="shared" si="17"/>
        <v>79.569380318707033</v>
      </c>
      <c r="AT21" s="101">
        <v>1</v>
      </c>
      <c r="AU21" s="101">
        <f t="shared" si="18"/>
        <v>34.704770356585072</v>
      </c>
      <c r="AV21" s="101">
        <v>1</v>
      </c>
      <c r="AW21" s="101">
        <f t="shared" si="19"/>
        <v>5.541423697093891</v>
      </c>
      <c r="AX21" s="101">
        <v>1</v>
      </c>
      <c r="AY21" s="101">
        <f t="shared" si="9"/>
        <v>6.5606975015840385</v>
      </c>
      <c r="AZ21" s="101">
        <f t="shared" si="10"/>
        <v>2.8614964608184259</v>
      </c>
      <c r="BA21" s="101">
        <f>main!R22</f>
        <v>38.19</v>
      </c>
      <c r="BB21" s="101">
        <v>1</v>
      </c>
      <c r="BC21" s="101">
        <f>main!S22</f>
        <v>8.3539999999999992</v>
      </c>
      <c r="BD21" s="101">
        <v>1</v>
      </c>
    </row>
    <row r="22" spans="1:56">
      <c r="A22">
        <f>main!A23</f>
        <v>2018</v>
      </c>
      <c r="B22" t="str">
        <f>main!B23</f>
        <v>47_1000</v>
      </c>
      <c r="C22">
        <f>main!C23</f>
        <v>17</v>
      </c>
      <c r="D22" t="str">
        <f>main!$B$6</f>
        <v>McLane-PARFLUX-Mark78H-21 ; frame controller sn 12419-01, frame sn 12419-01, motor sn 12419-01, cup set O250x21</v>
      </c>
      <c r="E22">
        <v>1000</v>
      </c>
      <c r="F22">
        <v>1</v>
      </c>
      <c r="G22" s="97">
        <f>main!E23</f>
        <v>117.07142857142856</v>
      </c>
      <c r="H22" s="90">
        <f>main!I23</f>
        <v>13.773109243697476</v>
      </c>
      <c r="I22" s="101">
        <f>main!J23</f>
        <v>5.0306281512605038</v>
      </c>
      <c r="J22" s="101">
        <v>1</v>
      </c>
      <c r="K22" s="101">
        <f>main!AF23</f>
        <v>53.121151206821395</v>
      </c>
      <c r="L22" s="101">
        <f>main!AG23</f>
        <v>6.3743109836944196</v>
      </c>
      <c r="M22" s="655">
        <v>1</v>
      </c>
      <c r="N22" s="101">
        <f>main!M23</f>
        <v>22.321132659912109</v>
      </c>
      <c r="O22" s="655">
        <v>1</v>
      </c>
      <c r="P22" s="101">
        <f>main!O23</f>
        <v>2.7832210063934326</v>
      </c>
      <c r="Q22" s="101">
        <v>1</v>
      </c>
      <c r="R22" s="101">
        <f>main!AH23</f>
        <v>15.94682167621769</v>
      </c>
      <c r="S22" s="655">
        <v>1</v>
      </c>
      <c r="T22" s="101">
        <f>main!AB23</f>
        <v>3.0719049634190676</v>
      </c>
      <c r="U22" s="101">
        <v>1</v>
      </c>
      <c r="V22" s="101">
        <f>main!AC23</f>
        <v>6.5714050997455251</v>
      </c>
      <c r="W22" s="101">
        <f t="shared" si="12"/>
        <v>2.6723275868840157</v>
      </c>
      <c r="X22" s="101">
        <f t="shared" si="13"/>
        <v>0.32066788279462183</v>
      </c>
      <c r="Y22" s="101">
        <f t="shared" si="14"/>
        <v>1.1228931832697411</v>
      </c>
      <c r="Z22" s="101">
        <f t="shared" si="15"/>
        <v>0.14001349945942393</v>
      </c>
      <c r="AA22" s="101">
        <f t="shared" ref="AA22:AA31" si="20">(R22/100)*$I22</f>
        <v>0.80222530047511931</v>
      </c>
      <c r="AB22" s="101">
        <f t="shared" si="2"/>
        <v>0.33058295488116679</v>
      </c>
      <c r="AC22" s="67">
        <f>main!T23</f>
        <v>43445</v>
      </c>
      <c r="AD22" s="67">
        <f>main!U23</f>
        <v>43462</v>
      </c>
      <c r="AE22" s="67">
        <f>main!V23</f>
        <v>43453.5</v>
      </c>
      <c r="AF22" s="97">
        <f>main!H23</f>
        <v>17</v>
      </c>
      <c r="AG22" s="90">
        <f t="shared" si="3"/>
        <v>0.15453611586972829</v>
      </c>
      <c r="AH22" s="90">
        <f t="shared" si="11"/>
        <v>9.3496518174000093E-2</v>
      </c>
      <c r="AI22" s="90">
        <f t="shared" si="4"/>
        <v>9.9938258001016373E-3</v>
      </c>
      <c r="AJ22" s="90">
        <f t="shared" si="5"/>
        <v>6.6796444669035754E-2</v>
      </c>
      <c r="AK22" s="90">
        <f t="shared" si="6"/>
        <v>2.6700073504964349E-2</v>
      </c>
      <c r="AL22" s="395">
        <f t="shared" si="7"/>
        <v>5.5014637191074505E-3</v>
      </c>
      <c r="AM22" s="101">
        <f>depths!$B$2</f>
        <v>776.42</v>
      </c>
      <c r="AO22" s="101">
        <f t="shared" si="8"/>
        <v>93.496518174000087</v>
      </c>
      <c r="AP22" s="101">
        <v>1</v>
      </c>
      <c r="AQ22" s="101">
        <f t="shared" si="16"/>
        <v>9.9938258001016376</v>
      </c>
      <c r="AR22" s="101">
        <v>1</v>
      </c>
      <c r="AS22" s="101">
        <f t="shared" si="17"/>
        <v>66.796444669035751</v>
      </c>
      <c r="AT22" s="101">
        <v>1</v>
      </c>
      <c r="AU22" s="101">
        <f t="shared" si="18"/>
        <v>26.700073504964351</v>
      </c>
      <c r="AV22" s="101">
        <v>1</v>
      </c>
      <c r="AW22" s="101">
        <f t="shared" si="19"/>
        <v>5.5014637191074502</v>
      </c>
      <c r="AX22" s="101">
        <v>1</v>
      </c>
      <c r="AY22" s="101">
        <f t="shared" si="9"/>
        <v>6.6837711608257599</v>
      </c>
      <c r="AZ22" s="101">
        <f t="shared" si="10"/>
        <v>2.671656884863133</v>
      </c>
      <c r="BA22" s="101">
        <f>main!R23</f>
        <v>37.445</v>
      </c>
      <c r="BB22" s="101">
        <v>1</v>
      </c>
      <c r="BC22" s="101">
        <f>main!S23</f>
        <v>8.3795000000000002</v>
      </c>
      <c r="BD22" s="101">
        <v>1</v>
      </c>
    </row>
    <row r="23" spans="1:56">
      <c r="A23">
        <f>main!A24</f>
        <v>2018</v>
      </c>
      <c r="B23" t="str">
        <f>main!B24</f>
        <v>47_1000</v>
      </c>
      <c r="C23">
        <f>main!C24</f>
        <v>18</v>
      </c>
      <c r="D23" t="str">
        <f>main!$B$6</f>
        <v>McLane-PARFLUX-Mark78H-21 ; frame controller sn 12419-01, frame sn 12419-01, motor sn 12419-01, cup set O250x21</v>
      </c>
      <c r="E23">
        <v>1000</v>
      </c>
      <c r="F23">
        <v>1</v>
      </c>
      <c r="G23" s="97">
        <f>main!E24</f>
        <v>269.42857142857144</v>
      </c>
      <c r="H23" s="90">
        <f>main!I24</f>
        <v>31.69747899159664</v>
      </c>
      <c r="I23" s="101">
        <f>main!J24</f>
        <v>11.577504201680673</v>
      </c>
      <c r="J23" s="101">
        <v>1</v>
      </c>
      <c r="K23" s="101">
        <f>main!AF24</f>
        <v>54.888539067690488</v>
      </c>
      <c r="L23" s="101">
        <f>main!AG24</f>
        <v>6.5863899691464391</v>
      </c>
      <c r="M23" s="655">
        <v>1</v>
      </c>
      <c r="N23" s="101">
        <f>main!M24</f>
        <v>16.888715744018555</v>
      </c>
      <c r="O23" s="655">
        <v>1</v>
      </c>
      <c r="P23" s="101">
        <f>main!O24</f>
        <v>1.7875549793243408</v>
      </c>
      <c r="Q23" s="101">
        <v>1</v>
      </c>
      <c r="R23" s="101">
        <f>main!AH24</f>
        <v>10.302325774872116</v>
      </c>
      <c r="S23" s="655">
        <v>1</v>
      </c>
      <c r="T23" s="101">
        <f>main!AB24</f>
        <v>5.8894588655587841</v>
      </c>
      <c r="U23" s="101">
        <v>1</v>
      </c>
      <c r="V23" s="101">
        <f>main!AC24</f>
        <v>12.59870356822454</v>
      </c>
      <c r="W23" s="101">
        <f t="shared" si="12"/>
        <v>6.3547229168030039</v>
      </c>
      <c r="X23" s="101">
        <f t="shared" si="13"/>
        <v>0.76253957541700335</v>
      </c>
      <c r="Y23" s="101">
        <f t="shared" si="14"/>
        <v>1.9552917748736534</v>
      </c>
      <c r="Z23" s="101">
        <f t="shared" si="15"/>
        <v>0.20695425283862767</v>
      </c>
      <c r="AA23" s="101">
        <f t="shared" si="20"/>
        <v>1.1927521994566501</v>
      </c>
      <c r="AB23" s="101">
        <f t="shared" si="2"/>
        <v>1.458615434968489</v>
      </c>
      <c r="AC23" s="67">
        <f>main!T24</f>
        <v>43462</v>
      </c>
      <c r="AD23" s="67">
        <f>main!U24</f>
        <v>43479</v>
      </c>
      <c r="AE23" s="67">
        <f>main!V24</f>
        <v>43470.5</v>
      </c>
      <c r="AF23" s="97">
        <f>main!H24</f>
        <v>17</v>
      </c>
      <c r="AG23" s="90">
        <f t="shared" si="3"/>
        <v>0.68185234761632307</v>
      </c>
      <c r="AH23" s="90">
        <f t="shared" si="11"/>
        <v>0.16280531014768138</v>
      </c>
      <c r="AI23" s="90">
        <f t="shared" si="4"/>
        <v>1.4771895277560862E-2</v>
      </c>
      <c r="AJ23" s="90">
        <f t="shared" si="5"/>
        <v>9.9313255575074949E-2</v>
      </c>
      <c r="AK23" s="90">
        <f t="shared" si="6"/>
        <v>6.3492054572606441E-2</v>
      </c>
      <c r="AL23" s="395">
        <f t="shared" si="7"/>
        <v>2.4273846479755182E-2</v>
      </c>
      <c r="AM23" s="101">
        <f>depths!$B$2</f>
        <v>776.42</v>
      </c>
      <c r="AO23" s="101">
        <f t="shared" si="8"/>
        <v>162.80531014768138</v>
      </c>
      <c r="AP23" s="101">
        <v>1</v>
      </c>
      <c r="AQ23" s="101">
        <f t="shared" si="16"/>
        <v>14.771895277560862</v>
      </c>
      <c r="AR23" s="101">
        <v>1</v>
      </c>
      <c r="AS23" s="101">
        <f t="shared" si="17"/>
        <v>99.313255575074948</v>
      </c>
      <c r="AT23" s="101">
        <v>1</v>
      </c>
      <c r="AU23" s="101">
        <f t="shared" si="18"/>
        <v>63.492054572606442</v>
      </c>
      <c r="AV23" s="101">
        <v>1</v>
      </c>
      <c r="AW23" s="101">
        <f t="shared" si="19"/>
        <v>24.273846479755182</v>
      </c>
      <c r="AX23" s="101">
        <v>1</v>
      </c>
      <c r="AY23" s="101">
        <f t="shared" si="9"/>
        <v>6.7231220983495605</v>
      </c>
      <c r="AZ23" s="101">
        <f t="shared" si="10"/>
        <v>4.2981657654352299</v>
      </c>
      <c r="BA23" s="101">
        <f>main!R24</f>
        <v>39.44</v>
      </c>
      <c r="BB23" s="101">
        <v>1</v>
      </c>
      <c r="BC23" s="101">
        <f>main!S24</f>
        <v>8.4499999999999993</v>
      </c>
      <c r="BD23" s="101">
        <v>1</v>
      </c>
    </row>
    <row r="24" spans="1:56">
      <c r="A24">
        <f>main!A25</f>
        <v>2018</v>
      </c>
      <c r="B24" t="str">
        <f>main!B25</f>
        <v>47_1000</v>
      </c>
      <c r="C24">
        <f>main!C25</f>
        <v>19</v>
      </c>
      <c r="D24" t="str">
        <f>main!$B$6</f>
        <v>McLane-PARFLUX-Mark78H-21 ; frame controller sn 12419-01, frame sn 12419-01, motor sn 12419-01, cup set O250x21</v>
      </c>
      <c r="E24">
        <v>1000</v>
      </c>
      <c r="F24">
        <v>1</v>
      </c>
      <c r="G24" s="97">
        <f>main!E25</f>
        <v>315.14285714285717</v>
      </c>
      <c r="H24" s="90">
        <f>main!I25</f>
        <v>37.075630252100844</v>
      </c>
      <c r="I24" s="101">
        <f>main!J25</f>
        <v>13.541873949579834</v>
      </c>
      <c r="J24" s="101">
        <v>2</v>
      </c>
      <c r="K24" s="101">
        <f>main!AF25</f>
        <v>42.521045153292263</v>
      </c>
      <c r="L24" s="101">
        <f>main!AG25</f>
        <v>5.1023435863338769</v>
      </c>
      <c r="M24" s="655">
        <v>2</v>
      </c>
      <c r="N24" s="101">
        <f>main!M25</f>
        <v>18.287374496459961</v>
      </c>
      <c r="O24" s="655">
        <v>2</v>
      </c>
      <c r="P24" s="101">
        <f>main!O25</f>
        <v>2.4158401489257813</v>
      </c>
      <c r="Q24" s="101">
        <v>2</v>
      </c>
      <c r="R24" s="101">
        <f>main!AH25</f>
        <v>13.185030910126084</v>
      </c>
      <c r="S24" s="655">
        <v>2</v>
      </c>
      <c r="T24" s="101">
        <f>main!AB25</f>
        <v>4.2840596150028123</v>
      </c>
      <c r="U24" s="101">
        <v>2</v>
      </c>
      <c r="V24" s="101">
        <f>main!AC25</f>
        <v>9.1644408068892496</v>
      </c>
      <c r="W24" s="101">
        <f t="shared" si="12"/>
        <v>5.7581463367027634</v>
      </c>
      <c r="X24" s="101">
        <f t="shared" si="13"/>
        <v>0.69095293693580473</v>
      </c>
      <c r="Y24" s="101">
        <f t="shared" si="14"/>
        <v>2.4764532029982176</v>
      </c>
      <c r="Z24" s="101">
        <f t="shared" si="15"/>
        <v>0.32715002779087105</v>
      </c>
      <c r="AA24" s="101">
        <f t="shared" si="20"/>
        <v>1.7855002660624131</v>
      </c>
      <c r="AB24" s="101">
        <f t="shared" si="2"/>
        <v>1.2410370222527993</v>
      </c>
      <c r="AC24" s="67">
        <f>main!T25</f>
        <v>43479</v>
      </c>
      <c r="AD24" s="67">
        <f>main!U25</f>
        <v>43496</v>
      </c>
      <c r="AE24" s="67">
        <f>main!V25</f>
        <v>43487.5</v>
      </c>
      <c r="AF24" s="97">
        <f>main!H25</f>
        <v>17</v>
      </c>
      <c r="AG24" s="90">
        <f t="shared" si="3"/>
        <v>0.58014195298853599</v>
      </c>
      <c r="AH24" s="90">
        <f t="shared" si="11"/>
        <v>0.20619926752691237</v>
      </c>
      <c r="AI24" s="90">
        <f t="shared" si="4"/>
        <v>2.3351179713838047E-2</v>
      </c>
      <c r="AJ24" s="90">
        <f t="shared" si="5"/>
        <v>0.14866779900602939</v>
      </c>
      <c r="AK24" s="90">
        <f t="shared" si="6"/>
        <v>5.7531468520882992E-2</v>
      </c>
      <c r="AL24" s="395">
        <f t="shared" si="7"/>
        <v>2.0652970914508222E-2</v>
      </c>
      <c r="AM24" s="101">
        <f>depths!$B$2</f>
        <v>776.42</v>
      </c>
      <c r="AO24" s="101">
        <f t="shared" si="8"/>
        <v>206.19926752691237</v>
      </c>
      <c r="AP24" s="101">
        <v>2</v>
      </c>
      <c r="AQ24" s="101">
        <f t="shared" si="16"/>
        <v>23.351179713838047</v>
      </c>
      <c r="AR24" s="101">
        <v>2</v>
      </c>
      <c r="AS24" s="101">
        <f t="shared" si="17"/>
        <v>148.66779900602938</v>
      </c>
      <c r="AT24" s="101">
        <v>2</v>
      </c>
      <c r="AU24" s="101">
        <f t="shared" si="18"/>
        <v>57.531468520882989</v>
      </c>
      <c r="AV24" s="101">
        <v>2</v>
      </c>
      <c r="AW24" s="101">
        <f t="shared" si="19"/>
        <v>20.652970914508224</v>
      </c>
      <c r="AX24" s="101">
        <v>2</v>
      </c>
      <c r="AY24" s="101">
        <f t="shared" si="9"/>
        <v>6.3666076330151311</v>
      </c>
      <c r="AZ24" s="101">
        <f t="shared" si="10"/>
        <v>2.4637499786269683</v>
      </c>
      <c r="BA24" s="101">
        <f>main!R25</f>
        <v>38.979999999999997</v>
      </c>
      <c r="BB24" s="101">
        <v>1</v>
      </c>
      <c r="BC24" s="101">
        <f>main!S25</f>
        <v>8.3770000000000007</v>
      </c>
      <c r="BD24" s="101">
        <v>1</v>
      </c>
    </row>
    <row r="25" spans="1:56">
      <c r="A25">
        <f>main!A26</f>
        <v>2018</v>
      </c>
      <c r="B25" t="str">
        <f>main!B26</f>
        <v>47_1000</v>
      </c>
      <c r="C25">
        <f>main!C26</f>
        <v>20</v>
      </c>
      <c r="D25" t="str">
        <f>main!$B$6</f>
        <v>McLane-PARFLUX-Mark78H-21 ; frame controller sn 12419-01, frame sn 12419-01, motor sn 12419-01, cup set O250x21</v>
      </c>
      <c r="E25">
        <v>1000</v>
      </c>
      <c r="F25">
        <v>1</v>
      </c>
      <c r="G25" s="97">
        <f>main!E26</f>
        <v>300.71428571428572</v>
      </c>
      <c r="H25" s="90">
        <f>main!I26</f>
        <v>35.378151260504204</v>
      </c>
      <c r="I25" s="101">
        <f>main!J26</f>
        <v>12.92186974789916</v>
      </c>
      <c r="J25" s="101">
        <v>1</v>
      </c>
      <c r="K25" s="101">
        <f>main!AF26</f>
        <v>58.033841127246092</v>
      </c>
      <c r="L25" s="101">
        <f>main!AG26</f>
        <v>6.963812766088525</v>
      </c>
      <c r="M25" s="655">
        <v>1</v>
      </c>
      <c r="N25" s="101">
        <f>main!M26</f>
        <v>15.935337066650391</v>
      </c>
      <c r="O25" s="655">
        <v>1</v>
      </c>
      <c r="P25" s="101">
        <f>main!O26</f>
        <v>1.5406123399734497</v>
      </c>
      <c r="Q25" s="101">
        <v>1</v>
      </c>
      <c r="R25" s="101">
        <f>main!AH26</f>
        <v>8.9715243005618657</v>
      </c>
      <c r="S25" s="655">
        <v>1</v>
      </c>
      <c r="T25" s="101">
        <f>main!AB26</f>
        <v>6.8323837752053782</v>
      </c>
      <c r="U25" s="101">
        <v>1</v>
      </c>
      <c r="V25" s="101">
        <f>main!AC26</f>
        <v>14.615804238237493</v>
      </c>
      <c r="W25" s="101">
        <f t="shared" si="12"/>
        <v>7.4990573601654731</v>
      </c>
      <c r="X25" s="101">
        <f t="shared" si="13"/>
        <v>0.89985481512153276</v>
      </c>
      <c r="Y25" s="101">
        <f t="shared" si="14"/>
        <v>2.0591434996412583</v>
      </c>
      <c r="Z25" s="101">
        <f t="shared" si="15"/>
        <v>0.19907591989143056</v>
      </c>
      <c r="AA25" s="101">
        <f t="shared" si="20"/>
        <v>1.1592886845197254</v>
      </c>
      <c r="AB25" s="101">
        <f t="shared" si="2"/>
        <v>1.8886351862729738</v>
      </c>
      <c r="AC25" s="67">
        <f>main!T26</f>
        <v>43496</v>
      </c>
      <c r="AD25" s="67">
        <f>main!U26</f>
        <v>43513</v>
      </c>
      <c r="AE25" s="67">
        <f>main!V26</f>
        <v>43504.5</v>
      </c>
      <c r="AF25" s="97">
        <f>main!H26</f>
        <v>17</v>
      </c>
      <c r="AG25" s="90">
        <f t="shared" si="3"/>
        <v>0.88287173210863434</v>
      </c>
      <c r="AH25" s="90">
        <f t="shared" si="11"/>
        <v>0.17145241462458438</v>
      </c>
      <c r="AI25" s="90">
        <f t="shared" si="4"/>
        <v>1.4209558878760211E-2</v>
      </c>
      <c r="AJ25" s="90">
        <f t="shared" si="5"/>
        <v>9.6526951250601623E-2</v>
      </c>
      <c r="AK25" s="90">
        <f t="shared" si="6"/>
        <v>7.4925463373982745E-2</v>
      </c>
      <c r="AL25" s="395">
        <f t="shared" si="7"/>
        <v>3.1430107942635614E-2</v>
      </c>
      <c r="AM25" s="101">
        <f>depths!$B$2</f>
        <v>776.42</v>
      </c>
      <c r="AO25" s="101">
        <f t="shared" si="8"/>
        <v>171.45241462458438</v>
      </c>
      <c r="AP25" s="101">
        <v>1</v>
      </c>
      <c r="AQ25" s="101">
        <f t="shared" si="16"/>
        <v>14.209558878760211</v>
      </c>
      <c r="AR25" s="101">
        <v>1</v>
      </c>
      <c r="AS25" s="101">
        <f t="shared" si="17"/>
        <v>96.526951250601627</v>
      </c>
      <c r="AT25" s="101">
        <v>1</v>
      </c>
      <c r="AU25" s="101">
        <f t="shared" si="18"/>
        <v>74.925463373982751</v>
      </c>
      <c r="AV25" s="101">
        <v>1</v>
      </c>
      <c r="AW25" s="101">
        <f t="shared" si="19"/>
        <v>31.430107942635615</v>
      </c>
      <c r="AX25" s="101">
        <v>1</v>
      </c>
      <c r="AY25" s="101">
        <f t="shared" si="9"/>
        <v>6.7930997770019195</v>
      </c>
      <c r="AZ25" s="101">
        <f t="shared" si="10"/>
        <v>5.2728915804682623</v>
      </c>
      <c r="BA25" s="101">
        <f>main!R26</f>
        <v>39.76</v>
      </c>
      <c r="BB25" s="101">
        <v>1</v>
      </c>
      <c r="BC25" s="101">
        <f>main!S26</f>
        <v>8.4849999999999994</v>
      </c>
      <c r="BD25" s="101">
        <v>1</v>
      </c>
    </row>
    <row r="26" spans="1:56">
      <c r="A26">
        <f>main!A27</f>
        <v>2018</v>
      </c>
      <c r="B26" t="str">
        <f>main!B27</f>
        <v>47_1000</v>
      </c>
      <c r="C26">
        <f>main!C27</f>
        <v>21</v>
      </c>
      <c r="D26" t="str">
        <f>main!$B$6</f>
        <v>McLane-PARFLUX-Mark78H-21 ; frame controller sn 12419-01, frame sn 12419-01, motor sn 12419-01, cup set O250x21</v>
      </c>
      <c r="E26">
        <v>1000</v>
      </c>
      <c r="F26">
        <v>1</v>
      </c>
      <c r="G26" s="97">
        <f>main!E27</f>
        <v>392.88571428571436</v>
      </c>
      <c r="H26" s="90">
        <f>main!I27</f>
        <v>46.221848739495805</v>
      </c>
      <c r="I26" s="101">
        <f>main!J27</f>
        <v>16.882530252100846</v>
      </c>
      <c r="J26" s="101">
        <v>1</v>
      </c>
      <c r="K26" s="101">
        <f>main!AF27</f>
        <v>65.025254990167966</v>
      </c>
      <c r="L26" s="101">
        <f>main!AG27</f>
        <v>7.8027525323685447</v>
      </c>
      <c r="M26" s="655">
        <v>1</v>
      </c>
      <c r="N26" s="101">
        <f>main!M27</f>
        <v>13.513463020324707</v>
      </c>
      <c r="O26" s="655">
        <v>1</v>
      </c>
      <c r="P26" s="101">
        <f>main!O27</f>
        <v>0.72829163074493408</v>
      </c>
      <c r="Q26" s="101">
        <v>1</v>
      </c>
      <c r="R26" s="101">
        <f>main!AH27</f>
        <v>5.7107104879561623</v>
      </c>
      <c r="S26" s="655">
        <v>1</v>
      </c>
      <c r="T26" s="101">
        <f>main!AB27</f>
        <v>6.0113129714439664</v>
      </c>
      <c r="U26" s="101">
        <v>1</v>
      </c>
      <c r="V26" s="101">
        <f>main!AC27</f>
        <v>12.859373316271553</v>
      </c>
      <c r="W26" s="101">
        <f t="shared" si="12"/>
        <v>10.977908345220822</v>
      </c>
      <c r="X26" s="101">
        <f t="shared" si="13"/>
        <v>1.3173020567736846</v>
      </c>
      <c r="Y26" s="101">
        <f t="shared" si="14"/>
        <v>2.2814144825127793</v>
      </c>
      <c r="Z26" s="101">
        <f t="shared" si="15"/>
        <v>0.12295405488403208</v>
      </c>
      <c r="AA26" s="101">
        <f t="shared" si="20"/>
        <v>0.96411242573909495</v>
      </c>
      <c r="AB26" s="101">
        <f t="shared" si="2"/>
        <v>2.1709875903501286</v>
      </c>
      <c r="AC26" s="67">
        <f>main!T27</f>
        <v>43513</v>
      </c>
      <c r="AD26" s="67">
        <f>main!U27</f>
        <v>43530</v>
      </c>
      <c r="AE26" s="67">
        <f>main!V27</f>
        <v>43521.5</v>
      </c>
      <c r="AF26" s="97">
        <f>main!H27</f>
        <v>17</v>
      </c>
      <c r="AG26" s="90">
        <f t="shared" si="3"/>
        <v>1.0148617309524899</v>
      </c>
      <c r="AH26" s="90">
        <f t="shared" si="11"/>
        <v>0.18995957389781676</v>
      </c>
      <c r="AI26" s="90">
        <f t="shared" si="4"/>
        <v>8.7761638032856585E-3</v>
      </c>
      <c r="AJ26" s="90">
        <f t="shared" si="5"/>
        <v>8.0275805640224393E-2</v>
      </c>
      <c r="AK26" s="90">
        <f t="shared" si="6"/>
        <v>0.10968376825759239</v>
      </c>
      <c r="AL26" s="395">
        <f t="shared" si="7"/>
        <v>3.6128933106176216E-2</v>
      </c>
      <c r="AM26" s="101">
        <f>depths!$B$2</f>
        <v>776.42</v>
      </c>
      <c r="AO26" s="101">
        <f t="shared" si="8"/>
        <v>189.95957389781677</v>
      </c>
      <c r="AP26" s="101">
        <v>1</v>
      </c>
      <c r="AQ26" s="101">
        <f t="shared" si="16"/>
        <v>8.7761638032856588</v>
      </c>
      <c r="AR26" s="101">
        <v>1</v>
      </c>
      <c r="AS26" s="101">
        <f t="shared" si="17"/>
        <v>80.275805640224391</v>
      </c>
      <c r="AT26" s="101">
        <v>1</v>
      </c>
      <c r="AU26" s="101">
        <f t="shared" si="18"/>
        <v>109.68376825759239</v>
      </c>
      <c r="AV26" s="101">
        <v>1</v>
      </c>
      <c r="AW26" s="101">
        <f t="shared" si="19"/>
        <v>36.128933106176213</v>
      </c>
      <c r="AX26" s="101">
        <v>1</v>
      </c>
      <c r="AY26" s="101">
        <f t="shared" si="9"/>
        <v>9.1470268148562113</v>
      </c>
      <c r="AZ26" s="101">
        <f t="shared" si="10"/>
        <v>12.497917167011913</v>
      </c>
      <c r="BA26" s="101">
        <f>main!R27</f>
        <v>39.979999999999997</v>
      </c>
      <c r="BB26" s="101">
        <v>1</v>
      </c>
      <c r="BC26" s="101">
        <f>main!S27</f>
        <v>8.5739999999999998</v>
      </c>
      <c r="BD26" s="101">
        <v>1</v>
      </c>
    </row>
    <row r="27" spans="1:56">
      <c r="A27">
        <f>main!A31</f>
        <v>2018</v>
      </c>
      <c r="B27" t="str">
        <f>main!B31</f>
        <v>47_2000</v>
      </c>
      <c r="C27">
        <v>1</v>
      </c>
      <c r="D27" t="str">
        <f>main!$B$30</f>
        <v>McLane-PARFLUX-Mark78H-21 ; frame controller sn 12419-02, frame sn 12419-02, motor sn 12419-02, cup set S250x21</v>
      </c>
      <c r="E27">
        <v>2000</v>
      </c>
      <c r="F27">
        <v>1</v>
      </c>
      <c r="G27" s="97">
        <f>main!E31</f>
        <v>478.12857142857138</v>
      </c>
      <c r="H27" s="90">
        <f>main!I31</f>
        <v>56.250420168067222</v>
      </c>
      <c r="I27" s="101">
        <f>main!J31</f>
        <v>20.545465966386555</v>
      </c>
      <c r="J27" s="101">
        <v>1</v>
      </c>
      <c r="K27" s="101">
        <f>main!AF31</f>
        <v>76.460712308064089</v>
      </c>
      <c r="L27" s="101">
        <f>main!AG31</f>
        <v>9.1749585092539565</v>
      </c>
      <c r="M27" s="655">
        <v>1</v>
      </c>
      <c r="N27" s="101">
        <f>main!M31</f>
        <v>15.315581321716309</v>
      </c>
      <c r="O27" s="655">
        <v>1</v>
      </c>
      <c r="P27" s="101">
        <f>main!O31</f>
        <v>1.025126576423645</v>
      </c>
      <c r="Q27" s="101">
        <v>1</v>
      </c>
      <c r="R27" s="101">
        <f>main!AH31</f>
        <v>6.1406228124623521</v>
      </c>
      <c r="S27" s="655">
        <v>1</v>
      </c>
      <c r="T27" s="101">
        <f>main!AB31</f>
        <v>3.7894980519616905</v>
      </c>
      <c r="U27" s="101">
        <v>1</v>
      </c>
      <c r="V27" s="101">
        <f>main!AC31</f>
        <v>8.1064769648407982</v>
      </c>
      <c r="W27" s="101">
        <f t="shared" si="12"/>
        <v>15.709209624910043</v>
      </c>
      <c r="X27" s="101">
        <f t="shared" si="13"/>
        <v>1.8850379779488589</v>
      </c>
      <c r="Y27" s="101">
        <f t="shared" si="14"/>
        <v>3.1466575480074805</v>
      </c>
      <c r="Z27" s="101">
        <f t="shared" si="15"/>
        <v>0.21061703187150366</v>
      </c>
      <c r="AA27" s="101">
        <f t="shared" si="20"/>
        <v>1.2616195700586215</v>
      </c>
      <c r="AB27" s="101">
        <f t="shared" si="2"/>
        <v>1.6655134658843318</v>
      </c>
      <c r="AC27" s="67">
        <f>main!T31</f>
        <v>43173</v>
      </c>
      <c r="AD27" s="67">
        <f>main!U31</f>
        <v>43190</v>
      </c>
      <c r="AE27" s="67">
        <f>main!V31</f>
        <v>43181.5</v>
      </c>
      <c r="AF27" s="97">
        <f>main!H31</f>
        <v>17</v>
      </c>
      <c r="AG27" s="90">
        <f t="shared" si="3"/>
        <v>0.77857003256267066</v>
      </c>
      <c r="AH27" s="90">
        <f t="shared" si="11"/>
        <v>0.26200312639529399</v>
      </c>
      <c r="AI27" s="90">
        <f t="shared" si="4"/>
        <v>1.5033335608244373E-2</v>
      </c>
      <c r="AJ27" s="90">
        <f t="shared" si="5"/>
        <v>0.10504742465100929</v>
      </c>
      <c r="AK27" s="90">
        <f t="shared" si="6"/>
        <v>0.15695570174428466</v>
      </c>
      <c r="AL27" s="395">
        <f t="shared" si="7"/>
        <v>2.7716982291301911E-2</v>
      </c>
      <c r="AM27">
        <f>depths!$B$3</f>
        <v>1798.9</v>
      </c>
      <c r="AO27" s="101">
        <f t="shared" si="8"/>
        <v>262.00312639529398</v>
      </c>
      <c r="AP27" s="101">
        <v>1</v>
      </c>
      <c r="AQ27" s="101">
        <f t="shared" si="16"/>
        <v>15.033335608244373</v>
      </c>
      <c r="AR27" s="101">
        <v>1</v>
      </c>
      <c r="AS27" s="101">
        <f t="shared" si="17"/>
        <v>105.04742465100929</v>
      </c>
      <c r="AT27" s="101">
        <v>1</v>
      </c>
      <c r="AU27" s="101">
        <f t="shared" si="18"/>
        <v>156.95570174428465</v>
      </c>
      <c r="AV27" s="101">
        <v>1</v>
      </c>
      <c r="AW27" s="101">
        <f t="shared" si="19"/>
        <v>27.71698229130191</v>
      </c>
      <c r="AX27" s="101">
        <v>1</v>
      </c>
      <c r="AY27" s="101">
        <f t="shared" si="9"/>
        <v>6.9876325114035662</v>
      </c>
      <c r="AZ27" s="101">
        <f t="shared" si="10"/>
        <v>10.440510731245112</v>
      </c>
      <c r="BA27" s="101">
        <f>main!R31</f>
        <v>38.75</v>
      </c>
      <c r="BB27" s="101">
        <v>1</v>
      </c>
      <c r="BC27" s="101">
        <f>main!S31</f>
        <v>8.5389999999999997</v>
      </c>
      <c r="BD27" s="101">
        <v>1</v>
      </c>
    </row>
    <row r="28" spans="1:56">
      <c r="A28">
        <f>main!A32</f>
        <v>2018</v>
      </c>
      <c r="B28" t="str">
        <f>main!B32</f>
        <v>47_2000</v>
      </c>
      <c r="C28">
        <f>main!C32</f>
        <v>2</v>
      </c>
      <c r="D28" t="str">
        <f>main!$B$30</f>
        <v>McLane-PARFLUX-Mark78H-21 ; frame controller sn 12419-02, frame sn 12419-02, motor sn 12419-02, cup set S250x21</v>
      </c>
      <c r="E28">
        <v>2000</v>
      </c>
      <c r="F28">
        <v>1</v>
      </c>
      <c r="G28" s="97">
        <f>main!E32</f>
        <v>930.21428571428589</v>
      </c>
      <c r="H28" s="90">
        <f>main!I32</f>
        <v>109.43697478991599</v>
      </c>
      <c r="I28" s="101">
        <f>main!J32</f>
        <v>39.971855042016813</v>
      </c>
      <c r="J28" s="101">
        <v>1</v>
      </c>
      <c r="K28" s="101">
        <f>main!AF32</f>
        <v>65.755428283319191</v>
      </c>
      <c r="L28" s="101">
        <f>main!AG32</f>
        <v>7.890370205118387</v>
      </c>
      <c r="M28" s="655">
        <v>1</v>
      </c>
      <c r="N28" s="101">
        <f>main!M32</f>
        <v>17.504707336425781</v>
      </c>
      <c r="O28" s="655">
        <v>1</v>
      </c>
      <c r="P28" s="101">
        <f>main!O32</f>
        <v>1.4818569421768188</v>
      </c>
      <c r="Q28" s="101">
        <v>1</v>
      </c>
      <c r="R28" s="101">
        <f>main!AH32</f>
        <v>9.6143371313073942</v>
      </c>
      <c r="S28" s="655">
        <v>1</v>
      </c>
      <c r="T28" s="101">
        <f>main!AB32</f>
        <v>2.8942785566524658</v>
      </c>
      <c r="U28" s="101">
        <v>1</v>
      </c>
      <c r="V28" s="101">
        <f>main!AC32</f>
        <v>6.1914274997951821</v>
      </c>
      <c r="W28" s="101">
        <f t="shared" si="12"/>
        <v>26.283664475665674</v>
      </c>
      <c r="X28" s="101">
        <f t="shared" si="13"/>
        <v>3.1539273406684063</v>
      </c>
      <c r="Y28" s="101">
        <f t="shared" si="14"/>
        <v>6.9969562420453961</v>
      </c>
      <c r="Z28" s="101">
        <f t="shared" si="15"/>
        <v>0.59232570885698088</v>
      </c>
      <c r="AA28" s="101">
        <f t="shared" si="20"/>
        <v>3.8430289013769894</v>
      </c>
      <c r="AB28" s="101">
        <f t="shared" si="2"/>
        <v>2.4748284252496959</v>
      </c>
      <c r="AC28" s="67">
        <f>main!T32</f>
        <v>43190</v>
      </c>
      <c r="AD28" s="67">
        <f>main!U32</f>
        <v>43207</v>
      </c>
      <c r="AE28" s="67">
        <f>main!V32</f>
        <v>43198.5</v>
      </c>
      <c r="AF28" s="97">
        <f>main!H32</f>
        <v>17</v>
      </c>
      <c r="AG28" s="90">
        <f t="shared" si="3"/>
        <v>1.1568968291773001</v>
      </c>
      <c r="AH28" s="90">
        <f t="shared" si="11"/>
        <v>0.58259419167738524</v>
      </c>
      <c r="AI28" s="90">
        <f t="shared" si="4"/>
        <v>4.2278780075444743E-2</v>
      </c>
      <c r="AJ28" s="90">
        <f t="shared" si="5"/>
        <v>0.31998575365337129</v>
      </c>
      <c r="AK28" s="90">
        <f t="shared" si="6"/>
        <v>0.26260843802401385</v>
      </c>
      <c r="AL28" s="395">
        <f t="shared" si="7"/>
        <v>4.1185362377262377E-2</v>
      </c>
      <c r="AM28">
        <f>depths!$B$3</f>
        <v>1798.9</v>
      </c>
      <c r="AO28" s="101">
        <f t="shared" si="8"/>
        <v>582.5941916773852</v>
      </c>
      <c r="AP28" s="101">
        <v>1</v>
      </c>
      <c r="AQ28" s="101">
        <f t="shared" si="16"/>
        <v>42.278780075444743</v>
      </c>
      <c r="AR28" s="101">
        <v>1</v>
      </c>
      <c r="AS28" s="101">
        <f t="shared" si="17"/>
        <v>319.98575365337126</v>
      </c>
      <c r="AT28" s="101">
        <v>1</v>
      </c>
      <c r="AU28" s="101">
        <f t="shared" si="18"/>
        <v>262.60843802401382</v>
      </c>
      <c r="AV28" s="101">
        <v>1</v>
      </c>
      <c r="AW28" s="101">
        <f t="shared" si="19"/>
        <v>41.185362377262379</v>
      </c>
      <c r="AX28" s="101">
        <v>1</v>
      </c>
      <c r="AY28" s="101">
        <f t="shared" si="9"/>
        <v>7.568471774312548</v>
      </c>
      <c r="AZ28" s="101">
        <f t="shared" si="10"/>
        <v>6.21135324991402</v>
      </c>
      <c r="BA28" s="101">
        <f>main!R32</f>
        <v>38.14</v>
      </c>
      <c r="BB28" s="101">
        <v>1</v>
      </c>
      <c r="BC28" s="101">
        <f>main!S32</f>
        <v>8.4949999999999992</v>
      </c>
      <c r="BD28" s="101">
        <v>1</v>
      </c>
    </row>
    <row r="29" spans="1:56">
      <c r="A29">
        <f>main!A33</f>
        <v>2018</v>
      </c>
      <c r="B29" t="str">
        <f>main!B33</f>
        <v>47_2000</v>
      </c>
      <c r="C29">
        <f>main!C33</f>
        <v>3</v>
      </c>
      <c r="D29" t="str">
        <f>main!$B$30</f>
        <v>McLane-PARFLUX-Mark78H-21 ; frame controller sn 12419-02, frame sn 12419-02, motor sn 12419-02, cup set S250x21</v>
      </c>
      <c r="E29">
        <v>2000</v>
      </c>
      <c r="F29">
        <v>1</v>
      </c>
      <c r="G29" s="97">
        <f>main!E33</f>
        <v>1151.6285714285714</v>
      </c>
      <c r="H29" s="90">
        <f>main!I33</f>
        <v>135.48571428571427</v>
      </c>
      <c r="I29" s="101">
        <f>main!J33</f>
        <v>49.486157142857145</v>
      </c>
      <c r="J29" s="101">
        <v>2</v>
      </c>
      <c r="K29" s="101">
        <f>main!AF33</f>
        <v>66.076046730741837</v>
      </c>
      <c r="L29" s="101">
        <f>main!AG33</f>
        <v>7.9288430477535972</v>
      </c>
      <c r="M29" s="655">
        <v>1</v>
      </c>
      <c r="N29" s="101">
        <f>main!M33</f>
        <v>16.713186264038086</v>
      </c>
      <c r="O29" s="655">
        <v>1</v>
      </c>
      <c r="P29" s="101">
        <f>main!O33</f>
        <v>1.443390429019928</v>
      </c>
      <c r="Q29" s="101">
        <v>1</v>
      </c>
      <c r="R29" s="101">
        <f>main!AH33</f>
        <v>8.7843432162844888</v>
      </c>
      <c r="S29" s="655">
        <v>1</v>
      </c>
      <c r="T29" s="101">
        <f>main!AB33</f>
        <v>4.1143394714809558</v>
      </c>
      <c r="U29" s="101">
        <v>1</v>
      </c>
      <c r="V29" s="101">
        <f>main!AC33</f>
        <v>8.8013762492449512</v>
      </c>
      <c r="W29" s="101">
        <f t="shared" si="12"/>
        <v>32.698496318962626</v>
      </c>
      <c r="X29" s="101">
        <f t="shared" si="13"/>
        <v>3.9236797302218491</v>
      </c>
      <c r="Y29" s="101">
        <f t="shared" si="14"/>
        <v>8.2707136182003023</v>
      </c>
      <c r="Z29" s="101">
        <f t="shared" si="15"/>
        <v>0.71427845588976147</v>
      </c>
      <c r="AA29" s="101">
        <f t="shared" si="20"/>
        <v>4.347033887978454</v>
      </c>
      <c r="AB29" s="101">
        <f t="shared" si="2"/>
        <v>4.3554628814354626</v>
      </c>
      <c r="AC29" s="67">
        <f>main!T33</f>
        <v>43207</v>
      </c>
      <c r="AD29" s="67">
        <f>main!U33</f>
        <v>43224</v>
      </c>
      <c r="AE29" s="67">
        <f>main!V33</f>
        <v>43215.5</v>
      </c>
      <c r="AF29" s="97">
        <f>main!H33</f>
        <v>17</v>
      </c>
      <c r="AG29" s="90">
        <f t="shared" si="3"/>
        <v>2.0360284962476638</v>
      </c>
      <c r="AH29" s="90">
        <f t="shared" si="11"/>
        <v>0.68865225796838492</v>
      </c>
      <c r="AI29" s="90">
        <f t="shared" si="4"/>
        <v>5.0983472940025802E-2</v>
      </c>
      <c r="AJ29" s="90">
        <f t="shared" si="5"/>
        <v>0.3619511979998713</v>
      </c>
      <c r="AK29" s="90">
        <f t="shared" si="6"/>
        <v>0.32670105996851367</v>
      </c>
      <c r="AL29" s="395">
        <f t="shared" si="7"/>
        <v>7.2482324537118684E-2</v>
      </c>
      <c r="AM29">
        <f>depths!$B$3</f>
        <v>1798.9</v>
      </c>
      <c r="AO29" s="101">
        <f t="shared" si="8"/>
        <v>688.6522579683849</v>
      </c>
      <c r="AP29" s="101">
        <v>2</v>
      </c>
      <c r="AQ29" s="101">
        <f t="shared" si="16"/>
        <v>50.983472940025806</v>
      </c>
      <c r="AR29" s="101">
        <v>2</v>
      </c>
      <c r="AS29" s="101">
        <f t="shared" si="17"/>
        <v>361.95119799987128</v>
      </c>
      <c r="AT29" s="101">
        <v>2</v>
      </c>
      <c r="AU29" s="101">
        <f t="shared" si="18"/>
        <v>326.70105996851368</v>
      </c>
      <c r="AV29" s="101">
        <v>1</v>
      </c>
      <c r="AW29" s="101">
        <f t="shared" si="19"/>
        <v>72.482324537118686</v>
      </c>
      <c r="AX29" s="101">
        <v>2</v>
      </c>
      <c r="AY29" s="101">
        <f t="shared" si="9"/>
        <v>7.0993829397548307</v>
      </c>
      <c r="AZ29" s="101">
        <f t="shared" si="10"/>
        <v>6.4079797065379811</v>
      </c>
      <c r="BA29" s="101">
        <f>main!R33</f>
        <v>38.549999999999997</v>
      </c>
      <c r="BB29" s="101">
        <v>1</v>
      </c>
      <c r="BC29" s="101">
        <f>main!S33</f>
        <v>8.423</v>
      </c>
      <c r="BD29" s="101">
        <v>1</v>
      </c>
    </row>
    <row r="30" spans="1:56">
      <c r="A30">
        <f>main!A34</f>
        <v>2018</v>
      </c>
      <c r="B30" t="str">
        <f>main!B34</f>
        <v>47_2000</v>
      </c>
      <c r="C30">
        <f>main!C34</f>
        <v>4</v>
      </c>
      <c r="D30" t="str">
        <f>main!$B$30</f>
        <v>McLane-PARFLUX-Mark78H-21 ; frame controller sn 12419-02, frame sn 12419-02, motor sn 12419-02, cup set S250x21</v>
      </c>
      <c r="E30">
        <v>2000</v>
      </c>
      <c r="F30">
        <v>1</v>
      </c>
      <c r="G30" s="97">
        <f>main!E34</f>
        <v>488.38571428571424</v>
      </c>
      <c r="H30" s="90">
        <f>main!I34</f>
        <v>57.457142857142856</v>
      </c>
      <c r="I30" s="101">
        <f>main!J34</f>
        <v>20.986221428571429</v>
      </c>
      <c r="J30" s="101">
        <v>1</v>
      </c>
      <c r="K30" s="101">
        <f>main!AF34</f>
        <v>69.214721987207426</v>
      </c>
      <c r="L30" s="101">
        <f>main!AG34</f>
        <v>8.3054706566629726</v>
      </c>
      <c r="M30" s="655">
        <v>1</v>
      </c>
      <c r="N30" s="101">
        <f>main!M34</f>
        <v>15.659294128417969</v>
      </c>
      <c r="O30" s="655">
        <v>1</v>
      </c>
      <c r="P30" s="101">
        <f>main!O34</f>
        <v>1.2726815938949585</v>
      </c>
      <c r="Q30" s="101">
        <v>1</v>
      </c>
      <c r="R30" s="101">
        <f>main!AH34</f>
        <v>7.3538234717549962</v>
      </c>
      <c r="S30" s="655">
        <v>1</v>
      </c>
      <c r="T30" s="101">
        <f>main!AB34</f>
        <v>4.1572859777582041</v>
      </c>
      <c r="U30" s="101">
        <v>1</v>
      </c>
      <c r="V30" s="101">
        <f>main!AC34</f>
        <v>8.8932472197753807</v>
      </c>
      <c r="W30" s="101">
        <f t="shared" si="12"/>
        <v>14.525554817405466</v>
      </c>
      <c r="X30" s="101">
        <f t="shared" si="13"/>
        <v>1.7430044626923169</v>
      </c>
      <c r="Y30" s="101">
        <f t="shared" si="14"/>
        <v>3.2862941399410794</v>
      </c>
      <c r="Z30" s="101">
        <f t="shared" si="15"/>
        <v>0.26708777737546818</v>
      </c>
      <c r="AA30" s="101">
        <f t="shared" si="20"/>
        <v>1.5432896772487623</v>
      </c>
      <c r="AB30" s="101">
        <f t="shared" si="2"/>
        <v>1.8663565537323339</v>
      </c>
      <c r="AC30" s="67">
        <f>main!T34</f>
        <v>43224</v>
      </c>
      <c r="AD30" s="67">
        <f>main!U34</f>
        <v>43241</v>
      </c>
      <c r="AE30" s="67">
        <f>main!V34</f>
        <v>43232.5</v>
      </c>
      <c r="AF30" s="97">
        <f>main!H34</f>
        <v>17</v>
      </c>
      <c r="AG30" s="90">
        <f t="shared" si="3"/>
        <v>0.87245724071128761</v>
      </c>
      <c r="AH30" s="90">
        <f t="shared" si="11"/>
        <v>0.27362982014496917</v>
      </c>
      <c r="AI30" s="90">
        <f t="shared" si="4"/>
        <v>1.9064081183116931E-2</v>
      </c>
      <c r="AJ30" s="90">
        <f t="shared" si="5"/>
        <v>0.12850038944619172</v>
      </c>
      <c r="AK30" s="90">
        <f t="shared" si="6"/>
        <v>0.14512943069877743</v>
      </c>
      <c r="AL30" s="395">
        <f t="shared" si="7"/>
        <v>3.105935353190771E-2</v>
      </c>
      <c r="AM30">
        <f>depths!$B$3</f>
        <v>1798.9</v>
      </c>
      <c r="AO30" s="101">
        <f t="shared" si="8"/>
        <v>273.62982014496919</v>
      </c>
      <c r="AP30" s="101">
        <v>1</v>
      </c>
      <c r="AQ30" s="101">
        <f t="shared" si="16"/>
        <v>19.064081183116933</v>
      </c>
      <c r="AR30" s="101">
        <v>1</v>
      </c>
      <c r="AS30" s="101">
        <f t="shared" si="17"/>
        <v>128.50038944619172</v>
      </c>
      <c r="AT30" s="101">
        <v>1</v>
      </c>
      <c r="AU30" s="101">
        <f t="shared" si="18"/>
        <v>145.12943069877744</v>
      </c>
      <c r="AV30" s="101">
        <v>1</v>
      </c>
      <c r="AW30" s="101">
        <f t="shared" si="19"/>
        <v>31.059353531907711</v>
      </c>
      <c r="AX30" s="101">
        <v>1</v>
      </c>
      <c r="AY30" s="101">
        <f t="shared" si="9"/>
        <v>6.7404449347389006</v>
      </c>
      <c r="AZ30" s="101">
        <f t="shared" si="10"/>
        <v>7.6127157298985608</v>
      </c>
      <c r="BA30" s="101">
        <f>main!R34</f>
        <v>39.76</v>
      </c>
      <c r="BB30" s="101">
        <v>1</v>
      </c>
      <c r="BC30" s="101">
        <f>main!S34</f>
        <v>8.6419999999999995</v>
      </c>
      <c r="BD30" s="101">
        <v>1</v>
      </c>
    </row>
    <row r="31" spans="1:56">
      <c r="A31">
        <f>main!A35</f>
        <v>2018</v>
      </c>
      <c r="B31" t="str">
        <f>main!B35</f>
        <v>47_2000</v>
      </c>
      <c r="C31">
        <f>main!C35</f>
        <v>5</v>
      </c>
      <c r="D31" t="str">
        <f>main!$B$30</f>
        <v>McLane-PARFLUX-Mark78H-21 ; frame controller sn 12419-02, frame sn 12419-02, motor sn 12419-02, cup set S250x21</v>
      </c>
      <c r="E31">
        <v>2000</v>
      </c>
      <c r="F31">
        <v>1</v>
      </c>
      <c r="G31" s="97">
        <f>main!E35</f>
        <v>279.21428571428572</v>
      </c>
      <c r="H31" s="90">
        <f>main!I35</f>
        <v>32.84873949579832</v>
      </c>
      <c r="I31" s="101">
        <f>main!J35</f>
        <v>11.998002100840338</v>
      </c>
      <c r="J31" s="101">
        <v>1</v>
      </c>
      <c r="K31" s="101">
        <f>main!AF35</f>
        <v>70.751824067911755</v>
      </c>
      <c r="L31" s="101">
        <f>main!AG35</f>
        <v>8.4899163332625971</v>
      </c>
      <c r="M31" s="655">
        <v>1</v>
      </c>
      <c r="N31" s="101">
        <f>main!M35</f>
        <v>15.882658958435059</v>
      </c>
      <c r="O31" s="655">
        <v>1</v>
      </c>
      <c r="P31" s="101">
        <f>main!O35</f>
        <v>1.1502739191055298</v>
      </c>
      <c r="Q31" s="101">
        <v>1</v>
      </c>
      <c r="R31" s="101">
        <f>main!AH35</f>
        <v>7.3927426251724615</v>
      </c>
      <c r="S31" s="655">
        <v>1</v>
      </c>
      <c r="T31" s="101">
        <f>main!AB35</f>
        <v>3.976697124404676</v>
      </c>
      <c r="U31" s="101">
        <v>1</v>
      </c>
      <c r="V31" s="101">
        <f>main!AC35</f>
        <v>8.5069323675855131</v>
      </c>
      <c r="W31" s="101">
        <f t="shared" si="12"/>
        <v>8.4888053380509128</v>
      </c>
      <c r="X31" s="101">
        <f t="shared" si="13"/>
        <v>1.0186203400244334</v>
      </c>
      <c r="Y31" s="101">
        <f t="shared" si="14"/>
        <v>1.9056017555023446</v>
      </c>
      <c r="Z31" s="101">
        <f t="shared" si="15"/>
        <v>0.13800988897969996</v>
      </c>
      <c r="AA31" s="101">
        <f t="shared" si="20"/>
        <v>0.88698141547791109</v>
      </c>
      <c r="AB31" s="101">
        <f t="shared" si="2"/>
        <v>1.0206619241799766</v>
      </c>
      <c r="AC31" s="67">
        <f>main!T35</f>
        <v>43241</v>
      </c>
      <c r="AD31" s="67">
        <f>main!U35</f>
        <v>43258</v>
      </c>
      <c r="AE31" s="67">
        <f>main!V35</f>
        <v>43249.5</v>
      </c>
      <c r="AF31" s="97">
        <f>main!H35</f>
        <v>17</v>
      </c>
      <c r="AG31" s="90">
        <f t="shared" si="3"/>
        <v>0.47712420453013032</v>
      </c>
      <c r="AH31" s="90">
        <f t="shared" si="11"/>
        <v>0.15866792302267649</v>
      </c>
      <c r="AI31" s="90">
        <f t="shared" si="4"/>
        <v>9.8508129178943582E-3</v>
      </c>
      <c r="AJ31" s="90">
        <f t="shared" si="5"/>
        <v>7.3853573312065865E-2</v>
      </c>
      <c r="AK31" s="90">
        <f t="shared" si="6"/>
        <v>8.4814349710610609E-2</v>
      </c>
      <c r="AL31" s="395">
        <f t="shared" si="7"/>
        <v>1.6985553739057684E-2</v>
      </c>
      <c r="AM31">
        <f>depths!$B$3</f>
        <v>1798.9</v>
      </c>
      <c r="AO31" s="101">
        <f t="shared" si="8"/>
        <v>158.66792302267649</v>
      </c>
      <c r="AP31" s="101">
        <v>1</v>
      </c>
      <c r="AQ31" s="101">
        <f t="shared" si="16"/>
        <v>9.8508129178943591</v>
      </c>
      <c r="AR31" s="101">
        <v>1</v>
      </c>
      <c r="AS31" s="101">
        <f t="shared" si="17"/>
        <v>73.853573312065862</v>
      </c>
      <c r="AT31" s="101">
        <v>1</v>
      </c>
      <c r="AU31" s="101">
        <f t="shared" si="18"/>
        <v>84.814349710610614</v>
      </c>
      <c r="AV31" s="101">
        <v>1</v>
      </c>
      <c r="AW31" s="101">
        <f t="shared" si="19"/>
        <v>16.985553739057682</v>
      </c>
      <c r="AX31" s="101">
        <v>1</v>
      </c>
      <c r="AY31" s="101">
        <f t="shared" si="9"/>
        <v>7.4972059593080047</v>
      </c>
      <c r="AZ31" s="101">
        <f t="shared" si="10"/>
        <v>8.6098833078580022</v>
      </c>
      <c r="BA31" s="101">
        <f>main!R35</f>
        <v>39.465000000000003</v>
      </c>
      <c r="BB31" s="101">
        <v>1</v>
      </c>
      <c r="BC31" s="101">
        <f>main!S35</f>
        <v>8.4845000000000006</v>
      </c>
      <c r="BD31" s="101">
        <v>1</v>
      </c>
    </row>
    <row r="32" spans="1:56">
      <c r="A32">
        <f>main!A36</f>
        <v>2018</v>
      </c>
      <c r="B32" t="str">
        <f>main!B36</f>
        <v>47_2000</v>
      </c>
      <c r="C32">
        <f>main!C36</f>
        <v>6</v>
      </c>
      <c r="D32" t="str">
        <f>main!$B$30</f>
        <v>McLane-PARFLUX-Mark78H-21 ; frame controller sn 12419-02, frame sn 12419-02, motor sn 12419-02, cup set S250x21</v>
      </c>
      <c r="E32">
        <v>2000</v>
      </c>
      <c r="F32">
        <v>1</v>
      </c>
      <c r="G32" s="97">
        <f>main!E36</f>
        <v>272.29999999999995</v>
      </c>
      <c r="H32" s="90">
        <f>main!I36</f>
        <v>32.035294117647055</v>
      </c>
      <c r="I32" s="101">
        <f>main!J36</f>
        <v>11.700891176470588</v>
      </c>
      <c r="J32" s="101">
        <v>1</v>
      </c>
      <c r="K32" s="101">
        <f>main!AF36</f>
        <v>77.291264097712428</v>
      </c>
      <c r="L32" s="101">
        <f>main!AG36</f>
        <v>9.2746211723365022</v>
      </c>
      <c r="M32" s="655">
        <v>1</v>
      </c>
      <c r="N32" s="101">
        <f>main!M36</f>
        <v>13.839174270629883</v>
      </c>
      <c r="O32" s="655">
        <v>1</v>
      </c>
      <c r="P32" s="101">
        <f>main!O36</f>
        <v>0.83555901050567627</v>
      </c>
      <c r="Q32" s="101">
        <v>1</v>
      </c>
      <c r="R32" s="101">
        <f>main!AH36</f>
        <v>4.5645530982933806</v>
      </c>
      <c r="S32" s="655">
        <v>1</v>
      </c>
      <c r="T32" s="101">
        <f>main!AB36</f>
        <v>3.9159988171518298</v>
      </c>
      <c r="U32" s="101">
        <v>1</v>
      </c>
      <c r="V32" s="101">
        <f>main!AC36</f>
        <v>8.3770868252991626</v>
      </c>
      <c r="W32" s="101">
        <f t="shared" si="12"/>
        <v>9.0437667009918137</v>
      </c>
      <c r="X32" s="101">
        <f t="shared" si="13"/>
        <v>1.0852133304049947</v>
      </c>
      <c r="Y32" s="101">
        <f t="shared" si="14"/>
        <v>1.6193067211285199</v>
      </c>
      <c r="Z32" s="101">
        <f t="shared" si="15"/>
        <v>9.7767850534463629E-2</v>
      </c>
      <c r="AA32" s="101">
        <f t="shared" ref="AA32:AA48" si="21">(R32/100)*$I32</f>
        <v>0.53409339072352502</v>
      </c>
      <c r="AB32" s="101">
        <f t="shared" si="2"/>
        <v>0.98019381318670984</v>
      </c>
      <c r="AC32" s="67">
        <f>main!T36</f>
        <v>43258</v>
      </c>
      <c r="AD32" s="67">
        <f>main!U36</f>
        <v>43275</v>
      </c>
      <c r="AE32" s="67">
        <f>main!V36</f>
        <v>43266.5</v>
      </c>
      <c r="AF32" s="97">
        <f>main!H36</f>
        <v>17</v>
      </c>
      <c r="AG32" s="90">
        <f t="shared" si="3"/>
        <v>0.45820676006681105</v>
      </c>
      <c r="AH32" s="90">
        <f t="shared" si="11"/>
        <v>0.13482986853692921</v>
      </c>
      <c r="AI32" s="90">
        <f t="shared" si="4"/>
        <v>6.9784333001044708E-3</v>
      </c>
      <c r="AJ32" s="90">
        <f t="shared" si="5"/>
        <v>4.4470723623940465E-2</v>
      </c>
      <c r="AK32" s="90">
        <f t="shared" si="6"/>
        <v>9.0359144912988729E-2</v>
      </c>
      <c r="AL32" s="395">
        <f t="shared" si="7"/>
        <v>1.6312095409996834E-2</v>
      </c>
      <c r="AM32">
        <f>depths!$B$3</f>
        <v>1798.9</v>
      </c>
      <c r="AO32" s="101">
        <f t="shared" ref="AO32:AO48" si="22">AH32*1000</f>
        <v>134.82986853692921</v>
      </c>
      <c r="AP32" s="101">
        <v>1</v>
      </c>
      <c r="AQ32" s="101">
        <f t="shared" si="16"/>
        <v>6.9784333001044709</v>
      </c>
      <c r="AR32" s="101">
        <v>1</v>
      </c>
      <c r="AS32" s="101">
        <f t="shared" si="17"/>
        <v>44.470723623940465</v>
      </c>
      <c r="AT32" s="101">
        <v>1</v>
      </c>
      <c r="AU32" s="101">
        <f t="shared" si="18"/>
        <v>90.359144912988725</v>
      </c>
      <c r="AV32" s="101">
        <v>1</v>
      </c>
      <c r="AW32" s="101">
        <f t="shared" si="19"/>
        <v>16.312095409996832</v>
      </c>
      <c r="AX32" s="101">
        <v>1</v>
      </c>
      <c r="AY32" s="101">
        <f t="shared" si="9"/>
        <v>6.3725942072520363</v>
      </c>
      <c r="AZ32" s="101">
        <f t="shared" si="10"/>
        <v>12.948342561594162</v>
      </c>
      <c r="BA32" s="101">
        <f>main!R36</f>
        <v>38.39</v>
      </c>
      <c r="BB32" s="101">
        <v>1</v>
      </c>
      <c r="BC32" s="101">
        <f>main!S36</f>
        <v>8.6669999999999998</v>
      </c>
      <c r="BD32" s="101">
        <v>1</v>
      </c>
    </row>
    <row r="33" spans="1:56">
      <c r="A33">
        <f>main!A37</f>
        <v>2018</v>
      </c>
      <c r="B33" t="str">
        <f>main!B37</f>
        <v>47_2000</v>
      </c>
      <c r="C33">
        <f>main!C37</f>
        <v>7</v>
      </c>
      <c r="D33" t="str">
        <f>main!$B$30</f>
        <v>McLane-PARFLUX-Mark78H-21 ; frame controller sn 12419-02, frame sn 12419-02, motor sn 12419-02, cup set S250x21</v>
      </c>
      <c r="E33">
        <v>2000</v>
      </c>
      <c r="F33">
        <v>1</v>
      </c>
      <c r="G33" s="97">
        <f>main!E37</f>
        <v>103.95714285714286</v>
      </c>
      <c r="H33" s="90">
        <f>main!I37</f>
        <v>12.230252100840335</v>
      </c>
      <c r="I33" s="101">
        <f>main!J37</f>
        <v>4.4670995798319328</v>
      </c>
      <c r="J33" s="101">
        <v>1</v>
      </c>
      <c r="K33" s="101">
        <f>main!AF37</f>
        <v>72.003198413578801</v>
      </c>
      <c r="L33" s="101">
        <f>main!AG37</f>
        <v>8.6400759035106631</v>
      </c>
      <c r="M33" s="655">
        <v>1</v>
      </c>
      <c r="N33" s="101">
        <f>main!M37</f>
        <v>13.684504508972168</v>
      </c>
      <c r="O33" s="655">
        <v>1</v>
      </c>
      <c r="P33" s="101">
        <f>main!O37</f>
        <v>0.79686939716339111</v>
      </c>
      <c r="Q33" s="101">
        <v>1</v>
      </c>
      <c r="R33" s="101">
        <f>main!AH37</f>
        <v>5.0444286054615048</v>
      </c>
      <c r="S33" s="655">
        <v>1</v>
      </c>
      <c r="T33" s="101">
        <f>main!AB37</f>
        <v>3.7302617346461475</v>
      </c>
      <c r="U33" s="101">
        <v>1</v>
      </c>
      <c r="V33" s="101">
        <f>main!AC37</f>
        <v>7.9797589047663582</v>
      </c>
      <c r="W33" s="101">
        <f t="shared" si="12"/>
        <v>3.2164545737985319</v>
      </c>
      <c r="X33" s="101">
        <f t="shared" si="13"/>
        <v>0.38596079438288494</v>
      </c>
      <c r="Y33" s="101">
        <f t="shared" si="14"/>
        <v>0.61130044342237755</v>
      </c>
      <c r="Z33" s="101">
        <f t="shared" si="15"/>
        <v>3.5596949492495103E-2</v>
      </c>
      <c r="AA33" s="101">
        <f t="shared" si="21"/>
        <v>0.22533964903949269</v>
      </c>
      <c r="AB33" s="101">
        <f t="shared" si="2"/>
        <v>0.35646377650641925</v>
      </c>
      <c r="AC33" s="67">
        <f>main!T37</f>
        <v>43275</v>
      </c>
      <c r="AD33" s="67">
        <f>main!U37</f>
        <v>43292</v>
      </c>
      <c r="AE33" s="67">
        <f>main!V37</f>
        <v>43283.5</v>
      </c>
      <c r="AF33" s="97">
        <f>main!H37</f>
        <v>17</v>
      </c>
      <c r="AG33" s="90">
        <f t="shared" si="3"/>
        <v>0.16663450627500942</v>
      </c>
      <c r="AH33" s="90">
        <f t="shared" si="11"/>
        <v>5.0899287545576814E-2</v>
      </c>
      <c r="AI33" s="90">
        <f t="shared" si="4"/>
        <v>2.5408243749104283E-3</v>
      </c>
      <c r="AJ33" s="90">
        <f t="shared" si="5"/>
        <v>1.8762668529516462E-2</v>
      </c>
      <c r="AK33" s="90">
        <f t="shared" si="6"/>
        <v>3.213661901606036E-2</v>
      </c>
      <c r="AL33" s="395">
        <f t="shared" si="7"/>
        <v>5.9321646947315563E-3</v>
      </c>
      <c r="AM33">
        <f>depths!$B$3</f>
        <v>1798.9</v>
      </c>
      <c r="AO33" s="101">
        <f t="shared" si="22"/>
        <v>50.899287545576811</v>
      </c>
      <c r="AP33" s="101">
        <v>1</v>
      </c>
      <c r="AQ33" s="101">
        <f t="shared" si="16"/>
        <v>2.5408243749104282</v>
      </c>
      <c r="AR33" s="101">
        <v>1</v>
      </c>
      <c r="AS33" s="101">
        <f t="shared" si="17"/>
        <v>18.762668529516461</v>
      </c>
      <c r="AT33" s="101">
        <v>1</v>
      </c>
      <c r="AU33" s="101">
        <f t="shared" si="18"/>
        <v>32.136619016060358</v>
      </c>
      <c r="AV33" s="101">
        <v>1</v>
      </c>
      <c r="AW33" s="101">
        <f t="shared" si="19"/>
        <v>5.9321646947315561</v>
      </c>
      <c r="AX33" s="101">
        <v>1</v>
      </c>
      <c r="AY33" s="101">
        <f t="shared" si="9"/>
        <v>7.3844806885473542</v>
      </c>
      <c r="AZ33" s="101">
        <f t="shared" si="10"/>
        <v>12.64810717867632</v>
      </c>
      <c r="BA33" s="101">
        <f>main!R37</f>
        <v>37.01</v>
      </c>
      <c r="BB33" s="101">
        <v>1</v>
      </c>
      <c r="BC33" s="101">
        <f>main!S37</f>
        <v>8.5950000000000006</v>
      </c>
      <c r="BD33" s="101">
        <v>1</v>
      </c>
    </row>
    <row r="34" spans="1:56">
      <c r="A34">
        <f>main!A38</f>
        <v>2018</v>
      </c>
      <c r="B34" t="str">
        <f>main!B38</f>
        <v>47_2000</v>
      </c>
      <c r="C34">
        <f>main!C38</f>
        <v>8</v>
      </c>
      <c r="D34" t="str">
        <f>main!$B$30</f>
        <v>McLane-PARFLUX-Mark78H-21 ; frame controller sn 12419-02, frame sn 12419-02, motor sn 12419-02, cup set S250x21</v>
      </c>
      <c r="E34">
        <v>2000</v>
      </c>
      <c r="F34">
        <v>1</v>
      </c>
      <c r="G34" s="97">
        <f>main!E38</f>
        <v>180.85714285714286</v>
      </c>
      <c r="H34" s="90">
        <f>main!I38</f>
        <v>21.277310924369747</v>
      </c>
      <c r="I34" s="101">
        <f>main!J38</f>
        <v>7.7715378151260515</v>
      </c>
      <c r="J34" s="101">
        <v>1</v>
      </c>
      <c r="K34" s="101">
        <f>main!AF38</f>
        <v>69.064882638943757</v>
      </c>
      <c r="L34" s="101">
        <f>main!AG38</f>
        <v>8.2874905756269257</v>
      </c>
      <c r="M34" s="655">
        <v>1</v>
      </c>
      <c r="N34" s="101">
        <f>main!M38</f>
        <v>13.781223297119141</v>
      </c>
      <c r="O34" s="655">
        <v>1</v>
      </c>
      <c r="P34" s="101">
        <f>main!O38</f>
        <v>0.99969804286956787</v>
      </c>
      <c r="Q34" s="101">
        <v>1</v>
      </c>
      <c r="R34" s="101">
        <f>main!AH38</f>
        <v>5.4937327214922149</v>
      </c>
      <c r="S34" s="655">
        <v>1</v>
      </c>
      <c r="T34" s="101">
        <f>main!AB38</f>
        <v>4.2819351401976178</v>
      </c>
      <c r="U34" s="101">
        <v>1</v>
      </c>
      <c r="V34" s="101">
        <f>main!AC38</f>
        <v>9.1598961400667456</v>
      </c>
      <c r="W34" s="101">
        <f t="shared" si="12"/>
        <v>5.3674034712579415</v>
      </c>
      <c r="X34" s="101">
        <f t="shared" si="13"/>
        <v>0.6440654640098542</v>
      </c>
      <c r="Y34" s="101">
        <f t="shared" si="14"/>
        <v>1.0710129799225754</v>
      </c>
      <c r="Z34" s="101">
        <f t="shared" si="15"/>
        <v>7.7691911438683509E-2</v>
      </c>
      <c r="AA34" s="101">
        <f t="shared" si="21"/>
        <v>0.42694751591272107</v>
      </c>
      <c r="AB34" s="101">
        <f t="shared" si="2"/>
        <v>0.71186479235155864</v>
      </c>
      <c r="AC34" s="67">
        <f>main!T38</f>
        <v>43292</v>
      </c>
      <c r="AD34" s="67">
        <f>main!U38</f>
        <v>43309</v>
      </c>
      <c r="AE34" s="67">
        <f>main!V38</f>
        <v>43300.5</v>
      </c>
      <c r="AF34" s="97">
        <f>main!H38</f>
        <v>17</v>
      </c>
      <c r="AG34" s="90">
        <f t="shared" si="3"/>
        <v>0.33277220863962859</v>
      </c>
      <c r="AH34" s="90">
        <f t="shared" si="11"/>
        <v>8.9176767687142E-2</v>
      </c>
      <c r="AI34" s="90">
        <f t="shared" si="4"/>
        <v>5.5454612019046048E-3</v>
      </c>
      <c r="AJ34" s="90">
        <f t="shared" si="5"/>
        <v>3.5549335213382272E-2</v>
      </c>
      <c r="AK34" s="90">
        <f t="shared" si="6"/>
        <v>5.3627432473759722E-2</v>
      </c>
      <c r="AL34" s="395">
        <f t="shared" si="7"/>
        <v>1.1846643240997814E-2</v>
      </c>
      <c r="AM34">
        <f>depths!$B$3</f>
        <v>1798.9</v>
      </c>
      <c r="AO34" s="101">
        <f t="shared" si="22"/>
        <v>89.176767687142004</v>
      </c>
      <c r="AP34" s="101">
        <v>1</v>
      </c>
      <c r="AQ34" s="101">
        <f t="shared" si="16"/>
        <v>5.5454612019046046</v>
      </c>
      <c r="AR34" s="101">
        <v>1</v>
      </c>
      <c r="AS34" s="101">
        <f t="shared" si="17"/>
        <v>35.549335213382271</v>
      </c>
      <c r="AT34" s="101">
        <v>1</v>
      </c>
      <c r="AU34" s="101">
        <f t="shared" si="18"/>
        <v>53.627432473759718</v>
      </c>
      <c r="AV34" s="101">
        <v>1</v>
      </c>
      <c r="AW34" s="101">
        <f t="shared" si="19"/>
        <v>11.846643240997814</v>
      </c>
      <c r="AX34" s="101">
        <v>1</v>
      </c>
      <c r="AY34" s="101">
        <f t="shared" si="9"/>
        <v>6.4105281633153881</v>
      </c>
      <c r="AZ34" s="101">
        <f t="shared" si="10"/>
        <v>9.670509002090073</v>
      </c>
      <c r="BA34" s="101">
        <f>main!R38</f>
        <v>39.08</v>
      </c>
      <c r="BB34" s="101">
        <v>1</v>
      </c>
      <c r="BC34" s="101">
        <f>main!S38</f>
        <v>8.65</v>
      </c>
      <c r="BD34" s="101">
        <v>1</v>
      </c>
    </row>
    <row r="35" spans="1:56">
      <c r="A35">
        <f>main!A39</f>
        <v>2018</v>
      </c>
      <c r="B35" t="str">
        <f>main!B39</f>
        <v>47_2000</v>
      </c>
      <c r="C35">
        <f>main!C39</f>
        <v>9</v>
      </c>
      <c r="D35" t="str">
        <f>main!$B$30</f>
        <v>McLane-PARFLUX-Mark78H-21 ; frame controller sn 12419-02, frame sn 12419-02, motor sn 12419-02, cup set S250x21</v>
      </c>
      <c r="E35">
        <v>2000</v>
      </c>
      <c r="F35">
        <v>1</v>
      </c>
      <c r="G35" s="97">
        <f>main!E39</f>
        <v>341.75714285714287</v>
      </c>
      <c r="H35" s="90">
        <f>main!I39</f>
        <v>40.206722689075633</v>
      </c>
      <c r="I35" s="101">
        <f>main!J39</f>
        <v>14.685505462184876</v>
      </c>
      <c r="J35" s="101">
        <v>1</v>
      </c>
      <c r="K35" s="101">
        <f>main!AF39</f>
        <v>70.955305839225673</v>
      </c>
      <c r="L35" s="101">
        <f>main!AG39</f>
        <v>8.5143332756744421</v>
      </c>
      <c r="M35" s="655">
        <v>1</v>
      </c>
      <c r="N35" s="101">
        <f>main!M39</f>
        <v>13.291887283325195</v>
      </c>
      <c r="O35" s="655">
        <v>1</v>
      </c>
      <c r="P35" s="101">
        <f>main!O39</f>
        <v>0.69631367921829224</v>
      </c>
      <c r="Q35" s="101">
        <v>1</v>
      </c>
      <c r="R35" s="101">
        <f>main!AH39</f>
        <v>4.7775540076507532</v>
      </c>
      <c r="S35" s="655">
        <v>1</v>
      </c>
      <c r="T35" s="101">
        <f>main!AB39</f>
        <v>4.515026126421235</v>
      </c>
      <c r="U35" s="101">
        <v>1</v>
      </c>
      <c r="V35" s="101">
        <f>main!AC39</f>
        <v>9.6585233156515482</v>
      </c>
      <c r="W35" s="101">
        <f t="shared" si="12"/>
        <v>10.420145314729471</v>
      </c>
      <c r="X35" s="101">
        <f t="shared" si="13"/>
        <v>1.2503728782677948</v>
      </c>
      <c r="Y35" s="101">
        <f t="shared" si="14"/>
        <v>1.9519808330201787</v>
      </c>
      <c r="Z35" s="101">
        <f t="shared" si="15"/>
        <v>0.10225718339554278</v>
      </c>
      <c r="AA35" s="101">
        <f t="shared" si="21"/>
        <v>0.70160795475238391</v>
      </c>
      <c r="AB35" s="101">
        <f t="shared" si="2"/>
        <v>1.4184029690864079</v>
      </c>
      <c r="AC35" s="67">
        <f>main!T39</f>
        <v>43309</v>
      </c>
      <c r="AD35" s="67">
        <f>main!U39</f>
        <v>43326</v>
      </c>
      <c r="AE35" s="67">
        <f>main!V39</f>
        <v>43317.5</v>
      </c>
      <c r="AF35" s="97">
        <f>main!H39</f>
        <v>17</v>
      </c>
      <c r="AG35" s="90">
        <f t="shared" si="3"/>
        <v>0.66305440841466468</v>
      </c>
      <c r="AH35" s="90">
        <f t="shared" si="11"/>
        <v>0.16252962806163021</v>
      </c>
      <c r="AI35" s="90">
        <f t="shared" si="4"/>
        <v>7.2988710489323896E-3</v>
      </c>
      <c r="AJ35" s="90">
        <f t="shared" si="5"/>
        <v>5.8418647356568189E-2</v>
      </c>
      <c r="AK35" s="90">
        <f t="shared" si="6"/>
        <v>0.10411098070506201</v>
      </c>
      <c r="AL35" s="395">
        <f t="shared" si="7"/>
        <v>2.3604642520991977E-2</v>
      </c>
      <c r="AM35">
        <f>depths!$B$3</f>
        <v>1798.9</v>
      </c>
      <c r="AO35" s="101">
        <f t="shared" si="22"/>
        <v>162.52962806163021</v>
      </c>
      <c r="AP35" s="101">
        <v>1</v>
      </c>
      <c r="AQ35" s="101">
        <f t="shared" si="16"/>
        <v>7.2988710489323898</v>
      </c>
      <c r="AR35" s="101">
        <v>1</v>
      </c>
      <c r="AS35" s="101">
        <f t="shared" si="17"/>
        <v>58.418647356568187</v>
      </c>
      <c r="AT35" s="101">
        <v>1</v>
      </c>
      <c r="AU35" s="101">
        <f t="shared" si="18"/>
        <v>104.11098070506202</v>
      </c>
      <c r="AV35" s="101">
        <v>1</v>
      </c>
      <c r="AW35" s="101">
        <f t="shared" si="19"/>
        <v>23.604642520991977</v>
      </c>
      <c r="AX35" s="101">
        <v>1</v>
      </c>
      <c r="AY35" s="101">
        <f t="shared" si="9"/>
        <v>8.0037922255268672</v>
      </c>
      <c r="AZ35" s="101">
        <f t="shared" si="10"/>
        <v>14.263984115775054</v>
      </c>
      <c r="BA35" s="101">
        <f>main!R39</f>
        <v>39.520000000000003</v>
      </c>
      <c r="BB35" s="101">
        <v>1</v>
      </c>
      <c r="BC35" s="101">
        <f>main!S39</f>
        <v>8.6980000000000004</v>
      </c>
      <c r="BD35" s="101">
        <v>1</v>
      </c>
    </row>
    <row r="36" spans="1:56">
      <c r="A36">
        <f>main!A40</f>
        <v>2018</v>
      </c>
      <c r="B36" t="str">
        <f>main!B40</f>
        <v>47_2000</v>
      </c>
      <c r="C36">
        <f>main!C40</f>
        <v>10</v>
      </c>
      <c r="D36" t="str">
        <f>main!$B$30</f>
        <v>McLane-PARFLUX-Mark78H-21 ; frame controller sn 12419-02, frame sn 12419-02, motor sn 12419-02, cup set S250x21</v>
      </c>
      <c r="E36">
        <v>2000</v>
      </c>
      <c r="F36">
        <v>1</v>
      </c>
      <c r="G36" s="97">
        <f>main!E40</f>
        <v>297.91428571428577</v>
      </c>
      <c r="H36" s="90">
        <f>main!I40</f>
        <v>35.048739495798323</v>
      </c>
      <c r="I36" s="101">
        <f>main!J40</f>
        <v>12.80155210084034</v>
      </c>
      <c r="J36" s="101">
        <v>1</v>
      </c>
      <c r="K36" s="101">
        <f>main!AF40</f>
        <v>69.040640282371555</v>
      </c>
      <c r="L36" s="101">
        <f>main!AG40</f>
        <v>8.2845815965054594</v>
      </c>
      <c r="M36" s="655">
        <v>1</v>
      </c>
      <c r="N36" s="101">
        <f>main!M40</f>
        <v>13.503268241882324</v>
      </c>
      <c r="O36" s="655">
        <v>1</v>
      </c>
      <c r="P36" s="101">
        <f>main!O40</f>
        <v>0.88421434164047241</v>
      </c>
      <c r="Q36" s="101">
        <v>1</v>
      </c>
      <c r="R36" s="101">
        <f>main!AH40</f>
        <v>5.2186866453768648</v>
      </c>
      <c r="S36" s="655">
        <v>1</v>
      </c>
      <c r="T36" s="101">
        <f>main!AB40</f>
        <v>4.7751875154016767</v>
      </c>
      <c r="U36" s="101">
        <v>1</v>
      </c>
      <c r="V36" s="101">
        <f>main!AC40</f>
        <v>10.215059373459832</v>
      </c>
      <c r="W36" s="101">
        <f t="shared" si="12"/>
        <v>8.838273536501557</v>
      </c>
      <c r="X36" s="101">
        <f t="shared" si="13"/>
        <v>1.0605550294132768</v>
      </c>
      <c r="Y36" s="101">
        <f t="shared" si="14"/>
        <v>1.728627919300793</v>
      </c>
      <c r="Z36" s="101">
        <f t="shared" si="15"/>
        <v>0.11319315962820746</v>
      </c>
      <c r="AA36" s="101">
        <f t="shared" si="21"/>
        <v>0.66807288988751623</v>
      </c>
      <c r="AB36" s="101">
        <f t="shared" si="2"/>
        <v>1.3076861478252353</v>
      </c>
      <c r="AC36" s="67">
        <f>main!T40</f>
        <v>43326</v>
      </c>
      <c r="AD36" s="67">
        <f>main!U40</f>
        <v>43343</v>
      </c>
      <c r="AE36" s="67">
        <f>main!V40</f>
        <v>43334.5</v>
      </c>
      <c r="AF36" s="97">
        <f>main!H40</f>
        <v>17</v>
      </c>
      <c r="AG36" s="90">
        <f t="shared" si="3"/>
        <v>0.61129811769696896</v>
      </c>
      <c r="AH36" s="90">
        <f t="shared" si="11"/>
        <v>0.14393238295593613</v>
      </c>
      <c r="AI36" s="90">
        <f t="shared" si="4"/>
        <v>8.079454648694322E-3</v>
      </c>
      <c r="AJ36" s="90">
        <f t="shared" si="5"/>
        <v>5.5626385502707432E-2</v>
      </c>
      <c r="AK36" s="90">
        <f t="shared" si="6"/>
        <v>8.8305997453228716E-2</v>
      </c>
      <c r="AL36" s="395">
        <f t="shared" si="7"/>
        <v>2.176212594150833E-2</v>
      </c>
      <c r="AM36">
        <f>depths!$B$3</f>
        <v>1798.9</v>
      </c>
      <c r="AO36" s="101">
        <f t="shared" si="22"/>
        <v>143.93238295593613</v>
      </c>
      <c r="AP36" s="101">
        <v>1</v>
      </c>
      <c r="AQ36" s="101">
        <f t="shared" si="16"/>
        <v>8.0794546486943215</v>
      </c>
      <c r="AR36" s="101">
        <v>1</v>
      </c>
      <c r="AS36" s="101">
        <f t="shared" si="17"/>
        <v>55.626385502707429</v>
      </c>
      <c r="AT36" s="101">
        <v>1</v>
      </c>
      <c r="AU36" s="101">
        <f t="shared" si="18"/>
        <v>88.305997453228713</v>
      </c>
      <c r="AV36" s="101">
        <v>1</v>
      </c>
      <c r="AW36" s="101">
        <f t="shared" si="19"/>
        <v>21.76212594150833</v>
      </c>
      <c r="AX36" s="101">
        <v>1</v>
      </c>
      <c r="AY36" s="101">
        <f t="shared" si="9"/>
        <v>6.8849183418211179</v>
      </c>
      <c r="AZ36" s="101">
        <f t="shared" si="10"/>
        <v>10.929697769576489</v>
      </c>
      <c r="BA36" s="101">
        <f>main!R40</f>
        <v>40.21</v>
      </c>
      <c r="BB36" s="101">
        <v>1</v>
      </c>
      <c r="BC36" s="101">
        <f>main!S40</f>
        <v>8.7279999999999998</v>
      </c>
      <c r="BD36" s="101">
        <v>1</v>
      </c>
    </row>
    <row r="37" spans="1:56">
      <c r="A37">
        <f>main!A41</f>
        <v>2018</v>
      </c>
      <c r="B37" t="str">
        <f>main!B41</f>
        <v>47_2000</v>
      </c>
      <c r="C37">
        <f>main!C41</f>
        <v>11</v>
      </c>
      <c r="D37" t="str">
        <f>main!$B$30</f>
        <v>McLane-PARFLUX-Mark78H-21 ; frame controller sn 12419-02, frame sn 12419-02, motor sn 12419-02, cup set S250x21</v>
      </c>
      <c r="E37">
        <v>2000</v>
      </c>
      <c r="F37">
        <v>1</v>
      </c>
      <c r="G37" s="97">
        <f>main!E41</f>
        <v>399.8428571428571</v>
      </c>
      <c r="H37" s="90">
        <f>main!I41</f>
        <v>47.040336134453774</v>
      </c>
      <c r="I37" s="101">
        <f>main!J41</f>
        <v>17.181482773109245</v>
      </c>
      <c r="J37" s="101">
        <v>1</v>
      </c>
      <c r="K37" s="101">
        <f>main!AF41</f>
        <v>67.776995108616362</v>
      </c>
      <c r="L37" s="101">
        <f>main!AG41</f>
        <v>8.1329495793603606</v>
      </c>
      <c r="M37" s="655">
        <v>1</v>
      </c>
      <c r="N37" s="101">
        <f>main!M41</f>
        <v>13.014858245849609</v>
      </c>
      <c r="O37" s="655">
        <v>1</v>
      </c>
      <c r="P37" s="101">
        <f>main!O41</f>
        <v>0.7449190616607666</v>
      </c>
      <c r="Q37" s="101">
        <v>1</v>
      </c>
      <c r="R37" s="101">
        <f>main!AH41</f>
        <v>4.8819086664892488</v>
      </c>
      <c r="S37" s="655">
        <v>1</v>
      </c>
      <c r="T37" s="101">
        <f>main!AB41</f>
        <v>5.7540897631468635</v>
      </c>
      <c r="U37" s="101">
        <v>1</v>
      </c>
      <c r="V37" s="101">
        <f>main!AC41</f>
        <v>12.309122601192419</v>
      </c>
      <c r="W37" s="101">
        <f t="shared" si="12"/>
        <v>11.645092738718017</v>
      </c>
      <c r="X37" s="101">
        <f t="shared" si="13"/>
        <v>1.3973613309234612</v>
      </c>
      <c r="Y37" s="101">
        <f t="shared" si="14"/>
        <v>2.2361456274552385</v>
      </c>
      <c r="Z37" s="101">
        <f t="shared" si="15"/>
        <v>0.12798814025285163</v>
      </c>
      <c r="AA37" s="101">
        <f t="shared" si="21"/>
        <v>0.83878429653177755</v>
      </c>
      <c r="AB37" s="101">
        <f t="shared" si="2"/>
        <v>2.1148897792447721</v>
      </c>
      <c r="AC37" s="67">
        <f>main!T41</f>
        <v>43343</v>
      </c>
      <c r="AD37" s="67">
        <f>main!U41</f>
        <v>43360</v>
      </c>
      <c r="AE37" s="67">
        <f>main!V41</f>
        <v>43351.5</v>
      </c>
      <c r="AF37" s="97">
        <f>main!H41</f>
        <v>17</v>
      </c>
      <c r="AG37" s="90">
        <f t="shared" si="3"/>
        <v>0.98863794140432093</v>
      </c>
      <c r="AH37" s="90">
        <f t="shared" si="11"/>
        <v>0.18619031036263434</v>
      </c>
      <c r="AI37" s="90">
        <f t="shared" si="4"/>
        <v>9.1354846718666397E-3</v>
      </c>
      <c r="AJ37" s="90">
        <f t="shared" si="5"/>
        <v>6.984049096850771E-2</v>
      </c>
      <c r="AK37" s="90">
        <f t="shared" si="6"/>
        <v>0.11634981939412666</v>
      </c>
      <c r="AL37" s="395">
        <f t="shared" si="7"/>
        <v>3.5195369932514098E-2</v>
      </c>
      <c r="AM37">
        <f>depths!$B$3</f>
        <v>1798.9</v>
      </c>
      <c r="AO37" s="101">
        <f t="shared" si="22"/>
        <v>186.19031036263434</v>
      </c>
      <c r="AP37" s="101">
        <v>1</v>
      </c>
      <c r="AQ37" s="101">
        <f t="shared" si="16"/>
        <v>9.1354846718666405</v>
      </c>
      <c r="AR37" s="101">
        <v>1</v>
      </c>
      <c r="AS37" s="101">
        <f t="shared" si="17"/>
        <v>69.840490968507709</v>
      </c>
      <c r="AT37" s="101">
        <v>1</v>
      </c>
      <c r="AU37" s="101">
        <f t="shared" si="18"/>
        <v>116.34981939412665</v>
      </c>
      <c r="AV37" s="101">
        <v>1</v>
      </c>
      <c r="AW37" s="101">
        <f t="shared" si="19"/>
        <v>35.195369932514097</v>
      </c>
      <c r="AX37" s="101">
        <v>1</v>
      </c>
      <c r="AY37" s="101">
        <f t="shared" si="9"/>
        <v>7.6449683270321005</v>
      </c>
      <c r="AZ37" s="101">
        <f t="shared" si="10"/>
        <v>12.736031373620932</v>
      </c>
      <c r="BA37" s="101">
        <f>main!R41</f>
        <v>40.299999999999997</v>
      </c>
      <c r="BB37" s="101">
        <v>1</v>
      </c>
      <c r="BC37" s="101">
        <f>main!S41</f>
        <v>8.6869999999999994</v>
      </c>
      <c r="BD37" s="101">
        <v>1</v>
      </c>
    </row>
    <row r="38" spans="1:56">
      <c r="A38">
        <f>main!A42</f>
        <v>2018</v>
      </c>
      <c r="B38" t="str">
        <f>main!B42</f>
        <v>47_2000</v>
      </c>
      <c r="C38">
        <f>main!C42</f>
        <v>12</v>
      </c>
      <c r="D38" t="str">
        <f>main!$B$30</f>
        <v>McLane-PARFLUX-Mark78H-21 ; frame controller sn 12419-02, frame sn 12419-02, motor sn 12419-02, cup set S250x21</v>
      </c>
      <c r="E38">
        <v>2000</v>
      </c>
      <c r="F38">
        <v>1</v>
      </c>
      <c r="G38" s="97">
        <f>main!E42</f>
        <v>716.05714285714294</v>
      </c>
      <c r="H38" s="90">
        <f>main!I42</f>
        <v>84.242016806722702</v>
      </c>
      <c r="I38" s="101">
        <f>main!J42</f>
        <v>30.769396638655468</v>
      </c>
      <c r="J38" s="101">
        <v>3</v>
      </c>
      <c r="K38" s="101">
        <f>main!AF42</f>
        <v>66.445680366956879</v>
      </c>
      <c r="L38" s="101">
        <f>main!AG42</f>
        <v>7.9731975034410301</v>
      </c>
      <c r="M38" s="655">
        <v>1</v>
      </c>
      <c r="N38" s="101">
        <f>main!M42</f>
        <v>12.492358207702637</v>
      </c>
      <c r="O38" s="655">
        <v>1</v>
      </c>
      <c r="P38" s="101">
        <f>main!O42</f>
        <v>0.71064901351928711</v>
      </c>
      <c r="Q38" s="101">
        <v>1</v>
      </c>
      <c r="R38" s="101">
        <f>main!AH42</f>
        <v>4.5191607042616067</v>
      </c>
      <c r="S38" s="655">
        <v>1</v>
      </c>
      <c r="T38" s="101">
        <f>main!AB42</f>
        <v>7.7138576097263618</v>
      </c>
      <c r="U38" s="101">
        <v>3</v>
      </c>
      <c r="V38" s="101">
        <f>main!AC42</f>
        <v>16.501449048360879</v>
      </c>
      <c r="W38" s="101">
        <f t="shared" si="12"/>
        <v>20.444934941362188</v>
      </c>
      <c r="X38" s="101">
        <f t="shared" si="13"/>
        <v>2.4533047646171462</v>
      </c>
      <c r="Y38" s="101">
        <f t="shared" si="14"/>
        <v>3.8438232464496553</v>
      </c>
      <c r="Z38" s="101">
        <f t="shared" si="15"/>
        <v>0.21866241367844177</v>
      </c>
      <c r="AA38" s="101">
        <f t="shared" si="21"/>
        <v>1.3905184818325096</v>
      </c>
      <c r="AB38" s="101">
        <f t="shared" si="2"/>
        <v>5.0773963088157963</v>
      </c>
      <c r="AC38" s="67">
        <f>main!T42</f>
        <v>43360</v>
      </c>
      <c r="AD38" s="67">
        <f>main!U42</f>
        <v>43377</v>
      </c>
      <c r="AE38" s="67">
        <f>main!V42</f>
        <v>43368.5</v>
      </c>
      <c r="AF38" s="97">
        <f>main!H42</f>
        <v>17</v>
      </c>
      <c r="AG38" s="90">
        <f t="shared" si="3"/>
        <v>2.3735074440778123</v>
      </c>
      <c r="AH38" s="90">
        <f t="shared" si="11"/>
        <v>0.320051893959172</v>
      </c>
      <c r="AI38" s="90">
        <f t="shared" si="4"/>
        <v>1.5607595551637529E-2</v>
      </c>
      <c r="AJ38" s="90">
        <f t="shared" si="5"/>
        <v>0.11578005677206575</v>
      </c>
      <c r="AK38" s="90">
        <f t="shared" si="6"/>
        <v>0.20427183718710626</v>
      </c>
      <c r="AL38" s="395">
        <f t="shared" si="7"/>
        <v>8.4496527023062026E-2</v>
      </c>
      <c r="AM38">
        <f>depths!$B$3</f>
        <v>1798.9</v>
      </c>
      <c r="AO38" s="101">
        <f t="shared" si="22"/>
        <v>320.05189395917199</v>
      </c>
      <c r="AP38" s="101">
        <v>3</v>
      </c>
      <c r="AQ38" s="101">
        <f t="shared" si="16"/>
        <v>15.607595551637528</v>
      </c>
      <c r="AR38" s="101">
        <v>3</v>
      </c>
      <c r="AS38" s="101">
        <f t="shared" si="17"/>
        <v>115.78005677206575</v>
      </c>
      <c r="AT38" s="101">
        <v>3</v>
      </c>
      <c r="AU38" s="101">
        <f t="shared" si="18"/>
        <v>204.27183718710626</v>
      </c>
      <c r="AV38" s="101">
        <v>1</v>
      </c>
      <c r="AW38" s="101">
        <f t="shared" si="19"/>
        <v>84.496527023062029</v>
      </c>
      <c r="AX38" s="101">
        <v>3</v>
      </c>
      <c r="AY38" s="101">
        <f t="shared" si="9"/>
        <v>7.4181866379743715</v>
      </c>
      <c r="AZ38" s="101">
        <f t="shared" si="10"/>
        <v>13.087976076217219</v>
      </c>
      <c r="BA38" s="101">
        <f>main!R42</f>
        <v>40.049999999999997</v>
      </c>
      <c r="BB38" s="101">
        <v>1</v>
      </c>
      <c r="BC38" s="101">
        <f>main!S42</f>
        <v>8.6370000000000005</v>
      </c>
      <c r="BD38" s="101">
        <v>1</v>
      </c>
    </row>
    <row r="39" spans="1:56">
      <c r="A39">
        <f>main!A43</f>
        <v>2018</v>
      </c>
      <c r="B39" t="str">
        <f>main!B43</f>
        <v>47_2000</v>
      </c>
      <c r="C39">
        <f>main!C43</f>
        <v>13</v>
      </c>
      <c r="D39" t="str">
        <f>main!$B$30</f>
        <v>McLane-PARFLUX-Mark78H-21 ; frame controller sn 12419-02, frame sn 12419-02, motor sn 12419-02, cup set S250x21</v>
      </c>
      <c r="E39">
        <v>2000</v>
      </c>
      <c r="F39">
        <v>1</v>
      </c>
      <c r="G39" s="97">
        <f>main!E43</f>
        <v>592.9571428571428</v>
      </c>
      <c r="H39" s="90">
        <f>main!I43</f>
        <v>69.759663865546216</v>
      </c>
      <c r="I39" s="101">
        <f>main!J43</f>
        <v>25.479717226890756</v>
      </c>
      <c r="J39" s="101">
        <v>1</v>
      </c>
      <c r="K39" s="101">
        <f>main!AF43</f>
        <v>67.590204655428948</v>
      </c>
      <c r="L39" s="101">
        <f>main!AG43</f>
        <v>8.110535523746881</v>
      </c>
      <c r="M39" s="655">
        <v>1</v>
      </c>
      <c r="N39" s="101">
        <f>main!M43</f>
        <v>12.407177925109863</v>
      </c>
      <c r="O39" s="655">
        <v>1</v>
      </c>
      <c r="P39" s="101">
        <f>main!O43</f>
        <v>0.67137563228607178</v>
      </c>
      <c r="Q39" s="101">
        <v>1</v>
      </c>
      <c r="R39" s="101">
        <f>main!AH43</f>
        <v>4.2966424013629823</v>
      </c>
      <c r="S39" s="655">
        <v>1</v>
      </c>
      <c r="T39" s="101">
        <f>main!AB43</f>
        <v>7.4446572151482302</v>
      </c>
      <c r="U39" s="101">
        <v>3</v>
      </c>
      <c r="V39" s="101">
        <f>main!AC43</f>
        <v>15.925576790966794</v>
      </c>
      <c r="W39" s="101">
        <f t="shared" si="12"/>
        <v>17.221793019280049</v>
      </c>
      <c r="X39" s="101">
        <f t="shared" si="13"/>
        <v>2.0665415170372285</v>
      </c>
      <c r="Y39" s="101">
        <f t="shared" si="14"/>
        <v>3.1613138511552048</v>
      </c>
      <c r="Z39" s="101">
        <f t="shared" si="15"/>
        <v>0.17106461263674097</v>
      </c>
      <c r="AA39" s="101">
        <f t="shared" si="21"/>
        <v>1.0947723341179765</v>
      </c>
      <c r="AB39" s="101">
        <f t="shared" si="2"/>
        <v>4.0577919330896828</v>
      </c>
      <c r="AC39" s="67">
        <f>main!T43</f>
        <v>43377</v>
      </c>
      <c r="AD39" s="67">
        <f>main!U43</f>
        <v>43394</v>
      </c>
      <c r="AE39" s="67">
        <f>main!V43</f>
        <v>43385.5</v>
      </c>
      <c r="AF39" s="97">
        <f>main!H43</f>
        <v>17</v>
      </c>
      <c r="AG39" s="90">
        <f t="shared" si="3"/>
        <v>1.8968776069310893</v>
      </c>
      <c r="AH39" s="90">
        <f t="shared" si="11"/>
        <v>0.26322346803956742</v>
      </c>
      <c r="AI39" s="90">
        <f t="shared" si="4"/>
        <v>1.2210179345948678E-2</v>
      </c>
      <c r="AJ39" s="90">
        <f t="shared" si="5"/>
        <v>9.1155065288757414E-2</v>
      </c>
      <c r="AK39" s="90">
        <f t="shared" si="6"/>
        <v>0.17206840275081003</v>
      </c>
      <c r="AL39" s="395">
        <f t="shared" si="7"/>
        <v>6.7528572692456004E-2</v>
      </c>
      <c r="AM39">
        <f>depths!$B$3</f>
        <v>1798.9</v>
      </c>
      <c r="AO39" s="101">
        <f t="shared" si="22"/>
        <v>263.22346803956742</v>
      </c>
      <c r="AP39" s="101">
        <v>1</v>
      </c>
      <c r="AQ39" s="101">
        <f t="shared" si="16"/>
        <v>12.210179345948678</v>
      </c>
      <c r="AR39" s="101">
        <v>1</v>
      </c>
      <c r="AS39" s="101">
        <f t="shared" si="17"/>
        <v>91.155065288757413</v>
      </c>
      <c r="AT39" s="101">
        <v>1</v>
      </c>
      <c r="AU39" s="101">
        <f t="shared" si="18"/>
        <v>172.06840275081004</v>
      </c>
      <c r="AV39" s="101">
        <v>1</v>
      </c>
      <c r="AW39" s="101">
        <f t="shared" si="19"/>
        <v>67.528572692456009</v>
      </c>
      <c r="AX39" s="101">
        <v>3</v>
      </c>
      <c r="AY39" s="101">
        <f t="shared" si="9"/>
        <v>7.4654976561832855</v>
      </c>
      <c r="AZ39" s="101">
        <f t="shared" si="10"/>
        <v>14.09220928502595</v>
      </c>
      <c r="BA39" s="101">
        <f>main!R43</f>
        <v>39.909999999999997</v>
      </c>
      <c r="BB39" s="101">
        <v>1</v>
      </c>
      <c r="BC39" s="101">
        <f>main!S43</f>
        <v>8.5920000000000005</v>
      </c>
      <c r="BD39" s="101">
        <v>1</v>
      </c>
    </row>
    <row r="40" spans="1:56">
      <c r="A40">
        <f>main!A44</f>
        <v>2018</v>
      </c>
      <c r="B40" t="str">
        <f>main!B44</f>
        <v>47_2000</v>
      </c>
      <c r="C40">
        <f>main!C44</f>
        <v>14</v>
      </c>
      <c r="D40" t="str">
        <f>main!$B$30</f>
        <v>McLane-PARFLUX-Mark78H-21 ; frame controller sn 12419-02, frame sn 12419-02, motor sn 12419-02, cup set S250x21</v>
      </c>
      <c r="E40">
        <v>2000</v>
      </c>
      <c r="F40">
        <v>1</v>
      </c>
      <c r="G40" s="97">
        <f>main!E44</f>
        <v>459.25714285714287</v>
      </c>
      <c r="H40" s="90">
        <f>main!I44</f>
        <v>54.030252100840336</v>
      </c>
      <c r="I40" s="101">
        <f>main!J44</f>
        <v>19.734549579831935</v>
      </c>
      <c r="J40" s="101">
        <v>1</v>
      </c>
      <c r="K40" s="101">
        <f>main!AF44</f>
        <v>66.632919837869395</v>
      </c>
      <c r="L40" s="101">
        <f>main!AG44</f>
        <v>7.9956654392613959</v>
      </c>
      <c r="M40" s="655">
        <v>1</v>
      </c>
      <c r="N40" s="101">
        <f>main!M44</f>
        <v>15.202922821044922</v>
      </c>
      <c r="O40" s="655">
        <v>1</v>
      </c>
      <c r="P40" s="101">
        <f>main!O44</f>
        <v>1.17836594581604</v>
      </c>
      <c r="Q40" s="101">
        <v>1</v>
      </c>
      <c r="R40" s="101">
        <f>main!AH44</f>
        <v>7.2072573817835259</v>
      </c>
      <c r="S40" s="655">
        <v>1</v>
      </c>
      <c r="T40" s="101">
        <f>main!AB44</f>
        <v>5.0217392437140722</v>
      </c>
      <c r="U40" s="101">
        <v>1</v>
      </c>
      <c r="V40" s="101">
        <f>main!AC44</f>
        <v>10.742481707183291</v>
      </c>
      <c r="W40" s="101">
        <f t="shared" si="12"/>
        <v>13.149706601894005</v>
      </c>
      <c r="X40" s="101">
        <f t="shared" si="13"/>
        <v>1.577908560348527</v>
      </c>
      <c r="Y40" s="101">
        <f t="shared" si="14"/>
        <v>3.000228341702694</v>
      </c>
      <c r="Z40" s="101">
        <f t="shared" si="15"/>
        <v>0.23254521180892193</v>
      </c>
      <c r="AA40" s="101">
        <f t="shared" si="21"/>
        <v>1.4223197813541668</v>
      </c>
      <c r="AB40" s="101">
        <f t="shared" si="2"/>
        <v>2.1199803786084623</v>
      </c>
      <c r="AC40" s="67">
        <f>main!T44</f>
        <v>43394</v>
      </c>
      <c r="AD40" s="67">
        <f>main!U44</f>
        <v>43411</v>
      </c>
      <c r="AE40" s="67">
        <f>main!V44</f>
        <v>43402.5</v>
      </c>
      <c r="AF40" s="97">
        <f>main!H44</f>
        <v>17</v>
      </c>
      <c r="AG40" s="90">
        <f t="shared" si="3"/>
        <v>0.99101762082063072</v>
      </c>
      <c r="AH40" s="90">
        <f t="shared" si="11"/>
        <v>0.24981085276458734</v>
      </c>
      <c r="AI40" s="90">
        <f t="shared" si="4"/>
        <v>1.6598516189073657E-2</v>
      </c>
      <c r="AJ40" s="90">
        <f t="shared" si="5"/>
        <v>0.11842795848077992</v>
      </c>
      <c r="AK40" s="90">
        <f t="shared" si="6"/>
        <v>0.13138289428380742</v>
      </c>
      <c r="AL40" s="395">
        <f t="shared" si="7"/>
        <v>3.5280086180869731E-2</v>
      </c>
      <c r="AM40">
        <f>depths!$B$3</f>
        <v>1798.9</v>
      </c>
      <c r="AO40" s="101">
        <f t="shared" si="22"/>
        <v>249.81085276458734</v>
      </c>
      <c r="AP40" s="101">
        <v>1</v>
      </c>
      <c r="AQ40" s="101">
        <f t="shared" si="16"/>
        <v>16.598516189073656</v>
      </c>
      <c r="AR40" s="101">
        <v>1</v>
      </c>
      <c r="AS40" s="101">
        <f t="shared" si="17"/>
        <v>118.42795848077992</v>
      </c>
      <c r="AT40" s="101">
        <v>1</v>
      </c>
      <c r="AU40" s="101">
        <f t="shared" si="18"/>
        <v>131.38289428380742</v>
      </c>
      <c r="AV40" s="101">
        <v>1</v>
      </c>
      <c r="AW40" s="101">
        <f t="shared" si="19"/>
        <v>35.280086180869731</v>
      </c>
      <c r="AX40" s="101">
        <v>1</v>
      </c>
      <c r="AY40" s="101">
        <f t="shared" si="9"/>
        <v>7.1348521236336637</v>
      </c>
      <c r="AZ40" s="101">
        <f t="shared" si="10"/>
        <v>7.9153397079127554</v>
      </c>
      <c r="BA40" s="101">
        <f>main!R44</f>
        <v>40.22</v>
      </c>
      <c r="BB40" s="101">
        <v>1</v>
      </c>
      <c r="BC40" s="101">
        <f>main!S44</f>
        <v>8.2270000000000003</v>
      </c>
      <c r="BD40" s="101">
        <v>1</v>
      </c>
    </row>
    <row r="41" spans="1:56">
      <c r="A41">
        <f>main!A45</f>
        <v>2018</v>
      </c>
      <c r="B41" t="str">
        <f>main!B45</f>
        <v>47_2000</v>
      </c>
      <c r="C41">
        <f>main!C45</f>
        <v>15</v>
      </c>
      <c r="D41" t="str">
        <f>main!$B$30</f>
        <v>McLane-PARFLUX-Mark78H-21 ; frame controller sn 12419-02, frame sn 12419-02, motor sn 12419-02, cup set S250x21</v>
      </c>
      <c r="E41">
        <v>2000</v>
      </c>
      <c r="F41">
        <v>1</v>
      </c>
      <c r="G41" s="97">
        <f>main!E45</f>
        <v>426.5</v>
      </c>
      <c r="H41" s="90">
        <f>main!I45</f>
        <v>50.176470588235297</v>
      </c>
      <c r="I41" s="101">
        <f>main!J45</f>
        <v>18.326955882352944</v>
      </c>
      <c r="J41" s="101">
        <v>1</v>
      </c>
      <c r="K41" s="101">
        <f>main!AF45</f>
        <v>78.515368335862746</v>
      </c>
      <c r="L41" s="101">
        <f>main!AG45</f>
        <v>9.4215084462972829</v>
      </c>
      <c r="M41" s="655">
        <v>1</v>
      </c>
      <c r="N41" s="101">
        <f>main!M45</f>
        <v>13.092334747314453</v>
      </c>
      <c r="O41" s="655">
        <v>1</v>
      </c>
      <c r="P41" s="101">
        <f>main!O45</f>
        <v>0.600413978099823</v>
      </c>
      <c r="Q41" s="101">
        <v>1</v>
      </c>
      <c r="R41" s="101">
        <f>main!AH45</f>
        <v>3.6708263010171702</v>
      </c>
      <c r="S41" s="655">
        <v>1</v>
      </c>
      <c r="T41" s="101">
        <f>main!AB45</f>
        <v>4.1466224682896895</v>
      </c>
      <c r="U41" s="101">
        <v>1</v>
      </c>
      <c r="V41" s="101">
        <f>main!AC45</f>
        <v>8.8704358889116222</v>
      </c>
      <c r="W41" s="101">
        <f t="shared" si="12"/>
        <v>14.389476915780479</v>
      </c>
      <c r="X41" s="101">
        <f t="shared" si="13"/>
        <v>1.7266756964050594</v>
      </c>
      <c r="Y41" s="101">
        <f t="shared" si="14"/>
        <v>2.3994264131102843</v>
      </c>
      <c r="Z41" s="101">
        <f t="shared" si="15"/>
        <v>0.11003760487783483</v>
      </c>
      <c r="AA41" s="101">
        <f t="shared" si="21"/>
        <v>0.67275071670522524</v>
      </c>
      <c r="AB41" s="101">
        <f t="shared" si="2"/>
        <v>1.6256808719332352</v>
      </c>
      <c r="AC41" s="67">
        <f>main!T45</f>
        <v>43411</v>
      </c>
      <c r="AD41" s="67">
        <f>main!U45</f>
        <v>43428</v>
      </c>
      <c r="AE41" s="67">
        <f>main!V45</f>
        <v>43419.5</v>
      </c>
      <c r="AF41" s="97">
        <f>main!H45</f>
        <v>17</v>
      </c>
      <c r="AG41" s="90">
        <f t="shared" si="3"/>
        <v>0.7599496703711861</v>
      </c>
      <c r="AH41" s="90">
        <f t="shared" si="11"/>
        <v>0.1997857129983584</v>
      </c>
      <c r="AI41" s="90">
        <f t="shared" si="4"/>
        <v>7.8542187635856405E-3</v>
      </c>
      <c r="AJ41" s="90">
        <f t="shared" si="5"/>
        <v>5.6015879825580789E-2</v>
      </c>
      <c r="AK41" s="90">
        <f t="shared" si="6"/>
        <v>0.14376983317277764</v>
      </c>
      <c r="AL41" s="395">
        <f t="shared" si="7"/>
        <v>2.705410004881403E-2</v>
      </c>
      <c r="AM41">
        <f>depths!$B$3</f>
        <v>1798.9</v>
      </c>
      <c r="AO41" s="101">
        <f t="shared" si="22"/>
        <v>199.78571299835841</v>
      </c>
      <c r="AP41" s="101">
        <v>1</v>
      </c>
      <c r="AQ41" s="101">
        <f t="shared" si="16"/>
        <v>7.8542187635856404</v>
      </c>
      <c r="AR41" s="101">
        <v>1</v>
      </c>
      <c r="AS41" s="101">
        <f t="shared" si="17"/>
        <v>56.015879825580789</v>
      </c>
      <c r="AT41" s="101">
        <v>1</v>
      </c>
      <c r="AU41" s="101">
        <f t="shared" si="18"/>
        <v>143.76983317277765</v>
      </c>
      <c r="AV41" s="101">
        <v>1</v>
      </c>
      <c r="AW41" s="101">
        <f t="shared" si="19"/>
        <v>27.054100048814032</v>
      </c>
      <c r="AX41" s="101">
        <v>1</v>
      </c>
      <c r="AY41" s="101">
        <f t="shared" si="9"/>
        <v>7.1319480029364737</v>
      </c>
      <c r="AZ41" s="101">
        <f t="shared" si="10"/>
        <v>18.304791030183026</v>
      </c>
      <c r="BA41" s="101">
        <f>main!R45</f>
        <v>40.03</v>
      </c>
      <c r="BB41" s="101">
        <v>1</v>
      </c>
      <c r="BC41" s="101">
        <f>main!S45</f>
        <v>8.5150000000000006</v>
      </c>
      <c r="BD41" s="101">
        <v>1</v>
      </c>
    </row>
    <row r="42" spans="1:56">
      <c r="A42">
        <f>main!A46</f>
        <v>2018</v>
      </c>
      <c r="B42" t="str">
        <f>main!B46</f>
        <v>47_2000</v>
      </c>
      <c r="C42">
        <f>main!C46</f>
        <v>16</v>
      </c>
      <c r="D42" t="str">
        <f>main!$B$30</f>
        <v>McLane-PARFLUX-Mark78H-21 ; frame controller sn 12419-02, frame sn 12419-02, motor sn 12419-02, cup set S250x21</v>
      </c>
      <c r="E42">
        <v>2000</v>
      </c>
      <c r="F42">
        <v>1</v>
      </c>
      <c r="G42" s="97">
        <f>main!E46</f>
        <v>392.8142857142858</v>
      </c>
      <c r="H42" s="90">
        <f>main!I46</f>
        <v>46.21344537815127</v>
      </c>
      <c r="I42" s="101">
        <f>main!J46</f>
        <v>16.879460924369752</v>
      </c>
      <c r="J42" s="101">
        <v>1</v>
      </c>
      <c r="K42" s="101">
        <f>main!AF46</f>
        <v>76.947655061320717</v>
      </c>
      <c r="L42" s="101">
        <f>main!AG46</f>
        <v>9.2333895573392901</v>
      </c>
      <c r="M42" s="655">
        <v>1</v>
      </c>
      <c r="N42" s="101">
        <f>main!M46</f>
        <v>13.344470024108887</v>
      </c>
      <c r="O42" s="655">
        <v>1</v>
      </c>
      <c r="P42" s="101">
        <f>main!O46</f>
        <v>0.58693116903305054</v>
      </c>
      <c r="Q42" s="101">
        <v>1</v>
      </c>
      <c r="R42" s="101">
        <f>main!AH46</f>
        <v>4.1110804667695966</v>
      </c>
      <c r="S42" s="655">
        <v>1</v>
      </c>
      <c r="T42" s="101">
        <f>main!AB46</f>
        <v>4.0806182274664495</v>
      </c>
      <c r="U42" s="101">
        <v>1</v>
      </c>
      <c r="V42" s="101">
        <f>main!AC46</f>
        <v>8.7292399177094673</v>
      </c>
      <c r="W42" s="101">
        <f t="shared" si="12"/>
        <v>12.988349368294454</v>
      </c>
      <c r="X42" s="101">
        <f t="shared" si="13"/>
        <v>1.5585463823259227</v>
      </c>
      <c r="Y42" s="101">
        <f t="shared" si="14"/>
        <v>2.2524746032836944</v>
      </c>
      <c r="Z42" s="101">
        <f t="shared" si="15"/>
        <v>9.9070817329880351E-2</v>
      </c>
      <c r="AA42" s="101">
        <f t="shared" si="21"/>
        <v>0.69392822095777174</v>
      </c>
      <c r="AB42" s="101">
        <f t="shared" si="2"/>
        <v>1.473448640904256</v>
      </c>
      <c r="AC42" s="67">
        <f>main!T46</f>
        <v>43428</v>
      </c>
      <c r="AD42" s="67">
        <f>main!U46</f>
        <v>43445</v>
      </c>
      <c r="AE42" s="67">
        <f>main!V46</f>
        <v>43436.5</v>
      </c>
      <c r="AF42" s="97">
        <f>main!H46</f>
        <v>17</v>
      </c>
      <c r="AG42" s="90">
        <f t="shared" si="3"/>
        <v>0.68878635917790898</v>
      </c>
      <c r="AH42" s="90">
        <f t="shared" si="11"/>
        <v>0.18754992533586132</v>
      </c>
      <c r="AI42" s="90">
        <f t="shared" si="4"/>
        <v>7.0714359264725446E-3</v>
      </c>
      <c r="AJ42" s="90">
        <f t="shared" si="5"/>
        <v>5.7779202411138361E-2</v>
      </c>
      <c r="AK42" s="90">
        <f t="shared" si="6"/>
        <v>0.12977072292472297</v>
      </c>
      <c r="AL42" s="395">
        <f t="shared" si="7"/>
        <v>2.4520696303948344E-2</v>
      </c>
      <c r="AM42">
        <f>depths!$B$3</f>
        <v>1798.9</v>
      </c>
      <c r="AO42" s="101">
        <f t="shared" si="22"/>
        <v>187.5499253358613</v>
      </c>
      <c r="AP42" s="101">
        <v>1</v>
      </c>
      <c r="AQ42" s="101">
        <f t="shared" si="16"/>
        <v>7.0714359264725442</v>
      </c>
      <c r="AR42" s="101">
        <v>1</v>
      </c>
      <c r="AS42" s="101">
        <f t="shared" si="17"/>
        <v>57.779202411138364</v>
      </c>
      <c r="AT42" s="101">
        <v>1</v>
      </c>
      <c r="AU42" s="101">
        <f t="shared" si="18"/>
        <v>129.77072292472297</v>
      </c>
      <c r="AV42" s="101">
        <v>1</v>
      </c>
      <c r="AW42" s="101">
        <f t="shared" si="19"/>
        <v>24.520696303948345</v>
      </c>
      <c r="AX42" s="101">
        <v>1</v>
      </c>
      <c r="AY42" s="101">
        <f t="shared" si="9"/>
        <v>8.1707878020695652</v>
      </c>
      <c r="AZ42" s="101">
        <f t="shared" si="10"/>
        <v>18.351396275672219</v>
      </c>
      <c r="BA42" s="101">
        <f>main!R46</f>
        <v>39.75</v>
      </c>
      <c r="BB42" s="101">
        <v>1</v>
      </c>
      <c r="BC42" s="101">
        <f>main!S46</f>
        <v>8.6809999999999992</v>
      </c>
      <c r="BD42" s="101">
        <v>1</v>
      </c>
    </row>
    <row r="43" spans="1:56">
      <c r="A43">
        <f>main!A47</f>
        <v>2018</v>
      </c>
      <c r="B43" t="str">
        <f>main!B47</f>
        <v>47_2000</v>
      </c>
      <c r="C43">
        <f>main!C47</f>
        <v>17</v>
      </c>
      <c r="D43" t="str">
        <f>main!$B$30</f>
        <v>McLane-PARFLUX-Mark78H-21 ; frame controller sn 12419-02, frame sn 12419-02, motor sn 12419-02, cup set S250x21</v>
      </c>
      <c r="E43">
        <v>2000</v>
      </c>
      <c r="F43">
        <v>1</v>
      </c>
      <c r="G43" s="97">
        <f>main!E47</f>
        <v>258.54285714285714</v>
      </c>
      <c r="H43" s="90">
        <f>main!I47</f>
        <v>30.416806722689074</v>
      </c>
      <c r="I43" s="101">
        <f>main!J47</f>
        <v>11.109738655462184</v>
      </c>
      <c r="J43" s="101">
        <v>1</v>
      </c>
      <c r="K43" s="101">
        <f>main!AF47</f>
        <v>77.17781049289664</v>
      </c>
      <c r="L43" s="101">
        <f>main!AG47</f>
        <v>9.2610072249184316</v>
      </c>
      <c r="M43" s="655">
        <v>1</v>
      </c>
      <c r="N43" s="101">
        <f>main!M47</f>
        <v>13.119449901580799</v>
      </c>
      <c r="O43" s="655">
        <v>1</v>
      </c>
      <c r="P43" s="101">
        <f>main!O47</f>
        <v>0.56543075044949853</v>
      </c>
      <c r="Q43" s="101">
        <v>1</v>
      </c>
      <c r="R43" s="101">
        <f>main!AH47</f>
        <v>3.8584426766623672</v>
      </c>
      <c r="S43" s="655">
        <v>1</v>
      </c>
      <c r="T43" s="101">
        <f>main!AB47</f>
        <v>4.1918138793433686</v>
      </c>
      <c r="U43" s="101">
        <v>1</v>
      </c>
      <c r="V43" s="101">
        <f>main!AC47</f>
        <v>8.9671091495102555</v>
      </c>
      <c r="W43" s="101">
        <f t="shared" si="12"/>
        <v>8.5742530457686872</v>
      </c>
      <c r="X43" s="101">
        <f t="shared" si="13"/>
        <v>1.0288736995519088</v>
      </c>
      <c r="Y43" s="101">
        <f t="shared" si="14"/>
        <v>1.4575365970999175</v>
      </c>
      <c r="Z43" s="101">
        <f t="shared" si="15"/>
        <v>6.2817878652557863E-2</v>
      </c>
      <c r="AA43" s="101">
        <f t="shared" si="21"/>
        <v>0.42866289754800879</v>
      </c>
      <c r="AB43" s="101">
        <f t="shared" si="2"/>
        <v>0.99622239146062708</v>
      </c>
      <c r="AC43" s="67">
        <f>main!T47</f>
        <v>43445</v>
      </c>
      <c r="AD43" s="67">
        <f>main!U47</f>
        <v>43462</v>
      </c>
      <c r="AE43" s="67">
        <f>main!V47</f>
        <v>43453.5</v>
      </c>
      <c r="AF43" s="97">
        <f>main!H47</f>
        <v>17</v>
      </c>
      <c r="AG43" s="90">
        <f t="shared" si="3"/>
        <v>0.46569956691843922</v>
      </c>
      <c r="AH43" s="90">
        <f t="shared" si="11"/>
        <v>0.12136024955036781</v>
      </c>
      <c r="AI43" s="90">
        <f t="shared" si="4"/>
        <v>4.4837886261640163E-3</v>
      </c>
      <c r="AJ43" s="90">
        <f t="shared" si="5"/>
        <v>3.5692164658452021E-2</v>
      </c>
      <c r="AK43" s="90">
        <f t="shared" si="6"/>
        <v>8.5668084891915797E-2</v>
      </c>
      <c r="AL43" s="395">
        <f t="shared" si="7"/>
        <v>1.6578838266943369E-2</v>
      </c>
      <c r="AM43">
        <f>depths!$B$3</f>
        <v>1798.9</v>
      </c>
      <c r="AO43" s="101">
        <f t="shared" si="22"/>
        <v>121.36024955036781</v>
      </c>
      <c r="AP43" s="101">
        <v>1</v>
      </c>
      <c r="AQ43" s="101">
        <f t="shared" si="16"/>
        <v>4.4837886261640163</v>
      </c>
      <c r="AR43" s="101">
        <v>1</v>
      </c>
      <c r="AS43" s="101">
        <f t="shared" si="17"/>
        <v>35.692164658452022</v>
      </c>
      <c r="AT43" s="101">
        <v>1</v>
      </c>
      <c r="AU43" s="101">
        <f t="shared" si="18"/>
        <v>85.668084891915797</v>
      </c>
      <c r="AV43" s="101">
        <v>1</v>
      </c>
      <c r="AW43" s="101">
        <f t="shared" si="19"/>
        <v>16.578838266943368</v>
      </c>
      <c r="AX43" s="101">
        <v>1</v>
      </c>
      <c r="AY43" s="101">
        <f t="shared" si="9"/>
        <v>7.960269235302353</v>
      </c>
      <c r="AZ43" s="101">
        <f t="shared" si="10"/>
        <v>19.106182747335886</v>
      </c>
      <c r="BA43" s="101">
        <f>main!R47</f>
        <v>39.9</v>
      </c>
      <c r="BB43" s="101">
        <v>1</v>
      </c>
      <c r="BC43" s="101">
        <f>main!S47</f>
        <v>8.6840000000000011</v>
      </c>
      <c r="BD43" s="101">
        <v>1</v>
      </c>
    </row>
    <row r="44" spans="1:56">
      <c r="A44">
        <f>main!A48</f>
        <v>2018</v>
      </c>
      <c r="B44" t="str">
        <f>main!B48</f>
        <v>47_2000</v>
      </c>
      <c r="C44">
        <f>main!C48</f>
        <v>18</v>
      </c>
      <c r="D44" t="str">
        <f>main!$B$30</f>
        <v>McLane-PARFLUX-Mark78H-21 ; frame controller sn 12419-02, frame sn 12419-02, motor sn 12419-02, cup set S250x21</v>
      </c>
      <c r="E44">
        <v>2000</v>
      </c>
      <c r="F44">
        <v>1</v>
      </c>
      <c r="G44" s="97">
        <f>main!E48</f>
        <v>451.49999999999989</v>
      </c>
      <c r="H44" s="90">
        <f>main!I48</f>
        <v>53.117647058823515</v>
      </c>
      <c r="I44" s="101">
        <f>main!J48</f>
        <v>19.40122058823529</v>
      </c>
      <c r="J44" s="101">
        <v>1</v>
      </c>
      <c r="K44" s="101">
        <f>main!AF48</f>
        <v>74.998076386991769</v>
      </c>
      <c r="L44" s="101">
        <f>main!AG48</f>
        <v>8.9994484533717323</v>
      </c>
      <c r="M44" s="655">
        <v>1</v>
      </c>
      <c r="N44" s="101">
        <f>main!M48</f>
        <v>13.106645584106445</v>
      </c>
      <c r="O44" s="655">
        <v>1</v>
      </c>
      <c r="P44" s="101">
        <f>main!O48</f>
        <v>0.62611663341522217</v>
      </c>
      <c r="Q44" s="101">
        <v>1</v>
      </c>
      <c r="R44" s="101">
        <f>main!AH48</f>
        <v>4.107197130734713</v>
      </c>
      <c r="S44" s="655">
        <v>1</v>
      </c>
      <c r="T44" s="101">
        <f>main!AB48</f>
        <v>4.8736200989290257</v>
      </c>
      <c r="U44" s="101">
        <v>1</v>
      </c>
      <c r="V44" s="101">
        <f>main!AC48</f>
        <v>10.425625907605736</v>
      </c>
      <c r="W44" s="101">
        <f t="shared" si="12"/>
        <v>14.550542236773477</v>
      </c>
      <c r="X44" s="101">
        <f t="shared" si="13"/>
        <v>1.7460028461631789</v>
      </c>
      <c r="Y44" s="101">
        <f t="shared" si="14"/>
        <v>2.5428492214906915</v>
      </c>
      <c r="Z44" s="101">
        <f t="shared" si="15"/>
        <v>0.12147426918851977</v>
      </c>
      <c r="AA44" s="101">
        <f t="shared" si="21"/>
        <v>0.79684637532751235</v>
      </c>
      <c r="AB44" s="101">
        <f t="shared" si="2"/>
        <v>2.0226986800387965</v>
      </c>
      <c r="AC44" s="67">
        <f>main!T48</f>
        <v>43462</v>
      </c>
      <c r="AD44" s="67">
        <f>main!U48</f>
        <v>43479</v>
      </c>
      <c r="AE44" s="67">
        <f>main!V48</f>
        <v>43470.5</v>
      </c>
      <c r="AF44" s="97">
        <f>main!H48</f>
        <v>17</v>
      </c>
      <c r="AG44" s="90">
        <f t="shared" si="3"/>
        <v>0.9455417860257912</v>
      </c>
      <c r="AH44" s="90">
        <f t="shared" si="11"/>
        <v>0.21172766207249721</v>
      </c>
      <c r="AI44" s="90">
        <f t="shared" si="4"/>
        <v>8.670540270415401E-3</v>
      </c>
      <c r="AJ44" s="90">
        <f t="shared" si="5"/>
        <v>6.634857413218255E-2</v>
      </c>
      <c r="AK44" s="90">
        <f t="shared" si="6"/>
        <v>0.14537908794031465</v>
      </c>
      <c r="AL44" s="395">
        <f t="shared" si="7"/>
        <v>3.3661152937906412E-2</v>
      </c>
      <c r="AM44">
        <f>depths!$B$3</f>
        <v>1798.9</v>
      </c>
      <c r="AO44" s="101">
        <f t="shared" si="22"/>
        <v>211.72766207249722</v>
      </c>
      <c r="AP44" s="101">
        <v>1</v>
      </c>
      <c r="AQ44" s="101">
        <f t="shared" si="16"/>
        <v>8.6705402704154011</v>
      </c>
      <c r="AR44" s="101">
        <v>1</v>
      </c>
      <c r="AS44" s="101">
        <f t="shared" si="17"/>
        <v>66.348574132182549</v>
      </c>
      <c r="AT44" s="101">
        <v>1</v>
      </c>
      <c r="AU44" s="101">
        <f t="shared" si="18"/>
        <v>145.37908794031466</v>
      </c>
      <c r="AV44" s="101">
        <v>1</v>
      </c>
      <c r="AW44" s="101">
        <f t="shared" si="19"/>
        <v>33.661152937906415</v>
      </c>
      <c r="AX44" s="101">
        <v>1</v>
      </c>
      <c r="AY44" s="101">
        <f t="shared" si="9"/>
        <v>7.6521845309420176</v>
      </c>
      <c r="AZ44" s="101">
        <f t="shared" si="10"/>
        <v>16.767016057391498</v>
      </c>
      <c r="BA44" s="101">
        <f>main!R48</f>
        <v>40.17</v>
      </c>
      <c r="BB44" s="101">
        <v>1</v>
      </c>
      <c r="BC44" s="101">
        <f>main!S48</f>
        <v>8.6980000000000004</v>
      </c>
      <c r="BD44" s="101">
        <v>1</v>
      </c>
    </row>
    <row r="45" spans="1:56" s="200" customFormat="1">
      <c r="A45" s="200">
        <f>main!A49</f>
        <v>2018</v>
      </c>
      <c r="B45" s="200" t="str">
        <f>main!B49</f>
        <v>47_2000</v>
      </c>
      <c r="C45" s="200">
        <f>main!C49</f>
        <v>19</v>
      </c>
      <c r="D45" s="200" t="str">
        <f>main!$B$30</f>
        <v>McLane-PARFLUX-Mark78H-21 ; frame controller sn 12419-02, frame sn 12419-02, motor sn 12419-02, cup set S250x21</v>
      </c>
      <c r="E45" s="200">
        <v>2000</v>
      </c>
      <c r="F45">
        <v>1</v>
      </c>
      <c r="G45" s="400">
        <f>main!E49</f>
        <v>492.02857142857147</v>
      </c>
      <c r="H45" s="401">
        <f>main!I49</f>
        <v>57.885714285714293</v>
      </c>
      <c r="I45" s="655">
        <f>main!J49</f>
        <v>21.142757142857146</v>
      </c>
      <c r="J45" s="655">
        <v>3</v>
      </c>
      <c r="K45" s="655">
        <f>main!AF49</f>
        <v>68.215712572762769</v>
      </c>
      <c r="L45" s="655">
        <f>main!AG49</f>
        <v>8.1855937989774965</v>
      </c>
      <c r="M45" s="655">
        <v>1</v>
      </c>
      <c r="N45" s="655">
        <f>main!M49</f>
        <v>13.113008499145508</v>
      </c>
      <c r="O45" s="655">
        <v>1</v>
      </c>
      <c r="P45" s="655">
        <f>main!O49</f>
        <v>0.84665894508361816</v>
      </c>
      <c r="Q45" s="655">
        <v>1</v>
      </c>
      <c r="R45" s="655">
        <f>main!AH49</f>
        <v>4.9274147001680113</v>
      </c>
      <c r="S45" s="655">
        <v>1</v>
      </c>
      <c r="T45" s="655">
        <f>main!AB49</f>
        <v>6.1389455013610688</v>
      </c>
      <c r="U45" s="655">
        <v>1</v>
      </c>
      <c r="V45" s="655">
        <f>main!AC49</f>
        <v>13.132404242676632</v>
      </c>
      <c r="W45" s="655">
        <f t="shared" si="12"/>
        <v>14.4226824425287</v>
      </c>
      <c r="X45" s="655">
        <f t="shared" si="13"/>
        <v>1.7306602176185861</v>
      </c>
      <c r="Y45" s="655">
        <f t="shared" si="14"/>
        <v>2.7724515410965513</v>
      </c>
      <c r="Z45" s="655">
        <f t="shared" si="15"/>
        <v>0.17900704458730562</v>
      </c>
      <c r="AA45" s="655">
        <f t="shared" si="21"/>
        <v>1.0417913234779652</v>
      </c>
      <c r="AB45" s="655">
        <f t="shared" si="2"/>
        <v>2.7765523360473883</v>
      </c>
      <c r="AC45" s="450">
        <f>main!T49</f>
        <v>43479</v>
      </c>
      <c r="AD45" s="450">
        <f>main!U49</f>
        <v>43496</v>
      </c>
      <c r="AE45" s="450">
        <f>main!V49</f>
        <v>43487.5</v>
      </c>
      <c r="AF45" s="400">
        <f>main!H49</f>
        <v>17</v>
      </c>
      <c r="AG45" s="401">
        <f t="shared" si="3"/>
        <v>1.2979423384851247</v>
      </c>
      <c r="AH45" s="401">
        <f t="shared" si="11"/>
        <v>0.23084525737689854</v>
      </c>
      <c r="AI45" s="401">
        <f t="shared" si="4"/>
        <v>1.2777090976966854E-2</v>
      </c>
      <c r="AJ45" s="401">
        <f t="shared" si="5"/>
        <v>8.6743657242128666E-2</v>
      </c>
      <c r="AK45" s="401">
        <f t="shared" si="6"/>
        <v>0.14410160013476986</v>
      </c>
      <c r="AL45" s="401">
        <f t="shared" si="7"/>
        <v>4.6206562423820749E-2</v>
      </c>
      <c r="AM45" s="200">
        <f>depths!$B$3</f>
        <v>1798.9</v>
      </c>
      <c r="AO45" s="655">
        <f t="shared" si="22"/>
        <v>230.84525737689853</v>
      </c>
      <c r="AP45" s="655">
        <v>3</v>
      </c>
      <c r="AQ45" s="655">
        <f t="shared" si="16"/>
        <v>12.777090976966853</v>
      </c>
      <c r="AR45" s="655">
        <v>3</v>
      </c>
      <c r="AS45" s="655">
        <f t="shared" si="17"/>
        <v>86.743657242128663</v>
      </c>
      <c r="AT45" s="655">
        <v>3</v>
      </c>
      <c r="AU45" s="655">
        <f t="shared" si="18"/>
        <v>144.10160013476985</v>
      </c>
      <c r="AV45" s="655">
        <v>3</v>
      </c>
      <c r="AW45" s="655">
        <f t="shared" si="19"/>
        <v>46.206562423820749</v>
      </c>
      <c r="AX45" s="655">
        <v>3</v>
      </c>
      <c r="AY45" s="655">
        <f t="shared" si="9"/>
        <v>6.7889989512088995</v>
      </c>
      <c r="AZ45" s="655">
        <f t="shared" si="10"/>
        <v>11.278122727195143</v>
      </c>
      <c r="BA45" s="655">
        <f>main!R49</f>
        <v>39.96</v>
      </c>
      <c r="BB45" s="101">
        <v>1</v>
      </c>
      <c r="BC45" s="655">
        <f>main!S49</f>
        <v>8.6910000000000007</v>
      </c>
      <c r="BD45" s="101">
        <v>1</v>
      </c>
    </row>
    <row r="46" spans="1:56">
      <c r="A46">
        <f>main!A50</f>
        <v>2018</v>
      </c>
      <c r="B46" t="str">
        <f>main!B50</f>
        <v>47_2000</v>
      </c>
      <c r="C46">
        <f>main!C50</f>
        <v>20</v>
      </c>
      <c r="D46" t="str">
        <f>main!$B$30</f>
        <v>McLane-PARFLUX-Mark78H-21 ; frame controller sn 12419-02, frame sn 12419-02, motor sn 12419-02, cup set S250x21</v>
      </c>
      <c r="E46">
        <v>2000</v>
      </c>
      <c r="F46">
        <v>1</v>
      </c>
      <c r="G46" s="97">
        <f>main!E50</f>
        <v>607.7285714285714</v>
      </c>
      <c r="H46" s="90">
        <f>main!I50</f>
        <v>71.497478991596637</v>
      </c>
      <c r="I46" s="101">
        <f>main!J50</f>
        <v>26.114454201680672</v>
      </c>
      <c r="J46" s="101">
        <v>1</v>
      </c>
      <c r="K46" s="101">
        <f>main!AF50</f>
        <v>66.631008322156049</v>
      </c>
      <c r="L46" s="101">
        <f>main!AG50</f>
        <v>7.9954360655499785</v>
      </c>
      <c r="M46" s="655">
        <v>1</v>
      </c>
      <c r="N46" s="101">
        <f>main!M50</f>
        <v>12.189061164855957</v>
      </c>
      <c r="O46" s="655">
        <v>1</v>
      </c>
      <c r="P46" s="101">
        <f>main!O50</f>
        <v>0.64705199003219604</v>
      </c>
      <c r="Q46" s="101">
        <v>1</v>
      </c>
      <c r="R46" s="101">
        <f>main!AH50</f>
        <v>4.1936250993059785</v>
      </c>
      <c r="S46" s="655">
        <v>1</v>
      </c>
      <c r="T46" s="101">
        <f>main!AB50</f>
        <v>8.0667512564647978</v>
      </c>
      <c r="U46" s="101">
        <v>1</v>
      </c>
      <c r="V46" s="101">
        <f>main!AC50</f>
        <v>17.256357529404408</v>
      </c>
      <c r="W46" s="101">
        <f t="shared" ref="W46:W68" si="23">(K46/100)*$I46</f>
        <v>17.400324152407478</v>
      </c>
      <c r="X46" s="101">
        <f t="shared" ref="X46:X68" si="24">(L46/100)*$I46</f>
        <v>2.0879644895627081</v>
      </c>
      <c r="Y46" s="101">
        <f t="shared" ref="Y46:Y68" si="25">(N46/100)*$I46</f>
        <v>3.1831067955111538</v>
      </c>
      <c r="Z46" s="101">
        <f t="shared" ref="Z46:Z68" si="26">(P46/100)*$I46</f>
        <v>0.16897409559802123</v>
      </c>
      <c r="AA46" s="101">
        <f t="shared" si="21"/>
        <v>1.0951423059484453</v>
      </c>
      <c r="AB46" s="101">
        <f t="shared" si="2"/>
        <v>4.5064035838945884</v>
      </c>
      <c r="AC46" s="67">
        <f>main!T50</f>
        <v>43496</v>
      </c>
      <c r="AD46" s="67">
        <f>main!U50</f>
        <v>43513</v>
      </c>
      <c r="AE46" s="67">
        <f>main!V50</f>
        <v>43504.5</v>
      </c>
      <c r="AF46" s="97">
        <f>main!H50</f>
        <v>17</v>
      </c>
      <c r="AG46" s="90">
        <f t="shared" si="3"/>
        <v>2.106588062433</v>
      </c>
      <c r="AH46" s="90">
        <f t="shared" si="11"/>
        <v>0.26503803459709857</v>
      </c>
      <c r="AI46" s="90">
        <f t="shared" si="4"/>
        <v>1.2060963283227782E-2</v>
      </c>
      <c r="AJ46" s="90">
        <f t="shared" si="5"/>
        <v>9.1185870603534169E-2</v>
      </c>
      <c r="AK46" s="90">
        <f t="shared" si="6"/>
        <v>0.17385216399356437</v>
      </c>
      <c r="AL46" s="395">
        <f t="shared" si="7"/>
        <v>7.4994235045674623E-2</v>
      </c>
      <c r="AM46">
        <f>depths!$B$3</f>
        <v>1798.9</v>
      </c>
      <c r="AO46" s="101">
        <f t="shared" si="22"/>
        <v>265.03803459709854</v>
      </c>
      <c r="AP46" s="101">
        <v>1</v>
      </c>
      <c r="AQ46" s="101">
        <f t="shared" ref="AQ46:AQ68" si="27">AI46*1000</f>
        <v>12.060963283227782</v>
      </c>
      <c r="AR46" s="101">
        <v>1</v>
      </c>
      <c r="AS46" s="101">
        <f t="shared" ref="AS46:AS68" si="28">AJ46*1000</f>
        <v>91.18587060353417</v>
      </c>
      <c r="AT46" s="101">
        <v>1</v>
      </c>
      <c r="AU46" s="101">
        <f t="shared" ref="AU46:AU68" si="29">AK46*1000</f>
        <v>173.85216399356437</v>
      </c>
      <c r="AV46" s="101">
        <v>1</v>
      </c>
      <c r="AW46" s="101">
        <f t="shared" ref="AW46:AW68" si="30">AL46*1000</f>
        <v>74.994235045674628</v>
      </c>
      <c r="AX46" s="101">
        <v>1</v>
      </c>
      <c r="AY46" s="101">
        <f t="shared" si="9"/>
        <v>7.5604135807576061</v>
      </c>
      <c r="AZ46" s="101">
        <f t="shared" si="10"/>
        <v>14.414450978001623</v>
      </c>
      <c r="BA46" s="101">
        <f>main!R50</f>
        <v>39.869999999999997</v>
      </c>
      <c r="BB46" s="101">
        <v>1</v>
      </c>
      <c r="BC46" s="101">
        <f>main!S50</f>
        <v>8.6620000000000008</v>
      </c>
      <c r="BD46" s="101">
        <v>1</v>
      </c>
    </row>
    <row r="47" spans="1:56">
      <c r="A47">
        <f>main!A51</f>
        <v>2018</v>
      </c>
      <c r="B47" t="str">
        <f>main!B51</f>
        <v>47_2000</v>
      </c>
      <c r="C47">
        <f>main!C51</f>
        <v>21</v>
      </c>
      <c r="D47" t="str">
        <f>main!$B$30</f>
        <v>McLane-PARFLUX-Mark78H-21 ; frame controller sn 12419-02, frame sn 12419-02, motor sn 12419-02, cup set S250x21</v>
      </c>
      <c r="E47">
        <v>2000</v>
      </c>
      <c r="F47">
        <v>1</v>
      </c>
      <c r="G47" s="97">
        <f>main!E51</f>
        <v>602.38571428571436</v>
      </c>
      <c r="H47" s="90">
        <f>main!I51</f>
        <v>70.868907563025218</v>
      </c>
      <c r="I47" s="101">
        <f>main!J51</f>
        <v>25.884868487394964</v>
      </c>
      <c r="J47" s="101">
        <v>1</v>
      </c>
      <c r="K47" s="101">
        <f>main!AF51</f>
        <v>67.106526977103215</v>
      </c>
      <c r="L47" s="101">
        <f>main!AG51</f>
        <v>8.0524962706908649</v>
      </c>
      <c r="M47" s="655">
        <v>1</v>
      </c>
      <c r="N47" s="101">
        <f>main!M51</f>
        <v>15.38349723815918</v>
      </c>
      <c r="O47" s="655">
        <v>1</v>
      </c>
      <c r="P47" s="101">
        <f>main!O51</f>
        <v>1.2290290594100952</v>
      </c>
      <c r="Q47" s="101">
        <v>1</v>
      </c>
      <c r="R47" s="101">
        <f>main!AH51</f>
        <v>7.3310009674683148</v>
      </c>
      <c r="S47" s="655">
        <v>1</v>
      </c>
      <c r="T47" s="101">
        <f>main!AB51</f>
        <v>8.194419891678379</v>
      </c>
      <c r="U47" s="101">
        <v>1</v>
      </c>
      <c r="V47" s="101">
        <f>main!AC51</f>
        <v>17.52946569209519</v>
      </c>
      <c r="W47" s="101">
        <f t="shared" si="23"/>
        <v>17.37043625448139</v>
      </c>
      <c r="X47" s="101">
        <f t="shared" si="24"/>
        <v>2.0843780696207146</v>
      </c>
      <c r="Y47" s="101">
        <f t="shared" si="25"/>
        <v>3.9819980288595405</v>
      </c>
      <c r="Z47" s="101">
        <f t="shared" si="26"/>
        <v>0.31813255570017046</v>
      </c>
      <c r="AA47" s="101">
        <f t="shared" si="21"/>
        <v>1.8976199592388259</v>
      </c>
      <c r="AB47" s="101">
        <f t="shared" si="2"/>
        <v>4.5374791409418593</v>
      </c>
      <c r="AC47" s="67">
        <f>main!T51</f>
        <v>43513</v>
      </c>
      <c r="AD47" s="67">
        <f>main!U51</f>
        <v>43530</v>
      </c>
      <c r="AE47" s="67">
        <f>main!V51</f>
        <v>43521.5</v>
      </c>
      <c r="AF47" s="97">
        <f>main!H51</f>
        <v>17</v>
      </c>
      <c r="AG47" s="90">
        <f t="shared" si="3"/>
        <v>2.1211148122658812</v>
      </c>
      <c r="AH47" s="90">
        <f t="shared" si="11"/>
        <v>0.3315568716785629</v>
      </c>
      <c r="AI47" s="90">
        <f t="shared" si="4"/>
        <v>2.2707534311218448E-2</v>
      </c>
      <c r="AJ47" s="90">
        <f t="shared" si="5"/>
        <v>0.15800332716393223</v>
      </c>
      <c r="AK47" s="90">
        <f t="shared" si="6"/>
        <v>0.1735535445146307</v>
      </c>
      <c r="AL47" s="395">
        <f t="shared" si="7"/>
        <v>7.551138527112429E-2</v>
      </c>
      <c r="AM47">
        <f>depths!$B$3</f>
        <v>1798.9</v>
      </c>
      <c r="AO47" s="101">
        <f t="shared" si="22"/>
        <v>331.55687167856291</v>
      </c>
      <c r="AP47" s="101">
        <v>1</v>
      </c>
      <c r="AQ47" s="101">
        <f t="shared" si="27"/>
        <v>22.707534311218449</v>
      </c>
      <c r="AR47" s="101">
        <v>1</v>
      </c>
      <c r="AS47" s="101">
        <f t="shared" si="28"/>
        <v>158.00332716393223</v>
      </c>
      <c r="AT47" s="101">
        <v>1</v>
      </c>
      <c r="AU47" s="101">
        <f t="shared" si="29"/>
        <v>173.55354451463072</v>
      </c>
      <c r="AV47" s="101">
        <v>1</v>
      </c>
      <c r="AW47" s="101">
        <f t="shared" si="30"/>
        <v>75.511385271124297</v>
      </c>
      <c r="AX47" s="101">
        <v>1</v>
      </c>
      <c r="AY47" s="101">
        <f t="shared" si="9"/>
        <v>6.9581895153571178</v>
      </c>
      <c r="AZ47" s="101">
        <f t="shared" si="10"/>
        <v>7.6429938246922822</v>
      </c>
      <c r="BA47" s="101">
        <f>main!R51</f>
        <v>40.14</v>
      </c>
      <c r="BB47" s="101">
        <v>1</v>
      </c>
      <c r="BC47" s="101">
        <f>main!S51</f>
        <v>8.6809999999999992</v>
      </c>
      <c r="BD47" s="101">
        <v>1</v>
      </c>
    </row>
    <row r="48" spans="1:56">
      <c r="A48">
        <f>main!A55</f>
        <v>2018</v>
      </c>
      <c r="B48" t="str">
        <f>main!B55</f>
        <v>47_3800</v>
      </c>
      <c r="C48">
        <v>1</v>
      </c>
      <c r="D48" t="str">
        <f>main!$B$54</f>
        <v>McLane-PARFLUX-Mark78H-21 ; frame controller sn 12993-01, frame sn 12993-01, motor sn 12993-01, cup set R250x21</v>
      </c>
      <c r="E48">
        <v>3800</v>
      </c>
      <c r="F48">
        <v>1</v>
      </c>
      <c r="G48" s="97">
        <f>main!E55</f>
        <v>429.47142857142859</v>
      </c>
      <c r="H48" s="90">
        <f>main!I55</f>
        <v>50.526050420168069</v>
      </c>
      <c r="I48" s="101">
        <f>main!J55</f>
        <v>18.454639915966389</v>
      </c>
      <c r="J48" s="101">
        <v>1</v>
      </c>
      <c r="K48" s="101">
        <f>main!AF55</f>
        <v>71.080591169762215</v>
      </c>
      <c r="L48" s="101">
        <f>main!AG55</f>
        <v>8.5293669795831839</v>
      </c>
      <c r="M48" s="655">
        <v>1</v>
      </c>
      <c r="N48" s="101">
        <f>main!M55</f>
        <v>13.80047607421875</v>
      </c>
      <c r="O48" s="655">
        <v>1</v>
      </c>
      <c r="P48" s="101">
        <f>main!O55</f>
        <v>0.69819456338882446</v>
      </c>
      <c r="Q48" s="101">
        <v>1</v>
      </c>
      <c r="R48" s="101">
        <f>main!AH55</f>
        <v>5.2711090946355661</v>
      </c>
      <c r="S48" s="655">
        <v>1</v>
      </c>
      <c r="T48" s="101">
        <f>main!AB55</f>
        <v>3.4230651777853867</v>
      </c>
      <c r="U48" s="101">
        <v>1</v>
      </c>
      <c r="V48" s="101">
        <f>main!AC55</f>
        <v>7.3226054301574903</v>
      </c>
      <c r="W48" s="101">
        <f t="shared" si="23"/>
        <v>13.11766715051982</v>
      </c>
      <c r="X48" s="101">
        <f t="shared" si="24"/>
        <v>1.574063963193415</v>
      </c>
      <c r="Y48" s="101">
        <f t="shared" si="25"/>
        <v>2.5468281661861649</v>
      </c>
      <c r="Z48" s="101">
        <f t="shared" si="26"/>
        <v>0.12884929258626127</v>
      </c>
      <c r="AA48" s="101">
        <f t="shared" si="21"/>
        <v>0.97276420299274979</v>
      </c>
      <c r="AB48" s="101">
        <f t="shared" si="2"/>
        <v>1.3513604646025665</v>
      </c>
      <c r="AC48" s="67">
        <f>main!T55</f>
        <v>43173</v>
      </c>
      <c r="AD48" s="67">
        <f>main!U55</f>
        <v>43190</v>
      </c>
      <c r="AE48" s="67">
        <f>main!V55</f>
        <v>43181.5</v>
      </c>
      <c r="AF48" s="97">
        <f>main!H55</f>
        <v>17</v>
      </c>
      <c r="AG48" s="90">
        <f t="shared" si="3"/>
        <v>0.63171435264912779</v>
      </c>
      <c r="AH48" s="90">
        <f t="shared" si="11"/>
        <v>0.21205896471158742</v>
      </c>
      <c r="AI48" s="90">
        <f t="shared" si="4"/>
        <v>9.1969516478416329E-3</v>
      </c>
      <c r="AJ48" s="90">
        <f t="shared" si="5"/>
        <v>8.0996186760428787E-2</v>
      </c>
      <c r="AK48" s="90">
        <f t="shared" si="6"/>
        <v>0.13106277795115862</v>
      </c>
      <c r="AL48" s="395">
        <f t="shared" si="7"/>
        <v>2.2488940998544954E-2</v>
      </c>
      <c r="AM48">
        <f>depths!$B$4</f>
        <v>3799.6</v>
      </c>
      <c r="AO48" s="101">
        <f t="shared" si="22"/>
        <v>212.05896471158741</v>
      </c>
      <c r="AP48" s="101">
        <v>1</v>
      </c>
      <c r="AQ48" s="101">
        <f t="shared" si="27"/>
        <v>9.1969516478416331</v>
      </c>
      <c r="AR48" s="101">
        <v>1</v>
      </c>
      <c r="AS48" s="101">
        <f t="shared" si="28"/>
        <v>80.996186760428785</v>
      </c>
      <c r="AT48" s="101">
        <v>1</v>
      </c>
      <c r="AU48" s="101">
        <f t="shared" si="29"/>
        <v>131.06277795115861</v>
      </c>
      <c r="AV48" s="101">
        <v>1</v>
      </c>
      <c r="AW48" s="101">
        <f t="shared" si="30"/>
        <v>22.488940998544955</v>
      </c>
      <c r="AX48" s="101">
        <v>1</v>
      </c>
      <c r="AY48" s="101">
        <f t="shared" si="9"/>
        <v>8.8068514288032826</v>
      </c>
      <c r="AZ48" s="101">
        <f t="shared" si="10"/>
        <v>14.250675981526639</v>
      </c>
      <c r="BA48" s="101">
        <f>main!R55</f>
        <v>39.130000000000003</v>
      </c>
      <c r="BB48" s="101">
        <v>1</v>
      </c>
      <c r="BC48" s="101">
        <f>main!S55</f>
        <v>8.6329999999999991</v>
      </c>
      <c r="BD48" s="101">
        <v>1</v>
      </c>
    </row>
    <row r="49" spans="1:56">
      <c r="A49">
        <f>main!A56</f>
        <v>2018</v>
      </c>
      <c r="B49" t="str">
        <f>main!B56</f>
        <v>47_3800</v>
      </c>
      <c r="C49">
        <f>main!C56</f>
        <v>2</v>
      </c>
      <c r="D49" t="str">
        <f>main!$B$54</f>
        <v>McLane-PARFLUX-Mark78H-21 ; frame controller sn 12993-01, frame sn 12993-01, motor sn 12993-01, cup set R250x21</v>
      </c>
      <c r="E49">
        <v>3800</v>
      </c>
      <c r="F49">
        <v>1</v>
      </c>
      <c r="G49" s="97">
        <f>main!E56</f>
        <v>529.78571428571433</v>
      </c>
      <c r="H49" s="90">
        <f>main!I56</f>
        <v>62.327731092436977</v>
      </c>
      <c r="I49" s="101">
        <f>main!J56</f>
        <v>22.765203781512611</v>
      </c>
      <c r="J49" s="101">
        <v>1</v>
      </c>
      <c r="K49" s="101">
        <f>main!AF56</f>
        <v>72.101436974036943</v>
      </c>
      <c r="L49" s="101">
        <f>main!AG56</f>
        <v>8.6518641106696652</v>
      </c>
      <c r="M49" s="655">
        <v>1</v>
      </c>
      <c r="N49" s="101">
        <f>main!M56</f>
        <v>15.48238468170166</v>
      </c>
      <c r="O49" s="655">
        <v>1</v>
      </c>
      <c r="P49" s="101">
        <f>main!O56</f>
        <v>1.0298765897750854</v>
      </c>
      <c r="Q49" s="101">
        <v>1</v>
      </c>
      <c r="R49" s="101">
        <f>main!AH56</f>
        <v>6.8305205710319949</v>
      </c>
      <c r="S49" s="655">
        <v>1</v>
      </c>
      <c r="T49" s="101">
        <f>main!AB56</f>
        <v>2.599755406638391</v>
      </c>
      <c r="U49" s="101">
        <v>1</v>
      </c>
      <c r="V49" s="101">
        <f>main!AC56</f>
        <v>5.5613849193627951</v>
      </c>
      <c r="W49" s="101">
        <f t="shared" si="23"/>
        <v>16.414039056538392</v>
      </c>
      <c r="X49" s="101">
        <f t="shared" si="24"/>
        <v>1.9696144956935031</v>
      </c>
      <c r="Y49" s="101">
        <f t="shared" si="25"/>
        <v>3.5245964230270759</v>
      </c>
      <c r="Z49" s="101">
        <f t="shared" si="26"/>
        <v>0.23445350436039086</v>
      </c>
      <c r="AA49" s="101">
        <f t="shared" ref="AA49:AA65" si="31">(R49/100)*$I49</f>
        <v>1.5549819273335725</v>
      </c>
      <c r="AB49" s="101">
        <f t="shared" si="2"/>
        <v>1.2660606099672511</v>
      </c>
      <c r="AC49" s="67">
        <f>main!T56</f>
        <v>43190</v>
      </c>
      <c r="AD49" s="67">
        <f>main!U56</f>
        <v>43207</v>
      </c>
      <c r="AE49" s="67">
        <f>main!V56</f>
        <v>43198.5</v>
      </c>
      <c r="AF49" s="97">
        <f>main!H56</f>
        <v>17</v>
      </c>
      <c r="AG49" s="90">
        <f t="shared" si="3"/>
        <v>0.59183961614212155</v>
      </c>
      <c r="AH49" s="90">
        <f t="shared" si="11"/>
        <v>0.29347180874496887</v>
      </c>
      <c r="AI49" s="90">
        <f t="shared" si="4"/>
        <v>1.6734725507522547E-2</v>
      </c>
      <c r="AJ49" s="90">
        <f t="shared" si="5"/>
        <v>0.12947393233418589</v>
      </c>
      <c r="AK49" s="90">
        <f t="shared" si="6"/>
        <v>0.16399787641078295</v>
      </c>
      <c r="AL49" s="395">
        <f t="shared" si="7"/>
        <v>2.1069406057035299E-2</v>
      </c>
      <c r="AM49">
        <f>depths!$B$4</f>
        <v>3799.6</v>
      </c>
      <c r="AO49" s="101">
        <f t="shared" ref="AO49:AO65" si="32">AH49*1000</f>
        <v>293.47180874496888</v>
      </c>
      <c r="AP49" s="101">
        <v>1</v>
      </c>
      <c r="AQ49" s="101">
        <f t="shared" si="27"/>
        <v>16.734725507522548</v>
      </c>
      <c r="AR49" s="101">
        <v>1</v>
      </c>
      <c r="AS49" s="101">
        <f t="shared" si="28"/>
        <v>129.47393233418589</v>
      </c>
      <c r="AT49" s="101">
        <v>1</v>
      </c>
      <c r="AU49" s="101">
        <f t="shared" si="29"/>
        <v>163.99787641078294</v>
      </c>
      <c r="AV49" s="101">
        <v>1</v>
      </c>
      <c r="AW49" s="101">
        <f t="shared" si="30"/>
        <v>21.069406057035298</v>
      </c>
      <c r="AX49" s="101">
        <v>1</v>
      </c>
      <c r="AY49" s="101">
        <f t="shared" si="9"/>
        <v>7.7368423088855041</v>
      </c>
      <c r="AZ49" s="101">
        <f t="shared" si="10"/>
        <v>9.7998545800505106</v>
      </c>
      <c r="BA49" s="101">
        <f>main!R56</f>
        <v>38.5</v>
      </c>
      <c r="BB49" s="101">
        <v>1</v>
      </c>
      <c r="BC49" s="101">
        <f>main!S56</f>
        <v>8.6050000000000004</v>
      </c>
      <c r="BD49" s="101">
        <v>1</v>
      </c>
    </row>
    <row r="50" spans="1:56">
      <c r="A50">
        <f>main!A57</f>
        <v>2018</v>
      </c>
      <c r="B50" t="str">
        <f>main!B57</f>
        <v>47_3800</v>
      </c>
      <c r="C50">
        <f>main!C57</f>
        <v>3</v>
      </c>
      <c r="D50" t="str">
        <f>main!$B$54</f>
        <v>McLane-PARFLUX-Mark78H-21 ; frame controller sn 12993-01, frame sn 12993-01, motor sn 12993-01, cup set R250x21</v>
      </c>
      <c r="E50">
        <v>3800</v>
      </c>
      <c r="F50">
        <v>1</v>
      </c>
      <c r="G50" s="97">
        <f>main!E57</f>
        <v>805.89999999999964</v>
      </c>
      <c r="H50" s="90">
        <f>main!I57</f>
        <v>94.811764705882311</v>
      </c>
      <c r="I50" s="101">
        <f>main!J57</f>
        <v>34.62999705882352</v>
      </c>
      <c r="J50" s="101">
        <v>2</v>
      </c>
      <c r="K50" s="101">
        <f>main!AF57</f>
        <v>66.044303764239771</v>
      </c>
      <c r="L50" s="101">
        <f>main!AG57</f>
        <v>7.9250340275152853</v>
      </c>
      <c r="M50" s="655">
        <v>1</v>
      </c>
      <c r="N50" s="101">
        <f>main!M57</f>
        <v>15.915286064147949</v>
      </c>
      <c r="O50" s="655">
        <v>3</v>
      </c>
      <c r="P50" s="101">
        <f>main!O57</f>
        <v>1.1960781216621399</v>
      </c>
      <c r="Q50" s="101">
        <v>1</v>
      </c>
      <c r="R50" s="101">
        <f>main!AH57</f>
        <v>7.9902520366326639</v>
      </c>
      <c r="S50" s="655">
        <v>3</v>
      </c>
      <c r="T50" s="101">
        <f>main!AB57</f>
        <v>3.5089683834913665</v>
      </c>
      <c r="U50" s="101">
        <v>1</v>
      </c>
      <c r="V50" s="101">
        <f>main!AC57</f>
        <v>7.5063691763615594</v>
      </c>
      <c r="W50" s="101">
        <f t="shared" si="23"/>
        <v>22.871140451076705</v>
      </c>
      <c r="X50" s="101">
        <f t="shared" si="24"/>
        <v>2.7444390506393064</v>
      </c>
      <c r="Y50" s="101">
        <f t="shared" si="25"/>
        <v>5.5114630959177839</v>
      </c>
      <c r="Z50" s="101">
        <f t="shared" si="26"/>
        <v>0.4142018183528306</v>
      </c>
      <c r="AA50" s="101">
        <f t="shared" si="31"/>
        <v>2.767024045278478</v>
      </c>
      <c r="AB50" s="101">
        <f t="shared" si="2"/>
        <v>2.599455424998443</v>
      </c>
      <c r="AC50" s="67">
        <f>main!T57</f>
        <v>43207</v>
      </c>
      <c r="AD50" s="67">
        <f>main!U57</f>
        <v>43224</v>
      </c>
      <c r="AE50" s="67">
        <f>main!V57</f>
        <v>43215.5</v>
      </c>
      <c r="AF50" s="97">
        <f>main!H57</f>
        <v>17</v>
      </c>
      <c r="AG50" s="90">
        <f t="shared" si="3"/>
        <v>1.2151556479981074</v>
      </c>
      <c r="AH50" s="90">
        <f t="shared" si="11"/>
        <v>0.4589061695185499</v>
      </c>
      <c r="AI50" s="90">
        <f t="shared" si="4"/>
        <v>2.9564726506269137E-2</v>
      </c>
      <c r="AJ50" s="90">
        <f t="shared" si="5"/>
        <v>0.2303933426543279</v>
      </c>
      <c r="AK50" s="90">
        <f t="shared" si="6"/>
        <v>0.22851282686422203</v>
      </c>
      <c r="AL50" s="395">
        <f t="shared" si="7"/>
        <v>4.3259368031260501E-2</v>
      </c>
      <c r="AM50">
        <f>depths!$B$4</f>
        <v>3799.6</v>
      </c>
      <c r="AO50" s="101">
        <f t="shared" si="32"/>
        <v>458.90616951854992</v>
      </c>
      <c r="AP50" s="101">
        <v>3</v>
      </c>
      <c r="AQ50" s="101">
        <f t="shared" si="27"/>
        <v>29.564726506269139</v>
      </c>
      <c r="AR50" s="101">
        <v>2</v>
      </c>
      <c r="AS50" s="101">
        <f t="shared" si="28"/>
        <v>230.39334265432791</v>
      </c>
      <c r="AT50" s="101">
        <v>3</v>
      </c>
      <c r="AU50" s="101">
        <f t="shared" si="29"/>
        <v>228.51282686422203</v>
      </c>
      <c r="AV50" s="101">
        <v>2</v>
      </c>
      <c r="AW50" s="101">
        <f t="shared" si="30"/>
        <v>43.2593680312605</v>
      </c>
      <c r="AX50" s="101">
        <v>2</v>
      </c>
      <c r="AY50" s="101">
        <f t="shared" si="9"/>
        <v>7.7928453897746515</v>
      </c>
      <c r="AZ50" s="101">
        <f t="shared" si="10"/>
        <v>7.7292386525465187</v>
      </c>
      <c r="BA50" s="101">
        <f>main!R57</f>
        <v>39.47</v>
      </c>
      <c r="BB50" s="101">
        <v>1</v>
      </c>
      <c r="BC50" s="101">
        <f>main!S57</f>
        <v>8.548</v>
      </c>
      <c r="BD50" s="101">
        <v>1</v>
      </c>
    </row>
    <row r="51" spans="1:56">
      <c r="A51">
        <f>main!A58</f>
        <v>2018</v>
      </c>
      <c r="B51" t="str">
        <f>main!B58</f>
        <v>47_3800</v>
      </c>
      <c r="C51">
        <f>main!C58</f>
        <v>4</v>
      </c>
      <c r="D51" t="str">
        <f>main!$B$54</f>
        <v>McLane-PARFLUX-Mark78H-21 ; frame controller sn 12993-01, frame sn 12993-01, motor sn 12993-01, cup set R250x21</v>
      </c>
      <c r="E51">
        <v>3800</v>
      </c>
      <c r="F51">
        <v>1</v>
      </c>
      <c r="G51" s="97">
        <f>main!E58</f>
        <v>574.41428571428571</v>
      </c>
      <c r="H51" s="90">
        <f>main!I58</f>
        <v>67.5781512605042</v>
      </c>
      <c r="I51" s="101">
        <f>main!J58</f>
        <v>24.68291974789916</v>
      </c>
      <c r="J51" s="101">
        <v>1</v>
      </c>
      <c r="K51" s="101">
        <f>main!AF58</f>
        <v>71.023502723267811</v>
      </c>
      <c r="L51" s="101">
        <f>main!AG58</f>
        <v>8.5225166101302605</v>
      </c>
      <c r="M51" s="655">
        <v>1</v>
      </c>
      <c r="N51" s="101">
        <f>main!M58</f>
        <v>14.182465553283691</v>
      </c>
      <c r="O51" s="655">
        <v>1</v>
      </c>
      <c r="P51" s="101">
        <f>main!O58</f>
        <v>0.86751490831375122</v>
      </c>
      <c r="Q51" s="101">
        <v>1</v>
      </c>
      <c r="R51" s="101">
        <f>main!AH58</f>
        <v>5.6599489431534309</v>
      </c>
      <c r="S51" s="655">
        <v>1</v>
      </c>
      <c r="T51" s="101">
        <f>main!AB58</f>
        <v>3.8465130903490761</v>
      </c>
      <c r="U51" s="101">
        <v>1</v>
      </c>
      <c r="V51" s="101">
        <f>main!AC58</f>
        <v>8.2284432751540049</v>
      </c>
      <c r="W51" s="101">
        <f t="shared" si="23"/>
        <v>17.530674179331168</v>
      </c>
      <c r="X51" s="101">
        <f t="shared" si="24"/>
        <v>2.1036059353798282</v>
      </c>
      <c r="Y51" s="101">
        <f t="shared" si="25"/>
        <v>3.5006465907904558</v>
      </c>
      <c r="Z51" s="101">
        <f t="shared" si="26"/>
        <v>0.21412800862014419</v>
      </c>
      <c r="AA51" s="101">
        <f t="shared" si="31"/>
        <v>1.3970406554106281</v>
      </c>
      <c r="AB51" s="101">
        <f t="shared" si="2"/>
        <v>2.0310200501076681</v>
      </c>
      <c r="AC51" s="67">
        <f>main!T58</f>
        <v>43224</v>
      </c>
      <c r="AD51" s="67">
        <f>main!U58</f>
        <v>43241</v>
      </c>
      <c r="AE51" s="67">
        <f>main!V58</f>
        <v>43232.5</v>
      </c>
      <c r="AF51" s="97">
        <f>main!H58</f>
        <v>17</v>
      </c>
      <c r="AG51" s="90">
        <f t="shared" si="3"/>
        <v>0.94943173918329837</v>
      </c>
      <c r="AH51" s="90">
        <f t="shared" si="11"/>
        <v>0.29147765118987978</v>
      </c>
      <c r="AI51" s="90">
        <f t="shared" si="4"/>
        <v>1.5283940658111648E-2</v>
      </c>
      <c r="AJ51" s="90">
        <f t="shared" si="5"/>
        <v>0.11632311868531457</v>
      </c>
      <c r="AK51" s="90">
        <f t="shared" si="6"/>
        <v>0.17515453250456522</v>
      </c>
      <c r="AL51" s="395">
        <f t="shared" si="7"/>
        <v>3.3799634716386556E-2</v>
      </c>
      <c r="AM51">
        <f>depths!$B$4</f>
        <v>3799.6</v>
      </c>
      <c r="AO51" s="101">
        <f t="shared" si="32"/>
        <v>291.47765118987979</v>
      </c>
      <c r="AP51" s="101">
        <v>1</v>
      </c>
      <c r="AQ51" s="101">
        <f t="shared" si="27"/>
        <v>15.283940658111648</v>
      </c>
      <c r="AR51" s="101">
        <v>1</v>
      </c>
      <c r="AS51" s="101">
        <f t="shared" si="28"/>
        <v>116.32311868531457</v>
      </c>
      <c r="AT51" s="101">
        <v>1</v>
      </c>
      <c r="AU51" s="101">
        <f t="shared" si="29"/>
        <v>175.15453250456522</v>
      </c>
      <c r="AV51" s="101">
        <v>1</v>
      </c>
      <c r="AW51" s="101">
        <f t="shared" si="30"/>
        <v>33.799634716386556</v>
      </c>
      <c r="AX51" s="101">
        <v>1</v>
      </c>
      <c r="AY51" s="101">
        <f t="shared" si="9"/>
        <v>7.6108067472493346</v>
      </c>
      <c r="AZ51" s="101">
        <f t="shared" si="10"/>
        <v>11.460037461713478</v>
      </c>
      <c r="BA51" s="101">
        <f>main!R58</f>
        <v>40.06</v>
      </c>
      <c r="BB51" s="101">
        <v>1</v>
      </c>
      <c r="BC51" s="101">
        <f>main!S58</f>
        <v>8.5380000000000003</v>
      </c>
      <c r="BD51" s="101">
        <v>1</v>
      </c>
    </row>
    <row r="52" spans="1:56">
      <c r="A52">
        <f>main!A59</f>
        <v>2018</v>
      </c>
      <c r="B52" t="str">
        <f>main!B59</f>
        <v>47_3800</v>
      </c>
      <c r="C52">
        <f>main!C59</f>
        <v>5</v>
      </c>
      <c r="D52" t="str">
        <f>main!$B$54</f>
        <v>McLane-PARFLUX-Mark78H-21 ; frame controller sn 12993-01, frame sn 12993-01, motor sn 12993-01, cup set R250x21</v>
      </c>
      <c r="E52">
        <v>3800</v>
      </c>
      <c r="F52">
        <v>1</v>
      </c>
      <c r="G52" s="97">
        <f>main!E59</f>
        <v>363.95714285714286</v>
      </c>
      <c r="H52" s="90">
        <f>main!I59</f>
        <v>42.818487394957984</v>
      </c>
      <c r="I52" s="101">
        <f>main!J59</f>
        <v>15.639452521008403</v>
      </c>
      <c r="J52" s="101">
        <v>1</v>
      </c>
      <c r="K52" s="101">
        <f>main!AF59</f>
        <v>74.407085546384209</v>
      </c>
      <c r="L52" s="101">
        <f>main!AG59</f>
        <v>8.9285320797434462</v>
      </c>
      <c r="M52" s="655">
        <v>1</v>
      </c>
      <c r="N52" s="101">
        <f>main!M59</f>
        <v>13.104650497436523</v>
      </c>
      <c r="O52" s="655">
        <v>1</v>
      </c>
      <c r="P52" s="101">
        <f>main!O59</f>
        <v>0.61714720726013184</v>
      </c>
      <c r="Q52" s="101">
        <v>1</v>
      </c>
      <c r="R52" s="101">
        <f>main!AH59</f>
        <v>4.1761184176930772</v>
      </c>
      <c r="S52" s="655">
        <v>1</v>
      </c>
      <c r="T52" s="101">
        <f>main!AB59</f>
        <v>3.9341420051180456</v>
      </c>
      <c r="U52" s="101">
        <v>1</v>
      </c>
      <c r="V52" s="101">
        <f>main!AC59</f>
        <v>8.4158986503219424</v>
      </c>
      <c r="W52" s="101">
        <f t="shared" si="23"/>
        <v>11.636860816292865</v>
      </c>
      <c r="X52" s="101">
        <f t="shared" si="24"/>
        <v>1.3963735354344804</v>
      </c>
      <c r="Y52" s="101">
        <f t="shared" si="25"/>
        <v>2.0494955925906768</v>
      </c>
      <c r="Z52" s="101">
        <f t="shared" si="26"/>
        <v>9.6518444464177636E-2</v>
      </c>
      <c r="AA52" s="101">
        <f t="shared" si="31"/>
        <v>0.6531220571561962</v>
      </c>
      <c r="AB52" s="101">
        <f t="shared" si="2"/>
        <v>1.3162004736332873</v>
      </c>
      <c r="AC52" s="67">
        <f>main!T59</f>
        <v>43241</v>
      </c>
      <c r="AD52" s="67">
        <f>main!U59</f>
        <v>43258</v>
      </c>
      <c r="AE52" s="67">
        <f>main!V59</f>
        <v>43249.5</v>
      </c>
      <c r="AF52" s="97">
        <f>main!H59</f>
        <v>17</v>
      </c>
      <c r="AG52" s="90">
        <f t="shared" si="3"/>
        <v>0.61527827099948473</v>
      </c>
      <c r="AH52" s="90">
        <f t="shared" si="11"/>
        <v>0.17064909180605137</v>
      </c>
      <c r="AI52" s="90">
        <f t="shared" si="4"/>
        <v>6.8892537090776331E-3</v>
      </c>
      <c r="AJ52" s="90">
        <f t="shared" si="5"/>
        <v>5.4381520162880614E-2</v>
      </c>
      <c r="AK52" s="90">
        <f t="shared" si="6"/>
        <v>0.11626757164317073</v>
      </c>
      <c r="AL52" s="395">
        <f t="shared" si="7"/>
        <v>2.1903818832306327E-2</v>
      </c>
      <c r="AM52">
        <f>depths!$B$4</f>
        <v>3799.6</v>
      </c>
      <c r="AO52" s="101">
        <f t="shared" si="32"/>
        <v>170.64909180605136</v>
      </c>
      <c r="AP52" s="101">
        <v>1</v>
      </c>
      <c r="AQ52" s="101">
        <f t="shared" si="27"/>
        <v>6.8892537090776331</v>
      </c>
      <c r="AR52" s="101">
        <v>1</v>
      </c>
      <c r="AS52" s="101">
        <f t="shared" si="28"/>
        <v>54.381520162880612</v>
      </c>
      <c r="AT52" s="101">
        <v>1</v>
      </c>
      <c r="AU52" s="101">
        <f t="shared" si="29"/>
        <v>116.26757164317073</v>
      </c>
      <c r="AV52" s="101">
        <v>1</v>
      </c>
      <c r="AW52" s="101">
        <f t="shared" si="30"/>
        <v>21.903818832306328</v>
      </c>
      <c r="AX52" s="101">
        <v>1</v>
      </c>
      <c r="AY52" s="101">
        <f t="shared" si="9"/>
        <v>7.8936736052012044</v>
      </c>
      <c r="AZ52" s="101">
        <f t="shared" si="10"/>
        <v>16.876656972288686</v>
      </c>
      <c r="BA52" s="101">
        <f>main!R59</f>
        <v>40.07</v>
      </c>
      <c r="BB52" s="101">
        <v>1</v>
      </c>
      <c r="BC52" s="101">
        <f>main!S59</f>
        <v>8.6754999999999995</v>
      </c>
      <c r="BD52" s="101">
        <v>1</v>
      </c>
    </row>
    <row r="53" spans="1:56">
      <c r="A53">
        <f>main!A60</f>
        <v>2018</v>
      </c>
      <c r="B53" t="str">
        <f>main!B60</f>
        <v>47_3800</v>
      </c>
      <c r="C53">
        <f>main!C60</f>
        <v>6</v>
      </c>
      <c r="D53" t="str">
        <f>main!$B$54</f>
        <v>McLane-PARFLUX-Mark78H-21 ; frame controller sn 12993-01, frame sn 12993-01, motor sn 12993-01, cup set R250x21</v>
      </c>
      <c r="E53">
        <v>3800</v>
      </c>
      <c r="F53">
        <v>1</v>
      </c>
      <c r="G53" s="97">
        <f>main!E60</f>
        <v>260.57142857142856</v>
      </c>
      <c r="H53" s="90">
        <f>main!I60</f>
        <v>30.655462184873947</v>
      </c>
      <c r="I53" s="101">
        <f>main!J60</f>
        <v>11.19690756302521</v>
      </c>
      <c r="J53" s="101">
        <v>1</v>
      </c>
      <c r="K53" s="101">
        <f>main!AF60</f>
        <v>73.184713315188958</v>
      </c>
      <c r="L53" s="101">
        <f>main!AG60</f>
        <v>8.7818526392107188</v>
      </c>
      <c r="M53" s="655">
        <v>1</v>
      </c>
      <c r="N53" s="101">
        <f>main!M60</f>
        <v>14.073051452636719</v>
      </c>
      <c r="O53" s="655">
        <v>1</v>
      </c>
      <c r="P53" s="101">
        <f>main!O60</f>
        <v>0.82868802547454834</v>
      </c>
      <c r="Q53" s="101">
        <v>1</v>
      </c>
      <c r="R53" s="101">
        <f>main!AH60</f>
        <v>5.291198813426</v>
      </c>
      <c r="S53" s="655">
        <v>1</v>
      </c>
      <c r="T53" s="101">
        <f>main!AB60</f>
        <v>3.4782095955131229</v>
      </c>
      <c r="U53" s="101">
        <v>1</v>
      </c>
      <c r="V53" s="101">
        <f>main!AC60</f>
        <v>7.4405701172795853</v>
      </c>
      <c r="W53" s="101">
        <f t="shared" si="23"/>
        <v>8.1944247001667101</v>
      </c>
      <c r="X53" s="101">
        <f t="shared" si="24"/>
        <v>0.98329592233351393</v>
      </c>
      <c r="Y53" s="101">
        <f t="shared" si="25"/>
        <v>1.5757465624487101</v>
      </c>
      <c r="Z53" s="101">
        <f t="shared" si="26"/>
        <v>9.278743219824398E-2</v>
      </c>
      <c r="AA53" s="101">
        <f t="shared" si="31"/>
        <v>0.59245064011519599</v>
      </c>
      <c r="AB53" s="101">
        <f t="shared" si="2"/>
        <v>0.83311375819387157</v>
      </c>
      <c r="AC53" s="67">
        <f>main!T60</f>
        <v>43258</v>
      </c>
      <c r="AD53" s="67">
        <f>main!U60</f>
        <v>43275</v>
      </c>
      <c r="AE53" s="67">
        <f>main!V60</f>
        <v>43266.5</v>
      </c>
      <c r="AF53" s="97">
        <f>main!H60</f>
        <v>17</v>
      </c>
      <c r="AG53" s="90">
        <f t="shared" si="3"/>
        <v>0.38945191325787742</v>
      </c>
      <c r="AH53" s="90">
        <f t="shared" si="11"/>
        <v>0.1312028778058876</v>
      </c>
      <c r="AI53" s="90">
        <f t="shared" si="4"/>
        <v>6.6229430548354019E-3</v>
      </c>
      <c r="AJ53" s="90">
        <f t="shared" si="5"/>
        <v>4.9329778527493422E-2</v>
      </c>
      <c r="AK53" s="90">
        <f t="shared" si="6"/>
        <v>8.1873099278394174E-2</v>
      </c>
      <c r="AL53" s="395">
        <f t="shared" si="7"/>
        <v>1.3864432654249819E-2</v>
      </c>
      <c r="AM53">
        <f>depths!$B$4</f>
        <v>3799.6</v>
      </c>
      <c r="AO53" s="101">
        <f t="shared" si="32"/>
        <v>131.2028778058876</v>
      </c>
      <c r="AP53" s="101">
        <v>1</v>
      </c>
      <c r="AQ53" s="101">
        <f t="shared" si="27"/>
        <v>6.6229430548354022</v>
      </c>
      <c r="AR53" s="101">
        <v>1</v>
      </c>
      <c r="AS53" s="101">
        <f t="shared" si="28"/>
        <v>49.329778527493424</v>
      </c>
      <c r="AT53" s="101">
        <v>1</v>
      </c>
      <c r="AU53" s="101">
        <f t="shared" si="29"/>
        <v>81.873099278394179</v>
      </c>
      <c r="AV53" s="101">
        <v>1</v>
      </c>
      <c r="AW53" s="101">
        <f t="shared" si="30"/>
        <v>13.86443265424982</v>
      </c>
      <c r="AX53" s="101">
        <v>1</v>
      </c>
      <c r="AY53" s="101">
        <f t="shared" si="9"/>
        <v>7.448316876509729</v>
      </c>
      <c r="AZ53" s="101">
        <f t="shared" si="10"/>
        <v>12.362041859716539</v>
      </c>
      <c r="BA53" s="101">
        <f>main!R60</f>
        <v>40.1</v>
      </c>
      <c r="BB53" s="101">
        <v>1</v>
      </c>
      <c r="BC53" s="101">
        <f>main!S60</f>
        <v>8.6750000000000007</v>
      </c>
      <c r="BD53" s="101">
        <v>1</v>
      </c>
    </row>
    <row r="54" spans="1:56">
      <c r="A54">
        <f>main!A61</f>
        <v>2018</v>
      </c>
      <c r="B54" t="str">
        <f>main!B61</f>
        <v>47_3800</v>
      </c>
      <c r="C54">
        <f>main!C61</f>
        <v>7</v>
      </c>
      <c r="D54" t="str">
        <f>main!$B$54</f>
        <v>McLane-PARFLUX-Mark78H-21 ; frame controller sn 12993-01, frame sn 12993-01, motor sn 12993-01, cup set R250x21</v>
      </c>
      <c r="E54">
        <v>3800</v>
      </c>
      <c r="F54">
        <v>1</v>
      </c>
      <c r="G54" s="97">
        <f>main!E61</f>
        <v>308.97142857142859</v>
      </c>
      <c r="H54" s="90">
        <f>main!I61</f>
        <v>36.349579831932772</v>
      </c>
      <c r="I54" s="101">
        <f>main!J61</f>
        <v>13.276684033613448</v>
      </c>
      <c r="J54" s="101">
        <v>1</v>
      </c>
      <c r="K54" s="101">
        <f>main!AF61</f>
        <v>74.531284306016786</v>
      </c>
      <c r="L54" s="101">
        <f>main!AG61</f>
        <v>8.9434353997901983</v>
      </c>
      <c r="M54" s="655">
        <v>1</v>
      </c>
      <c r="N54" s="101">
        <f>main!M61</f>
        <v>13.875494956970215</v>
      </c>
      <c r="O54" s="655">
        <v>1</v>
      </c>
      <c r="P54" s="101">
        <f>main!O61</f>
        <v>0.75137102603912354</v>
      </c>
      <c r="Q54" s="101">
        <v>1</v>
      </c>
      <c r="R54" s="101">
        <f>main!AH61</f>
        <v>4.9320595571800165</v>
      </c>
      <c r="S54" s="655">
        <v>1</v>
      </c>
      <c r="T54" s="101">
        <f>main!AB61</f>
        <v>3.4248683597168843</v>
      </c>
      <c r="U54" s="101">
        <v>1</v>
      </c>
      <c r="V54" s="101">
        <f>main!AC61</f>
        <v>7.3264627887286426</v>
      </c>
      <c r="W54" s="101">
        <f t="shared" si="23"/>
        <v>9.895283123503976</v>
      </c>
      <c r="X54" s="101">
        <f t="shared" si="24"/>
        <v>1.1873916597804781</v>
      </c>
      <c r="Y54" s="101">
        <f t="shared" si="25"/>
        <v>1.8422056235369035</v>
      </c>
      <c r="Z54" s="101">
        <f t="shared" si="26"/>
        <v>9.9757157047333858E-2</v>
      </c>
      <c r="AA54" s="101">
        <f t="shared" si="31"/>
        <v>0.65481396375642531</v>
      </c>
      <c r="AB54" s="101">
        <f t="shared" si="2"/>
        <v>0.97271131529976618</v>
      </c>
      <c r="AC54" s="67">
        <f>main!T61</f>
        <v>43275</v>
      </c>
      <c r="AD54" s="67">
        <f>main!U61</f>
        <v>43292</v>
      </c>
      <c r="AE54" s="67">
        <f>main!V61</f>
        <v>43283.5</v>
      </c>
      <c r="AF54" s="97">
        <f>main!H61</f>
        <v>17</v>
      </c>
      <c r="AG54" s="90">
        <f t="shared" si="3"/>
        <v>0.45470895068681039</v>
      </c>
      <c r="AH54" s="90">
        <f t="shared" si="11"/>
        <v>0.15338931086901778</v>
      </c>
      <c r="AI54" s="90">
        <f t="shared" si="4"/>
        <v>7.1204251996669424E-3</v>
      </c>
      <c r="AJ54" s="90">
        <f t="shared" si="5"/>
        <v>5.4522394983882207E-2</v>
      </c>
      <c r="AK54" s="90">
        <f t="shared" si="6"/>
        <v>9.8866915885135562E-2</v>
      </c>
      <c r="AL54" s="395">
        <f t="shared" si="7"/>
        <v>1.6187573894154872E-2</v>
      </c>
      <c r="AM54">
        <f>depths!$B$4</f>
        <v>3799.6</v>
      </c>
      <c r="AO54" s="101">
        <f t="shared" si="32"/>
        <v>153.38931086901778</v>
      </c>
      <c r="AP54" s="101">
        <v>1</v>
      </c>
      <c r="AQ54" s="101">
        <f t="shared" si="27"/>
        <v>7.1204251996669425</v>
      </c>
      <c r="AR54" s="101">
        <v>1</v>
      </c>
      <c r="AS54" s="101">
        <f t="shared" si="28"/>
        <v>54.522394983882208</v>
      </c>
      <c r="AT54" s="101">
        <v>1</v>
      </c>
      <c r="AU54" s="101">
        <f t="shared" si="29"/>
        <v>98.866915885135555</v>
      </c>
      <c r="AV54" s="101">
        <v>1</v>
      </c>
      <c r="AW54" s="101">
        <f t="shared" si="30"/>
        <v>16.187573894154873</v>
      </c>
      <c r="AX54" s="101">
        <v>1</v>
      </c>
      <c r="AY54" s="101">
        <f t="shared" si="9"/>
        <v>7.6571824652314993</v>
      </c>
      <c r="AZ54" s="101">
        <f t="shared" si="10"/>
        <v>13.884973595363386</v>
      </c>
      <c r="BA54" s="101">
        <f>main!R61</f>
        <v>40.200000000000003</v>
      </c>
      <c r="BB54" s="101">
        <v>1</v>
      </c>
      <c r="BC54" s="101">
        <f>main!S61</f>
        <v>8.6389999999999993</v>
      </c>
      <c r="BD54" s="101">
        <v>1</v>
      </c>
    </row>
    <row r="55" spans="1:56">
      <c r="A55">
        <f>main!A62</f>
        <v>2018</v>
      </c>
      <c r="B55" t="str">
        <f>main!B62</f>
        <v>47_3800</v>
      </c>
      <c r="C55">
        <f>main!C62</f>
        <v>8</v>
      </c>
      <c r="D55" t="str">
        <f>main!$B$54</f>
        <v>McLane-PARFLUX-Mark78H-21 ; frame controller sn 12993-01, frame sn 12993-01, motor sn 12993-01, cup set R250x21</v>
      </c>
      <c r="E55">
        <v>3800</v>
      </c>
      <c r="F55">
        <v>1</v>
      </c>
      <c r="G55" s="97">
        <f>main!E62</f>
        <v>245.39999999999998</v>
      </c>
      <c r="H55" s="90">
        <f>main!I62</f>
        <v>28.870588235294115</v>
      </c>
      <c r="I55" s="101">
        <f>main!J62</f>
        <v>10.544982352941176</v>
      </c>
      <c r="J55" s="101">
        <v>1</v>
      </c>
      <c r="K55" s="101">
        <f>main!AF62</f>
        <v>74.080943714550642</v>
      </c>
      <c r="L55" s="101">
        <f>main!AG62</f>
        <v>8.8893964545984847</v>
      </c>
      <c r="M55" s="655">
        <v>1</v>
      </c>
      <c r="N55" s="101">
        <f>main!M62</f>
        <v>13.573327493667591</v>
      </c>
      <c r="O55" s="655">
        <v>1</v>
      </c>
      <c r="P55" s="101">
        <f>main!O62</f>
        <v>0.69269953668117523</v>
      </c>
      <c r="Q55" s="101">
        <v>1</v>
      </c>
      <c r="R55" s="101">
        <f>main!AH62</f>
        <v>4.6839310390691065</v>
      </c>
      <c r="S55" s="655">
        <v>1</v>
      </c>
      <c r="T55" s="101">
        <f>main!AB62</f>
        <v>3.6072370145516657</v>
      </c>
      <c r="U55" s="101">
        <v>1</v>
      </c>
      <c r="V55" s="101">
        <f>main!AC62</f>
        <v>7.7165849841370457</v>
      </c>
      <c r="W55" s="101">
        <f t="shared" si="23"/>
        <v>7.8118224415916506</v>
      </c>
      <c r="X55" s="101">
        <f t="shared" si="24"/>
        <v>0.93738528742038874</v>
      </c>
      <c r="Y55" s="101">
        <f t="shared" si="25"/>
        <v>1.4313049889141605</v>
      </c>
      <c r="Z55" s="101">
        <f t="shared" si="26"/>
        <v>7.3045043901935211E-2</v>
      </c>
      <c r="AA55" s="101">
        <f t="shared" si="31"/>
        <v>0.49391970149377151</v>
      </c>
      <c r="AB55" s="101">
        <f t="shared" si="2"/>
        <v>0.8137125248269601</v>
      </c>
      <c r="AC55" s="67">
        <f>main!T62</f>
        <v>43292</v>
      </c>
      <c r="AD55" s="67">
        <f>main!U62</f>
        <v>43309</v>
      </c>
      <c r="AE55" s="67">
        <f>main!V62</f>
        <v>43300.5</v>
      </c>
      <c r="AF55" s="97">
        <f>main!H62</f>
        <v>17</v>
      </c>
      <c r="AG55" s="90">
        <f t="shared" si="3"/>
        <v>0.38038250661323525</v>
      </c>
      <c r="AH55" s="90">
        <f t="shared" si="11"/>
        <v>0.11917610232424317</v>
      </c>
      <c r="AI55" s="90">
        <f t="shared" si="4"/>
        <v>5.2137790079896653E-3</v>
      </c>
      <c r="AJ55" s="90">
        <f t="shared" si="5"/>
        <v>4.1125703704727019E-2</v>
      </c>
      <c r="AK55" s="90">
        <f t="shared" si="6"/>
        <v>7.8050398619516126E-2</v>
      </c>
      <c r="AL55" s="395">
        <f t="shared" si="7"/>
        <v>1.3541563069178898E-2</v>
      </c>
      <c r="AM55">
        <f>depths!$B$4</f>
        <v>3799.6</v>
      </c>
      <c r="AO55" s="101">
        <f t="shared" si="32"/>
        <v>119.17610232424316</v>
      </c>
      <c r="AP55" s="101">
        <v>1</v>
      </c>
      <c r="AQ55" s="101">
        <f t="shared" si="27"/>
        <v>5.2137790079896655</v>
      </c>
      <c r="AR55" s="101">
        <v>1</v>
      </c>
      <c r="AS55" s="101">
        <f t="shared" si="28"/>
        <v>41.125703704727016</v>
      </c>
      <c r="AT55" s="101">
        <v>1</v>
      </c>
      <c r="AU55" s="101">
        <f t="shared" si="29"/>
        <v>78.05039861951613</v>
      </c>
      <c r="AV55" s="101">
        <v>1</v>
      </c>
      <c r="AW55" s="101">
        <f t="shared" si="30"/>
        <v>13.541563069178899</v>
      </c>
      <c r="AX55" s="101">
        <v>1</v>
      </c>
      <c r="AY55" s="101">
        <f t="shared" si="9"/>
        <v>7.8878877761610973</v>
      </c>
      <c r="AZ55" s="101">
        <f t="shared" si="10"/>
        <v>14.970024333580431</v>
      </c>
      <c r="BA55" s="101">
        <f>main!R62</f>
        <v>39.96</v>
      </c>
      <c r="BB55" s="101">
        <v>1</v>
      </c>
      <c r="BC55" s="101">
        <f>main!S62</f>
        <v>8.6780000000000008</v>
      </c>
      <c r="BD55" s="101">
        <v>1</v>
      </c>
    </row>
    <row r="56" spans="1:56">
      <c r="A56">
        <f>main!A63</f>
        <v>2018</v>
      </c>
      <c r="B56" t="str">
        <f>main!B63</f>
        <v>47_3800</v>
      </c>
      <c r="C56">
        <f>main!C63</f>
        <v>9</v>
      </c>
      <c r="D56" t="str">
        <f>main!$B$54</f>
        <v>McLane-PARFLUX-Mark78H-21 ; frame controller sn 12993-01, frame sn 12993-01, motor sn 12993-01, cup set R250x21</v>
      </c>
      <c r="E56">
        <v>3800</v>
      </c>
      <c r="F56">
        <v>1</v>
      </c>
      <c r="G56" s="97">
        <f>main!E63</f>
        <v>262.42857142857139</v>
      </c>
      <c r="H56" s="90">
        <f>main!I63</f>
        <v>30.87394957983193</v>
      </c>
      <c r="I56" s="101">
        <f>main!J63</f>
        <v>11.276710084033612</v>
      </c>
      <c r="J56" s="101">
        <v>1</v>
      </c>
      <c r="K56" s="101">
        <f>main!AF63</f>
        <v>74.925903760565873</v>
      </c>
      <c r="L56" s="101">
        <f>main!AG63</f>
        <v>8.9907880468312644</v>
      </c>
      <c r="M56" s="655">
        <v>1</v>
      </c>
      <c r="N56" s="101">
        <f>main!M63</f>
        <v>13.004121780395508</v>
      </c>
      <c r="O56" s="655">
        <v>1</v>
      </c>
      <c r="P56" s="101">
        <f>main!O63</f>
        <v>0.60184335708618164</v>
      </c>
      <c r="Q56" s="101">
        <v>1</v>
      </c>
      <c r="R56" s="101">
        <f>main!AH63</f>
        <v>4.0133337335642434</v>
      </c>
      <c r="S56" s="655">
        <v>1</v>
      </c>
      <c r="T56" s="101">
        <f>main!AB63</f>
        <v>4.0467582150447088</v>
      </c>
      <c r="U56" s="101">
        <v>1</v>
      </c>
      <c r="V56" s="101">
        <f>main!AC63</f>
        <v>8.6568067334295691</v>
      </c>
      <c r="W56" s="101">
        <f t="shared" si="23"/>
        <v>8.4491769449210512</v>
      </c>
      <c r="X56" s="101">
        <f t="shared" si="24"/>
        <v>1.0138651023111098</v>
      </c>
      <c r="Y56" s="101">
        <f t="shared" si="25"/>
        <v>1.4664371121498716</v>
      </c>
      <c r="Z56" s="101">
        <f t="shared" si="26"/>
        <v>6.7868130538623866E-2</v>
      </c>
      <c r="AA56" s="101">
        <f t="shared" si="31"/>
        <v>0.45257200983876167</v>
      </c>
      <c r="AB56" s="101">
        <f t="shared" si="2"/>
        <v>0.97620299786395281</v>
      </c>
      <c r="AC56" s="67">
        <f>main!T63</f>
        <v>43309</v>
      </c>
      <c r="AD56" s="67">
        <f>main!U63</f>
        <v>43326</v>
      </c>
      <c r="AE56" s="67">
        <f>main!V63</f>
        <v>43317.5</v>
      </c>
      <c r="AF56" s="97">
        <f>main!H63</f>
        <v>17</v>
      </c>
      <c r="AG56" s="90">
        <f t="shared" si="3"/>
        <v>0.45634119171240528</v>
      </c>
      <c r="AH56" s="90">
        <f t="shared" si="11"/>
        <v>0.12210134156118831</v>
      </c>
      <c r="AI56" s="90">
        <f t="shared" si="4"/>
        <v>4.844263421743317E-3</v>
      </c>
      <c r="AJ56" s="90">
        <f t="shared" si="5"/>
        <v>3.7682931710138361E-2</v>
      </c>
      <c r="AK56" s="90">
        <f t="shared" si="6"/>
        <v>8.4418409851049939E-2</v>
      </c>
      <c r="AL56" s="395">
        <f t="shared" si="7"/>
        <v>1.624568144223586E-2</v>
      </c>
      <c r="AM56">
        <f>depths!$B$4</f>
        <v>3799.6</v>
      </c>
      <c r="AO56" s="101">
        <f t="shared" si="32"/>
        <v>122.10134156118831</v>
      </c>
      <c r="AP56" s="101">
        <v>1</v>
      </c>
      <c r="AQ56" s="101">
        <f t="shared" si="27"/>
        <v>4.8442634217433174</v>
      </c>
      <c r="AR56" s="101">
        <v>1</v>
      </c>
      <c r="AS56" s="101">
        <f t="shared" si="28"/>
        <v>37.682931710138362</v>
      </c>
      <c r="AT56" s="101">
        <v>1</v>
      </c>
      <c r="AU56" s="101">
        <f t="shared" si="29"/>
        <v>84.418409851049944</v>
      </c>
      <c r="AV56" s="101">
        <v>1</v>
      </c>
      <c r="AW56" s="101">
        <f t="shared" si="30"/>
        <v>16.24568144223586</v>
      </c>
      <c r="AX56" s="101">
        <v>1</v>
      </c>
      <c r="AY56" s="101">
        <f t="shared" si="9"/>
        <v>7.7788774947703629</v>
      </c>
      <c r="AZ56" s="101">
        <f t="shared" si="10"/>
        <v>17.426469723372325</v>
      </c>
      <c r="BA56" s="101">
        <f>main!R63</f>
        <v>40.159999999999997</v>
      </c>
      <c r="BB56" s="101">
        <v>1</v>
      </c>
      <c r="BC56" s="101">
        <f>main!S63</f>
        <v>8.6489999999999991</v>
      </c>
      <c r="BD56" s="101">
        <v>1</v>
      </c>
    </row>
    <row r="57" spans="1:56">
      <c r="A57">
        <f>main!A64</f>
        <v>2018</v>
      </c>
      <c r="B57" t="str">
        <f>main!B64</f>
        <v>47_3800</v>
      </c>
      <c r="C57">
        <f>main!C64</f>
        <v>10</v>
      </c>
      <c r="D57" t="str">
        <f>main!$B$54</f>
        <v>McLane-PARFLUX-Mark78H-21 ; frame controller sn 12993-01, frame sn 12993-01, motor sn 12993-01, cup set R250x21</v>
      </c>
      <c r="E57">
        <v>3800</v>
      </c>
      <c r="F57">
        <v>1</v>
      </c>
      <c r="G57" s="97">
        <f>main!E64</f>
        <v>214.08571428571429</v>
      </c>
      <c r="H57" s="90">
        <f>main!I64</f>
        <v>25.186554621848739</v>
      </c>
      <c r="I57" s="101">
        <f>main!J64</f>
        <v>9.1993890756302523</v>
      </c>
      <c r="J57" s="101">
        <v>1</v>
      </c>
      <c r="K57" s="101">
        <f>main!AF64</f>
        <v>70.428110758985014</v>
      </c>
      <c r="L57" s="101">
        <f>main!AG64</f>
        <v>8.4510721204814025</v>
      </c>
      <c r="M57" s="655">
        <v>1</v>
      </c>
      <c r="N57" s="101">
        <f>main!M64</f>
        <v>13.893876075744629</v>
      </c>
      <c r="O57" s="655">
        <v>1</v>
      </c>
      <c r="P57" s="101">
        <f>main!O64</f>
        <v>0.91538608074188232</v>
      </c>
      <c r="Q57" s="101">
        <v>1</v>
      </c>
      <c r="R57" s="101">
        <f>main!AH64</f>
        <v>5.4428039552632264</v>
      </c>
      <c r="S57" s="655">
        <v>1</v>
      </c>
      <c r="T57" s="101">
        <f>main!AB64</f>
        <v>3.8651785512901471</v>
      </c>
      <c r="U57" s="101">
        <v>1</v>
      </c>
      <c r="V57" s="101">
        <f>main!AC64</f>
        <v>8.2683723441447121</v>
      </c>
      <c r="W57" s="101">
        <f t="shared" si="23"/>
        <v>6.4789559273348418</v>
      </c>
      <c r="X57" s="101">
        <f t="shared" si="24"/>
        <v>0.77744700542520007</v>
      </c>
      <c r="Y57" s="101">
        <f t="shared" si="25"/>
        <v>1.2781517178936566</v>
      </c>
      <c r="Z57" s="101">
        <f t="shared" si="26"/>
        <v>8.4209927111608643E-2</v>
      </c>
      <c r="AA57" s="101">
        <f t="shared" si="31"/>
        <v>0.50070471246845649</v>
      </c>
      <c r="AB57" s="101">
        <f t="shared" si="2"/>
        <v>0.76063974215968155</v>
      </c>
      <c r="AC57" s="67">
        <f>main!T64</f>
        <v>43326</v>
      </c>
      <c r="AD57" s="67">
        <f>main!U64</f>
        <v>43343</v>
      </c>
      <c r="AE57" s="67">
        <f>main!V64</f>
        <v>43334.5</v>
      </c>
      <c r="AF57" s="97">
        <f>main!H64</f>
        <v>17</v>
      </c>
      <c r="AG57" s="90">
        <f t="shared" si="3"/>
        <v>0.35557281340098945</v>
      </c>
      <c r="AH57" s="90">
        <f t="shared" si="11"/>
        <v>0.10642395652736525</v>
      </c>
      <c r="AI57" s="90">
        <f t="shared" si="4"/>
        <v>6.0107014355181045E-3</v>
      </c>
      <c r="AJ57" s="90">
        <f t="shared" si="5"/>
        <v>4.1690650496957242E-2</v>
      </c>
      <c r="AK57" s="90">
        <f t="shared" si="6"/>
        <v>6.4733306030408E-2</v>
      </c>
      <c r="AL57" s="395">
        <f t="shared" si="7"/>
        <v>1.265834152370913E-2</v>
      </c>
      <c r="AM57">
        <f>depths!$B$4</f>
        <v>3799.6</v>
      </c>
      <c r="AO57" s="101">
        <f t="shared" si="32"/>
        <v>106.42395652736525</v>
      </c>
      <c r="AP57" s="101">
        <v>1</v>
      </c>
      <c r="AQ57" s="101">
        <f t="shared" si="27"/>
        <v>6.0107014355181043</v>
      </c>
      <c r="AR57" s="101">
        <v>1</v>
      </c>
      <c r="AS57" s="101">
        <f t="shared" si="28"/>
        <v>41.69065049695724</v>
      </c>
      <c r="AT57" s="101">
        <v>1</v>
      </c>
      <c r="AU57" s="101">
        <f t="shared" si="29"/>
        <v>64.733306030408002</v>
      </c>
      <c r="AV57" s="101">
        <v>1</v>
      </c>
      <c r="AW57" s="101">
        <f t="shared" si="30"/>
        <v>12.658341523709129</v>
      </c>
      <c r="AX57" s="101">
        <v>1</v>
      </c>
      <c r="AY57" s="101">
        <f t="shared" si="9"/>
        <v>6.9360707638215322</v>
      </c>
      <c r="AZ57" s="101">
        <f t="shared" si="10"/>
        <v>10.769675839809565</v>
      </c>
      <c r="BA57" s="101">
        <f>main!R64</f>
        <v>40.08</v>
      </c>
      <c r="BB57" s="101">
        <v>1</v>
      </c>
      <c r="BC57" s="101">
        <f>main!S64</f>
        <v>8.6920000000000002</v>
      </c>
      <c r="BD57" s="101">
        <v>1</v>
      </c>
    </row>
    <row r="58" spans="1:56">
      <c r="A58">
        <f>main!A65</f>
        <v>2018</v>
      </c>
      <c r="B58" t="str">
        <f>main!B65</f>
        <v>47_3800</v>
      </c>
      <c r="C58">
        <f>main!C65</f>
        <v>11</v>
      </c>
      <c r="D58" t="str">
        <f>main!$B$54</f>
        <v>McLane-PARFLUX-Mark78H-21 ; frame controller sn 12993-01, frame sn 12993-01, motor sn 12993-01, cup set R250x21</v>
      </c>
      <c r="E58">
        <v>3800</v>
      </c>
      <c r="F58">
        <v>1</v>
      </c>
      <c r="G58" s="97">
        <f>main!E65</f>
        <v>266.89999999999998</v>
      </c>
      <c r="H58" s="90">
        <f>main!I65</f>
        <v>31.4</v>
      </c>
      <c r="I58" s="101">
        <f>main!J65</f>
        <v>11.46885</v>
      </c>
      <c r="J58" s="101">
        <v>1</v>
      </c>
      <c r="K58" s="101">
        <f>main!AF65</f>
        <v>75.002610374996266</v>
      </c>
      <c r="L58" s="101">
        <f>main!AG65</f>
        <v>8.9999925125436508</v>
      </c>
      <c r="M58" s="655">
        <v>1</v>
      </c>
      <c r="N58" s="101">
        <f>main!M65</f>
        <v>12.262346267700195</v>
      </c>
      <c r="O58" s="655">
        <v>1</v>
      </c>
      <c r="P58" s="101">
        <f>main!O65</f>
        <v>0.4686332643032074</v>
      </c>
      <c r="Q58" s="101">
        <v>1</v>
      </c>
      <c r="R58" s="101">
        <f>main!AH65</f>
        <v>3.2623537551565445</v>
      </c>
      <c r="S58" s="655">
        <v>1</v>
      </c>
      <c r="T58" s="101">
        <f>main!AB65</f>
        <v>4.2728849205456028</v>
      </c>
      <c r="U58" s="101">
        <v>1</v>
      </c>
      <c r="V58" s="101">
        <f>main!AC65</f>
        <v>9.1405359514270295</v>
      </c>
      <c r="W58" s="101">
        <f t="shared" si="23"/>
        <v>8.6019368799927598</v>
      </c>
      <c r="X58" s="101">
        <f t="shared" si="24"/>
        <v>1.0321956412748625</v>
      </c>
      <c r="Y58" s="101">
        <f t="shared" si="25"/>
        <v>1.4063500999231338</v>
      </c>
      <c r="Z58" s="101">
        <f t="shared" si="26"/>
        <v>5.3746846133038401E-2</v>
      </c>
      <c r="AA58" s="101">
        <f t="shared" si="31"/>
        <v>0.37415445864827135</v>
      </c>
      <c r="AB58" s="101">
        <f t="shared" si="2"/>
        <v>1.0483143574652389</v>
      </c>
      <c r="AC58" s="67">
        <f>main!T65</f>
        <v>43343</v>
      </c>
      <c r="AD58" s="67">
        <f>main!U65</f>
        <v>43360</v>
      </c>
      <c r="AE58" s="67">
        <f>main!V65</f>
        <v>43351.5</v>
      </c>
      <c r="AF58" s="97">
        <f>main!H65</f>
        <v>17</v>
      </c>
      <c r="AG58" s="90">
        <f t="shared" si="3"/>
        <v>0.49005076220999433</v>
      </c>
      <c r="AH58" s="90">
        <f t="shared" si="11"/>
        <v>0.11709825977711355</v>
      </c>
      <c r="AI58" s="90">
        <f t="shared" si="4"/>
        <v>3.8363202093532047E-3</v>
      </c>
      <c r="AJ58" s="90">
        <f t="shared" si="5"/>
        <v>3.1153576906600446E-2</v>
      </c>
      <c r="AK58" s="90">
        <f t="shared" si="6"/>
        <v>8.5944682870513114E-2</v>
      </c>
      <c r="AL58" s="395">
        <f t="shared" si="7"/>
        <v>1.744573735172639E-2</v>
      </c>
      <c r="AM58">
        <f>depths!$B$4</f>
        <v>3799.6</v>
      </c>
      <c r="AO58" s="101">
        <f t="shared" si="32"/>
        <v>117.09825977711355</v>
      </c>
      <c r="AP58" s="101">
        <v>1</v>
      </c>
      <c r="AQ58" s="101">
        <f t="shared" si="27"/>
        <v>3.8363202093532047</v>
      </c>
      <c r="AR58" s="101">
        <v>1</v>
      </c>
      <c r="AS58" s="101">
        <f t="shared" si="28"/>
        <v>31.153576906600446</v>
      </c>
      <c r="AT58" s="101">
        <v>1</v>
      </c>
      <c r="AU58" s="101">
        <f t="shared" si="29"/>
        <v>85.94468287051312</v>
      </c>
      <c r="AV58" s="101">
        <v>1</v>
      </c>
      <c r="AW58" s="101">
        <f t="shared" si="30"/>
        <v>17.44573735172639</v>
      </c>
      <c r="AX58" s="101">
        <v>1</v>
      </c>
      <c r="AY58" s="101">
        <f t="shared" si="9"/>
        <v>8.1206925403791761</v>
      </c>
      <c r="AZ58" s="101">
        <f t="shared" si="10"/>
        <v>22.402896051527254</v>
      </c>
      <c r="BA58" s="101">
        <f>main!R65</f>
        <v>40.119999999999997</v>
      </c>
      <c r="BB58" s="101">
        <v>1</v>
      </c>
      <c r="BC58" s="101">
        <f>main!S65</f>
        <v>8.7289999999999992</v>
      </c>
      <c r="BD58" s="101">
        <v>1</v>
      </c>
    </row>
    <row r="59" spans="1:56">
      <c r="A59">
        <f>main!A66</f>
        <v>2018</v>
      </c>
      <c r="B59" t="str">
        <f>main!B66</f>
        <v>47_3800</v>
      </c>
      <c r="C59">
        <f>main!C66</f>
        <v>12</v>
      </c>
      <c r="D59" t="str">
        <f>main!$B$54</f>
        <v>McLane-PARFLUX-Mark78H-21 ; frame controller sn 12993-01, frame sn 12993-01, motor sn 12993-01, cup set R250x21</v>
      </c>
      <c r="E59">
        <v>3800</v>
      </c>
      <c r="F59">
        <v>1</v>
      </c>
      <c r="G59" s="97">
        <f>main!E66</f>
        <v>436.71428571428572</v>
      </c>
      <c r="H59" s="90">
        <f>main!I66</f>
        <v>51.378151260504204</v>
      </c>
      <c r="I59" s="101">
        <f>main!J66</f>
        <v>18.76586974789916</v>
      </c>
      <c r="J59" s="101">
        <v>1</v>
      </c>
      <c r="K59" s="101">
        <f>main!AF66</f>
        <v>73.719778465474207</v>
      </c>
      <c r="L59" s="101">
        <f>main!AG66</f>
        <v>8.8460581691544569</v>
      </c>
      <c r="M59" s="655">
        <v>1</v>
      </c>
      <c r="N59" s="101">
        <f>main!M66</f>
        <v>11.851734161376953</v>
      </c>
      <c r="O59" s="655">
        <v>1</v>
      </c>
      <c r="P59" s="101">
        <f>main!O66</f>
        <v>0.43507429957389832</v>
      </c>
      <c r="Q59" s="101">
        <v>1</v>
      </c>
      <c r="R59" s="101">
        <f>main!AH66</f>
        <v>3.0056759922224963</v>
      </c>
      <c r="S59" s="655">
        <v>1</v>
      </c>
      <c r="T59" s="101">
        <f>main!AB66</f>
        <v>5.57542301392668</v>
      </c>
      <c r="U59" s="101">
        <v>1</v>
      </c>
      <c r="V59" s="101">
        <f>main!AC66</f>
        <v>11.926919505405989</v>
      </c>
      <c r="W59" s="101">
        <f t="shared" si="23"/>
        <v>13.834157605270704</v>
      </c>
      <c r="X59" s="101">
        <f t="shared" si="24"/>
        <v>1.6600397538469185</v>
      </c>
      <c r="Y59" s="101">
        <f t="shared" si="25"/>
        <v>2.2240809955912679</v>
      </c>
      <c r="Z59" s="101">
        <f t="shared" si="26"/>
        <v>8.1645476364622341E-2</v>
      </c>
      <c r="AA59" s="101">
        <f t="shared" si="31"/>
        <v>0.56404124174434933</v>
      </c>
      <c r="AB59" s="101">
        <f t="shared" si="2"/>
        <v>2.2381901793212666</v>
      </c>
      <c r="AC59" s="67">
        <f>main!T66</f>
        <v>43360</v>
      </c>
      <c r="AD59" s="67">
        <f>main!U66</f>
        <v>43377</v>
      </c>
      <c r="AE59" s="67">
        <f>main!V66</f>
        <v>43368.5</v>
      </c>
      <c r="AF59" s="97">
        <f>main!H66</f>
        <v>17</v>
      </c>
      <c r="AG59" s="90">
        <f t="shared" si="3"/>
        <v>1.0462766206878744</v>
      </c>
      <c r="AH59" s="90">
        <f t="shared" si="11"/>
        <v>0.18518576149802399</v>
      </c>
      <c r="AI59" s="90">
        <f t="shared" si="4"/>
        <v>5.8276571280958134E-3</v>
      </c>
      <c r="AJ59" s="90">
        <f t="shared" si="5"/>
        <v>4.696429989544957E-2</v>
      </c>
      <c r="AK59" s="90">
        <f t="shared" si="6"/>
        <v>0.1382214616025744</v>
      </c>
      <c r="AL59" s="395">
        <f t="shared" si="7"/>
        <v>3.72472987072935E-2</v>
      </c>
      <c r="AM59">
        <f>depths!$B$4</f>
        <v>3799.6</v>
      </c>
      <c r="AO59" s="101">
        <f t="shared" si="32"/>
        <v>185.18576149802399</v>
      </c>
      <c r="AP59" s="101">
        <v>1</v>
      </c>
      <c r="AQ59" s="101">
        <f t="shared" si="27"/>
        <v>5.8276571280958134</v>
      </c>
      <c r="AR59" s="101">
        <v>1</v>
      </c>
      <c r="AS59" s="101">
        <f t="shared" si="28"/>
        <v>46.964299895449571</v>
      </c>
      <c r="AT59" s="101">
        <v>1</v>
      </c>
      <c r="AU59" s="101">
        <f t="shared" si="29"/>
        <v>138.22146160257441</v>
      </c>
      <c r="AV59" s="101">
        <v>1</v>
      </c>
      <c r="AW59" s="101">
        <f t="shared" si="30"/>
        <v>37.247298707293503</v>
      </c>
      <c r="AX59" s="101">
        <v>1</v>
      </c>
      <c r="AY59" s="101">
        <f t="shared" si="9"/>
        <v>8.0588646282962006</v>
      </c>
      <c r="AZ59" s="101">
        <f t="shared" si="10"/>
        <v>23.718187011413669</v>
      </c>
      <c r="BA59" s="101">
        <f>main!R66</f>
        <v>39.770000000000003</v>
      </c>
      <c r="BB59" s="101">
        <v>1</v>
      </c>
      <c r="BC59" s="101">
        <f>main!S66</f>
        <v>8.7430000000000003</v>
      </c>
      <c r="BD59" s="101">
        <v>1</v>
      </c>
    </row>
    <row r="60" spans="1:56">
      <c r="A60">
        <f>main!A67</f>
        <v>2018</v>
      </c>
      <c r="B60" t="str">
        <f>main!B67</f>
        <v>47_3800</v>
      </c>
      <c r="C60">
        <f>main!C67</f>
        <v>13</v>
      </c>
      <c r="D60" t="str">
        <f>main!$B$54</f>
        <v>McLane-PARFLUX-Mark78H-21 ; frame controller sn 12993-01, frame sn 12993-01, motor sn 12993-01, cup set R250x21</v>
      </c>
      <c r="E60">
        <v>3800</v>
      </c>
      <c r="F60">
        <v>1</v>
      </c>
      <c r="G60" s="97">
        <f>main!E67</f>
        <v>509.91428571428571</v>
      </c>
      <c r="H60" s="90">
        <f>main!I67</f>
        <v>59.989915966386555</v>
      </c>
      <c r="I60" s="101">
        <f>main!J67</f>
        <v>21.911316806722688</v>
      </c>
      <c r="J60" s="101">
        <v>1</v>
      </c>
      <c r="K60" s="101">
        <f>main!AF67</f>
        <v>71.766218858351621</v>
      </c>
      <c r="L60" s="101">
        <f>main!AG67</f>
        <v>8.6116393702752596</v>
      </c>
      <c r="M60" s="655">
        <v>1</v>
      </c>
      <c r="N60" s="101">
        <f>main!M67</f>
        <v>12.109560966491699</v>
      </c>
      <c r="O60" s="655">
        <v>1</v>
      </c>
      <c r="P60" s="101">
        <f>main!O67</f>
        <v>0.5326191782951355</v>
      </c>
      <c r="Q60" s="101">
        <v>1</v>
      </c>
      <c r="R60" s="101">
        <f>main!AH67</f>
        <v>3.4979215962164396</v>
      </c>
      <c r="S60" s="655">
        <v>1</v>
      </c>
      <c r="T60" s="101">
        <f>main!AB67</f>
        <v>5.9850283969520008</v>
      </c>
      <c r="U60" s="101">
        <v>1</v>
      </c>
      <c r="V60" s="101">
        <f>main!AC67</f>
        <v>12.803145474291414</v>
      </c>
      <c r="W60" s="101">
        <f t="shared" si="23"/>
        <v>15.724923574259385</v>
      </c>
      <c r="X60" s="101">
        <f t="shared" si="24"/>
        <v>1.8869235846734707</v>
      </c>
      <c r="Y60" s="101">
        <f t="shared" si="25"/>
        <v>2.6533642672712259</v>
      </c>
      <c r="Z60" s="101">
        <f t="shared" si="26"/>
        <v>0.1167038755296103</v>
      </c>
      <c r="AA60" s="101">
        <f t="shared" si="31"/>
        <v>0.76644068259775533</v>
      </c>
      <c r="AB60" s="101">
        <f t="shared" si="2"/>
        <v>2.8053377660975696</v>
      </c>
      <c r="AC60" s="67">
        <f>main!T67</f>
        <v>43377</v>
      </c>
      <c r="AD60" s="67">
        <f>main!U67</f>
        <v>43394</v>
      </c>
      <c r="AE60" s="67">
        <f>main!V67</f>
        <v>43385.5</v>
      </c>
      <c r="AF60" s="97">
        <f>main!H67</f>
        <v>17</v>
      </c>
      <c r="AG60" s="90">
        <f t="shared" si="3"/>
        <v>1.3113985330284692</v>
      </c>
      <c r="AH60" s="90">
        <f t="shared" si="11"/>
        <v>0.22092958095513954</v>
      </c>
      <c r="AI60" s="90">
        <f t="shared" si="4"/>
        <v>8.3300410799150813E-3</v>
      </c>
      <c r="AJ60" s="90">
        <f t="shared" si="5"/>
        <v>6.3816876153018759E-2</v>
      </c>
      <c r="AK60" s="90">
        <f t="shared" si="6"/>
        <v>0.15711270480212078</v>
      </c>
      <c r="AL60" s="395">
        <f t="shared" si="7"/>
        <v>4.6685601033409373E-2</v>
      </c>
      <c r="AM60">
        <f>depths!$B$4</f>
        <v>3799.6</v>
      </c>
      <c r="AO60" s="101">
        <f t="shared" si="32"/>
        <v>220.92958095513953</v>
      </c>
      <c r="AP60" s="101">
        <v>1</v>
      </c>
      <c r="AQ60" s="101">
        <f t="shared" si="27"/>
        <v>8.3300410799150821</v>
      </c>
      <c r="AR60" s="101">
        <v>1</v>
      </c>
      <c r="AS60" s="101">
        <f t="shared" si="28"/>
        <v>63.816876153018761</v>
      </c>
      <c r="AT60" s="101">
        <v>1</v>
      </c>
      <c r="AU60" s="101">
        <f t="shared" si="29"/>
        <v>157.11270480212079</v>
      </c>
      <c r="AV60" s="101">
        <v>1</v>
      </c>
      <c r="AW60" s="101">
        <f t="shared" si="30"/>
        <v>46.68560103340937</v>
      </c>
      <c r="AX60" s="101">
        <v>1</v>
      </c>
      <c r="AY60" s="101">
        <f t="shared" si="9"/>
        <v>7.6610517932366928</v>
      </c>
      <c r="AZ60" s="101">
        <f t="shared" si="10"/>
        <v>18.860975989775362</v>
      </c>
      <c r="BA60" s="101">
        <f>main!R67</f>
        <v>39.6</v>
      </c>
      <c r="BB60" s="101">
        <v>1</v>
      </c>
      <c r="BC60" s="101">
        <f>main!S67</f>
        <v>8.6579999999999995</v>
      </c>
      <c r="BD60" s="101">
        <v>1</v>
      </c>
    </row>
    <row r="61" spans="1:56">
      <c r="A61">
        <f>main!A68</f>
        <v>2018</v>
      </c>
      <c r="B61" t="str">
        <f>main!B68</f>
        <v>47_3800</v>
      </c>
      <c r="C61">
        <f>main!C68</f>
        <v>14</v>
      </c>
      <c r="D61" t="str">
        <f>main!$B$54</f>
        <v>McLane-PARFLUX-Mark78H-21 ; frame controller sn 12993-01, frame sn 12993-01, motor sn 12993-01, cup set R250x21</v>
      </c>
      <c r="E61">
        <v>3800</v>
      </c>
      <c r="F61">
        <v>1</v>
      </c>
      <c r="G61" s="97">
        <f>main!E68</f>
        <v>355.54285714285709</v>
      </c>
      <c r="H61" s="90">
        <f>main!I68</f>
        <v>41.828571428571422</v>
      </c>
      <c r="I61" s="101">
        <f>main!J68</f>
        <v>15.277885714285715</v>
      </c>
      <c r="J61" s="101">
        <v>1</v>
      </c>
      <c r="K61" s="101">
        <f>main!AF68</f>
        <v>74.196587883549412</v>
      </c>
      <c r="L61" s="101">
        <f>main!AG68</f>
        <v>8.9032732603510389</v>
      </c>
      <c r="M61" s="655">
        <v>1</v>
      </c>
      <c r="N61" s="101">
        <f>main!M68</f>
        <v>12.245630264282227</v>
      </c>
      <c r="O61" s="655">
        <v>1</v>
      </c>
      <c r="P61" s="101">
        <f>main!O68</f>
        <v>0.50001806020736694</v>
      </c>
      <c r="Q61" s="101">
        <v>1</v>
      </c>
      <c r="R61" s="101">
        <f>main!AH68</f>
        <v>3.3423570039311876</v>
      </c>
      <c r="S61" s="655">
        <v>1</v>
      </c>
      <c r="T61" s="101">
        <f>main!AB68</f>
        <v>5.2572202210734718</v>
      </c>
      <c r="U61" s="101">
        <v>1</v>
      </c>
      <c r="V61" s="101">
        <f>main!AC68</f>
        <v>11.246221540915093</v>
      </c>
      <c r="W61" s="101">
        <f t="shared" si="23"/>
        <v>11.335669900748242</v>
      </c>
      <c r="X61" s="101">
        <f t="shared" si="24"/>
        <v>1.3602319135469914</v>
      </c>
      <c r="Y61" s="101">
        <f t="shared" si="25"/>
        <v>1.8708733967710223</v>
      </c>
      <c r="Z61" s="101">
        <f t="shared" si="26"/>
        <v>7.6392187789269858E-2</v>
      </c>
      <c r="AA61" s="101">
        <f t="shared" si="31"/>
        <v>0.51064148322403091</v>
      </c>
      <c r="AB61" s="101">
        <f t="shared" si="2"/>
        <v>1.7181848741963897</v>
      </c>
      <c r="AC61" s="67">
        <f>main!T68</f>
        <v>43394</v>
      </c>
      <c r="AD61" s="67">
        <f>main!U68</f>
        <v>43411</v>
      </c>
      <c r="AE61" s="67">
        <f>main!V68</f>
        <v>43402.5</v>
      </c>
      <c r="AF61" s="97">
        <f>main!H68</f>
        <v>17</v>
      </c>
      <c r="AG61" s="90">
        <f t="shared" si="3"/>
        <v>0.80319209712392381</v>
      </c>
      <c r="AH61" s="90">
        <f t="shared" si="11"/>
        <v>0.1557763028119086</v>
      </c>
      <c r="AI61" s="90">
        <f t="shared" si="4"/>
        <v>5.4526900634739375E-3</v>
      </c>
      <c r="AJ61" s="90">
        <f t="shared" si="5"/>
        <v>4.251802524762955E-2</v>
      </c>
      <c r="AK61" s="90">
        <f t="shared" si="6"/>
        <v>0.11325827756427904</v>
      </c>
      <c r="AL61" s="395">
        <f t="shared" si="7"/>
        <v>2.8593524283514554E-2</v>
      </c>
      <c r="AM61">
        <f>depths!$B$4</f>
        <v>3799.6</v>
      </c>
      <c r="AO61" s="101">
        <f t="shared" si="32"/>
        <v>155.77630281190861</v>
      </c>
      <c r="AP61" s="101">
        <v>1</v>
      </c>
      <c r="AQ61" s="101">
        <f t="shared" si="27"/>
        <v>5.4526900634739377</v>
      </c>
      <c r="AR61" s="101">
        <v>1</v>
      </c>
      <c r="AS61" s="101">
        <f t="shared" si="28"/>
        <v>42.518025247629552</v>
      </c>
      <c r="AT61" s="101">
        <v>1</v>
      </c>
      <c r="AU61" s="101">
        <f t="shared" si="29"/>
        <v>113.25827756427904</v>
      </c>
      <c r="AV61" s="101">
        <v>1</v>
      </c>
      <c r="AW61" s="101">
        <f t="shared" si="30"/>
        <v>28.593524283514554</v>
      </c>
      <c r="AX61" s="101">
        <v>1</v>
      </c>
      <c r="AY61" s="101">
        <f t="shared" si="9"/>
        <v>7.7976236963193708</v>
      </c>
      <c r="AZ61" s="101">
        <f t="shared" si="10"/>
        <v>20.771082941787743</v>
      </c>
      <c r="BA61" s="101">
        <f>main!R68</f>
        <v>40.17</v>
      </c>
      <c r="BB61" s="101">
        <v>1</v>
      </c>
      <c r="BC61" s="101">
        <f>main!S68</f>
        <v>8.7270000000000003</v>
      </c>
      <c r="BD61" s="101">
        <v>1</v>
      </c>
    </row>
    <row r="62" spans="1:56">
      <c r="A62">
        <f>main!A69</f>
        <v>2018</v>
      </c>
      <c r="B62" t="str">
        <f>main!B69</f>
        <v>47_3800</v>
      </c>
      <c r="C62">
        <f>main!C69</f>
        <v>15</v>
      </c>
      <c r="D62" t="str">
        <f>main!$B$54</f>
        <v>McLane-PARFLUX-Mark78H-21 ; frame controller sn 12993-01, frame sn 12993-01, motor sn 12993-01, cup set R250x21</v>
      </c>
      <c r="E62">
        <v>3800</v>
      </c>
      <c r="F62">
        <v>1</v>
      </c>
      <c r="G62" s="97">
        <f>main!E69</f>
        <v>640.47142857142853</v>
      </c>
      <c r="H62" s="90">
        <f>main!I69</f>
        <v>75.349579831932772</v>
      </c>
      <c r="I62" s="101">
        <f>main!J69</f>
        <v>27.521434033613446</v>
      </c>
      <c r="J62" s="101">
        <v>1</v>
      </c>
      <c r="K62" s="101">
        <f>main!AF69</f>
        <v>78.183310486830635</v>
      </c>
      <c r="L62" s="101">
        <f>main!AG69</f>
        <v>9.3816629243870668</v>
      </c>
      <c r="M62" s="655">
        <v>1</v>
      </c>
      <c r="N62" s="101">
        <f>main!M69</f>
        <v>12.559001922607422</v>
      </c>
      <c r="O62" s="655">
        <v>1</v>
      </c>
      <c r="P62" s="101">
        <f>main!O69</f>
        <v>0.3702196478843689</v>
      </c>
      <c r="Q62" s="101">
        <v>1</v>
      </c>
      <c r="R62" s="101">
        <f>main!AH69</f>
        <v>3.177338998220355</v>
      </c>
      <c r="S62" s="655">
        <v>1</v>
      </c>
      <c r="T62" s="101">
        <f>main!AB69</f>
        <v>4.1483969163449652</v>
      </c>
      <c r="U62" s="101">
        <v>1</v>
      </c>
      <c r="V62" s="101">
        <f>main!AC69</f>
        <v>8.8742317801056956</v>
      </c>
      <c r="W62" s="101">
        <f t="shared" si="23"/>
        <v>21.517168220928276</v>
      </c>
      <c r="X62" s="101">
        <f t="shared" si="24"/>
        <v>2.5819681729911568</v>
      </c>
      <c r="Y62" s="101">
        <f t="shared" si="25"/>
        <v>3.4564174294106458</v>
      </c>
      <c r="Z62" s="101">
        <f t="shared" si="26"/>
        <v>0.10188975617197257</v>
      </c>
      <c r="AA62" s="101">
        <f t="shared" si="31"/>
        <v>0.87444925641948934</v>
      </c>
      <c r="AB62" s="101">
        <f t="shared" si="2"/>
        <v>2.4423158453517493</v>
      </c>
      <c r="AC62" s="67">
        <f>main!T69</f>
        <v>43411</v>
      </c>
      <c r="AD62" s="67">
        <f>main!U69</f>
        <v>43428</v>
      </c>
      <c r="AE62" s="67">
        <f>main!V69</f>
        <v>43419.5</v>
      </c>
      <c r="AF62" s="97">
        <f>main!H69</f>
        <v>17</v>
      </c>
      <c r="AG62" s="90">
        <f t="shared" si="3"/>
        <v>1.1416983207843339</v>
      </c>
      <c r="AH62" s="90">
        <f t="shared" si="11"/>
        <v>0.28779495665367577</v>
      </c>
      <c r="AI62" s="90">
        <f t="shared" si="4"/>
        <v>7.2726449801550734E-3</v>
      </c>
      <c r="AJ62" s="90">
        <f t="shared" si="5"/>
        <v>7.2810096288050741E-2</v>
      </c>
      <c r="AK62" s="90">
        <f t="shared" si="6"/>
        <v>0.21498486036562506</v>
      </c>
      <c r="AL62" s="395">
        <f t="shared" si="7"/>
        <v>4.0644297642731718E-2</v>
      </c>
      <c r="AM62">
        <f>depths!$B$4</f>
        <v>3799.6</v>
      </c>
      <c r="AO62" s="101">
        <f t="shared" si="32"/>
        <v>287.7949566536758</v>
      </c>
      <c r="AP62" s="101">
        <v>1</v>
      </c>
      <c r="AQ62" s="101">
        <f t="shared" si="27"/>
        <v>7.2726449801550732</v>
      </c>
      <c r="AR62" s="101">
        <v>1</v>
      </c>
      <c r="AS62" s="101">
        <f t="shared" si="28"/>
        <v>72.810096288050744</v>
      </c>
      <c r="AT62" s="101">
        <v>1</v>
      </c>
      <c r="AU62" s="101">
        <f t="shared" si="29"/>
        <v>214.98486036562505</v>
      </c>
      <c r="AV62" s="101">
        <v>1</v>
      </c>
      <c r="AW62" s="101">
        <f t="shared" si="30"/>
        <v>40.644297642731715</v>
      </c>
      <c r="AX62" s="101">
        <v>1</v>
      </c>
      <c r="AY62" s="101">
        <f t="shared" si="9"/>
        <v>10.011501522036104</v>
      </c>
      <c r="AZ62" s="101">
        <f t="shared" si="10"/>
        <v>29.560752786951106</v>
      </c>
      <c r="BA62" s="101">
        <f>main!R69</f>
        <v>40.26</v>
      </c>
      <c r="BB62" s="101">
        <v>1</v>
      </c>
      <c r="BC62" s="101">
        <f>main!S69</f>
        <v>8.6950000000000003</v>
      </c>
      <c r="BD62" s="101">
        <v>1</v>
      </c>
    </row>
    <row r="63" spans="1:56">
      <c r="A63">
        <f>main!A70</f>
        <v>2018</v>
      </c>
      <c r="B63" t="str">
        <f>main!B70</f>
        <v>47_3800</v>
      </c>
      <c r="C63">
        <f>main!C70</f>
        <v>16</v>
      </c>
      <c r="D63" t="str">
        <f>main!$B$54</f>
        <v>McLane-PARFLUX-Mark78H-21 ; frame controller sn 12993-01, frame sn 12993-01, motor sn 12993-01, cup set R250x21</v>
      </c>
      <c r="E63">
        <v>3800</v>
      </c>
      <c r="F63">
        <v>1</v>
      </c>
      <c r="G63" s="97">
        <f>main!E70</f>
        <v>345.07142857142856</v>
      </c>
      <c r="H63" s="90">
        <f>main!I70</f>
        <v>40.596638655462186</v>
      </c>
      <c r="I63" s="101">
        <f>main!J70</f>
        <v>14.827922268907562</v>
      </c>
      <c r="J63" s="101">
        <v>1</v>
      </c>
      <c r="K63" s="101">
        <f>main!AF70</f>
        <v>78.511001225444204</v>
      </c>
      <c r="L63" s="101">
        <f>main!AG70</f>
        <v>9.4209844117220634</v>
      </c>
      <c r="M63" s="655">
        <v>1</v>
      </c>
      <c r="N63" s="101">
        <f>main!M70</f>
        <v>12.772340774536133</v>
      </c>
      <c r="O63" s="655">
        <v>1</v>
      </c>
      <c r="P63" s="101">
        <f>main!O70</f>
        <v>0.52661579847335815</v>
      </c>
      <c r="Q63" s="101">
        <v>1</v>
      </c>
      <c r="R63" s="101">
        <f>main!AH70</f>
        <v>3.3513563628140695</v>
      </c>
      <c r="S63" s="655">
        <v>1</v>
      </c>
      <c r="T63" s="101">
        <f>main!AB70</f>
        <v>3.8515566720413403</v>
      </c>
      <c r="U63" s="101">
        <v>1</v>
      </c>
      <c r="V63" s="101">
        <f>main!AC70</f>
        <v>8.239232482127596</v>
      </c>
      <c r="W63" s="101">
        <f t="shared" si="23"/>
        <v>11.64155023424993</v>
      </c>
      <c r="X63" s="101">
        <f t="shared" si="24"/>
        <v>1.3969362455360459</v>
      </c>
      <c r="Y63" s="101">
        <f t="shared" si="25"/>
        <v>1.8938727619682041</v>
      </c>
      <c r="Z63" s="101">
        <f t="shared" si="26"/>
        <v>7.8086181253416445E-2</v>
      </c>
      <c r="AA63" s="101">
        <f t="shared" si="31"/>
        <v>0.49693651643215792</v>
      </c>
      <c r="AB63" s="101">
        <f t="shared" si="2"/>
        <v>1.2217069880044629</v>
      </c>
      <c r="AC63" s="67">
        <f>main!T70</f>
        <v>43428</v>
      </c>
      <c r="AD63" s="67">
        <f>main!U70</f>
        <v>43445</v>
      </c>
      <c r="AE63" s="67">
        <f>main!V70</f>
        <v>43436.5</v>
      </c>
      <c r="AF63" s="97">
        <f>main!H70</f>
        <v>17</v>
      </c>
      <c r="AG63" s="90">
        <f t="shared" si="3"/>
        <v>0.57110582947321287</v>
      </c>
      <c r="AH63" s="90">
        <f t="shared" si="11"/>
        <v>0.15769132073007527</v>
      </c>
      <c r="AI63" s="90">
        <f t="shared" si="4"/>
        <v>5.5736032300796896E-3</v>
      </c>
      <c r="AJ63" s="90">
        <f t="shared" si="5"/>
        <v>4.1376895622994E-2</v>
      </c>
      <c r="AK63" s="90">
        <f t="shared" si="6"/>
        <v>0.11631442510708126</v>
      </c>
      <c r="AL63" s="395">
        <f t="shared" si="7"/>
        <v>2.0331286204101563E-2</v>
      </c>
      <c r="AM63">
        <f>depths!$B$4</f>
        <v>3799.6</v>
      </c>
      <c r="AO63" s="101">
        <f t="shared" si="32"/>
        <v>157.69132073007526</v>
      </c>
      <c r="AP63" s="101">
        <v>1</v>
      </c>
      <c r="AQ63" s="101">
        <f t="shared" si="27"/>
        <v>5.5736032300796898</v>
      </c>
      <c r="AR63" s="101">
        <v>1</v>
      </c>
      <c r="AS63" s="101">
        <f t="shared" si="28"/>
        <v>41.376895622993999</v>
      </c>
      <c r="AT63" s="101">
        <v>1</v>
      </c>
      <c r="AU63" s="101">
        <f t="shared" si="29"/>
        <v>116.31442510708126</v>
      </c>
      <c r="AV63" s="101">
        <v>1</v>
      </c>
      <c r="AW63" s="101">
        <f t="shared" si="30"/>
        <v>20.331286204101563</v>
      </c>
      <c r="AX63" s="101">
        <v>1</v>
      </c>
      <c r="AY63" s="101">
        <f t="shared" si="9"/>
        <v>7.4237246382538791</v>
      </c>
      <c r="AZ63" s="101">
        <f t="shared" si="10"/>
        <v>20.868802515283857</v>
      </c>
      <c r="BA63" s="101">
        <f>main!R70</f>
        <v>40.07</v>
      </c>
      <c r="BB63" s="101">
        <v>1</v>
      </c>
      <c r="BC63" s="101">
        <f>main!S70</f>
        <v>8.4930000000000003</v>
      </c>
      <c r="BD63" s="101">
        <v>1</v>
      </c>
    </row>
    <row r="64" spans="1:56">
      <c r="A64">
        <f>main!A71</f>
        <v>2018</v>
      </c>
      <c r="B64" t="str">
        <f>main!B71</f>
        <v>47_3800</v>
      </c>
      <c r="C64">
        <f>main!C71</f>
        <v>17</v>
      </c>
      <c r="D64" t="str">
        <f>main!$B$54</f>
        <v>McLane-PARFLUX-Mark78H-21 ; frame controller sn 12993-01, frame sn 12993-01, motor sn 12993-01, cup set R250x21</v>
      </c>
      <c r="E64">
        <v>3800</v>
      </c>
      <c r="F64">
        <v>1</v>
      </c>
      <c r="G64" s="97">
        <f>main!E71</f>
        <v>385.62857142857138</v>
      </c>
      <c r="H64" s="90">
        <f>main!I71</f>
        <v>45.368067226890751</v>
      </c>
      <c r="I64" s="101">
        <f>main!J71</f>
        <v>16.570686554621847</v>
      </c>
      <c r="J64" s="101">
        <v>1</v>
      </c>
      <c r="K64" s="101">
        <f>main!AF71</f>
        <v>79.722816754527287</v>
      </c>
      <c r="L64" s="101">
        <f>main!AG71</f>
        <v>9.5663970931447828</v>
      </c>
      <c r="M64" s="655">
        <v>1</v>
      </c>
      <c r="N64" s="101">
        <f>main!M71</f>
        <v>12.438674926757813</v>
      </c>
      <c r="O64" s="655">
        <v>1</v>
      </c>
      <c r="P64" s="101">
        <f>main!O71</f>
        <v>0.37589496374130249</v>
      </c>
      <c r="Q64" s="101">
        <v>1</v>
      </c>
      <c r="R64" s="101">
        <f>main!AH71</f>
        <v>2.8722778336130297</v>
      </c>
      <c r="S64" s="655">
        <v>1</v>
      </c>
      <c r="T64" s="101">
        <f>main!AB71</f>
        <v>3.8105430751459139</v>
      </c>
      <c r="U64" s="101">
        <v>1</v>
      </c>
      <c r="V64" s="101">
        <f>main!AC71</f>
        <v>8.1514963825389106</v>
      </c>
      <c r="W64" s="101">
        <f t="shared" si="23"/>
        <v>13.210618076908265</v>
      </c>
      <c r="X64" s="101">
        <f t="shared" si="24"/>
        <v>1.5852176768754778</v>
      </c>
      <c r="Y64" s="101">
        <f t="shared" si="25"/>
        <v>2.0611738336613761</v>
      </c>
      <c r="Z64" s="101">
        <f t="shared" si="26"/>
        <v>6.2288376216180677E-2</v>
      </c>
      <c r="AA64" s="101">
        <f t="shared" si="31"/>
        <v>0.47595615678589803</v>
      </c>
      <c r="AB64" s="101">
        <f t="shared" si="2"/>
        <v>1.3507589150618615</v>
      </c>
      <c r="AC64" s="67">
        <f>main!T71</f>
        <v>43445</v>
      </c>
      <c r="AD64" s="67">
        <f>main!U71</f>
        <v>43462</v>
      </c>
      <c r="AE64" s="67">
        <f>main!V71</f>
        <v>43453.5</v>
      </c>
      <c r="AF64" s="97">
        <f>main!H71</f>
        <v>17</v>
      </c>
      <c r="AG64" s="90">
        <f t="shared" si="3"/>
        <v>0.63143314901127789</v>
      </c>
      <c r="AH64" s="90">
        <f t="shared" si="11"/>
        <v>0.17162146824824115</v>
      </c>
      <c r="AI64" s="90">
        <f t="shared" si="4"/>
        <v>4.4459940197131105E-3</v>
      </c>
      <c r="AJ64" s="90">
        <f t="shared" si="5"/>
        <v>3.9629988075428647E-2</v>
      </c>
      <c r="AK64" s="90">
        <f t="shared" si="6"/>
        <v>0.13199148017281248</v>
      </c>
      <c r="AL64" s="395">
        <f t="shared" si="7"/>
        <v>2.2478930189080738E-2</v>
      </c>
      <c r="AM64">
        <f>depths!$B$4</f>
        <v>3799.6</v>
      </c>
      <c r="AO64" s="101">
        <f t="shared" si="32"/>
        <v>171.62146824824114</v>
      </c>
      <c r="AP64" s="101">
        <v>1</v>
      </c>
      <c r="AQ64" s="101">
        <f t="shared" si="27"/>
        <v>4.44599401971311</v>
      </c>
      <c r="AR64" s="101">
        <v>1</v>
      </c>
      <c r="AS64" s="101">
        <f t="shared" si="28"/>
        <v>39.629988075428649</v>
      </c>
      <c r="AT64" s="101">
        <v>1</v>
      </c>
      <c r="AU64" s="101">
        <f t="shared" si="29"/>
        <v>131.99148017281249</v>
      </c>
      <c r="AV64" s="101">
        <v>1</v>
      </c>
      <c r="AW64" s="101">
        <f t="shared" si="30"/>
        <v>22.478930189080739</v>
      </c>
      <c r="AX64" s="101">
        <v>1</v>
      </c>
      <c r="AY64" s="101">
        <f t="shared" si="9"/>
        <v>8.9136395370108676</v>
      </c>
      <c r="AZ64" s="101">
        <f t="shared" si="10"/>
        <v>29.68773227934517</v>
      </c>
      <c r="BA64" s="101">
        <f>main!R71</f>
        <v>39.97</v>
      </c>
      <c r="BB64" s="101">
        <v>1</v>
      </c>
      <c r="BC64" s="101">
        <f>main!S71</f>
        <v>8.7195</v>
      </c>
      <c r="BD64" s="101">
        <v>1</v>
      </c>
    </row>
    <row r="65" spans="1:56">
      <c r="A65">
        <f>main!A72</f>
        <v>2018</v>
      </c>
      <c r="B65" t="str">
        <f>main!B72</f>
        <v>47_3800</v>
      </c>
      <c r="C65">
        <f>main!C72</f>
        <v>18</v>
      </c>
      <c r="D65" t="str">
        <f>main!$B$54</f>
        <v>McLane-PARFLUX-Mark78H-21 ; frame controller sn 12993-01, frame sn 12993-01, motor sn 12993-01, cup set R250x21</v>
      </c>
      <c r="E65">
        <v>3800</v>
      </c>
      <c r="F65">
        <v>1</v>
      </c>
      <c r="G65" s="97">
        <f>main!E72</f>
        <v>420.85714285714289</v>
      </c>
      <c r="H65" s="90">
        <f>main!I72</f>
        <v>49.512605042016808</v>
      </c>
      <c r="I65" s="101">
        <f>main!J72</f>
        <v>18.08447899159664</v>
      </c>
      <c r="J65" s="101">
        <v>1</v>
      </c>
      <c r="K65" s="101">
        <f>main!AF72</f>
        <v>78.874750676926311</v>
      </c>
      <c r="L65" s="101">
        <f>main!AG72</f>
        <v>9.4646327904039893</v>
      </c>
      <c r="M65" s="655">
        <v>1</v>
      </c>
      <c r="N65" s="101">
        <f>main!M72</f>
        <v>12.267759323120117</v>
      </c>
      <c r="O65" s="655">
        <v>1</v>
      </c>
      <c r="P65" s="101">
        <f>main!O72</f>
        <v>0.36883670091629028</v>
      </c>
      <c r="Q65" s="101">
        <v>1</v>
      </c>
      <c r="R65" s="101">
        <f>main!AH72</f>
        <v>2.8031265327161279</v>
      </c>
      <c r="S65" s="655">
        <v>1</v>
      </c>
      <c r="T65" s="101">
        <f>main!AB72</f>
        <v>4.0419267949207569</v>
      </c>
      <c r="U65" s="101">
        <v>1</v>
      </c>
      <c r="V65" s="101">
        <f>main!AC72</f>
        <v>8.646471381516136</v>
      </c>
      <c r="W65" s="101">
        <f t="shared" si="23"/>
        <v>14.264087715842967</v>
      </c>
      <c r="X65" s="101">
        <f t="shared" si="24"/>
        <v>1.7116295286123762</v>
      </c>
      <c r="Y65" s="101">
        <f t="shared" si="25"/>
        <v>2.2185603575292956</v>
      </c>
      <c r="Z65" s="101">
        <f t="shared" si="26"/>
        <v>6.6702195690504645E-2</v>
      </c>
      <c r="AA65" s="101">
        <f t="shared" si="31"/>
        <v>0.50693082891691954</v>
      </c>
      <c r="AB65" s="101">
        <f t="shared" si="2"/>
        <v>1.5636693005047013</v>
      </c>
      <c r="AC65" s="67">
        <f>main!T72</f>
        <v>43462</v>
      </c>
      <c r="AD65" s="67">
        <f>main!U72</f>
        <v>43479</v>
      </c>
      <c r="AE65" s="67">
        <f>main!V72</f>
        <v>43470.5</v>
      </c>
      <c r="AF65" s="97">
        <f>main!H72</f>
        <v>17</v>
      </c>
      <c r="AG65" s="90">
        <f t="shared" si="3"/>
        <v>0.73096140208315974</v>
      </c>
      <c r="AH65" s="90">
        <f t="shared" si="11"/>
        <v>0.18472609138462079</v>
      </c>
      <c r="AI65" s="90">
        <f t="shared" si="4"/>
        <v>4.7610418051752066E-3</v>
      </c>
      <c r="AJ65" s="90">
        <f t="shared" si="5"/>
        <v>4.2209061525139015E-2</v>
      </c>
      <c r="AK65" s="90">
        <f t="shared" si="6"/>
        <v>0.14251702985948178</v>
      </c>
      <c r="AL65" s="395">
        <f t="shared" si="7"/>
        <v>2.6022121825673185E-2</v>
      </c>
      <c r="AM65">
        <f>depths!$B$4</f>
        <v>3799.6</v>
      </c>
      <c r="AO65" s="101">
        <f t="shared" si="32"/>
        <v>184.72609138462079</v>
      </c>
      <c r="AP65" s="101">
        <v>1</v>
      </c>
      <c r="AQ65" s="101">
        <f t="shared" si="27"/>
        <v>4.761041805175207</v>
      </c>
      <c r="AR65" s="101">
        <v>1</v>
      </c>
      <c r="AS65" s="101">
        <f t="shared" si="28"/>
        <v>42.209061525139013</v>
      </c>
      <c r="AT65" s="101">
        <v>1</v>
      </c>
      <c r="AU65" s="101">
        <f t="shared" si="29"/>
        <v>142.5170298594818</v>
      </c>
      <c r="AV65" s="101">
        <v>1</v>
      </c>
      <c r="AW65" s="101">
        <f t="shared" si="30"/>
        <v>26.022121825673185</v>
      </c>
      <c r="AX65" s="101">
        <v>1</v>
      </c>
      <c r="AY65" s="101">
        <f t="shared" si="9"/>
        <v>8.8655095360133505</v>
      </c>
      <c r="AZ65" s="101">
        <f t="shared" si="10"/>
        <v>29.934000937476991</v>
      </c>
      <c r="BA65" s="101">
        <f>main!R72</f>
        <v>40.17</v>
      </c>
      <c r="BB65" s="101">
        <v>1</v>
      </c>
      <c r="BC65" s="101">
        <f>main!S72</f>
        <v>8.7110000000000003</v>
      </c>
      <c r="BD65" s="101">
        <v>1</v>
      </c>
    </row>
    <row r="66" spans="1:56">
      <c r="A66">
        <f>main!A73</f>
        <v>2018</v>
      </c>
      <c r="B66" t="str">
        <f>main!B73</f>
        <v>47_3800</v>
      </c>
      <c r="C66">
        <f>main!C73</f>
        <v>19</v>
      </c>
      <c r="D66" t="str">
        <f>main!$B$54</f>
        <v>McLane-PARFLUX-Mark78H-21 ; frame controller sn 12993-01, frame sn 12993-01, motor sn 12993-01, cup set R250x21</v>
      </c>
      <c r="E66">
        <v>3800</v>
      </c>
      <c r="F66">
        <v>1</v>
      </c>
      <c r="G66" s="97">
        <f>main!E73</f>
        <v>512.69999999999993</v>
      </c>
      <c r="H66" s="90">
        <f>main!I73</f>
        <v>60.317647058823525</v>
      </c>
      <c r="I66" s="101">
        <f>main!J73</f>
        <v>22.031020588235293</v>
      </c>
      <c r="J66" s="101">
        <v>1</v>
      </c>
      <c r="K66" s="101">
        <f>main!AF73</f>
        <v>81.595685163621795</v>
      </c>
      <c r="L66" s="101">
        <f>main!AG73</f>
        <v>9.7911332933190831</v>
      </c>
      <c r="M66" s="655">
        <v>1</v>
      </c>
      <c r="N66" s="101">
        <f>main!M73</f>
        <v>12.174908638000488</v>
      </c>
      <c r="O66" s="655">
        <v>1</v>
      </c>
      <c r="P66" s="101">
        <f>main!O73</f>
        <v>0.39902999997138977</v>
      </c>
      <c r="Q66" s="101">
        <v>1</v>
      </c>
      <c r="R66" s="101">
        <f>main!AH73</f>
        <v>2.3837753446814052</v>
      </c>
      <c r="S66" s="655">
        <v>1</v>
      </c>
      <c r="T66" s="101">
        <f>main!AB73</f>
        <v>5.1240978987708639</v>
      </c>
      <c r="U66" s="101">
        <v>1</v>
      </c>
      <c r="V66" s="101">
        <f>main!AC73</f>
        <v>10.961446875654724</v>
      </c>
      <c r="W66" s="101">
        <f t="shared" si="23"/>
        <v>17.976362197509168</v>
      </c>
      <c r="X66" s="101">
        <f t="shared" si="24"/>
        <v>2.1570865916726873</v>
      </c>
      <c r="Y66" s="101">
        <f t="shared" si="25"/>
        <v>2.6822566286367246</v>
      </c>
      <c r="Z66" s="101">
        <f t="shared" si="26"/>
        <v>8.7910381446932168E-2</v>
      </c>
      <c r="AA66" s="101">
        <f t="shared" ref="AA66:AA68" si="33">(R66/100)*$I66</f>
        <v>0.52517003696403719</v>
      </c>
      <c r="AB66" s="101">
        <f t="shared" si="2"/>
        <v>2.4149186179439668</v>
      </c>
      <c r="AC66" s="67">
        <f>main!T73</f>
        <v>43479</v>
      </c>
      <c r="AD66" s="67">
        <f>main!U73</f>
        <v>43496</v>
      </c>
      <c r="AE66" s="67">
        <f>main!V73</f>
        <v>43487.5</v>
      </c>
      <c r="AF66" s="97">
        <f>main!H73</f>
        <v>17</v>
      </c>
      <c r="AG66" s="90">
        <f t="shared" si="3"/>
        <v>1.128891063039541</v>
      </c>
      <c r="AH66" s="90">
        <f t="shared" si="11"/>
        <v>0.22333527299223352</v>
      </c>
      <c r="AI66" s="90">
        <f t="shared" si="4"/>
        <v>6.2748309383963002E-3</v>
      </c>
      <c r="AJ66" s="90">
        <f t="shared" si="5"/>
        <v>4.3727729972026411E-2</v>
      </c>
      <c r="AK66" s="90">
        <f t="shared" si="6"/>
        <v>0.17960754302020712</v>
      </c>
      <c r="AL66" s="395">
        <f t="shared" si="7"/>
        <v>4.0188361090763298E-2</v>
      </c>
      <c r="AM66">
        <f>depths!$B$4</f>
        <v>3799.6</v>
      </c>
      <c r="AO66" s="101">
        <f t="shared" ref="AO66:AO68" si="34">AH66*1000</f>
        <v>223.33527299223351</v>
      </c>
      <c r="AP66" s="101">
        <v>1</v>
      </c>
      <c r="AQ66" s="101">
        <f t="shared" si="27"/>
        <v>6.2748309383962999</v>
      </c>
      <c r="AR66" s="101">
        <v>1</v>
      </c>
      <c r="AS66" s="101">
        <f t="shared" si="28"/>
        <v>43.72772997202641</v>
      </c>
      <c r="AT66" s="101">
        <v>1</v>
      </c>
      <c r="AU66" s="101">
        <f t="shared" si="29"/>
        <v>179.60754302020712</v>
      </c>
      <c r="AV66" s="101">
        <v>1</v>
      </c>
      <c r="AW66" s="101">
        <f t="shared" si="30"/>
        <v>40.188361090763301</v>
      </c>
      <c r="AX66" s="101">
        <v>1</v>
      </c>
      <c r="AY66" s="101">
        <f t="shared" si="9"/>
        <v>6.9687502980282998</v>
      </c>
      <c r="AZ66" s="101">
        <f t="shared" si="10"/>
        <v>28.623487195674247</v>
      </c>
      <c r="BA66" s="101">
        <f>main!R73</f>
        <v>40</v>
      </c>
      <c r="BB66" s="101">
        <v>1</v>
      </c>
      <c r="BC66" s="101">
        <f>main!S73</f>
        <v>8.6980000000000004</v>
      </c>
      <c r="BD66" s="101">
        <v>1</v>
      </c>
    </row>
    <row r="67" spans="1:56">
      <c r="A67">
        <f>main!A74</f>
        <v>2018</v>
      </c>
      <c r="B67" t="str">
        <f>main!B74</f>
        <v>47_3800</v>
      </c>
      <c r="C67">
        <f>main!C74</f>
        <v>20</v>
      </c>
      <c r="D67" t="str">
        <f>main!$B$54</f>
        <v>McLane-PARFLUX-Mark78H-21 ; frame controller sn 12993-01, frame sn 12993-01, motor sn 12993-01, cup set R250x21</v>
      </c>
      <c r="E67">
        <v>3800</v>
      </c>
      <c r="F67">
        <v>1</v>
      </c>
      <c r="G67" s="97">
        <f>main!E74</f>
        <v>829.62857142857149</v>
      </c>
      <c r="H67" s="90">
        <f>main!I74</f>
        <v>97.603361344537817</v>
      </c>
      <c r="I67" s="101">
        <f>main!J74</f>
        <v>35.649627731092444</v>
      </c>
      <c r="J67" s="101">
        <v>1</v>
      </c>
      <c r="K67" s="101">
        <f>main!AF74</f>
        <v>75.42864664184728</v>
      </c>
      <c r="L67" s="101">
        <f>main!AG74</f>
        <v>9.0511150427137395</v>
      </c>
      <c r="M67" s="655">
        <v>1</v>
      </c>
      <c r="N67" s="101">
        <f>main!M74</f>
        <v>11.52426815032959</v>
      </c>
      <c r="O67" s="655">
        <v>1</v>
      </c>
      <c r="P67" s="101">
        <f>main!O74</f>
        <v>0.44593289494514465</v>
      </c>
      <c r="Q67" s="101">
        <v>1</v>
      </c>
      <c r="R67" s="101">
        <f>main!AH74</f>
        <v>2.4731531076158504</v>
      </c>
      <c r="S67" s="655">
        <v>1</v>
      </c>
      <c r="T67" s="101">
        <f>main!AB74</f>
        <v>7.6781566565481354</v>
      </c>
      <c r="U67" s="101">
        <v>1</v>
      </c>
      <c r="V67" s="101">
        <f>main!AC74</f>
        <v>16.425077732003469</v>
      </c>
      <c r="W67" s="101">
        <f t="shared" si="23"/>
        <v>26.890031730419715</v>
      </c>
      <c r="X67" s="101">
        <f t="shared" si="24"/>
        <v>3.226688818240357</v>
      </c>
      <c r="Y67" s="101">
        <f t="shared" si="25"/>
        <v>4.1083586943253518</v>
      </c>
      <c r="Z67" s="101">
        <f t="shared" si="26"/>
        <v>0.15897341697842762</v>
      </c>
      <c r="AA67" s="101">
        <f t="shared" si="33"/>
        <v>0.88166987608499481</v>
      </c>
      <c r="AB67" s="101">
        <f t="shared" si="2"/>
        <v>5.8554790660017986</v>
      </c>
      <c r="AC67" s="67">
        <f>main!T74</f>
        <v>43496</v>
      </c>
      <c r="AD67" s="67">
        <f>main!U74</f>
        <v>43513</v>
      </c>
      <c r="AE67" s="67">
        <f>main!V74</f>
        <v>43504.5</v>
      </c>
      <c r="AF67" s="97">
        <f>main!H74</f>
        <v>17</v>
      </c>
      <c r="AG67" s="90">
        <f t="shared" si="3"/>
        <v>2.7372342646695045</v>
      </c>
      <c r="AH67" s="90">
        <f t="shared" si="11"/>
        <v>0.3420781593942841</v>
      </c>
      <c r="AI67" s="90">
        <f t="shared" si="4"/>
        <v>1.1347138970622957E-2</v>
      </c>
      <c r="AJ67" s="90">
        <f t="shared" si="5"/>
        <v>7.3411313579100315E-2</v>
      </c>
      <c r="AK67" s="90">
        <f t="shared" si="6"/>
        <v>0.2686668458151838</v>
      </c>
      <c r="AL67" s="395">
        <f t="shared" si="7"/>
        <v>9.744515004163419E-2</v>
      </c>
      <c r="AM67">
        <f>depths!$B$4</f>
        <v>3799.6</v>
      </c>
      <c r="AO67" s="101">
        <f t="shared" si="34"/>
        <v>342.07815939428411</v>
      </c>
      <c r="AP67" s="101">
        <v>1</v>
      </c>
      <c r="AQ67" s="101">
        <f t="shared" si="27"/>
        <v>11.347138970622957</v>
      </c>
      <c r="AR67" s="101">
        <v>1</v>
      </c>
      <c r="AS67" s="101">
        <f t="shared" si="28"/>
        <v>73.411313579100309</v>
      </c>
      <c r="AT67" s="101">
        <v>1</v>
      </c>
      <c r="AU67" s="101">
        <f t="shared" si="29"/>
        <v>268.66684581518382</v>
      </c>
      <c r="AV67" s="101">
        <v>1</v>
      </c>
      <c r="AW67" s="101">
        <f t="shared" si="30"/>
        <v>97.445150041634193</v>
      </c>
      <c r="AX67" s="101">
        <v>1</v>
      </c>
      <c r="AY67" s="101">
        <f t="shared" si="9"/>
        <v>6.4695879524484248</v>
      </c>
      <c r="AZ67" s="101">
        <f t="shared" si="10"/>
        <v>23.677056085304471</v>
      </c>
      <c r="BA67" s="101">
        <f>main!R74</f>
        <v>39.83</v>
      </c>
      <c r="BB67" s="101">
        <v>1</v>
      </c>
      <c r="BC67" s="101">
        <f>main!S74</f>
        <v>8.6229999999999993</v>
      </c>
      <c r="BD67" s="101">
        <v>1</v>
      </c>
    </row>
    <row r="68" spans="1:56">
      <c r="A68">
        <f>main!A75</f>
        <v>2018</v>
      </c>
      <c r="B68" t="str">
        <f>main!B75</f>
        <v>47_3800</v>
      </c>
      <c r="C68">
        <f>main!C75</f>
        <v>21</v>
      </c>
      <c r="D68" t="str">
        <f>main!$B$54</f>
        <v>McLane-PARFLUX-Mark78H-21 ; frame controller sn 12993-01, frame sn 12993-01, motor sn 12993-01, cup set R250x21</v>
      </c>
      <c r="E68">
        <v>3800</v>
      </c>
      <c r="F68">
        <v>1</v>
      </c>
      <c r="G68" s="97">
        <f>main!E75</f>
        <v>760.5</v>
      </c>
      <c r="H68" s="90">
        <f>main!I75</f>
        <v>89.470588235294116</v>
      </c>
      <c r="I68" s="101">
        <f>main!J75</f>
        <v>32.679132352941174</v>
      </c>
      <c r="J68" s="101">
        <v>1</v>
      </c>
      <c r="K68" s="101">
        <f>main!AF75</f>
        <v>72.726973129339044</v>
      </c>
      <c r="L68" s="101">
        <f>main!AG75</f>
        <v>8.7269257743357205</v>
      </c>
      <c r="M68" s="655">
        <v>1</v>
      </c>
      <c r="N68" s="101">
        <f>main!M75</f>
        <v>11.310412406921387</v>
      </c>
      <c r="O68" s="655">
        <v>1</v>
      </c>
      <c r="P68" s="101">
        <f>main!O75</f>
        <v>0.49323287606239319</v>
      </c>
      <c r="Q68" s="101">
        <v>1</v>
      </c>
      <c r="R68" s="101">
        <f>main!AH75</f>
        <v>2.5834866325856662</v>
      </c>
      <c r="S68" s="655">
        <v>1</v>
      </c>
      <c r="T68" s="101">
        <f>main!AB75</f>
        <v>8.9164435077159077</v>
      </c>
      <c r="U68" s="101">
        <v>1</v>
      </c>
      <c r="V68" s="101">
        <f>main!AC75</f>
        <v>19.074015321418614</v>
      </c>
      <c r="W68" s="101">
        <f t="shared" si="23"/>
        <v>23.766543805224671</v>
      </c>
      <c r="X68" s="101">
        <f t="shared" si="24"/>
        <v>2.8518836241381065</v>
      </c>
      <c r="Y68" s="101">
        <f t="shared" si="25"/>
        <v>3.6961446401213194</v>
      </c>
      <c r="Z68" s="101">
        <f t="shared" si="26"/>
        <v>0.16118422437664776</v>
      </c>
      <c r="AA68" s="101">
        <f t="shared" si="33"/>
        <v>0.8442610159832129</v>
      </c>
      <c r="AB68" s="101">
        <f t="shared" si="2"/>
        <v>6.2332227119066665</v>
      </c>
      <c r="AC68" s="67">
        <f>main!T75</f>
        <v>43513</v>
      </c>
      <c r="AD68" s="67">
        <f>main!U75</f>
        <v>43530</v>
      </c>
      <c r="AE68" s="67">
        <f>main!V75</f>
        <v>43521.5</v>
      </c>
      <c r="AF68" s="97">
        <f>main!H75</f>
        <v>17</v>
      </c>
      <c r="AG68" s="90">
        <f t="shared" si="3"/>
        <v>2.9138163750617121</v>
      </c>
      <c r="AH68" s="90">
        <f t="shared" si="11"/>
        <v>0.3077555903514837</v>
      </c>
      <c r="AI68" s="90">
        <f t="shared" si="4"/>
        <v>1.1504941068996985E-2</v>
      </c>
      <c r="AJ68" s="90">
        <f t="shared" si="5"/>
        <v>7.0296504245063521E-2</v>
      </c>
      <c r="AK68" s="90">
        <f t="shared" si="6"/>
        <v>0.23745908610642019</v>
      </c>
      <c r="AL68" s="395">
        <f t="shared" si="7"/>
        <v>0.10373144802640484</v>
      </c>
      <c r="AM68">
        <f>depths!$B$4</f>
        <v>3799.6</v>
      </c>
      <c r="AO68" s="101">
        <f t="shared" si="34"/>
        <v>307.7555903514837</v>
      </c>
      <c r="AP68" s="101">
        <v>1</v>
      </c>
      <c r="AQ68" s="101">
        <f t="shared" si="27"/>
        <v>11.504941068996985</v>
      </c>
      <c r="AR68" s="101">
        <v>1</v>
      </c>
      <c r="AS68" s="101">
        <f t="shared" si="28"/>
        <v>70.296504245063517</v>
      </c>
      <c r="AT68" s="101">
        <v>1</v>
      </c>
      <c r="AU68" s="101">
        <f t="shared" si="29"/>
        <v>237.45908610642019</v>
      </c>
      <c r="AV68" s="101">
        <v>1</v>
      </c>
      <c r="AW68" s="101">
        <f t="shared" si="30"/>
        <v>103.73144802640483</v>
      </c>
      <c r="AX68" s="101">
        <v>1</v>
      </c>
      <c r="AY68" s="101">
        <f t="shared" si="9"/>
        <v>6.1101142390459939</v>
      </c>
      <c r="AZ68" s="101">
        <f t="shared" si="10"/>
        <v>20.639748146673661</v>
      </c>
      <c r="BA68" s="101">
        <f>main!R75</f>
        <v>39.880000000000003</v>
      </c>
      <c r="BB68" s="101">
        <v>1</v>
      </c>
      <c r="BC68" s="101">
        <f>main!S75</f>
        <v>8.6319999999999997</v>
      </c>
      <c r="BD68" s="101">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FCE9B-0EF3-4DCD-98D2-BF5AA69257C6}">
  <dimension ref="A1:AJ74"/>
  <sheetViews>
    <sheetView topLeftCell="R1" zoomScaleNormal="100" workbookViewId="0">
      <selection activeCell="AD4" sqref="AD4"/>
    </sheetView>
  </sheetViews>
  <sheetFormatPr defaultColWidth="8.83203125" defaultRowHeight="15.5"/>
  <cols>
    <col min="1" max="1" width="18.83203125" bestFit="1" customWidth="1"/>
    <col min="2" max="2" width="7.83203125" bestFit="1" customWidth="1"/>
    <col min="3" max="3" width="13.1640625" bestFit="1" customWidth="1"/>
    <col min="4" max="4" width="11.5" style="146" bestFit="1" customWidth="1"/>
    <col min="5" max="5" width="77.1640625" customWidth="1"/>
    <col min="6" max="6" width="17.5" bestFit="1" customWidth="1"/>
    <col min="7" max="7" width="31.83203125" bestFit="1" customWidth="1"/>
    <col min="8" max="8" width="9.6640625" bestFit="1" customWidth="1"/>
    <col min="9" max="11" width="22.83203125" bestFit="1" customWidth="1"/>
    <col min="12" max="12" width="19.33203125" bestFit="1" customWidth="1"/>
    <col min="13" max="13" width="56" bestFit="1" customWidth="1"/>
    <col min="14" max="14" width="24.33203125" customWidth="1"/>
    <col min="15" max="15" width="10.83203125" bestFit="1" customWidth="1"/>
    <col min="16" max="16" width="41.5" bestFit="1" customWidth="1"/>
    <col min="17" max="17" width="41.5" customWidth="1"/>
    <col min="18" max="18" width="12.33203125" customWidth="1"/>
    <col min="19" max="19" width="31.1640625" bestFit="1" customWidth="1"/>
    <col min="20" max="20" width="31.1640625" customWidth="1"/>
    <col min="21" max="21" width="13.33203125" customWidth="1"/>
    <col min="22" max="22" width="27.1640625" customWidth="1"/>
    <col min="23" max="23" width="27.1640625" style="146" customWidth="1"/>
    <col min="24" max="24" width="15" customWidth="1"/>
    <col min="25" max="26" width="27.83203125" customWidth="1"/>
    <col min="27" max="27" width="14.1640625" bestFit="1" customWidth="1"/>
    <col min="28" max="29" width="20.5" customWidth="1"/>
    <col min="30" max="30" width="17" customWidth="1"/>
    <col min="31" max="32" width="37.6640625" customWidth="1"/>
    <col min="33" max="33" width="14.5" bestFit="1" customWidth="1"/>
    <col min="34" max="35" width="36.5" customWidth="1"/>
    <col min="36" max="36" width="14.33203125" bestFit="1" customWidth="1"/>
  </cols>
  <sheetData>
    <row r="1" spans="1:36" s="146" customFormat="1">
      <c r="A1" s="146" t="s">
        <v>3438</v>
      </c>
      <c r="B1" s="146" t="s">
        <v>3439</v>
      </c>
      <c r="C1" s="146" t="s">
        <v>3440</v>
      </c>
      <c r="D1" s="440" t="s">
        <v>3537</v>
      </c>
      <c r="E1" s="146" t="s">
        <v>43</v>
      </c>
      <c r="F1" s="617" t="s">
        <v>3441</v>
      </c>
      <c r="G1" s="616" t="s">
        <v>3442</v>
      </c>
      <c r="H1" s="616" t="s">
        <v>3443</v>
      </c>
      <c r="I1" s="659" t="s">
        <v>3444</v>
      </c>
      <c r="J1" s="617" t="s">
        <v>3445</v>
      </c>
      <c r="K1" s="617" t="s">
        <v>3446</v>
      </c>
      <c r="L1" s="634" t="s">
        <v>3447</v>
      </c>
      <c r="M1" s="666" t="s">
        <v>3448</v>
      </c>
      <c r="N1" s="666" t="s">
        <v>3520</v>
      </c>
      <c r="O1" s="612" t="s">
        <v>3449</v>
      </c>
      <c r="P1" s="611" t="s">
        <v>3521</v>
      </c>
      <c r="Q1" s="611" t="s">
        <v>3524</v>
      </c>
      <c r="R1" s="611" t="s">
        <v>3525</v>
      </c>
      <c r="S1" s="611" t="s">
        <v>3527</v>
      </c>
      <c r="T1" s="611" t="s">
        <v>3526</v>
      </c>
      <c r="U1" s="612" t="s">
        <v>3528</v>
      </c>
      <c r="V1" s="667" t="s">
        <v>3497</v>
      </c>
      <c r="W1" s="667" t="s">
        <v>3529</v>
      </c>
      <c r="X1" s="440" t="s">
        <v>3500</v>
      </c>
      <c r="Y1" s="667" t="s">
        <v>3498</v>
      </c>
      <c r="Z1" s="667" t="s">
        <v>3530</v>
      </c>
      <c r="AA1" s="667" t="s">
        <v>3499</v>
      </c>
      <c r="AB1" s="667" t="s">
        <v>3507</v>
      </c>
      <c r="AC1" s="667" t="s">
        <v>3531</v>
      </c>
      <c r="AD1" s="440" t="s">
        <v>3501</v>
      </c>
      <c r="AE1" s="667" t="s">
        <v>3502</v>
      </c>
      <c r="AF1" s="667" t="s">
        <v>3532</v>
      </c>
      <c r="AG1" s="146" t="s">
        <v>3505</v>
      </c>
      <c r="AH1" s="668" t="s">
        <v>3503</v>
      </c>
      <c r="AI1" s="668" t="s">
        <v>3533</v>
      </c>
      <c r="AJ1" s="146" t="s">
        <v>3504</v>
      </c>
    </row>
    <row r="2" spans="1:36" s="656" customFormat="1">
      <c r="D2" s="634"/>
      <c r="F2" s="659" t="s">
        <v>3450</v>
      </c>
      <c r="G2" s="658"/>
      <c r="H2" s="658"/>
      <c r="I2" s="659"/>
      <c r="J2" s="659"/>
      <c r="K2" s="659"/>
      <c r="L2" s="634"/>
      <c r="M2" s="660"/>
      <c r="N2" s="660"/>
      <c r="O2" s="612"/>
      <c r="P2" s="611"/>
      <c r="Q2" s="611"/>
      <c r="R2" s="611"/>
      <c r="S2" s="611"/>
      <c r="T2" s="611"/>
      <c r="U2" s="612"/>
      <c r="V2" s="613"/>
      <c r="W2" s="613"/>
      <c r="X2" s="634"/>
      <c r="AB2" s="669"/>
      <c r="AC2" s="669"/>
      <c r="AD2" s="634"/>
      <c r="AE2" s="628"/>
      <c r="AF2" s="628"/>
      <c r="AH2" s="670"/>
      <c r="AI2" s="670"/>
    </row>
    <row r="3" spans="1:36" s="656" customFormat="1">
      <c r="A3" s="656" t="s">
        <v>44</v>
      </c>
      <c r="D3" s="683" t="s">
        <v>3538</v>
      </c>
      <c r="F3" s="657" t="s">
        <v>3451</v>
      </c>
      <c r="G3" s="658" t="s">
        <v>3516</v>
      </c>
      <c r="H3" s="658"/>
      <c r="I3" s="659"/>
      <c r="J3" s="659"/>
      <c r="K3" s="659"/>
      <c r="L3" s="634" t="s">
        <v>3508</v>
      </c>
      <c r="M3" s="660" t="s">
        <v>3509</v>
      </c>
      <c r="N3" s="660"/>
      <c r="O3" s="614"/>
      <c r="P3" s="611" t="s">
        <v>3517</v>
      </c>
      <c r="Q3" s="611"/>
      <c r="R3" s="613"/>
      <c r="S3" s="624" t="s">
        <v>3510</v>
      </c>
      <c r="T3" s="624"/>
      <c r="U3" s="614"/>
      <c r="V3" s="613" t="s">
        <v>3511</v>
      </c>
      <c r="W3" s="613"/>
      <c r="X3" s="661"/>
      <c r="Y3" s="662" t="s">
        <v>3512</v>
      </c>
      <c r="Z3" s="662"/>
      <c r="AA3" s="613"/>
      <c r="AB3" s="613" t="s">
        <v>3513</v>
      </c>
      <c r="AC3" s="613"/>
      <c r="AD3" s="661"/>
      <c r="AE3" s="613" t="s">
        <v>3514</v>
      </c>
      <c r="AF3" s="613"/>
      <c r="AG3" s="613"/>
      <c r="AH3" s="613" t="s">
        <v>3515</v>
      </c>
      <c r="AI3" s="613"/>
      <c r="AJ3" s="613"/>
    </row>
    <row r="4" spans="1:36" s="656" customFormat="1">
      <c r="A4" s="657" t="s">
        <v>3519</v>
      </c>
      <c r="C4" s="656" t="s">
        <v>2568</v>
      </c>
      <c r="D4" s="635" t="s">
        <v>2565</v>
      </c>
      <c r="F4" s="657" t="s">
        <v>3452</v>
      </c>
      <c r="G4" s="658" t="s">
        <v>3453</v>
      </c>
      <c r="H4" s="658"/>
      <c r="I4" s="659" t="s">
        <v>3454</v>
      </c>
      <c r="J4" s="659" t="s">
        <v>3454</v>
      </c>
      <c r="K4" s="659" t="s">
        <v>3454</v>
      </c>
      <c r="L4" s="634" t="s">
        <v>3455</v>
      </c>
      <c r="M4" s="660" t="s">
        <v>3494</v>
      </c>
      <c r="N4" s="660" t="s">
        <v>3494</v>
      </c>
      <c r="O4" s="614"/>
      <c r="P4" s="684" t="s">
        <v>3539</v>
      </c>
      <c r="Q4" s="684" t="s">
        <v>3539</v>
      </c>
      <c r="R4" s="613"/>
      <c r="S4" s="684" t="s">
        <v>3540</v>
      </c>
      <c r="T4" s="684" t="s">
        <v>3539</v>
      </c>
      <c r="U4" s="614"/>
      <c r="V4" s="660" t="s">
        <v>3494</v>
      </c>
      <c r="W4" s="660" t="s">
        <v>3494</v>
      </c>
      <c r="X4" s="661"/>
      <c r="Y4" s="660" t="s">
        <v>3494</v>
      </c>
      <c r="Z4" s="660" t="s">
        <v>3494</v>
      </c>
      <c r="AA4" s="613"/>
      <c r="AB4" s="660" t="s">
        <v>3494</v>
      </c>
      <c r="AC4" s="660" t="s">
        <v>3494</v>
      </c>
      <c r="AD4" s="661"/>
      <c r="AE4" s="660" t="s">
        <v>3494</v>
      </c>
      <c r="AF4" s="660" t="s">
        <v>3494</v>
      </c>
      <c r="AG4" s="613"/>
      <c r="AH4" s="660" t="s">
        <v>3494</v>
      </c>
      <c r="AI4" s="660" t="s">
        <v>3494</v>
      </c>
      <c r="AJ4" s="613"/>
    </row>
    <row r="5" spans="1:36" s="624" customFormat="1">
      <c r="D5" s="624">
        <v>3</v>
      </c>
      <c r="F5" s="680" t="s">
        <v>3536</v>
      </c>
      <c r="H5" s="678"/>
      <c r="I5" s="679"/>
      <c r="J5" s="679"/>
      <c r="K5" s="679"/>
      <c r="M5" s="671">
        <v>5.9999999999999995E-4</v>
      </c>
      <c r="N5" s="671"/>
      <c r="O5" s="613"/>
      <c r="P5" s="663">
        <v>2.1999999999999999E-2</v>
      </c>
      <c r="Q5" s="663"/>
      <c r="R5" s="664"/>
      <c r="S5" s="663">
        <v>2.9000000000000001E-2</v>
      </c>
      <c r="T5" s="663"/>
      <c r="U5" s="613"/>
      <c r="V5" s="665">
        <v>2.1000000000000001E-2</v>
      </c>
      <c r="W5" s="665"/>
      <c r="X5" s="665"/>
      <c r="Y5" s="665">
        <v>3.7999999999999999E-2</v>
      </c>
      <c r="Z5" s="665"/>
      <c r="AA5" s="665"/>
      <c r="AB5" s="665">
        <v>2.8000000000000001E-2</v>
      </c>
      <c r="AC5" s="665"/>
      <c r="AD5" s="613"/>
      <c r="AE5" s="665">
        <v>1.9E-2</v>
      </c>
      <c r="AF5" s="665"/>
      <c r="AG5" s="661"/>
      <c r="AH5" s="665">
        <v>4.9000000000000002E-2</v>
      </c>
      <c r="AI5" s="665"/>
    </row>
    <row r="6" spans="1:36" s="656" customFormat="1">
      <c r="C6" s="656" t="s">
        <v>2553</v>
      </c>
      <c r="D6" s="634" t="s">
        <v>2563</v>
      </c>
      <c r="F6" s="657" t="s">
        <v>3456</v>
      </c>
      <c r="H6" s="658"/>
      <c r="I6" s="659"/>
      <c r="J6" s="659"/>
      <c r="K6" s="659"/>
      <c r="L6" s="634"/>
      <c r="M6" s="660" t="s">
        <v>155</v>
      </c>
      <c r="N6" s="660"/>
      <c r="O6" s="614"/>
      <c r="P6" s="613" t="s">
        <v>3457</v>
      </c>
      <c r="Q6" s="613"/>
      <c r="R6" s="613"/>
      <c r="S6" s="613" t="s">
        <v>3457</v>
      </c>
      <c r="T6" s="613"/>
      <c r="U6" s="614"/>
      <c r="V6" s="613" t="s">
        <v>155</v>
      </c>
      <c r="W6" s="613"/>
      <c r="X6" s="661"/>
      <c r="Y6" s="613" t="s">
        <v>155</v>
      </c>
      <c r="Z6" s="613"/>
      <c r="AA6" s="613"/>
      <c r="AB6" s="613" t="s">
        <v>155</v>
      </c>
      <c r="AC6" s="613"/>
      <c r="AD6" s="661"/>
      <c r="AE6" s="613" t="s">
        <v>155</v>
      </c>
      <c r="AF6" s="613"/>
      <c r="AG6" s="613"/>
      <c r="AH6" s="613" t="s">
        <v>155</v>
      </c>
      <c r="AI6" s="613"/>
      <c r="AJ6" s="613"/>
    </row>
    <row r="7" spans="1:36" s="656" customFormat="1">
      <c r="D7" s="634"/>
      <c r="F7" s="657" t="s">
        <v>3458</v>
      </c>
      <c r="G7" s="658"/>
      <c r="H7" s="658"/>
      <c r="I7" s="659"/>
      <c r="J7" s="659"/>
      <c r="K7" s="659"/>
      <c r="L7" s="634"/>
      <c r="M7" s="660" t="s">
        <v>3459</v>
      </c>
      <c r="N7" s="660"/>
      <c r="O7" s="614"/>
      <c r="P7" s="675" t="s">
        <v>3523</v>
      </c>
      <c r="Q7" s="613"/>
      <c r="R7" s="613"/>
      <c r="S7" s="675" t="s">
        <v>3522</v>
      </c>
      <c r="T7" s="675"/>
      <c r="U7" s="614"/>
      <c r="V7" s="613" t="s">
        <v>3460</v>
      </c>
      <c r="W7" s="613"/>
      <c r="X7" s="661"/>
      <c r="Y7" s="613" t="s">
        <v>3461</v>
      </c>
      <c r="Z7" s="613"/>
      <c r="AA7" s="613"/>
      <c r="AB7" s="613" t="s">
        <v>3462</v>
      </c>
      <c r="AC7" s="613"/>
      <c r="AD7" s="661"/>
      <c r="AE7" s="613" t="s">
        <v>3506</v>
      </c>
      <c r="AF7" s="613"/>
      <c r="AG7" s="613"/>
      <c r="AH7" s="613" t="s">
        <v>3496</v>
      </c>
      <c r="AI7" s="613"/>
      <c r="AJ7" s="613"/>
    </row>
    <row r="8" spans="1:36" s="656" customFormat="1">
      <c r="D8" s="634"/>
      <c r="F8" s="656" t="s">
        <v>3463</v>
      </c>
      <c r="G8" s="672" t="s">
        <v>3495</v>
      </c>
      <c r="H8" s="673"/>
      <c r="I8" s="659"/>
      <c r="J8" s="659"/>
      <c r="K8" s="659"/>
      <c r="L8" s="634"/>
      <c r="M8" s="660"/>
      <c r="N8" s="660"/>
      <c r="O8" s="614"/>
      <c r="P8" s="613"/>
      <c r="Q8" s="613"/>
      <c r="R8" s="613"/>
      <c r="S8" s="613"/>
      <c r="T8" s="613"/>
      <c r="U8" s="614"/>
      <c r="V8" s="613"/>
      <c r="W8" s="613"/>
      <c r="X8" s="661"/>
      <c r="Y8" s="613"/>
      <c r="Z8" s="613"/>
      <c r="AA8" s="613"/>
      <c r="AB8" s="613"/>
      <c r="AC8" s="613"/>
      <c r="AD8" s="661"/>
      <c r="AE8" s="613"/>
      <c r="AF8" s="613"/>
      <c r="AG8" s="613"/>
      <c r="AH8" s="613"/>
      <c r="AI8" s="613"/>
      <c r="AJ8" s="613"/>
    </row>
    <row r="9" spans="1:36" s="656" customFormat="1">
      <c r="D9" s="683">
        <v>-2</v>
      </c>
      <c r="F9" s="681" t="s">
        <v>3534</v>
      </c>
      <c r="G9" s="673"/>
      <c r="H9" s="673"/>
      <c r="I9" s="659"/>
      <c r="J9" s="659"/>
      <c r="K9" s="659"/>
      <c r="L9" s="634"/>
      <c r="M9" s="401">
        <v>-10</v>
      </c>
      <c r="N9" s="660"/>
      <c r="O9" s="614"/>
      <c r="P9" s="682">
        <v>20</v>
      </c>
      <c r="Q9" s="613"/>
      <c r="R9" s="613"/>
      <c r="S9" s="682">
        <v>2</v>
      </c>
      <c r="T9" s="613"/>
      <c r="U9" s="614"/>
      <c r="V9" s="655">
        <v>-1</v>
      </c>
      <c r="W9" s="613"/>
      <c r="X9" s="661"/>
      <c r="Y9" s="655">
        <v>-1</v>
      </c>
      <c r="Z9" s="613"/>
      <c r="AA9" s="613"/>
      <c r="AB9" s="655">
        <v>-1</v>
      </c>
      <c r="AC9" s="613"/>
      <c r="AD9" s="661"/>
      <c r="AE9" s="655">
        <v>-1</v>
      </c>
      <c r="AF9" s="613"/>
      <c r="AG9" s="613"/>
      <c r="AH9" s="655">
        <v>-1</v>
      </c>
      <c r="AI9" s="613"/>
      <c r="AJ9" s="613"/>
    </row>
    <row r="10" spans="1:36" s="656" customFormat="1">
      <c r="D10" s="683">
        <v>12000</v>
      </c>
      <c r="F10" s="681" t="s">
        <v>3535</v>
      </c>
      <c r="G10" s="673"/>
      <c r="H10" s="673"/>
      <c r="I10" s="659"/>
      <c r="J10" s="659"/>
      <c r="K10" s="659"/>
      <c r="L10" s="634"/>
      <c r="M10" s="401">
        <v>1000</v>
      </c>
      <c r="N10" s="660"/>
      <c r="O10" s="614"/>
      <c r="P10" s="682">
        <v>60</v>
      </c>
      <c r="Q10" s="613"/>
      <c r="R10" s="613"/>
      <c r="S10" s="682">
        <v>12</v>
      </c>
      <c r="T10" s="613"/>
      <c r="U10" s="614"/>
      <c r="V10" s="655">
        <v>100</v>
      </c>
      <c r="W10" s="613"/>
      <c r="X10" s="661"/>
      <c r="Y10" s="655">
        <v>100</v>
      </c>
      <c r="Z10" s="613"/>
      <c r="AA10" s="613"/>
      <c r="AB10" s="655">
        <v>100</v>
      </c>
      <c r="AC10" s="613"/>
      <c r="AD10" s="661"/>
      <c r="AE10" s="655">
        <v>100</v>
      </c>
      <c r="AF10" s="613"/>
      <c r="AG10" s="613"/>
      <c r="AH10" s="655">
        <v>100</v>
      </c>
      <c r="AI10" s="613"/>
      <c r="AJ10" s="613"/>
    </row>
    <row r="11" spans="1:36" s="146" customFormat="1">
      <c r="D11" s="440"/>
      <c r="G11" s="616"/>
      <c r="H11" s="616"/>
      <c r="I11" s="617"/>
      <c r="J11" s="617"/>
      <c r="K11" s="617"/>
      <c r="L11" s="440"/>
      <c r="M11" s="618"/>
      <c r="N11" s="674"/>
      <c r="O11" s="619"/>
      <c r="P11" s="615"/>
      <c r="Q11" s="615"/>
      <c r="R11" s="615"/>
      <c r="S11" s="615"/>
      <c r="T11" s="615"/>
      <c r="U11" s="619"/>
      <c r="V11" s="620"/>
      <c r="W11" s="620"/>
      <c r="X11" s="621"/>
      <c r="Y11" s="622"/>
      <c r="Z11" s="622"/>
      <c r="AA11" s="622"/>
      <c r="AB11" s="615"/>
      <c r="AC11" s="615"/>
      <c r="AD11" s="621"/>
      <c r="AE11" s="622"/>
      <c r="AF11" s="622"/>
      <c r="AG11" s="622"/>
      <c r="AH11" s="622"/>
      <c r="AI11" s="622"/>
      <c r="AJ11" s="622"/>
    </row>
    <row r="12" spans="1:36">
      <c r="A12">
        <f>report_47!A6</f>
        <v>2018</v>
      </c>
      <c r="B12" t="str">
        <f>LEFT(report_47!B6,2)</f>
        <v>47</v>
      </c>
      <c r="C12">
        <f>report_47!E6</f>
        <v>1000</v>
      </c>
      <c r="D12" s="146">
        <f>report_47!AF6</f>
        <v>776.42</v>
      </c>
      <c r="E12" t="str">
        <f>report_47!D6</f>
        <v>McLane-PARFLUX-Mark78H-21 ; frame controller sn 12419-01, frame sn 12419-01, motor sn 12419-01, cup set O250x21</v>
      </c>
      <c r="G12">
        <f>report_47!C6</f>
        <v>1</v>
      </c>
      <c r="H12">
        <f>report_47_flagged!F6</f>
        <v>1</v>
      </c>
      <c r="I12" s="67">
        <f>report_47!V6</f>
        <v>43173</v>
      </c>
      <c r="J12" s="67">
        <f>report_47!W6</f>
        <v>43190</v>
      </c>
      <c r="K12" s="67">
        <f>report_47!X6</f>
        <v>43181.5</v>
      </c>
      <c r="L12" s="97">
        <f>report_47!Y6</f>
        <v>17</v>
      </c>
      <c r="M12" s="90">
        <f>report_47_flagged!H6</f>
        <v>18.373109243697481</v>
      </c>
      <c r="N12" s="90">
        <f>M12*$M$5</f>
        <v>1.1023865546218488E-2</v>
      </c>
      <c r="O12" s="90">
        <f>report_47_flagged!J6</f>
        <v>1</v>
      </c>
      <c r="P12" s="623">
        <f>report_47_flagged!BA6</f>
        <v>34.19</v>
      </c>
      <c r="Q12" s="623">
        <f>P12*$P$5</f>
        <v>0.75217999999999996</v>
      </c>
      <c r="R12" s="676">
        <f>report_47_flagged!BB6</f>
        <v>1</v>
      </c>
      <c r="S12" s="623">
        <f>report_47_flagged!BC6</f>
        <v>8.0990000000000002</v>
      </c>
      <c r="T12" s="623">
        <f>S12*$S$5</f>
        <v>0.23487100000000002</v>
      </c>
      <c r="U12" s="676">
        <f>report_47_flagged!BD6</f>
        <v>1</v>
      </c>
      <c r="V12" s="101">
        <f>(report_47_flagged!N6/100)*report_47_flagged!H6</f>
        <v>2.5202542900277787</v>
      </c>
      <c r="W12" s="677">
        <f>V12*SQRT(($V$5)^2+($M$5)^2)</f>
        <v>5.2946937863402585E-2</v>
      </c>
      <c r="X12" s="97">
        <f>report_47_flagged!AP6</f>
        <v>1</v>
      </c>
      <c r="Y12" s="101">
        <f>(report_47_flagged!P6/100)*report_47_flagged!H6</f>
        <v>7.8484899633071009E-2</v>
      </c>
      <c r="Z12" s="101">
        <f>Y12*SQRT(($Y$5)^2+($M$5)^2)</f>
        <v>2.982797933465499E-3</v>
      </c>
      <c r="AA12" s="97">
        <f>report_47_flagged!AR6</f>
        <v>1</v>
      </c>
      <c r="AB12" s="101">
        <f>(report_47_flagged!R6/100)*report_47_flagged!H6</f>
        <v>0.52910313384033825</v>
      </c>
      <c r="AC12" s="101">
        <f>AB12*SQRT(($AB$5)^2+($M$5)^2)</f>
        <v>1.4818288734443838E-2</v>
      </c>
      <c r="AD12" s="97">
        <f>report_47_flagged!AT6</f>
        <v>1</v>
      </c>
      <c r="AE12" s="101">
        <f>(report_47_flagged!L6/100)*report_47_flagged!H6</f>
        <v>1.9911511561874409</v>
      </c>
      <c r="AF12" s="101">
        <f>AE12*SQRT(($AE$5)^2+($M$5)^2)</f>
        <v>3.7850730804353028E-2</v>
      </c>
      <c r="AG12" s="97">
        <f>report_47_flagged!AV6</f>
        <v>1</v>
      </c>
      <c r="AH12" s="101">
        <f>(report_47_flagged!T6/100)*report_47_flagged!H6</f>
        <v>7.4735791604194579E-2</v>
      </c>
      <c r="AI12" s="101">
        <f>AH12*SQRT(($AH$5)^2+($M$5)^2)</f>
        <v>3.6623283179579849E-3</v>
      </c>
      <c r="AJ12" s="97">
        <f>report_47_flagged!AX6</f>
        <v>1</v>
      </c>
    </row>
    <row r="13" spans="1:36">
      <c r="A13">
        <f>report_47!A7</f>
        <v>2018</v>
      </c>
      <c r="B13" t="str">
        <f>LEFT(report_47!B7,2)</f>
        <v>47</v>
      </c>
      <c r="C13">
        <f>report_47!E7</f>
        <v>1000</v>
      </c>
      <c r="D13" s="146">
        <f>report_47!AF7</f>
        <v>776.42</v>
      </c>
      <c r="E13" t="str">
        <f>report_47!D7</f>
        <v>McLane-PARFLUX-Mark78H-21 ; frame controller sn 12419-01, frame sn 12419-01, motor sn 12419-01, cup set O250x21</v>
      </c>
      <c r="G13">
        <f>report_47!C7</f>
        <v>2</v>
      </c>
      <c r="H13">
        <f>report_47_flagged!F7</f>
        <v>1</v>
      </c>
      <c r="I13" s="67">
        <f>report_47!V7</f>
        <v>43190</v>
      </c>
      <c r="J13" s="67">
        <f>report_47!W7</f>
        <v>43207</v>
      </c>
      <c r="K13" s="67">
        <f>report_47!X7</f>
        <v>43198.5</v>
      </c>
      <c r="L13" s="97">
        <f>report_47!Y7</f>
        <v>17</v>
      </c>
      <c r="M13" s="90">
        <f>report_47_flagged!H7</f>
        <v>28.915966386554622</v>
      </c>
      <c r="N13" s="90">
        <f t="shared" ref="N13:N74" si="0">M13*$M$5</f>
        <v>1.7349579831932773E-2</v>
      </c>
      <c r="O13" s="90">
        <f>report_47_flagged!J7</f>
        <v>1</v>
      </c>
      <c r="P13" s="623">
        <f>report_47_flagged!BA7</f>
        <v>34.409999999999997</v>
      </c>
      <c r="Q13" s="623">
        <f t="shared" ref="Q13:Q74" si="1">P13*$P$5</f>
        <v>0.75701999999999992</v>
      </c>
      <c r="R13" s="676">
        <f>report_47_flagged!BB7</f>
        <v>1</v>
      </c>
      <c r="S13" s="623">
        <f>report_47_flagged!BC7</f>
        <v>8.0449999999999999</v>
      </c>
      <c r="T13" s="623">
        <f t="shared" ref="T13:T74" si="2">S13*$S$5</f>
        <v>0.23330500000000001</v>
      </c>
      <c r="U13" s="676">
        <f>report_47_flagged!BD7</f>
        <v>1</v>
      </c>
      <c r="V13" s="101">
        <f>(report_47_flagged!N7/100)*report_47_flagged!H7</f>
        <v>5.3391407540265252</v>
      </c>
      <c r="W13" s="677">
        <f>V13*SQRT(($V$5)^2+($M$5)^2)</f>
        <v>0.11216771056236828</v>
      </c>
      <c r="X13" s="97">
        <f>report_47_flagged!AP7</f>
        <v>1</v>
      </c>
      <c r="Y13" s="101">
        <f>(report_47_flagged!P7/100)*report_47_flagged!H7</f>
        <v>0.32683335485578585</v>
      </c>
      <c r="Z13" s="101">
        <f t="shared" ref="Z13:Z74" si="3">Y13*SQRT(($Y$5)^2+($M$5)^2)</f>
        <v>1.2421215546036731E-2</v>
      </c>
      <c r="AA13" s="97">
        <f>report_47_flagged!AR7</f>
        <v>1</v>
      </c>
      <c r="AB13" s="101">
        <f>(report_47_flagged!R7/100)*report_47_flagged!H7</f>
        <v>2.6696274193492036</v>
      </c>
      <c r="AC13" s="101">
        <f t="shared" ref="AC13:AC74" si="4">AB13*SQRT(($AB$5)^2+($M$5)^2)</f>
        <v>7.476672766266787E-2</v>
      </c>
      <c r="AD13" s="97">
        <f>report_47_flagged!AT7</f>
        <v>1</v>
      </c>
      <c r="AE13" s="101">
        <f>(report_47_flagged!L7/100)*report_47_flagged!H7</f>
        <v>2.6695133346773217</v>
      </c>
      <c r="AF13" s="101">
        <f t="shared" ref="AF13:AF74" si="5">AE13*SQRT(($AE$5)^2+($M$5)^2)</f>
        <v>5.0746037183321803E-2</v>
      </c>
      <c r="AG13" s="97">
        <f>report_47_flagged!AV7</f>
        <v>1</v>
      </c>
      <c r="AH13" s="101">
        <f>(report_47_flagged!T7/100)*report_47_flagged!H7</f>
        <v>0.20258526077168457</v>
      </c>
      <c r="AI13" s="101">
        <f t="shared" ref="AI13:AI74" si="6">AH13*SQRT(($AH$5)^2+($M$5)^2)</f>
        <v>9.9274219406729602E-3</v>
      </c>
      <c r="AJ13" s="97">
        <f>report_47_flagged!AX7</f>
        <v>1</v>
      </c>
    </row>
    <row r="14" spans="1:36">
      <c r="A14">
        <f>report_47!A8</f>
        <v>2018</v>
      </c>
      <c r="B14" t="str">
        <f>LEFT(report_47!B8,2)</f>
        <v>47</v>
      </c>
      <c r="C14">
        <f>report_47!E8</f>
        <v>1000</v>
      </c>
      <c r="D14" s="146">
        <f>report_47!AF8</f>
        <v>776.42</v>
      </c>
      <c r="E14" t="str">
        <f>report_47!D8</f>
        <v>McLane-PARFLUX-Mark78H-21 ; frame controller sn 12419-01, frame sn 12419-01, motor sn 12419-01, cup set O250x21</v>
      </c>
      <c r="G14">
        <f>report_47!C8</f>
        <v>3</v>
      </c>
      <c r="H14">
        <f>report_47_flagged!F8</f>
        <v>1</v>
      </c>
      <c r="I14" s="67">
        <f>report_47!V8</f>
        <v>43207</v>
      </c>
      <c r="J14" s="67">
        <f>report_47!W8</f>
        <v>43224</v>
      </c>
      <c r="K14" s="67">
        <f>report_47!X8</f>
        <v>43215.5</v>
      </c>
      <c r="L14" s="97">
        <f>report_47!Y8</f>
        <v>17</v>
      </c>
      <c r="M14" s="90">
        <f>report_47_flagged!H8</f>
        <v>26.048739495798319</v>
      </c>
      <c r="N14" s="90">
        <f t="shared" si="0"/>
        <v>1.5629243697478989E-2</v>
      </c>
      <c r="O14" s="90">
        <f>report_47_flagged!J8</f>
        <v>1</v>
      </c>
      <c r="P14" s="623">
        <f>report_47_flagged!BA8</f>
        <v>34.22</v>
      </c>
      <c r="Q14" s="623">
        <f t="shared" si="1"/>
        <v>0.75283999999999995</v>
      </c>
      <c r="R14" s="676">
        <f>report_47_flagged!BB8</f>
        <v>1</v>
      </c>
      <c r="S14" s="623">
        <f>report_47_flagged!BC8</f>
        <v>8.1460000000000008</v>
      </c>
      <c r="T14" s="623">
        <f t="shared" si="2"/>
        <v>0.23623400000000003</v>
      </c>
      <c r="U14" s="676">
        <f>report_47_flagged!BD8</f>
        <v>1</v>
      </c>
      <c r="V14" s="101">
        <f>(report_47_flagged!N8/100)*report_47_flagged!H8</f>
        <v>3.4251900377674267</v>
      </c>
      <c r="W14" s="677">
        <f>V14*SQRT(($V$5)^2+($M$5)^2)</f>
        <v>7.1958343575726474E-2</v>
      </c>
      <c r="X14" s="97">
        <f>report_47_flagged!AP8</f>
        <v>1</v>
      </c>
      <c r="Y14" s="101">
        <f>(report_47_flagged!P8/100)*report_47_flagged!H8</f>
        <v>6.8018644919916355E-2</v>
      </c>
      <c r="Z14" s="101">
        <f t="shared" si="3"/>
        <v>2.5850306804592062E-3</v>
      </c>
      <c r="AA14" s="97">
        <f>report_47_flagged!AR8</f>
        <v>1</v>
      </c>
      <c r="AB14" s="101">
        <f>(report_47_flagged!R8/100)*report_47_flagged!H8</f>
        <v>0.45397209461623789</v>
      </c>
      <c r="AC14" s="101">
        <f t="shared" si="4"/>
        <v>1.2714136706348883E-2</v>
      </c>
      <c r="AD14" s="97">
        <f>report_47_flagged!AT8</f>
        <v>3</v>
      </c>
      <c r="AE14" s="101">
        <f>(report_47_flagged!L8/100)*report_47_flagged!H8</f>
        <v>2.9712179431511885</v>
      </c>
      <c r="AF14" s="101">
        <f t="shared" si="5"/>
        <v>5.6481282286281756E-2</v>
      </c>
      <c r="AG14" s="97">
        <f>report_47_flagged!AV8</f>
        <v>3</v>
      </c>
      <c r="AH14" s="101">
        <f>(report_47_flagged!T8/100)*report_47_flagged!H8</f>
        <v>2.9026653469881411E-2</v>
      </c>
      <c r="AI14" s="101">
        <f t="shared" si="6"/>
        <v>1.4224126445505352E-3</v>
      </c>
      <c r="AJ14" s="97">
        <f>report_47_flagged!AX8</f>
        <v>1</v>
      </c>
    </row>
    <row r="15" spans="1:36">
      <c r="A15">
        <f>report_47!A9</f>
        <v>2018</v>
      </c>
      <c r="B15" t="str">
        <f>LEFT(report_47!B9,2)</f>
        <v>47</v>
      </c>
      <c r="C15">
        <f>report_47!E9</f>
        <v>1000</v>
      </c>
      <c r="D15" s="146">
        <f>report_47!AF9</f>
        <v>776.42</v>
      </c>
      <c r="E15" t="str">
        <f>report_47!D9</f>
        <v>McLane-PARFLUX-Mark78H-21 ; frame controller sn 12419-01, frame sn 12419-01, motor sn 12419-01, cup set O250x21</v>
      </c>
      <c r="G15">
        <f>report_47!C9</f>
        <v>4</v>
      </c>
      <c r="H15">
        <f>report_47_flagged!F9</f>
        <v>1</v>
      </c>
      <c r="I15" s="67">
        <f>report_47!V9</f>
        <v>43224</v>
      </c>
      <c r="J15" s="67">
        <f>report_47!W9</f>
        <v>43241</v>
      </c>
      <c r="K15" s="67">
        <f>report_47!X9</f>
        <v>43232.5</v>
      </c>
      <c r="L15" s="97">
        <f>report_47!Y9</f>
        <v>17</v>
      </c>
      <c r="M15" s="90">
        <f>report_47_flagged!H9</f>
        <v>13.156302521008405</v>
      </c>
      <c r="N15" s="90">
        <f t="shared" si="0"/>
        <v>7.8937815126050425E-3</v>
      </c>
      <c r="O15" s="90">
        <f>report_47_flagged!J9</f>
        <v>1</v>
      </c>
      <c r="P15" s="623">
        <f>report_47_flagged!BA9</f>
        <v>34.26</v>
      </c>
      <c r="Q15" s="623">
        <f t="shared" si="1"/>
        <v>0.75371999999999995</v>
      </c>
      <c r="R15" s="676">
        <f>report_47_flagged!BB9</f>
        <v>1</v>
      </c>
      <c r="S15" s="623">
        <f>report_47_flagged!BC9</f>
        <v>8.0690000000000008</v>
      </c>
      <c r="T15" s="623">
        <f t="shared" si="2"/>
        <v>0.23400100000000004</v>
      </c>
      <c r="U15" s="676">
        <f>report_47_flagged!BD9</f>
        <v>1</v>
      </c>
      <c r="V15" s="101">
        <f>(report_47_flagged!N9/100)*report_47_flagged!H9</f>
        <v>1.8849325266605665</v>
      </c>
      <c r="W15" s="677">
        <f>V15*SQRT(($V$5)^2+($M$5)^2)</f>
        <v>3.9599736328473197E-2</v>
      </c>
      <c r="X15" s="97">
        <f>report_47_flagged!AP9</f>
        <v>1</v>
      </c>
      <c r="Y15" s="101">
        <f>(report_47_flagged!P9/100)*report_47_flagged!H9</f>
        <v>7.5324904301587281E-2</v>
      </c>
      <c r="Z15" s="101">
        <f t="shared" si="3"/>
        <v>2.8627031434029959E-3</v>
      </c>
      <c r="AA15" s="97">
        <f>report_47_flagged!AR9</f>
        <v>1</v>
      </c>
      <c r="AB15" s="101">
        <f>(report_47_flagged!R9/100)*report_47_flagged!H9</f>
        <v>0.48597015788499132</v>
      </c>
      <c r="AC15" s="101">
        <f t="shared" si="4"/>
        <v>1.3610288156100967E-2</v>
      </c>
      <c r="AD15" s="97">
        <f>report_47_flagged!AT9</f>
        <v>1</v>
      </c>
      <c r="AE15" s="101">
        <f>(report_47_flagged!L9/100)*report_47_flagged!H9</f>
        <v>1.3989623687755754</v>
      </c>
      <c r="AF15" s="101">
        <f t="shared" si="5"/>
        <v>2.6593535031932874E-2</v>
      </c>
      <c r="AG15" s="97">
        <f>report_47_flagged!AV9</f>
        <v>1</v>
      </c>
      <c r="AH15" s="101">
        <f>(report_47_flagged!T9/100)*report_47_flagged!H9</f>
        <v>3.7934912468331826E-2</v>
      </c>
      <c r="AI15" s="101">
        <f t="shared" si="6"/>
        <v>1.8589500584647795E-3</v>
      </c>
      <c r="AJ15" s="97">
        <f>report_47_flagged!AX9</f>
        <v>1</v>
      </c>
    </row>
    <row r="16" spans="1:36">
      <c r="A16">
        <f>report_47!A10</f>
        <v>2018</v>
      </c>
      <c r="B16" t="str">
        <f>LEFT(report_47!B10,2)</f>
        <v>47</v>
      </c>
      <c r="C16">
        <f>report_47!E10</f>
        <v>1000</v>
      </c>
      <c r="D16" s="146">
        <f>report_47!AF10</f>
        <v>776.42</v>
      </c>
      <c r="E16" t="str">
        <f>report_47!D10</f>
        <v>McLane-PARFLUX-Mark78H-21 ; frame controller sn 12419-01, frame sn 12419-01, motor sn 12419-01, cup set O250x21</v>
      </c>
      <c r="G16">
        <f>report_47!C10</f>
        <v>5</v>
      </c>
      <c r="H16">
        <f>report_47_flagged!F10</f>
        <v>1</v>
      </c>
      <c r="I16" s="67">
        <f>report_47!V10</f>
        <v>43241</v>
      </c>
      <c r="J16" s="67">
        <f>report_47!W10</f>
        <v>43258</v>
      </c>
      <c r="K16" s="67">
        <f>report_47!X10</f>
        <v>43249.5</v>
      </c>
      <c r="L16" s="97">
        <f>report_47!Y10</f>
        <v>17</v>
      </c>
      <c r="M16" s="90">
        <f>report_47_flagged!H10</f>
        <v>4.7042016806722691</v>
      </c>
      <c r="N16" s="90">
        <f t="shared" si="0"/>
        <v>2.8225210084033611E-3</v>
      </c>
      <c r="O16" s="90">
        <f>report_47_flagged!J10</f>
        <v>1</v>
      </c>
      <c r="P16" s="623">
        <f>report_47_flagged!BA10</f>
        <v>34.555</v>
      </c>
      <c r="Q16" s="623">
        <f t="shared" si="1"/>
        <v>0.76020999999999994</v>
      </c>
      <c r="R16" s="676">
        <f>report_47_flagged!BB10</f>
        <v>1</v>
      </c>
      <c r="S16" s="623">
        <f>report_47_flagged!BC10</f>
        <v>7.4964999999999993</v>
      </c>
      <c r="T16" s="623">
        <f t="shared" si="2"/>
        <v>0.21739849999999999</v>
      </c>
      <c r="U16" s="676">
        <f>report_47_flagged!BD10</f>
        <v>1</v>
      </c>
      <c r="V16" s="101" t="s">
        <v>3518</v>
      </c>
      <c r="W16" s="677" t="s">
        <v>3518</v>
      </c>
      <c r="X16" s="97">
        <f>report_47_flagged!AP10</f>
        <v>9</v>
      </c>
      <c r="Y16" s="101" t="s">
        <v>3518</v>
      </c>
      <c r="Z16" s="101" t="s">
        <v>3518</v>
      </c>
      <c r="AA16" s="97">
        <f>report_47_flagged!AR10</f>
        <v>9</v>
      </c>
      <c r="AB16" s="101" t="s">
        <v>3518</v>
      </c>
      <c r="AC16" s="101" t="s">
        <v>3518</v>
      </c>
      <c r="AD16" s="97">
        <f>report_47_flagged!AT10</f>
        <v>9</v>
      </c>
      <c r="AE16" s="101" t="s">
        <v>3518</v>
      </c>
      <c r="AF16" s="101" t="s">
        <v>3518</v>
      </c>
      <c r="AG16" s="97">
        <f>report_47_flagged!AV10</f>
        <v>9</v>
      </c>
      <c r="AH16" s="101" t="s">
        <v>3518</v>
      </c>
      <c r="AI16" s="101" t="s">
        <v>3518</v>
      </c>
      <c r="AJ16" s="97">
        <f>report_47_flagged!AX10</f>
        <v>9</v>
      </c>
    </row>
    <row r="17" spans="1:36">
      <c r="A17">
        <f>report_47!A11</f>
        <v>2018</v>
      </c>
      <c r="B17" t="str">
        <f>LEFT(report_47!B11,2)</f>
        <v>47</v>
      </c>
      <c r="C17">
        <f>report_47!E11</f>
        <v>1000</v>
      </c>
      <c r="D17" s="146">
        <f>report_47!AF11</f>
        <v>776.42</v>
      </c>
      <c r="E17" t="str">
        <f>report_47!D11</f>
        <v>McLane-PARFLUX-Mark78H-21 ; frame controller sn 12419-01, frame sn 12419-01, motor sn 12419-01, cup set O250x21</v>
      </c>
      <c r="G17">
        <f>report_47!C11</f>
        <v>6</v>
      </c>
      <c r="H17">
        <f>report_47_flagged!F11</f>
        <v>1</v>
      </c>
      <c r="I17" s="67">
        <f>report_47!V11</f>
        <v>43258</v>
      </c>
      <c r="J17" s="67">
        <f>report_47!W11</f>
        <v>43275</v>
      </c>
      <c r="K17" s="67">
        <f>report_47!X11</f>
        <v>43266.5</v>
      </c>
      <c r="L17" s="97">
        <f>report_47!Y11</f>
        <v>17</v>
      </c>
      <c r="M17" s="90">
        <f>report_47_flagged!H11</f>
        <v>2.1361344537815126</v>
      </c>
      <c r="N17" s="90">
        <f t="shared" si="0"/>
        <v>1.2816806722689075E-3</v>
      </c>
      <c r="O17" s="90">
        <f>report_47_flagged!J11</f>
        <v>2</v>
      </c>
      <c r="P17" s="623">
        <f>report_47_flagged!BA11</f>
        <v>34.21</v>
      </c>
      <c r="Q17" s="623">
        <f t="shared" si="1"/>
        <v>0.75261999999999996</v>
      </c>
      <c r="R17" s="676">
        <f>report_47_flagged!BB11</f>
        <v>1</v>
      </c>
      <c r="S17" s="623">
        <f>report_47_flagged!BC11</f>
        <v>7.88</v>
      </c>
      <c r="T17" s="623">
        <f t="shared" si="2"/>
        <v>0.22852</v>
      </c>
      <c r="U17" s="676">
        <f>report_47_flagged!BD11</f>
        <v>1</v>
      </c>
      <c r="V17" s="101">
        <f>(report_47_flagged!N11/100)*report_47_flagged!H11</f>
        <v>0.47738547801170028</v>
      </c>
      <c r="W17" s="677">
        <f>V17*SQRT(($V$5)^2+($M$5)^2)</f>
        <v>1.0029186079035557E-2</v>
      </c>
      <c r="X17" s="97">
        <f>report_47_flagged!AP11</f>
        <v>2</v>
      </c>
      <c r="Y17" s="101">
        <f>(report_47_flagged!P11/100)*report_47_flagged!H11</f>
        <v>5.642151481965009E-2</v>
      </c>
      <c r="Z17" s="101">
        <f t="shared" si="3"/>
        <v>2.1442848062983525E-3</v>
      </c>
      <c r="AA17" s="97">
        <f>report_47_flagged!AR11</f>
        <v>3</v>
      </c>
      <c r="AB17" s="101">
        <f>(report_47_flagged!R11/100)*report_47_flagged!H11</f>
        <v>0.34207343584981686</v>
      </c>
      <c r="AC17" s="101">
        <f t="shared" si="4"/>
        <v>9.580254994927772E-3</v>
      </c>
      <c r="AD17" s="97">
        <f>report_47_flagged!AT11</f>
        <v>3</v>
      </c>
      <c r="AE17" s="101">
        <f>(report_47_flagged!L11/100)*report_47_flagged!H11</f>
        <v>0.13531204216188339</v>
      </c>
      <c r="AF17" s="101">
        <f t="shared" si="5"/>
        <v>2.572210385204215E-3</v>
      </c>
      <c r="AG17" s="97">
        <f>report_47_flagged!AV11</f>
        <v>2</v>
      </c>
      <c r="AH17" s="101">
        <f>(report_47_flagged!T11/100)*report_47_flagged!H11</f>
        <v>1.0491635378190332E-2</v>
      </c>
      <c r="AI17" s="101">
        <f t="shared" si="6"/>
        <v>5.141286727881495E-4</v>
      </c>
      <c r="AJ17" s="97">
        <f>report_47_flagged!AX11</f>
        <v>2</v>
      </c>
    </row>
    <row r="18" spans="1:36">
      <c r="A18">
        <f>report_47!A12</f>
        <v>2018</v>
      </c>
      <c r="B18" t="str">
        <f>LEFT(report_47!B12,2)</f>
        <v>47</v>
      </c>
      <c r="C18">
        <f>report_47!E12</f>
        <v>1000</v>
      </c>
      <c r="D18" s="146">
        <f>report_47!AF12</f>
        <v>776.42</v>
      </c>
      <c r="E18" t="str">
        <f>report_47!D12</f>
        <v>McLane-PARFLUX-Mark78H-21 ; frame controller sn 12419-01, frame sn 12419-01, motor sn 12419-01, cup set O250x21</v>
      </c>
      <c r="G18">
        <f>report_47!C12</f>
        <v>7</v>
      </c>
      <c r="H18">
        <f>report_47_flagged!F12</f>
        <v>1</v>
      </c>
      <c r="I18" s="67">
        <f>report_47!V12</f>
        <v>43275</v>
      </c>
      <c r="J18" s="67">
        <f>report_47!W12</f>
        <v>43292</v>
      </c>
      <c r="K18" s="67">
        <f>report_47!X12</f>
        <v>43283.5</v>
      </c>
      <c r="L18" s="97">
        <f>report_47!Y12</f>
        <v>17</v>
      </c>
      <c r="M18" s="90">
        <f>report_47_flagged!H12</f>
        <v>2.8655462184873945</v>
      </c>
      <c r="N18" s="90">
        <f t="shared" si="0"/>
        <v>1.7193277310924367E-3</v>
      </c>
      <c r="O18" s="90">
        <f>report_47_flagged!J12</f>
        <v>2</v>
      </c>
      <c r="P18" s="623">
        <f>report_47_flagged!BA12</f>
        <v>34.14</v>
      </c>
      <c r="Q18" s="623">
        <f t="shared" si="1"/>
        <v>0.75107999999999997</v>
      </c>
      <c r="R18" s="676">
        <f>report_47_flagged!BB12</f>
        <v>1</v>
      </c>
      <c r="S18" s="623">
        <f>report_47_flagged!BC12</f>
        <v>7.944</v>
      </c>
      <c r="T18" s="623">
        <f t="shared" si="2"/>
        <v>0.230376</v>
      </c>
      <c r="U18" s="676">
        <f>report_47_flagged!BD12</f>
        <v>1</v>
      </c>
      <c r="V18" s="101">
        <f>(report_47_flagged!N12/100)*report_47_flagged!H12</f>
        <v>0.41629337903832175</v>
      </c>
      <c r="W18" s="677">
        <f>V18*SQRT(($V$5)^2+($M$5)^2)</f>
        <v>8.7457284608550272E-3</v>
      </c>
      <c r="X18" s="97">
        <f>report_47_flagged!AP12</f>
        <v>2</v>
      </c>
      <c r="Y18" s="101">
        <f>(report_47_flagged!P12/100)*report_47_flagged!H12</f>
        <v>4.8326841252190722E-2</v>
      </c>
      <c r="Z18" s="101">
        <f t="shared" si="3"/>
        <v>1.8366488699338272E-3</v>
      </c>
      <c r="AA18" s="97">
        <f>report_47_flagged!AR12</f>
        <v>2</v>
      </c>
      <c r="AB18" s="101">
        <f>(report_47_flagged!R12/100)*report_47_flagged!H12</f>
        <v>0.20172536265339705</v>
      </c>
      <c r="AC18" s="101">
        <f t="shared" si="4"/>
        <v>5.6496068113640347E-3</v>
      </c>
      <c r="AD18" s="97">
        <f>report_47_flagged!AT12</f>
        <v>2</v>
      </c>
      <c r="AE18" s="101">
        <f>(report_47_flagged!L12/100)*report_47_flagged!H12</f>
        <v>0.21456801638492476</v>
      </c>
      <c r="AF18" s="101">
        <f t="shared" si="5"/>
        <v>4.0788245544153244E-3</v>
      </c>
      <c r="AG18" s="97">
        <f>report_47_flagged!AV12</f>
        <v>2</v>
      </c>
      <c r="AH18" s="101">
        <f>(report_47_flagged!T12/100)*report_47_flagged!H12</f>
        <v>2.4997210638470695E-2</v>
      </c>
      <c r="AI18" s="101">
        <f t="shared" si="6"/>
        <v>1.2249551443313227E-3</v>
      </c>
      <c r="AJ18" s="97">
        <f>report_47_flagged!AX12</f>
        <v>2</v>
      </c>
    </row>
    <row r="19" spans="1:36">
      <c r="A19">
        <f>report_47!A13</f>
        <v>2018</v>
      </c>
      <c r="B19" t="str">
        <f>LEFT(report_47!B13,2)</f>
        <v>47</v>
      </c>
      <c r="C19">
        <f>report_47!E13</f>
        <v>1000</v>
      </c>
      <c r="D19" s="146">
        <f>report_47!AF13</f>
        <v>776.42</v>
      </c>
      <c r="E19" t="str">
        <f>report_47!D13</f>
        <v>McLane-PARFLUX-Mark78H-21 ; frame controller sn 12419-01, frame sn 12419-01, motor sn 12419-01, cup set O250x21</v>
      </c>
      <c r="G19">
        <f>report_47!C13</f>
        <v>8</v>
      </c>
      <c r="H19">
        <f>report_47_flagged!F13</f>
        <v>1</v>
      </c>
      <c r="I19" s="67">
        <f>report_47!V13</f>
        <v>43292</v>
      </c>
      <c r="J19" s="67">
        <f>report_47!W13</f>
        <v>43309</v>
      </c>
      <c r="K19" s="67">
        <f>report_47!X13</f>
        <v>43300.5</v>
      </c>
      <c r="L19" s="97">
        <f>report_47!Y13</f>
        <v>17</v>
      </c>
      <c r="M19" s="90">
        <f>report_47_flagged!H13</f>
        <v>3.6487394957983192</v>
      </c>
      <c r="N19" s="90">
        <f t="shared" si="0"/>
        <v>2.1892436974789912E-3</v>
      </c>
      <c r="O19" s="90">
        <f>report_47_flagged!J13</f>
        <v>1</v>
      </c>
      <c r="P19" s="623">
        <f>report_47_flagged!BA13</f>
        <v>34.42</v>
      </c>
      <c r="Q19" s="623">
        <f t="shared" si="1"/>
        <v>0.75724000000000002</v>
      </c>
      <c r="R19" s="676">
        <f>report_47_flagged!BB13</f>
        <v>1</v>
      </c>
      <c r="S19" s="623">
        <f>report_47_flagged!BC13</f>
        <v>7.4980000000000002</v>
      </c>
      <c r="T19" s="623">
        <f>S19*$S$5</f>
        <v>0.21744200000000002</v>
      </c>
      <c r="U19" s="676">
        <f>report_47_flagged!BD13</f>
        <v>1</v>
      </c>
      <c r="V19" s="101" t="s">
        <v>3518</v>
      </c>
      <c r="W19" s="677" t="s">
        <v>3518</v>
      </c>
      <c r="X19" s="97">
        <f>report_47_flagged!AP13</f>
        <v>9</v>
      </c>
      <c r="Y19" s="101" t="s">
        <v>3518</v>
      </c>
      <c r="Z19" s="101" t="s">
        <v>3518</v>
      </c>
      <c r="AA19" s="97">
        <f>report_47_flagged!AR13</f>
        <v>9</v>
      </c>
      <c r="AB19" s="101" t="s">
        <v>3518</v>
      </c>
      <c r="AC19" s="101" t="s">
        <v>3518</v>
      </c>
      <c r="AD19" s="97">
        <f>report_47_flagged!AT13</f>
        <v>9</v>
      </c>
      <c r="AE19" s="101" t="s">
        <v>3518</v>
      </c>
      <c r="AF19" s="101" t="s">
        <v>3518</v>
      </c>
      <c r="AG19" s="97">
        <f>report_47_flagged!AV13</f>
        <v>9</v>
      </c>
      <c r="AH19" s="101" t="s">
        <v>3518</v>
      </c>
      <c r="AI19" s="101" t="s">
        <v>3518</v>
      </c>
      <c r="AJ19" s="97">
        <f>report_47_flagged!AX13</f>
        <v>9</v>
      </c>
    </row>
    <row r="20" spans="1:36">
      <c r="A20">
        <f>report_47!A14</f>
        <v>2018</v>
      </c>
      <c r="B20" t="str">
        <f>LEFT(report_47!B14,2)</f>
        <v>47</v>
      </c>
      <c r="C20">
        <f>report_47!E14</f>
        <v>1000</v>
      </c>
      <c r="D20" s="146">
        <f>report_47!AF14</f>
        <v>776.42</v>
      </c>
      <c r="E20" t="str">
        <f>report_47!D14</f>
        <v>McLane-PARFLUX-Mark78H-21 ; frame controller sn 12419-01, frame sn 12419-01, motor sn 12419-01, cup set O250x21</v>
      </c>
      <c r="G20">
        <f>report_47!C14</f>
        <v>9</v>
      </c>
      <c r="H20">
        <f>report_47_flagged!F14</f>
        <v>1</v>
      </c>
      <c r="I20" s="67">
        <f>report_47!V14</f>
        <v>43309</v>
      </c>
      <c r="J20" s="67">
        <f>report_47!W14</f>
        <v>43326</v>
      </c>
      <c r="K20" s="67">
        <f>report_47!X14</f>
        <v>43317.5</v>
      </c>
      <c r="L20" s="97">
        <f>report_47!Y14</f>
        <v>17</v>
      </c>
      <c r="M20" s="90">
        <f>report_47_flagged!H14</f>
        <v>15.361344537815128</v>
      </c>
      <c r="N20" s="90">
        <f t="shared" si="0"/>
        <v>9.2168067226890762E-3</v>
      </c>
      <c r="O20" s="90">
        <f>report_47_flagged!J14</f>
        <v>1</v>
      </c>
      <c r="P20" s="623">
        <f>report_47_flagged!BA14</f>
        <v>37.67</v>
      </c>
      <c r="Q20" s="623">
        <f t="shared" si="1"/>
        <v>0.82874000000000003</v>
      </c>
      <c r="R20" s="676">
        <f>report_47_flagged!BB14</f>
        <v>1</v>
      </c>
      <c r="S20" s="623">
        <f>report_47_flagged!BC14</f>
        <v>8.0449999999999999</v>
      </c>
      <c r="T20" s="623">
        <f t="shared" si="2"/>
        <v>0.23330500000000001</v>
      </c>
      <c r="U20" s="676">
        <f>report_47_flagged!BD14</f>
        <v>1</v>
      </c>
      <c r="V20" s="101">
        <f>(report_47_flagged!N14/100)*report_47_flagged!H14</f>
        <v>2.6133221942036093</v>
      </c>
      <c r="W20" s="677">
        <f t="shared" ref="W20:W51" si="7">V20*SQRT(($V$5)^2+($M$5)^2)</f>
        <v>5.4902161413253381E-2</v>
      </c>
      <c r="X20" s="97">
        <f>report_47_flagged!AP14</f>
        <v>1</v>
      </c>
      <c r="Y20" s="101">
        <f>(report_47_flagged!P14/100)*report_47_flagged!H14</f>
        <v>0.26169970031545947</v>
      </c>
      <c r="Z20" s="101">
        <f t="shared" si="3"/>
        <v>9.9458281648942097E-3</v>
      </c>
      <c r="AA20" s="97">
        <f>report_47_flagged!AR14</f>
        <v>1</v>
      </c>
      <c r="AB20" s="101">
        <f>(report_47_flagged!R14/100)*report_47_flagged!H14</f>
        <v>1.4048149347067631</v>
      </c>
      <c r="AC20" s="101">
        <f t="shared" si="4"/>
        <v>3.9343848088462453E-2</v>
      </c>
      <c r="AD20" s="97">
        <f>report_47_flagged!AT14</f>
        <v>1</v>
      </c>
      <c r="AE20" s="101">
        <f>(report_47_flagged!L14/100)*report_47_flagged!H14</f>
        <v>1.2085072594968465</v>
      </c>
      <c r="AF20" s="101">
        <f t="shared" si="5"/>
        <v>2.2973084093679652E-2</v>
      </c>
      <c r="AG20" s="97">
        <f>report_47_flagged!AV14</f>
        <v>1</v>
      </c>
      <c r="AH20" s="101">
        <f>(report_47_flagged!T14/100)*report_47_flagged!H14</f>
        <v>0.42391738161858472</v>
      </c>
      <c r="AI20" s="101">
        <f t="shared" si="6"/>
        <v>2.0773508888466879E-2</v>
      </c>
      <c r="AJ20" s="97">
        <f>report_47_flagged!AX14</f>
        <v>1</v>
      </c>
    </row>
    <row r="21" spans="1:36">
      <c r="A21">
        <f>report_47!A15</f>
        <v>2018</v>
      </c>
      <c r="B21" t="str">
        <f>LEFT(report_47!B15,2)</f>
        <v>47</v>
      </c>
      <c r="C21">
        <f>report_47!E15</f>
        <v>1000</v>
      </c>
      <c r="D21" s="146">
        <f>report_47!AF15</f>
        <v>776.42</v>
      </c>
      <c r="E21" t="str">
        <f>report_47!D15</f>
        <v>McLane-PARFLUX-Mark78H-21 ; frame controller sn 12419-01, frame sn 12419-01, motor sn 12419-01, cup set O250x21</v>
      </c>
      <c r="G21">
        <f>report_47!C15</f>
        <v>10</v>
      </c>
      <c r="H21">
        <f>report_47_flagged!F15</f>
        <v>1</v>
      </c>
      <c r="I21" s="67">
        <f>report_47!V15</f>
        <v>43326</v>
      </c>
      <c r="J21" s="67">
        <f>report_47!W15</f>
        <v>43343</v>
      </c>
      <c r="K21" s="67">
        <f>report_47!X15</f>
        <v>43334.5</v>
      </c>
      <c r="L21" s="97">
        <f>report_47!Y15</f>
        <v>17</v>
      </c>
      <c r="M21" s="90">
        <f>report_47_flagged!H15</f>
        <v>15.984873949579832</v>
      </c>
      <c r="N21" s="90">
        <f t="shared" si="0"/>
        <v>9.5909243697478979E-3</v>
      </c>
      <c r="O21" s="90">
        <f>report_47_flagged!J15</f>
        <v>1</v>
      </c>
      <c r="P21" s="623">
        <f>report_47_flagged!BA15</f>
        <v>36.22</v>
      </c>
      <c r="Q21" s="623">
        <f t="shared" si="1"/>
        <v>0.79683999999999988</v>
      </c>
      <c r="R21" s="676">
        <f>report_47_flagged!BB15</f>
        <v>1</v>
      </c>
      <c r="S21" s="623">
        <f>report_47_flagged!BC15</f>
        <v>8.4139999999999997</v>
      </c>
      <c r="T21" s="623">
        <f t="shared" si="2"/>
        <v>0.244006</v>
      </c>
      <c r="U21" s="676">
        <f>report_47_flagged!BD15</f>
        <v>1</v>
      </c>
      <c r="V21" s="101">
        <f>(report_47_flagged!N15/100)*report_47_flagged!H15</f>
        <v>2.7350669100464891</v>
      </c>
      <c r="W21" s="677">
        <f t="shared" si="7"/>
        <v>5.7459843759212016E-2</v>
      </c>
      <c r="X21" s="97">
        <f>report_47_flagged!AP15</f>
        <v>1</v>
      </c>
      <c r="Y21" s="101">
        <f>(report_47_flagged!P15/100)*report_47_flagged!H15</f>
        <v>0.25843120051832758</v>
      </c>
      <c r="Z21" s="101">
        <f t="shared" si="3"/>
        <v>9.8216096912005849E-3</v>
      </c>
      <c r="AA21" s="97">
        <f>report_47_flagged!AR15</f>
        <v>1</v>
      </c>
      <c r="AB21" s="101">
        <f>(report_47_flagged!R15/100)*report_47_flagged!H15</f>
        <v>1.3678799161897985</v>
      </c>
      <c r="AC21" s="101">
        <f t="shared" si="4"/>
        <v>3.8309430157833509E-2</v>
      </c>
      <c r="AD21" s="97">
        <f>report_47_flagged!AT15</f>
        <v>1</v>
      </c>
      <c r="AE21" s="101">
        <f>(report_47_flagged!L15/100)*report_47_flagged!H15</f>
        <v>1.367186993856691</v>
      </c>
      <c r="AF21" s="101">
        <f t="shared" si="5"/>
        <v>2.598950195361802E-2</v>
      </c>
      <c r="AG21" s="97">
        <f>report_47_flagged!AV15</f>
        <v>1</v>
      </c>
      <c r="AH21" s="101">
        <f>(report_47_flagged!T15/100)*report_47_flagged!H15</f>
        <v>0.27846102763190955</v>
      </c>
      <c r="AI21" s="101">
        <f t="shared" si="6"/>
        <v>1.3645613233683681E-2</v>
      </c>
      <c r="AJ21" s="97">
        <f>report_47_flagged!AX15</f>
        <v>1</v>
      </c>
    </row>
    <row r="22" spans="1:36">
      <c r="A22">
        <f>report_47!A16</f>
        <v>2018</v>
      </c>
      <c r="B22" t="str">
        <f>LEFT(report_47!B16,2)</f>
        <v>47</v>
      </c>
      <c r="C22">
        <f>report_47!E16</f>
        <v>1000</v>
      </c>
      <c r="D22" s="146">
        <f>report_47!AF16</f>
        <v>776.42</v>
      </c>
      <c r="E22" t="str">
        <f>report_47!D16</f>
        <v>McLane-PARFLUX-Mark78H-21 ; frame controller sn 12419-01, frame sn 12419-01, motor sn 12419-01, cup set O250x21</v>
      </c>
      <c r="G22">
        <f>report_47!C16</f>
        <v>11</v>
      </c>
      <c r="H22">
        <f>report_47_flagged!F16</f>
        <v>1</v>
      </c>
      <c r="I22" s="67">
        <f>report_47!V16</f>
        <v>43343</v>
      </c>
      <c r="J22" s="67">
        <f>report_47!W16</f>
        <v>43360</v>
      </c>
      <c r="K22" s="67">
        <f>report_47!X16</f>
        <v>43351.5</v>
      </c>
      <c r="L22" s="97">
        <f>report_47!Y16</f>
        <v>17</v>
      </c>
      <c r="M22" s="90">
        <f>report_47_flagged!H16</f>
        <v>39.213445378151256</v>
      </c>
      <c r="N22" s="90">
        <f t="shared" si="0"/>
        <v>2.3528067226890752E-2</v>
      </c>
      <c r="O22" s="90">
        <f>report_47_flagged!J16</f>
        <v>1</v>
      </c>
      <c r="P22" s="623">
        <f>report_47_flagged!BA16</f>
        <v>38.04</v>
      </c>
      <c r="Q22" s="623">
        <f t="shared" si="1"/>
        <v>0.83687999999999996</v>
      </c>
      <c r="R22" s="676">
        <f>report_47_flagged!BB16</f>
        <v>1</v>
      </c>
      <c r="S22" s="623">
        <f>report_47_flagged!BC16</f>
        <v>8.2799999999999994</v>
      </c>
      <c r="T22" s="623">
        <f t="shared" si="2"/>
        <v>0.24012</v>
      </c>
      <c r="U22" s="676">
        <f>report_47_flagged!BD16</f>
        <v>1</v>
      </c>
      <c r="V22" s="101">
        <f>(report_47_flagged!N16/100)*report_47_flagged!H16</f>
        <v>6.6398177156849059</v>
      </c>
      <c r="W22" s="677">
        <f t="shared" si="7"/>
        <v>0.13949307314255716</v>
      </c>
      <c r="X22" s="97">
        <f>report_47_flagged!AP16</f>
        <v>1</v>
      </c>
      <c r="Y22" s="101">
        <f>(report_47_flagged!P16/100)*report_47_flagged!H16</f>
        <v>0.63689332173451652</v>
      </c>
      <c r="Z22" s="101">
        <f t="shared" si="3"/>
        <v>2.4204962901006381E-2</v>
      </c>
      <c r="AA22" s="97">
        <f>report_47_flagged!AR16</f>
        <v>1</v>
      </c>
      <c r="AB22" s="101">
        <f>(report_47_flagged!R16/100)*report_47_flagged!H16</f>
        <v>3.7801808935759982</v>
      </c>
      <c r="AC22" s="101">
        <f t="shared" si="4"/>
        <v>0.10586936339398123</v>
      </c>
      <c r="AD22" s="97">
        <f>report_47_flagged!AT16</f>
        <v>1</v>
      </c>
      <c r="AE22" s="101">
        <f>(report_47_flagged!L16/100)*report_47_flagged!H16</f>
        <v>2.8596368221089077</v>
      </c>
      <c r="AF22" s="101">
        <f t="shared" si="5"/>
        <v>5.4360184165581513E-2</v>
      </c>
      <c r="AG22" s="97">
        <f>report_47_flagged!AV16</f>
        <v>1</v>
      </c>
      <c r="AH22" s="101">
        <f>(report_47_flagged!T16/100)*report_47_flagged!H16</f>
        <v>1.6320264197211067</v>
      </c>
      <c r="AI22" s="101">
        <f t="shared" si="6"/>
        <v>7.9975289540717601E-2</v>
      </c>
      <c r="AJ22" s="97">
        <f>report_47_flagged!AX16</f>
        <v>1</v>
      </c>
    </row>
    <row r="23" spans="1:36">
      <c r="A23">
        <f>report_47!A17</f>
        <v>2018</v>
      </c>
      <c r="B23" t="str">
        <f>LEFT(report_47!B17,2)</f>
        <v>47</v>
      </c>
      <c r="C23">
        <f>report_47!E17</f>
        <v>1000</v>
      </c>
      <c r="D23" s="146">
        <f>report_47!AF17</f>
        <v>776.42</v>
      </c>
      <c r="E23" t="str">
        <f>report_47!D17</f>
        <v>McLane-PARFLUX-Mark78H-21 ; frame controller sn 12419-01, frame sn 12419-01, motor sn 12419-01, cup set O250x21</v>
      </c>
      <c r="G23">
        <f>report_47!C17</f>
        <v>12</v>
      </c>
      <c r="H23">
        <f>report_47_flagged!F17</f>
        <v>1</v>
      </c>
      <c r="I23" s="67">
        <f>report_47!V17</f>
        <v>43360</v>
      </c>
      <c r="J23" s="67">
        <f>report_47!W17</f>
        <v>43377</v>
      </c>
      <c r="K23" s="67">
        <f>report_47!X17</f>
        <v>43368.5</v>
      </c>
      <c r="L23" s="97">
        <f>report_47!Y17</f>
        <v>17</v>
      </c>
      <c r="M23" s="90">
        <f>report_47_flagged!H17</f>
        <v>50.648739495798324</v>
      </c>
      <c r="N23" s="90">
        <f t="shared" si="0"/>
        <v>3.0389243697478991E-2</v>
      </c>
      <c r="O23" s="90">
        <f>report_47_flagged!J17</f>
        <v>1</v>
      </c>
      <c r="P23" s="623">
        <f>report_47_flagged!BA17</f>
        <v>38.29</v>
      </c>
      <c r="Q23" s="623">
        <f t="shared" si="1"/>
        <v>0.84237999999999991</v>
      </c>
      <c r="R23" s="676">
        <f>report_47_flagged!BB17</f>
        <v>1</v>
      </c>
      <c r="S23" s="623">
        <f>report_47_flagged!BC17</f>
        <v>8.3680000000000003</v>
      </c>
      <c r="T23" s="623">
        <f t="shared" si="2"/>
        <v>0.24267200000000003</v>
      </c>
      <c r="U23" s="676">
        <f>report_47_flagged!BD17</f>
        <v>1</v>
      </c>
      <c r="V23" s="101">
        <f>(report_47_flagged!N17/100)*report_47_flagged!H17</f>
        <v>7.4722270241104258</v>
      </c>
      <c r="W23" s="677">
        <f t="shared" si="7"/>
        <v>0.1569808021009069</v>
      </c>
      <c r="X23" s="97">
        <f>report_47_flagged!AP17</f>
        <v>1</v>
      </c>
      <c r="Y23" s="101">
        <f>(report_47_flagged!P17/100)*report_47_flagged!H17</f>
        <v>0.61346145676364428</v>
      </c>
      <c r="Z23" s="101">
        <f t="shared" si="3"/>
        <v>2.3314441045985623E-2</v>
      </c>
      <c r="AA23" s="97">
        <f>report_47_flagged!AR17</f>
        <v>1</v>
      </c>
      <c r="AB23" s="101">
        <f>(report_47_flagged!R17/100)*report_47_flagged!H17</f>
        <v>3.5360518580934075</v>
      </c>
      <c r="AC23" s="101">
        <f t="shared" si="4"/>
        <v>9.9032181179645767E-2</v>
      </c>
      <c r="AD23" s="97">
        <f>report_47_flagged!AT17</f>
        <v>1</v>
      </c>
      <c r="AE23" s="101">
        <f>(report_47_flagged!L17/100)*report_47_flagged!H17</f>
        <v>3.9361751660170188</v>
      </c>
      <c r="AF23" s="101">
        <f t="shared" si="5"/>
        <v>7.4824608942780133E-2</v>
      </c>
      <c r="AG23" s="97">
        <f>report_47_flagged!AV17</f>
        <v>1</v>
      </c>
      <c r="AH23" s="101">
        <f>(report_47_flagged!T17/100)*report_47_flagged!H17</f>
        <v>2.5273272716575383</v>
      </c>
      <c r="AI23" s="101">
        <f t="shared" si="6"/>
        <v>0.12384832002260353</v>
      </c>
      <c r="AJ23" s="97">
        <f>report_47_flagged!AX17</f>
        <v>1</v>
      </c>
    </row>
    <row r="24" spans="1:36">
      <c r="A24">
        <f>report_47!A18</f>
        <v>2018</v>
      </c>
      <c r="B24" t="str">
        <f>LEFT(report_47!B18,2)</f>
        <v>47</v>
      </c>
      <c r="C24">
        <f>report_47!E18</f>
        <v>1000</v>
      </c>
      <c r="D24" s="146">
        <f>report_47!AF18</f>
        <v>776.42</v>
      </c>
      <c r="E24" t="str">
        <f>report_47!D18</f>
        <v>McLane-PARFLUX-Mark78H-21 ; frame controller sn 12419-01, frame sn 12419-01, motor sn 12419-01, cup set O250x21</v>
      </c>
      <c r="G24">
        <f>report_47!C18</f>
        <v>13</v>
      </c>
      <c r="H24">
        <f>report_47_flagged!F18</f>
        <v>1</v>
      </c>
      <c r="I24" s="67">
        <f>report_47!V18</f>
        <v>43377</v>
      </c>
      <c r="J24" s="67">
        <f>report_47!W18</f>
        <v>43394</v>
      </c>
      <c r="K24" s="67">
        <f>report_47!X18</f>
        <v>43385.5</v>
      </c>
      <c r="L24" s="97">
        <f>report_47!Y18</f>
        <v>17</v>
      </c>
      <c r="M24" s="90">
        <f>report_47_flagged!H18</f>
        <v>62.223529411764702</v>
      </c>
      <c r="N24" s="90">
        <f t="shared" si="0"/>
        <v>3.7334117647058816E-2</v>
      </c>
      <c r="O24" s="90">
        <f>report_47_flagged!J18</f>
        <v>1</v>
      </c>
      <c r="P24" s="623">
        <f>report_47_flagged!BA18</f>
        <v>39.01</v>
      </c>
      <c r="Q24" s="623">
        <f t="shared" si="1"/>
        <v>0.85821999999999987</v>
      </c>
      <c r="R24" s="676">
        <f>report_47_flagged!BB18</f>
        <v>1</v>
      </c>
      <c r="S24" s="623">
        <f>report_47_flagged!BC18</f>
        <v>8.4489999999999998</v>
      </c>
      <c r="T24" s="623">
        <f t="shared" si="2"/>
        <v>0.24502100000000002</v>
      </c>
      <c r="U24" s="676">
        <f>report_47_flagged!BD18</f>
        <v>1</v>
      </c>
      <c r="V24" s="101">
        <f>(report_47_flagged!N18/100)*report_47_flagged!H18</f>
        <v>9.4218994085648475</v>
      </c>
      <c r="W24" s="677">
        <f t="shared" si="7"/>
        <v>0.1979406302429165</v>
      </c>
      <c r="X24" s="97">
        <f>report_47_flagged!AP18</f>
        <v>1</v>
      </c>
      <c r="Y24" s="101">
        <f>(report_47_flagged!P18/100)*report_47_flagged!H18</f>
        <v>0.7240081934367909</v>
      </c>
      <c r="Z24" s="101">
        <f t="shared" si="3"/>
        <v>2.7515740649369142E-2</v>
      </c>
      <c r="AA24" s="97">
        <f>report_47_flagged!AR18</f>
        <v>1</v>
      </c>
      <c r="AB24" s="101">
        <f>(report_47_flagged!R18/100)*report_47_flagged!H18</f>
        <v>4.3350008382690346</v>
      </c>
      <c r="AC24" s="101">
        <f t="shared" si="4"/>
        <v>0.12140788813568212</v>
      </c>
      <c r="AD24" s="97">
        <f>report_47_flagged!AT18</f>
        <v>1</v>
      </c>
      <c r="AE24" s="101">
        <f>(report_47_flagged!L18/100)*report_47_flagged!H18</f>
        <v>5.0868985702958129</v>
      </c>
      <c r="AF24" s="101">
        <f t="shared" si="5"/>
        <v>9.6699252497729371E-2</v>
      </c>
      <c r="AG24" s="97">
        <f>report_47_flagged!AV18</f>
        <v>1</v>
      </c>
      <c r="AH24" s="101">
        <f>(report_47_flagged!T18/100)*report_47_flagged!H18</f>
        <v>3.2922427524765827</v>
      </c>
      <c r="AI24" s="101">
        <f t="shared" si="6"/>
        <v>0.16133198837102047</v>
      </c>
      <c r="AJ24" s="97">
        <f>report_47_flagged!AX18</f>
        <v>1</v>
      </c>
    </row>
    <row r="25" spans="1:36">
      <c r="A25">
        <f>report_47!A19</f>
        <v>2018</v>
      </c>
      <c r="B25" t="str">
        <f>LEFT(report_47!B19,2)</f>
        <v>47</v>
      </c>
      <c r="C25">
        <f>report_47!E19</f>
        <v>1000</v>
      </c>
      <c r="D25" s="146">
        <f>report_47!AF19</f>
        <v>776.42</v>
      </c>
      <c r="E25" t="str">
        <f>report_47!D19</f>
        <v>McLane-PARFLUX-Mark78H-21 ; frame controller sn 12419-01, frame sn 12419-01, motor sn 12419-01, cup set O250x21</v>
      </c>
      <c r="G25">
        <f>report_47!C19</f>
        <v>14</v>
      </c>
      <c r="H25">
        <f>report_47_flagged!F19</f>
        <v>1</v>
      </c>
      <c r="I25" s="67">
        <f>report_47!V19</f>
        <v>43394</v>
      </c>
      <c r="J25" s="67">
        <f>report_47!W19</f>
        <v>43411</v>
      </c>
      <c r="K25" s="67">
        <f>report_47!X19</f>
        <v>43402.5</v>
      </c>
      <c r="L25" s="97">
        <f>report_47!Y19</f>
        <v>17</v>
      </c>
      <c r="M25" s="90">
        <f>report_47_flagged!H19</f>
        <v>78.554621848739501</v>
      </c>
      <c r="N25" s="90">
        <f t="shared" si="0"/>
        <v>4.7132773109243693E-2</v>
      </c>
      <c r="O25" s="90">
        <f>report_47_flagged!J19</f>
        <v>1</v>
      </c>
      <c r="P25" s="623">
        <f>report_47_flagged!BA19</f>
        <v>39.729999999999997</v>
      </c>
      <c r="Q25" s="623">
        <f t="shared" si="1"/>
        <v>0.87405999999999984</v>
      </c>
      <c r="R25" s="676">
        <f>report_47_flagged!BB19</f>
        <v>1</v>
      </c>
      <c r="S25" s="623">
        <f>report_47_flagged!BC19</f>
        <v>8.4209999999999994</v>
      </c>
      <c r="T25" s="623">
        <f t="shared" si="2"/>
        <v>0.24420899999999998</v>
      </c>
      <c r="U25" s="676">
        <f>report_47_flagged!BD19</f>
        <v>1</v>
      </c>
      <c r="V25" s="101">
        <f>(report_47_flagged!N19/100)*report_47_flagged!H19</f>
        <v>11.502471693824321</v>
      </c>
      <c r="W25" s="677">
        <f t="shared" si="7"/>
        <v>0.24165047807209591</v>
      </c>
      <c r="X25" s="97">
        <f>report_47_flagged!AP19</f>
        <v>1</v>
      </c>
      <c r="Y25" s="101">
        <f>(report_47_flagged!P19/100)*report_47_flagged!H19</f>
        <v>0.75591139251444528</v>
      </c>
      <c r="Z25" s="101">
        <f t="shared" si="3"/>
        <v>2.8728213325319003E-2</v>
      </c>
      <c r="AA25" s="97">
        <f>report_47_flagged!AR19</f>
        <v>1</v>
      </c>
      <c r="AB25" s="101">
        <f>(report_47_flagged!R19/100)*report_47_flagged!H19</f>
        <v>4.6520158563232359</v>
      </c>
      <c r="AC25" s="101">
        <f t="shared" si="4"/>
        <v>0.13028634636099218</v>
      </c>
      <c r="AD25" s="97">
        <f>report_47_flagged!AT19</f>
        <v>1</v>
      </c>
      <c r="AE25" s="101">
        <f>(report_47_flagged!L19/100)*report_47_flagged!H19</f>
        <v>6.8504558375010847</v>
      </c>
      <c r="AF25" s="101">
        <f t="shared" si="5"/>
        <v>0.13022354379606585</v>
      </c>
      <c r="AG25" s="97">
        <f>report_47_flagged!AV19</f>
        <v>1</v>
      </c>
      <c r="AH25" s="101">
        <f>(report_47_flagged!T19/100)*report_47_flagged!H19</f>
        <v>3.0528508047415372</v>
      </c>
      <c r="AI25" s="101">
        <f t="shared" si="6"/>
        <v>0.14960090356597283</v>
      </c>
      <c r="AJ25" s="97">
        <f>report_47_flagged!AX19</f>
        <v>1</v>
      </c>
    </row>
    <row r="26" spans="1:36">
      <c r="A26">
        <f>report_47!A20</f>
        <v>2018</v>
      </c>
      <c r="B26" t="str">
        <f>LEFT(report_47!B20,2)</f>
        <v>47</v>
      </c>
      <c r="C26">
        <f>report_47!E20</f>
        <v>1000</v>
      </c>
      <c r="D26" s="146">
        <f>report_47!AF20</f>
        <v>776.42</v>
      </c>
      <c r="E26" t="str">
        <f>report_47!D20</f>
        <v>McLane-PARFLUX-Mark78H-21 ; frame controller sn 12419-01, frame sn 12419-01, motor sn 12419-01, cup set O250x21</v>
      </c>
      <c r="G26">
        <f>report_47!C20</f>
        <v>15</v>
      </c>
      <c r="H26">
        <f>report_47_flagged!F20</f>
        <v>1</v>
      </c>
      <c r="I26" s="67">
        <f>report_47!V20</f>
        <v>43411</v>
      </c>
      <c r="J26" s="67">
        <f>report_47!W20</f>
        <v>43428</v>
      </c>
      <c r="K26" s="67">
        <f>report_47!X20</f>
        <v>43419.5</v>
      </c>
      <c r="L26" s="97">
        <f>report_47!Y20</f>
        <v>17</v>
      </c>
      <c r="M26" s="90">
        <f>report_47_flagged!H20</f>
        <v>49.07394957983194</v>
      </c>
      <c r="N26" s="90">
        <f t="shared" si="0"/>
        <v>2.9444369747899161E-2</v>
      </c>
      <c r="O26" s="90">
        <f>report_47_flagged!J20</f>
        <v>1</v>
      </c>
      <c r="P26" s="623">
        <f>report_47_flagged!BA20</f>
        <v>37.72</v>
      </c>
      <c r="Q26" s="623">
        <f t="shared" si="1"/>
        <v>0.82983999999999991</v>
      </c>
      <c r="R26" s="676">
        <f>report_47_flagged!BB20</f>
        <v>1</v>
      </c>
      <c r="S26" s="623">
        <f>report_47_flagged!BC20</f>
        <v>8.266</v>
      </c>
      <c r="T26" s="623">
        <f t="shared" si="2"/>
        <v>0.23971400000000001</v>
      </c>
      <c r="U26" s="676">
        <f>report_47_flagged!BD20</f>
        <v>1</v>
      </c>
      <c r="V26" s="101">
        <f>(report_47_flagged!N20/100)*report_47_flagged!H20</f>
        <v>7.8206313998919583</v>
      </c>
      <c r="W26" s="677">
        <f t="shared" si="7"/>
        <v>0.16430027970633498</v>
      </c>
      <c r="X26" s="97">
        <f>report_47_flagged!AP20</f>
        <v>1</v>
      </c>
      <c r="Y26" s="101">
        <f>(report_47_flagged!P20/100)*report_47_flagged!H20</f>
        <v>0.60793600895224509</v>
      </c>
      <c r="Z26" s="101">
        <f t="shared" si="3"/>
        <v>2.3104447857609699E-2</v>
      </c>
      <c r="AA26" s="97">
        <f>report_47_flagged!AR20</f>
        <v>1</v>
      </c>
      <c r="AB26" s="101">
        <f>(report_47_flagged!R20/100)*report_47_flagged!H20</f>
        <v>3.7151688008385748</v>
      </c>
      <c r="AC26" s="101">
        <f t="shared" si="4"/>
        <v>0.1040486069104177</v>
      </c>
      <c r="AD26" s="97">
        <f>report_47_flagged!AT20</f>
        <v>1</v>
      </c>
      <c r="AE26" s="101">
        <f>(report_47_flagged!L20/100)*report_47_flagged!H20</f>
        <v>4.105462599053384</v>
      </c>
      <c r="AF26" s="101">
        <f t="shared" si="5"/>
        <v>7.8042673546518435E-2</v>
      </c>
      <c r="AG26" s="97">
        <f>report_47_flagged!AV20</f>
        <v>1</v>
      </c>
      <c r="AH26" s="101">
        <f>(report_47_flagged!T20/100)*report_47_flagged!H20</f>
        <v>1.5661429985149111</v>
      </c>
      <c r="AI26" s="101">
        <f t="shared" si="6"/>
        <v>7.6746759889954372E-2</v>
      </c>
      <c r="AJ26" s="97">
        <f>report_47_flagged!AX20</f>
        <v>1</v>
      </c>
    </row>
    <row r="27" spans="1:36">
      <c r="A27">
        <f>report_47!A21</f>
        <v>2018</v>
      </c>
      <c r="B27" t="str">
        <f>LEFT(report_47!B21,2)</f>
        <v>47</v>
      </c>
      <c r="C27">
        <f>report_47!E21</f>
        <v>1000</v>
      </c>
      <c r="D27" s="146">
        <f>report_47!AF21</f>
        <v>776.42</v>
      </c>
      <c r="E27" t="str">
        <f>report_47!D21</f>
        <v>McLane-PARFLUX-Mark78H-21 ; frame controller sn 12419-01, frame sn 12419-01, motor sn 12419-01, cup set O250x21</v>
      </c>
      <c r="G27">
        <f>report_47!C21</f>
        <v>16</v>
      </c>
      <c r="H27">
        <f>report_47_flagged!F21</f>
        <v>1</v>
      </c>
      <c r="I27" s="67">
        <f>report_47!V21</f>
        <v>43428</v>
      </c>
      <c r="J27" s="67">
        <f>report_47!W21</f>
        <v>43445</v>
      </c>
      <c r="K27" s="67">
        <f>report_47!X21</f>
        <v>43436.5</v>
      </c>
      <c r="L27" s="97">
        <f>report_47!Y21</f>
        <v>17</v>
      </c>
      <c r="M27" s="90">
        <f>report_47_flagged!H21</f>
        <v>17.655462184873947</v>
      </c>
      <c r="N27" s="90">
        <f t="shared" si="0"/>
        <v>1.0593277310924368E-2</v>
      </c>
      <c r="O27" s="90">
        <f>report_47_flagged!J21</f>
        <v>1</v>
      </c>
      <c r="P27" s="623">
        <f>report_47_flagged!BA21</f>
        <v>38.19</v>
      </c>
      <c r="Q27" s="623">
        <f t="shared" si="1"/>
        <v>0.84017999999999993</v>
      </c>
      <c r="R27" s="676">
        <f>report_47_flagged!BB21</f>
        <v>1</v>
      </c>
      <c r="S27" s="623">
        <f>report_47_flagged!BC21</f>
        <v>8.3539999999999992</v>
      </c>
      <c r="T27" s="623">
        <f t="shared" si="2"/>
        <v>0.24226599999999998</v>
      </c>
      <c r="U27" s="676">
        <f>report_47_flagged!BD21</f>
        <v>1</v>
      </c>
      <c r="V27" s="101">
        <f>(report_47_flagged!N21/100)*report_47_flagged!H21</f>
        <v>3.7575155362361619</v>
      </c>
      <c r="W27" s="677">
        <f t="shared" si="7"/>
        <v>7.8940026966752258E-2</v>
      </c>
      <c r="X27" s="97">
        <f>report_47_flagged!AP21</f>
        <v>1</v>
      </c>
      <c r="Y27" s="101">
        <f>(report_47_flagged!P21/100)*report_47_flagged!H21</f>
        <v>0.46520446304513624</v>
      </c>
      <c r="Z27" s="101">
        <f t="shared" si="3"/>
        <v>1.7679973058476905E-2</v>
      </c>
      <c r="AA27" s="97">
        <f>report_47_flagged!AR21</f>
        <v>1</v>
      </c>
      <c r="AB27" s="101">
        <f>(report_47_flagged!R21/100)*report_47_flagged!H21</f>
        <v>2.6163675773515984</v>
      </c>
      <c r="AC27" s="101">
        <f t="shared" si="4"/>
        <v>7.3275109741331723E-2</v>
      </c>
      <c r="AD27" s="97">
        <f>report_47_flagged!AT21</f>
        <v>1</v>
      </c>
      <c r="AE27" s="101">
        <f>(report_47_flagged!L21/100)*report_47_flagged!H21</f>
        <v>1.1411479588845632</v>
      </c>
      <c r="AF27" s="101">
        <f t="shared" si="5"/>
        <v>2.1692619400317612E-2</v>
      </c>
      <c r="AG27" s="97">
        <f>report_47_flagged!AV21</f>
        <v>1</v>
      </c>
      <c r="AH27" s="101">
        <f>(report_47_flagged!T21/100)*report_47_flagged!H21</f>
        <v>0.42616999767657054</v>
      </c>
      <c r="AI27" s="101">
        <f t="shared" si="6"/>
        <v>2.088389534991416E-2</v>
      </c>
      <c r="AJ27" s="97">
        <f>report_47_flagged!AX21</f>
        <v>1</v>
      </c>
    </row>
    <row r="28" spans="1:36">
      <c r="A28">
        <f>report_47!A22</f>
        <v>2018</v>
      </c>
      <c r="B28" t="str">
        <f>LEFT(report_47!B22,2)</f>
        <v>47</v>
      </c>
      <c r="C28">
        <f>report_47!E22</f>
        <v>1000</v>
      </c>
      <c r="D28" s="146">
        <f>report_47!AF22</f>
        <v>776.42</v>
      </c>
      <c r="E28" t="str">
        <f>report_47!D22</f>
        <v>McLane-PARFLUX-Mark78H-21 ; frame controller sn 12419-01, frame sn 12419-01, motor sn 12419-01, cup set O250x21</v>
      </c>
      <c r="G28">
        <f>report_47!C22</f>
        <v>17</v>
      </c>
      <c r="H28">
        <f>report_47_flagged!F22</f>
        <v>1</v>
      </c>
      <c r="I28" s="67">
        <f>report_47!V22</f>
        <v>43445</v>
      </c>
      <c r="J28" s="67">
        <f>report_47!W22</f>
        <v>43462</v>
      </c>
      <c r="K28" s="67">
        <f>report_47!X22</f>
        <v>43453.5</v>
      </c>
      <c r="L28" s="97">
        <f>report_47!Y22</f>
        <v>17</v>
      </c>
      <c r="M28" s="90">
        <f>report_47_flagged!H22</f>
        <v>13.773109243697476</v>
      </c>
      <c r="N28" s="90">
        <f t="shared" si="0"/>
        <v>8.2638655462184858E-3</v>
      </c>
      <c r="O28" s="90">
        <f>report_47_flagged!J22</f>
        <v>1</v>
      </c>
      <c r="P28" s="623">
        <f>report_47_flagged!BA22</f>
        <v>37.445</v>
      </c>
      <c r="Q28" s="623">
        <f t="shared" si="1"/>
        <v>0.82378999999999991</v>
      </c>
      <c r="R28" s="676">
        <f>report_47_flagged!BB22</f>
        <v>1</v>
      </c>
      <c r="S28" s="623">
        <f>report_47_flagged!BC22</f>
        <v>8.3795000000000002</v>
      </c>
      <c r="T28" s="623">
        <f t="shared" si="2"/>
        <v>0.24300550000000001</v>
      </c>
      <c r="U28" s="676">
        <f>report_47_flagged!BD22</f>
        <v>1</v>
      </c>
      <c r="V28" s="101">
        <f>(report_47_flagged!N22/100)*report_47_flagged!H22</f>
        <v>3.0743139856803312</v>
      </c>
      <c r="W28" s="677">
        <f t="shared" si="7"/>
        <v>6.4586939586406544E-2</v>
      </c>
      <c r="X28" s="97">
        <f>report_47_flagged!AP22</f>
        <v>1</v>
      </c>
      <c r="Y28" s="101">
        <f>(report_47_flagged!P22/100)*report_47_flagged!H22</f>
        <v>0.38333606970410378</v>
      </c>
      <c r="Z28" s="101">
        <f t="shared" si="3"/>
        <v>1.4568586338032206E-2</v>
      </c>
      <c r="AA28" s="97">
        <f>report_47_flagged!AR22</f>
        <v>1</v>
      </c>
      <c r="AB28" s="101">
        <f>(report_47_flagged!R22/100)*report_47_flagged!H22</f>
        <v>2.1963731703630915</v>
      </c>
      <c r="AC28" s="101">
        <f t="shared" si="4"/>
        <v>6.1512566691482307E-2</v>
      </c>
      <c r="AD28" s="97">
        <f>report_47_flagged!AT22</f>
        <v>1</v>
      </c>
      <c r="AE28" s="101">
        <f>(report_47_flagged!L22/100)*report_47_flagged!H22</f>
        <v>0.87794081531723966</v>
      </c>
      <c r="AF28" s="101">
        <f t="shared" si="5"/>
        <v>1.6689190752527089E-2</v>
      </c>
      <c r="AG28" s="97">
        <f>report_47_flagged!AV22</f>
        <v>1</v>
      </c>
      <c r="AH28" s="101">
        <f>(report_47_flagged!T22/100)*report_47_flagged!H22</f>
        <v>0.42309682647427321</v>
      </c>
      <c r="AI28" s="101">
        <f t="shared" si="6"/>
        <v>2.0733298672224395E-2</v>
      </c>
      <c r="AJ28" s="97">
        <f>report_47_flagged!AX22</f>
        <v>1</v>
      </c>
    </row>
    <row r="29" spans="1:36">
      <c r="A29">
        <f>report_47!A23</f>
        <v>2018</v>
      </c>
      <c r="B29" t="str">
        <f>LEFT(report_47!B23,2)</f>
        <v>47</v>
      </c>
      <c r="C29">
        <f>report_47!E23</f>
        <v>1000</v>
      </c>
      <c r="D29" s="146">
        <f>report_47!AF23</f>
        <v>776.42</v>
      </c>
      <c r="E29" t="str">
        <f>report_47!D23</f>
        <v>McLane-PARFLUX-Mark78H-21 ; frame controller sn 12419-01, frame sn 12419-01, motor sn 12419-01, cup set O250x21</v>
      </c>
      <c r="G29">
        <f>report_47!C23</f>
        <v>18</v>
      </c>
      <c r="H29">
        <f>report_47_flagged!F23</f>
        <v>1</v>
      </c>
      <c r="I29" s="67">
        <f>report_47!V23</f>
        <v>43462</v>
      </c>
      <c r="J29" s="67">
        <f>report_47!W23</f>
        <v>43479</v>
      </c>
      <c r="K29" s="67">
        <f>report_47!X23</f>
        <v>43470.5</v>
      </c>
      <c r="L29" s="97">
        <f>report_47!Y23</f>
        <v>17</v>
      </c>
      <c r="M29" s="90">
        <f>report_47_flagged!H23</f>
        <v>31.69747899159664</v>
      </c>
      <c r="N29" s="90">
        <f t="shared" si="0"/>
        <v>1.9018487394957984E-2</v>
      </c>
      <c r="O29" s="90">
        <f>report_47_flagged!J23</f>
        <v>1</v>
      </c>
      <c r="P29" s="623">
        <f>report_47_flagged!BA23</f>
        <v>39.44</v>
      </c>
      <c r="Q29" s="623">
        <f t="shared" si="1"/>
        <v>0.8676799999999999</v>
      </c>
      <c r="R29" s="676">
        <f>report_47_flagged!BB23</f>
        <v>1</v>
      </c>
      <c r="S29" s="623">
        <f>report_47_flagged!BC23</f>
        <v>8.4499999999999993</v>
      </c>
      <c r="T29" s="623">
        <f t="shared" si="2"/>
        <v>0.24504999999999999</v>
      </c>
      <c r="U29" s="676">
        <f>report_47_flagged!BD23</f>
        <v>1</v>
      </c>
      <c r="V29" s="101">
        <f>(report_47_flagged!N23/100)*report_47_flagged!H23</f>
        <v>5.353297124910755</v>
      </c>
      <c r="W29" s="677">
        <f t="shared" si="7"/>
        <v>0.11246511566650574</v>
      </c>
      <c r="X29" s="97">
        <f>report_47_flagged!AP23</f>
        <v>1</v>
      </c>
      <c r="Y29" s="101">
        <f>(report_47_flagged!P23/100)*report_47_flagged!H23</f>
        <v>0.56660986403457259</v>
      </c>
      <c r="Z29" s="101">
        <f t="shared" si="3"/>
        <v>2.1533858607514153E-2</v>
      </c>
      <c r="AA29" s="97">
        <f>report_47_flagged!AR23</f>
        <v>1</v>
      </c>
      <c r="AB29" s="101">
        <f>(report_47_flagged!R23/100)*report_47_flagged!H23</f>
        <v>3.2655775481359348</v>
      </c>
      <c r="AC29" s="101">
        <f t="shared" si="4"/>
        <v>9.1457161936972509E-2</v>
      </c>
      <c r="AD29" s="97">
        <f>report_47_flagged!AT23</f>
        <v>1</v>
      </c>
      <c r="AE29" s="101">
        <f>(report_47_flagged!L23/100)*report_47_flagged!H23</f>
        <v>2.0877195767748207</v>
      </c>
      <c r="AF29" s="101">
        <f t="shared" si="5"/>
        <v>3.9686445426267133E-2</v>
      </c>
      <c r="AG29" s="97">
        <f>report_47_flagged!AV23</f>
        <v>1</v>
      </c>
      <c r="AH29" s="101">
        <f>(report_47_flagged!T23/100)*report_47_flagged!H23</f>
        <v>1.8668099866292214</v>
      </c>
      <c r="AI29" s="101">
        <f t="shared" si="6"/>
        <v>9.1480546757134268E-2</v>
      </c>
      <c r="AJ29" s="97">
        <f>report_47_flagged!AX23</f>
        <v>1</v>
      </c>
    </row>
    <row r="30" spans="1:36">
      <c r="A30">
        <f>report_47!A24</f>
        <v>2018</v>
      </c>
      <c r="B30" t="str">
        <f>LEFT(report_47!B24,2)</f>
        <v>47</v>
      </c>
      <c r="C30">
        <f>report_47!E24</f>
        <v>1000</v>
      </c>
      <c r="D30" s="146">
        <f>report_47!AF24</f>
        <v>776.42</v>
      </c>
      <c r="E30" t="str">
        <f>report_47!D24</f>
        <v>McLane-PARFLUX-Mark78H-21 ; frame controller sn 12419-01, frame sn 12419-01, motor sn 12419-01, cup set O250x21</v>
      </c>
      <c r="G30">
        <f>report_47!C24</f>
        <v>19</v>
      </c>
      <c r="H30">
        <f>report_47_flagged!F24</f>
        <v>1</v>
      </c>
      <c r="I30" s="67">
        <f>report_47!V24</f>
        <v>43479</v>
      </c>
      <c r="J30" s="67">
        <f>report_47!W24</f>
        <v>43496</v>
      </c>
      <c r="K30" s="67">
        <f>report_47!X24</f>
        <v>43487.5</v>
      </c>
      <c r="L30" s="97">
        <f>report_47!Y24</f>
        <v>17</v>
      </c>
      <c r="M30" s="90">
        <f>report_47_flagged!H24</f>
        <v>37.075630252100844</v>
      </c>
      <c r="N30" s="90">
        <f t="shared" si="0"/>
        <v>2.2245378151260504E-2</v>
      </c>
      <c r="O30" s="90">
        <f>report_47_flagged!J24</f>
        <v>2</v>
      </c>
      <c r="P30" s="623">
        <f>report_47_flagged!BA24</f>
        <v>38.979999999999997</v>
      </c>
      <c r="Q30" s="623">
        <f t="shared" si="1"/>
        <v>0.85755999999999988</v>
      </c>
      <c r="R30" s="676">
        <f>report_47_flagged!BB24</f>
        <v>1</v>
      </c>
      <c r="S30" s="623">
        <f>report_47_flagged!BC24</f>
        <v>8.3770000000000007</v>
      </c>
      <c r="T30" s="623">
        <f t="shared" si="2"/>
        <v>0.24293300000000004</v>
      </c>
      <c r="U30" s="676">
        <f>report_47_flagged!BD24</f>
        <v>1</v>
      </c>
      <c r="V30" s="101">
        <f>(report_47_flagged!N24/100)*report_47_flagged!H24</f>
        <v>6.7801593511244835</v>
      </c>
      <c r="W30" s="677">
        <f t="shared" si="7"/>
        <v>0.14244145016969664</v>
      </c>
      <c r="X30" s="97">
        <f>report_47_flagged!AP24</f>
        <v>2</v>
      </c>
      <c r="Y30" s="101">
        <f>(report_47_flagged!P24/100)*report_47_flagged!H24</f>
        <v>0.89568796109752502</v>
      </c>
      <c r="Z30" s="101">
        <f t="shared" si="3"/>
        <v>3.4040384989749976E-2</v>
      </c>
      <c r="AA30" s="97">
        <f>report_47_flagged!AR24</f>
        <v>2</v>
      </c>
      <c r="AB30" s="101">
        <f>(report_47_flagged!R24/100)*report_47_flagged!H24</f>
        <v>4.8884333088635534</v>
      </c>
      <c r="AC30" s="101">
        <f t="shared" si="4"/>
        <v>0.13690755468417184</v>
      </c>
      <c r="AD30" s="97">
        <f>report_47_flagged!AT24</f>
        <v>2</v>
      </c>
      <c r="AE30" s="101">
        <f>(report_47_flagged!L24/100)*report_47_flagged!H24</f>
        <v>1.8917260422609299</v>
      </c>
      <c r="AF30" s="101">
        <f t="shared" si="5"/>
        <v>3.5960711952328604E-2</v>
      </c>
      <c r="AG30" s="97">
        <f>report_47_flagged!AV24</f>
        <v>2</v>
      </c>
      <c r="AH30" s="101">
        <f>(report_47_flagged!T24/100)*report_47_flagged!H24</f>
        <v>1.5883421026380176</v>
      </c>
      <c r="AI30" s="101">
        <f t="shared" si="6"/>
        <v>7.7834597536659486E-2</v>
      </c>
      <c r="AJ30" s="97">
        <f>report_47_flagged!AX24</f>
        <v>2</v>
      </c>
    </row>
    <row r="31" spans="1:36">
      <c r="A31">
        <f>report_47!A25</f>
        <v>2018</v>
      </c>
      <c r="B31" t="str">
        <f>LEFT(report_47!B25,2)</f>
        <v>47</v>
      </c>
      <c r="C31">
        <f>report_47!E25</f>
        <v>1000</v>
      </c>
      <c r="D31" s="146">
        <f>report_47!AF25</f>
        <v>776.42</v>
      </c>
      <c r="E31" t="str">
        <f>report_47!D25</f>
        <v>McLane-PARFLUX-Mark78H-21 ; frame controller sn 12419-01, frame sn 12419-01, motor sn 12419-01, cup set O250x21</v>
      </c>
      <c r="G31">
        <f>report_47!C25</f>
        <v>20</v>
      </c>
      <c r="H31">
        <f>report_47_flagged!F25</f>
        <v>1</v>
      </c>
      <c r="I31" s="67">
        <f>report_47!V25</f>
        <v>43496</v>
      </c>
      <c r="J31" s="67">
        <f>report_47!W25</f>
        <v>43513</v>
      </c>
      <c r="K31" s="67">
        <f>report_47!X25</f>
        <v>43504.5</v>
      </c>
      <c r="L31" s="97">
        <f>report_47!Y25</f>
        <v>17</v>
      </c>
      <c r="M31" s="90">
        <f>report_47_flagged!H25</f>
        <v>35.378151260504204</v>
      </c>
      <c r="N31" s="90">
        <f t="shared" si="0"/>
        <v>2.1226890756302519E-2</v>
      </c>
      <c r="O31" s="90">
        <f>report_47_flagged!J25</f>
        <v>1</v>
      </c>
      <c r="P31" s="623">
        <f>report_47_flagged!BA25</f>
        <v>39.76</v>
      </c>
      <c r="Q31" s="623">
        <f t="shared" si="1"/>
        <v>0.87471999999999994</v>
      </c>
      <c r="R31" s="676">
        <f>report_47_flagged!BB25</f>
        <v>1</v>
      </c>
      <c r="S31" s="623">
        <f>report_47_flagged!BC25</f>
        <v>8.4849999999999994</v>
      </c>
      <c r="T31" s="623">
        <f t="shared" si="2"/>
        <v>0.24606500000000001</v>
      </c>
      <c r="U31" s="676">
        <f>report_47_flagged!BD25</f>
        <v>1</v>
      </c>
      <c r="V31" s="101">
        <f>(report_47_flagged!N25/100)*report_47_flagged!H25</f>
        <v>5.637627651310769</v>
      </c>
      <c r="W31" s="677">
        <f t="shared" si="7"/>
        <v>0.11843849334253548</v>
      </c>
      <c r="X31" s="97">
        <f>report_47_flagged!AP25</f>
        <v>1</v>
      </c>
      <c r="Y31" s="101">
        <f>(report_47_flagged!P25/100)*report_47_flagged!H25</f>
        <v>0.54504016397380028</v>
      </c>
      <c r="Z31" s="101">
        <f t="shared" si="3"/>
        <v>2.0714107839308642E-2</v>
      </c>
      <c r="AA31" s="97">
        <f>report_47_flagged!AR25</f>
        <v>1</v>
      </c>
      <c r="AB31" s="101">
        <f>(report_47_flagged!R25/100)*report_47_flagged!H25</f>
        <v>3.1739594374256686</v>
      </c>
      <c r="AC31" s="101">
        <f t="shared" si="4"/>
        <v>8.8891265931112448E-2</v>
      </c>
      <c r="AD31" s="97">
        <f>report_47_flagged!AT25</f>
        <v>1</v>
      </c>
      <c r="AE31" s="101">
        <f>(report_47_flagged!L25/100)*report_47_flagged!H25</f>
        <v>2.4636682138851</v>
      </c>
      <c r="AF31" s="101">
        <f t="shared" si="5"/>
        <v>4.6833030262534089E-2</v>
      </c>
      <c r="AG31" s="97">
        <f>report_47_flagged!AV25</f>
        <v>1</v>
      </c>
      <c r="AH31" s="101">
        <f>(report_47_flagged!T25/100)*report_47_flagged!H25</f>
        <v>2.4171710666903059</v>
      </c>
      <c r="AI31" s="101">
        <f t="shared" si="6"/>
        <v>0.11845026133892944</v>
      </c>
      <c r="AJ31" s="97">
        <f>report_47_flagged!AX25</f>
        <v>1</v>
      </c>
    </row>
    <row r="32" spans="1:36">
      <c r="A32">
        <f>report_47!A26</f>
        <v>2018</v>
      </c>
      <c r="B32" t="str">
        <f>LEFT(report_47!B26,2)</f>
        <v>47</v>
      </c>
      <c r="C32">
        <f>report_47!E26</f>
        <v>1000</v>
      </c>
      <c r="D32" s="146">
        <f>report_47!AF26</f>
        <v>776.42</v>
      </c>
      <c r="E32" t="str">
        <f>report_47!D26</f>
        <v>McLane-PARFLUX-Mark78H-21 ; frame controller sn 12419-01, frame sn 12419-01, motor sn 12419-01, cup set O250x21</v>
      </c>
      <c r="G32">
        <f>report_47!C26</f>
        <v>21</v>
      </c>
      <c r="H32">
        <f>report_47_flagged!F26</f>
        <v>1</v>
      </c>
      <c r="I32" s="67">
        <f>report_47!V26</f>
        <v>43513</v>
      </c>
      <c r="J32" s="67">
        <f>report_47!W26</f>
        <v>43530</v>
      </c>
      <c r="K32" s="67">
        <f>report_47!X26</f>
        <v>43521.5</v>
      </c>
      <c r="L32" s="97">
        <f>report_47!Y26</f>
        <v>17</v>
      </c>
      <c r="M32" s="90">
        <f>report_47_flagged!H26</f>
        <v>46.221848739495805</v>
      </c>
      <c r="N32" s="90">
        <f t="shared" si="0"/>
        <v>2.7733109243697481E-2</v>
      </c>
      <c r="O32" s="90">
        <f>report_47_flagged!J26</f>
        <v>1</v>
      </c>
      <c r="P32" s="623">
        <f>report_47_flagged!BA26</f>
        <v>39.979999999999997</v>
      </c>
      <c r="Q32" s="623">
        <f t="shared" si="1"/>
        <v>0.8795599999999999</v>
      </c>
      <c r="R32" s="676">
        <f>report_47_flagged!BB26</f>
        <v>1</v>
      </c>
      <c r="S32" s="623">
        <f>report_47_flagged!BC26</f>
        <v>8.5739999999999998</v>
      </c>
      <c r="T32" s="623">
        <f t="shared" si="2"/>
        <v>0.24864600000000001</v>
      </c>
      <c r="U32" s="676">
        <f>report_47_flagged!BD26</f>
        <v>1</v>
      </c>
      <c r="V32" s="101">
        <f>(report_47_flagged!N26/100)*report_47_flagged!H26</f>
        <v>6.2461724367221869</v>
      </c>
      <c r="W32" s="677">
        <f t="shared" si="7"/>
        <v>0.13122314887026038</v>
      </c>
      <c r="X32" s="97">
        <f>report_47_flagged!AP26</f>
        <v>1</v>
      </c>
      <c r="Y32" s="101">
        <f>(report_47_flagged!P26/100)*report_47_flagged!H26</f>
        <v>0.33662985594533074</v>
      </c>
      <c r="Z32" s="101">
        <f t="shared" si="3"/>
        <v>1.2793528989026396E-2</v>
      </c>
      <c r="AA32" s="97">
        <f>report_47_flagged!AR26</f>
        <v>1</v>
      </c>
      <c r="AB32" s="101">
        <f>(report_47_flagged!R26/100)*report_47_flagged!H26</f>
        <v>2.6395959636936204</v>
      </c>
      <c r="AC32" s="101">
        <f t="shared" si="4"/>
        <v>7.3925653867111099E-2</v>
      </c>
      <c r="AD32" s="97">
        <f>report_47_flagged!AT26</f>
        <v>1</v>
      </c>
      <c r="AE32" s="101">
        <f>(report_47_flagged!L26/100)*report_47_flagged!H26</f>
        <v>3.6065764730285674</v>
      </c>
      <c r="AF32" s="101">
        <f t="shared" si="5"/>
        <v>6.8559112040144143E-2</v>
      </c>
      <c r="AG32" s="97">
        <f>report_47_flagged!AV26</f>
        <v>1</v>
      </c>
      <c r="AH32" s="101">
        <f>(report_47_flagged!T26/100)*report_47_flagged!H26</f>
        <v>2.7785399889185207</v>
      </c>
      <c r="AI32" s="101">
        <f t="shared" si="6"/>
        <v>0.13615866595602952</v>
      </c>
      <c r="AJ32" s="97">
        <f>report_47_flagged!AX26</f>
        <v>1</v>
      </c>
    </row>
    <row r="33" spans="1:36">
      <c r="A33">
        <f>report_47!A27</f>
        <v>2018</v>
      </c>
      <c r="B33" t="str">
        <f>LEFT(report_47!B27,2)</f>
        <v>47</v>
      </c>
      <c r="C33">
        <f>report_47!E27</f>
        <v>2000</v>
      </c>
      <c r="D33" s="146">
        <f>report_47!AF27</f>
        <v>1798.9</v>
      </c>
      <c r="E33" t="str">
        <f>report_47!D27</f>
        <v>McLane-PARFLUX-Mark78H-21 ; frame controller sn 12419-02, frame sn 12419-02, motor sn 12419-02, cup set S250x21</v>
      </c>
      <c r="G33">
        <f>report_47!C27</f>
        <v>1</v>
      </c>
      <c r="H33">
        <f>report_47_flagged!F27</f>
        <v>1</v>
      </c>
      <c r="I33" s="67">
        <f>report_47!V27</f>
        <v>43173</v>
      </c>
      <c r="J33" s="67">
        <f>report_47!W27</f>
        <v>43190</v>
      </c>
      <c r="K33" s="67">
        <f>report_47!X27</f>
        <v>43181.5</v>
      </c>
      <c r="L33" s="97">
        <f>report_47!Y27</f>
        <v>17</v>
      </c>
      <c r="M33" s="90">
        <f>report_47_flagged!H27</f>
        <v>56.250420168067222</v>
      </c>
      <c r="N33" s="90">
        <f t="shared" si="0"/>
        <v>3.3750252100840331E-2</v>
      </c>
      <c r="O33" s="90">
        <f>report_47_flagged!J27</f>
        <v>1</v>
      </c>
      <c r="P33" s="623">
        <f>report_47_flagged!BA27</f>
        <v>38.75</v>
      </c>
      <c r="Q33" s="623">
        <f t="shared" si="1"/>
        <v>0.85249999999999992</v>
      </c>
      <c r="R33" s="676">
        <f>report_47_flagged!BB27</f>
        <v>1</v>
      </c>
      <c r="S33" s="623">
        <f>report_47_flagged!BC27</f>
        <v>8.5389999999999997</v>
      </c>
      <c r="T33" s="623">
        <f t="shared" si="2"/>
        <v>0.24763100000000002</v>
      </c>
      <c r="U33" s="676">
        <f>report_47_flagged!BD27</f>
        <v>1</v>
      </c>
      <c r="V33" s="101">
        <f>(report_47_flagged!N27/100)*report_47_flagged!H27</f>
        <v>8.6150788446474476</v>
      </c>
      <c r="W33" s="677">
        <f t="shared" si="7"/>
        <v>0.18099048420658967</v>
      </c>
      <c r="X33" s="97">
        <f>report_47_flagged!AP27</f>
        <v>1</v>
      </c>
      <c r="Y33" s="101">
        <f>(report_47_flagged!P27/100)*report_47_flagged!H27</f>
        <v>0.57663800649282315</v>
      </c>
      <c r="Z33" s="101">
        <f t="shared" si="3"/>
        <v>2.1914975519694842E-2</v>
      </c>
      <c r="AA33" s="97">
        <f>report_47_flagged!AR27</f>
        <v>1</v>
      </c>
      <c r="AB33" s="101">
        <f>(report_47_flagged!R27/100)*report_47_flagged!H27</f>
        <v>3.4541261329462594</v>
      </c>
      <c r="AC33" s="101">
        <f t="shared" si="4"/>
        <v>9.673773427059483E-2</v>
      </c>
      <c r="AD33" s="97">
        <f>report_47_flagged!AT27</f>
        <v>1</v>
      </c>
      <c r="AE33" s="101">
        <f>(report_47_flagged!L27/100)*report_47_flagged!H27</f>
        <v>5.1609527117011877</v>
      </c>
      <c r="AF33" s="101">
        <f t="shared" si="5"/>
        <v>9.810698257516326E-2</v>
      </c>
      <c r="AG33" s="97">
        <f>report_47_flagged!AV27</f>
        <v>1</v>
      </c>
      <c r="AH33" s="101">
        <f>(report_47_flagged!T27/100)*report_47_flagged!H27</f>
        <v>2.1316085764891732</v>
      </c>
      <c r="AI33" s="101">
        <f t="shared" si="6"/>
        <v>0.10445665035332626</v>
      </c>
      <c r="AJ33" s="97">
        <f>report_47_flagged!AX27</f>
        <v>1</v>
      </c>
    </row>
    <row r="34" spans="1:36">
      <c r="A34">
        <f>report_47!A28</f>
        <v>2018</v>
      </c>
      <c r="B34" t="str">
        <f>LEFT(report_47!B28,2)</f>
        <v>47</v>
      </c>
      <c r="C34">
        <f>report_47!E28</f>
        <v>2000</v>
      </c>
      <c r="D34" s="146">
        <f>report_47!AF28</f>
        <v>1798.9</v>
      </c>
      <c r="E34" t="str">
        <f>report_47!D28</f>
        <v>McLane-PARFLUX-Mark78H-21 ; frame controller sn 12419-02, frame sn 12419-02, motor sn 12419-02, cup set S250x21</v>
      </c>
      <c r="G34">
        <f>report_47!C28</f>
        <v>2</v>
      </c>
      <c r="H34">
        <f>report_47_flagged!F28</f>
        <v>1</v>
      </c>
      <c r="I34" s="67">
        <f>report_47!V28</f>
        <v>43190</v>
      </c>
      <c r="J34" s="67">
        <f>report_47!W28</f>
        <v>43207</v>
      </c>
      <c r="K34" s="67">
        <f>report_47!X28</f>
        <v>43198.5</v>
      </c>
      <c r="L34" s="97">
        <f>report_47!Y28</f>
        <v>17</v>
      </c>
      <c r="M34" s="90">
        <f>report_47_flagged!H28</f>
        <v>109.43697478991599</v>
      </c>
      <c r="N34" s="90">
        <f t="shared" si="0"/>
        <v>6.5662184873949592E-2</v>
      </c>
      <c r="O34" s="90">
        <f>report_47_flagged!J28</f>
        <v>1</v>
      </c>
      <c r="P34" s="623">
        <f>report_47_flagged!BA28</f>
        <v>38.14</v>
      </c>
      <c r="Q34" s="623">
        <f t="shared" si="1"/>
        <v>0.83907999999999994</v>
      </c>
      <c r="R34" s="676">
        <f>report_47_flagged!BB28</f>
        <v>1</v>
      </c>
      <c r="S34" s="623">
        <f>report_47_flagged!BC28</f>
        <v>8.4949999999999992</v>
      </c>
      <c r="T34" s="623">
        <f t="shared" si="2"/>
        <v>0.24635499999999999</v>
      </c>
      <c r="U34" s="676">
        <f>report_47_flagged!BD28</f>
        <v>1</v>
      </c>
      <c r="V34" s="101">
        <f>(report_47_flagged!N28/100)*report_47_flagged!H28</f>
        <v>19.156622154812858</v>
      </c>
      <c r="W34" s="677">
        <f t="shared" si="7"/>
        <v>0.40245323137308425</v>
      </c>
      <c r="X34" s="97">
        <f>report_47_flagged!AP28</f>
        <v>1</v>
      </c>
      <c r="Y34" s="101">
        <f>(report_47_flagged!P28/100)*report_47_flagged!H28</f>
        <v>1.6216994082326652</v>
      </c>
      <c r="Z34" s="101">
        <f t="shared" si="3"/>
        <v>6.1632258768161502E-2</v>
      </c>
      <c r="AA34" s="97">
        <f>report_47_flagged!AR28</f>
        <v>1</v>
      </c>
      <c r="AB34" s="101">
        <f>(report_47_flagged!R28/100)*report_47_flagged!H28</f>
        <v>10.521639702606405</v>
      </c>
      <c r="AC34" s="101">
        <f t="shared" si="4"/>
        <v>0.29467354302244148</v>
      </c>
      <c r="AD34" s="97">
        <f>report_47_flagged!AT28</f>
        <v>1</v>
      </c>
      <c r="AE34" s="101">
        <f>(report_47_flagged!L28/100)*report_47_flagged!H28</f>
        <v>8.6349824522064527</v>
      </c>
      <c r="AF34" s="101">
        <f t="shared" si="5"/>
        <v>0.16414645130437847</v>
      </c>
      <c r="AG34" s="97">
        <f>report_47_flagged!AV28</f>
        <v>1</v>
      </c>
      <c r="AH34" s="101">
        <f>(report_47_flagged!T28/100)*report_47_flagged!H28</f>
        <v>3.1674108943937038</v>
      </c>
      <c r="AI34" s="101">
        <f t="shared" si="6"/>
        <v>0.15521476877613791</v>
      </c>
      <c r="AJ34" s="97">
        <f>report_47_flagged!AX28</f>
        <v>1</v>
      </c>
    </row>
    <row r="35" spans="1:36">
      <c r="A35">
        <f>report_47!A29</f>
        <v>2018</v>
      </c>
      <c r="B35" t="str">
        <f>LEFT(report_47!B29,2)</f>
        <v>47</v>
      </c>
      <c r="C35">
        <f>report_47!E29</f>
        <v>2000</v>
      </c>
      <c r="D35" s="146">
        <f>report_47!AF29</f>
        <v>1798.9</v>
      </c>
      <c r="E35" t="str">
        <f>report_47!D29</f>
        <v>McLane-PARFLUX-Mark78H-21 ; frame controller sn 12419-02, frame sn 12419-02, motor sn 12419-02, cup set S250x21</v>
      </c>
      <c r="G35">
        <f>report_47!C29</f>
        <v>3</v>
      </c>
      <c r="H35">
        <f>report_47_flagged!F29</f>
        <v>1</v>
      </c>
      <c r="I35" s="67">
        <f>report_47!V29</f>
        <v>43207</v>
      </c>
      <c r="J35" s="67">
        <f>report_47!W29</f>
        <v>43224</v>
      </c>
      <c r="K35" s="67">
        <f>report_47!X29</f>
        <v>43215.5</v>
      </c>
      <c r="L35" s="97">
        <f>report_47!Y29</f>
        <v>17</v>
      </c>
      <c r="M35" s="90">
        <f>report_47_flagged!H29</f>
        <v>135.48571428571427</v>
      </c>
      <c r="N35" s="90">
        <f t="shared" si="0"/>
        <v>8.1291428571428556E-2</v>
      </c>
      <c r="O35" s="90">
        <f>report_47_flagged!J29</f>
        <v>2</v>
      </c>
      <c r="P35" s="623">
        <f>report_47_flagged!BA29</f>
        <v>38.549999999999997</v>
      </c>
      <c r="Q35" s="623">
        <f t="shared" si="1"/>
        <v>0.84809999999999985</v>
      </c>
      <c r="R35" s="676">
        <f>report_47_flagged!BB29</f>
        <v>1</v>
      </c>
      <c r="S35" s="623">
        <f>report_47_flagged!BC29</f>
        <v>8.423</v>
      </c>
      <c r="T35" s="623">
        <f t="shared" si="2"/>
        <v>0.24426700000000001</v>
      </c>
      <c r="U35" s="676">
        <f>report_47_flagged!BD29</f>
        <v>1</v>
      </c>
      <c r="V35" s="101">
        <f>(report_47_flagged!N29/100)*report_47_flagged!H29</f>
        <v>22.643979789733883</v>
      </c>
      <c r="W35" s="677">
        <f t="shared" si="7"/>
        <v>0.47571762724545114</v>
      </c>
      <c r="X35" s="97">
        <f>report_47_flagged!AP29</f>
        <v>2</v>
      </c>
      <c r="Y35" s="101">
        <f>(report_47_flagged!P29/100)*report_47_flagged!H29</f>
        <v>1.955587832689285</v>
      </c>
      <c r="Z35" s="101">
        <f t="shared" si="3"/>
        <v>7.4321600375698044E-2</v>
      </c>
      <c r="AA35" s="97">
        <f>report_47_flagged!AR29</f>
        <v>2</v>
      </c>
      <c r="AB35" s="101">
        <f>(report_47_flagged!R29/100)*report_47_flagged!H29</f>
        <v>11.901530151891725</v>
      </c>
      <c r="AC35" s="101">
        <f t="shared" si="4"/>
        <v>0.33331934530865803</v>
      </c>
      <c r="AD35" s="97">
        <f>report_47_flagged!AT29</f>
        <v>2</v>
      </c>
      <c r="AE35" s="101">
        <f>(report_47_flagged!L29/100)*report_47_flagged!H29</f>
        <v>10.742449637842158</v>
      </c>
      <c r="AF35" s="101">
        <f t="shared" si="5"/>
        <v>0.20420828833499483</v>
      </c>
      <c r="AG35" s="97">
        <f>report_47_flagged!AV29</f>
        <v>1</v>
      </c>
      <c r="AH35" s="101">
        <f>(report_47_flagged!T29/100)*report_47_flagged!H29</f>
        <v>5.5743422210750539</v>
      </c>
      <c r="AI35" s="101">
        <f t="shared" si="6"/>
        <v>0.27316324524066693</v>
      </c>
      <c r="AJ35" s="97">
        <f>report_47_flagged!AX29</f>
        <v>2</v>
      </c>
    </row>
    <row r="36" spans="1:36">
      <c r="A36">
        <f>report_47!A30</f>
        <v>2018</v>
      </c>
      <c r="B36" t="str">
        <f>LEFT(report_47!B30,2)</f>
        <v>47</v>
      </c>
      <c r="C36">
        <f>report_47!E30</f>
        <v>2000</v>
      </c>
      <c r="D36" s="146">
        <f>report_47!AF30</f>
        <v>1798.9</v>
      </c>
      <c r="E36" t="str">
        <f>report_47!D30</f>
        <v>McLane-PARFLUX-Mark78H-21 ; frame controller sn 12419-02, frame sn 12419-02, motor sn 12419-02, cup set S250x21</v>
      </c>
      <c r="G36">
        <f>report_47!C30</f>
        <v>4</v>
      </c>
      <c r="H36">
        <f>report_47_flagged!F30</f>
        <v>1</v>
      </c>
      <c r="I36" s="67">
        <f>report_47!V30</f>
        <v>43224</v>
      </c>
      <c r="J36" s="67">
        <f>report_47!W30</f>
        <v>43241</v>
      </c>
      <c r="K36" s="67">
        <f>report_47!X30</f>
        <v>43232.5</v>
      </c>
      <c r="L36" s="97">
        <f>report_47!Y30</f>
        <v>17</v>
      </c>
      <c r="M36" s="90">
        <f>report_47_flagged!H30</f>
        <v>57.457142857142856</v>
      </c>
      <c r="N36" s="90">
        <f t="shared" si="0"/>
        <v>3.4474285714285707E-2</v>
      </c>
      <c r="O36" s="90">
        <f>report_47_flagged!J30</f>
        <v>1</v>
      </c>
      <c r="P36" s="623">
        <f>report_47_flagged!BA30</f>
        <v>39.76</v>
      </c>
      <c r="Q36" s="623">
        <f t="shared" si="1"/>
        <v>0.87471999999999994</v>
      </c>
      <c r="R36" s="676">
        <f>report_47_flagged!BB30</f>
        <v>1</v>
      </c>
      <c r="S36" s="623">
        <f>report_47_flagged!BC30</f>
        <v>8.6419999999999995</v>
      </c>
      <c r="T36" s="623">
        <f t="shared" si="2"/>
        <v>0.25061800000000001</v>
      </c>
      <c r="U36" s="676">
        <f>report_47_flagged!BD30</f>
        <v>1</v>
      </c>
      <c r="V36" s="101">
        <f>(report_47_flagged!N30/100)*report_47_flagged!H30</f>
        <v>8.9973829977852962</v>
      </c>
      <c r="W36" s="677">
        <f t="shared" si="7"/>
        <v>0.18902214764674488</v>
      </c>
      <c r="X36" s="97">
        <f>report_47_flagged!AP30</f>
        <v>1</v>
      </c>
      <c r="Y36" s="101">
        <f>(report_47_flagged!P30/100)*report_47_flagged!H30</f>
        <v>0.73124648152078897</v>
      </c>
      <c r="Z36" s="101">
        <f t="shared" si="3"/>
        <v>2.7790829881052123E-2</v>
      </c>
      <c r="AA36" s="97">
        <f>report_47_flagged!AR30</f>
        <v>1</v>
      </c>
      <c r="AB36" s="101">
        <f>(report_47_flagged!R30/100)*report_47_flagged!H30</f>
        <v>4.2252968576283703</v>
      </c>
      <c r="AC36" s="101">
        <f t="shared" si="4"/>
        <v>0.11833547151880805</v>
      </c>
      <c r="AD36" s="97">
        <f>report_47_flagged!AT30</f>
        <v>1</v>
      </c>
      <c r="AE36" s="101">
        <f>(report_47_flagged!L30/100)*report_47_flagged!H30</f>
        <v>4.772086140156925</v>
      </c>
      <c r="AF36" s="101">
        <f t="shared" si="5"/>
        <v>9.0714834634714289E-2</v>
      </c>
      <c r="AG36" s="97">
        <f>report_47_flagged!AV30</f>
        <v>1</v>
      </c>
      <c r="AH36" s="101">
        <f>(report_47_flagged!T30/100)*report_47_flagged!H30</f>
        <v>2.3886577432204996</v>
      </c>
      <c r="AI36" s="101">
        <f t="shared" si="6"/>
        <v>0.11705300375001394</v>
      </c>
      <c r="AJ36" s="97">
        <f>report_47_flagged!AX30</f>
        <v>1</v>
      </c>
    </row>
    <row r="37" spans="1:36">
      <c r="A37">
        <f>report_47!A31</f>
        <v>2018</v>
      </c>
      <c r="B37" t="str">
        <f>LEFT(report_47!B31,2)</f>
        <v>47</v>
      </c>
      <c r="C37">
        <f>report_47!E31</f>
        <v>2000</v>
      </c>
      <c r="D37" s="146">
        <f>report_47!AF31</f>
        <v>1798.9</v>
      </c>
      <c r="E37" t="str">
        <f>report_47!D31</f>
        <v>McLane-PARFLUX-Mark78H-21 ; frame controller sn 12419-02, frame sn 12419-02, motor sn 12419-02, cup set S250x21</v>
      </c>
      <c r="G37">
        <f>report_47!C31</f>
        <v>5</v>
      </c>
      <c r="H37">
        <f>report_47_flagged!F31</f>
        <v>1</v>
      </c>
      <c r="I37" s="67">
        <f>report_47!V31</f>
        <v>43241</v>
      </c>
      <c r="J37" s="67">
        <f>report_47!W31</f>
        <v>43258</v>
      </c>
      <c r="K37" s="67">
        <f>report_47!X31</f>
        <v>43249.5</v>
      </c>
      <c r="L37" s="97">
        <f>report_47!Y31</f>
        <v>17</v>
      </c>
      <c r="M37" s="90">
        <f>report_47_flagged!H31</f>
        <v>32.84873949579832</v>
      </c>
      <c r="N37" s="90">
        <f t="shared" si="0"/>
        <v>1.9709243697478989E-2</v>
      </c>
      <c r="O37" s="90">
        <f>report_47_flagged!J31</f>
        <v>1</v>
      </c>
      <c r="P37" s="623">
        <f>report_47_flagged!BA31</f>
        <v>39.465000000000003</v>
      </c>
      <c r="Q37" s="623">
        <f t="shared" si="1"/>
        <v>0.86823000000000006</v>
      </c>
      <c r="R37" s="676">
        <f>report_47_flagged!BB31</f>
        <v>1</v>
      </c>
      <c r="S37" s="623">
        <f>report_47_flagged!BC31</f>
        <v>8.4845000000000006</v>
      </c>
      <c r="T37" s="623">
        <f t="shared" si="2"/>
        <v>0.24605050000000003</v>
      </c>
      <c r="U37" s="676">
        <f>report_47_flagged!BD31</f>
        <v>1</v>
      </c>
      <c r="V37" s="101">
        <f>(report_47_flagged!N31/100)*report_47_flagged!H31</f>
        <v>5.2172532662624072</v>
      </c>
      <c r="W37" s="677">
        <f t="shared" si="7"/>
        <v>0.10960702878255398</v>
      </c>
      <c r="X37" s="97">
        <f>report_47_flagged!AP31</f>
        <v>1</v>
      </c>
      <c r="Y37" s="101">
        <f>(report_47_flagged!P31/100)*report_47_flagged!H31</f>
        <v>0.37785048317508541</v>
      </c>
      <c r="Z37" s="101">
        <f t="shared" si="3"/>
        <v>1.4360108067191587E-2</v>
      </c>
      <c r="AA37" s="97">
        <f>report_47_flagged!AR31</f>
        <v>1</v>
      </c>
      <c r="AB37" s="101">
        <f>(report_47_flagged!R31/100)*report_47_flagged!H31</f>
        <v>2.4284227665377438</v>
      </c>
      <c r="AC37" s="101">
        <f t="shared" si="4"/>
        <v>6.8011446960569349E-2</v>
      </c>
      <c r="AD37" s="97">
        <f>report_47_flagged!AT31</f>
        <v>1</v>
      </c>
      <c r="AE37" s="101">
        <f>(report_47_flagged!L31/100)*report_47_flagged!H31</f>
        <v>2.7888304997246633</v>
      </c>
      <c r="AF37" s="101">
        <f t="shared" si="5"/>
        <v>5.30141934106938E-2</v>
      </c>
      <c r="AG37" s="97">
        <f>report_47_flagged!AV31</f>
        <v>1</v>
      </c>
      <c r="AH37" s="101">
        <f>(report_47_flagged!T31/100)*report_47_flagged!H31</f>
        <v>1.3062948789325948</v>
      </c>
      <c r="AI37" s="101">
        <f t="shared" si="6"/>
        <v>6.4013247522085939E-2</v>
      </c>
      <c r="AJ37" s="97">
        <f>report_47_flagged!AX31</f>
        <v>1</v>
      </c>
    </row>
    <row r="38" spans="1:36">
      <c r="A38">
        <f>report_47!A32</f>
        <v>2018</v>
      </c>
      <c r="B38" t="str">
        <f>LEFT(report_47!B32,2)</f>
        <v>47</v>
      </c>
      <c r="C38">
        <f>report_47!E32</f>
        <v>2000</v>
      </c>
      <c r="D38" s="146">
        <f>report_47!AF32</f>
        <v>1798.9</v>
      </c>
      <c r="E38" t="str">
        <f>report_47!D32</f>
        <v>McLane-PARFLUX-Mark78H-21 ; frame controller sn 12419-02, frame sn 12419-02, motor sn 12419-02, cup set S250x21</v>
      </c>
      <c r="G38">
        <f>report_47!C32</f>
        <v>6</v>
      </c>
      <c r="H38">
        <f>report_47_flagged!F32</f>
        <v>1</v>
      </c>
      <c r="I38" s="67">
        <f>report_47!V32</f>
        <v>43258</v>
      </c>
      <c r="J38" s="67">
        <f>report_47!W32</f>
        <v>43275</v>
      </c>
      <c r="K38" s="67">
        <f>report_47!X32</f>
        <v>43266.5</v>
      </c>
      <c r="L38" s="97">
        <f>report_47!Y32</f>
        <v>17</v>
      </c>
      <c r="M38" s="90">
        <f>report_47_flagged!H32</f>
        <v>32.035294117647055</v>
      </c>
      <c r="N38" s="90">
        <f t="shared" si="0"/>
        <v>1.9221176470588231E-2</v>
      </c>
      <c r="O38" s="90">
        <f>report_47_flagged!J32</f>
        <v>1</v>
      </c>
      <c r="P38" s="623">
        <f>report_47_flagged!BA32</f>
        <v>38.39</v>
      </c>
      <c r="Q38" s="623">
        <f t="shared" si="1"/>
        <v>0.84458</v>
      </c>
      <c r="R38" s="676">
        <f>report_47_flagged!BB32</f>
        <v>1</v>
      </c>
      <c r="S38" s="623">
        <f>report_47_flagged!BC32</f>
        <v>8.6669999999999998</v>
      </c>
      <c r="T38" s="623">
        <f t="shared" si="2"/>
        <v>0.25134299999999998</v>
      </c>
      <c r="U38" s="676">
        <f>report_47_flagged!BD32</f>
        <v>1</v>
      </c>
      <c r="V38" s="101">
        <f>(report_47_flagged!N32/100)*report_47_flagged!H32</f>
        <v>4.4334201810500202</v>
      </c>
      <c r="W38" s="677">
        <f t="shared" si="7"/>
        <v>9.3139816794369251E-2</v>
      </c>
      <c r="X38" s="97">
        <f>report_47_flagged!AP32</f>
        <v>1</v>
      </c>
      <c r="Y38" s="101">
        <f>(report_47_flagged!P32/100)*report_47_flagged!H32</f>
        <v>0.26767378654199486</v>
      </c>
      <c r="Z38" s="101">
        <f t="shared" si="3"/>
        <v>1.0172871738042209E-2</v>
      </c>
      <c r="AA38" s="97">
        <f>report_47_flagged!AR32</f>
        <v>1</v>
      </c>
      <c r="AB38" s="101">
        <f>(report_47_flagged!R32/100)*report_47_flagged!H32</f>
        <v>1.4622680101944558</v>
      </c>
      <c r="AC38" s="101">
        <f t="shared" si="4"/>
        <v>4.0952903500928284E-2</v>
      </c>
      <c r="AD38" s="97">
        <f>report_47_flagged!AT32</f>
        <v>1</v>
      </c>
      <c r="AE38" s="101">
        <f>(report_47_flagged!L32/100)*report_47_flagged!H32</f>
        <v>2.9711521708555635</v>
      </c>
      <c r="AF38" s="101">
        <f t="shared" si="5"/>
        <v>5.6480031989714193E-2</v>
      </c>
      <c r="AG38" s="97">
        <f>report_47_flagged!AV32</f>
        <v>1</v>
      </c>
      <c r="AH38" s="101">
        <f>(report_47_flagged!T32/100)*report_47_flagged!H32</f>
        <v>1.2545017387181685</v>
      </c>
      <c r="AI38" s="101">
        <f t="shared" si="6"/>
        <v>6.1475193398195238E-2</v>
      </c>
      <c r="AJ38" s="97">
        <f>report_47_flagged!AX32</f>
        <v>1</v>
      </c>
    </row>
    <row r="39" spans="1:36">
      <c r="A39">
        <f>report_47!A33</f>
        <v>2018</v>
      </c>
      <c r="B39" t="str">
        <f>LEFT(report_47!B33,2)</f>
        <v>47</v>
      </c>
      <c r="C39">
        <f>report_47!E33</f>
        <v>2000</v>
      </c>
      <c r="D39" s="146">
        <f>report_47!AF33</f>
        <v>1798.9</v>
      </c>
      <c r="E39" t="str">
        <f>report_47!D33</f>
        <v>McLane-PARFLUX-Mark78H-21 ; frame controller sn 12419-02, frame sn 12419-02, motor sn 12419-02, cup set S250x21</v>
      </c>
      <c r="G39">
        <f>report_47!C33</f>
        <v>7</v>
      </c>
      <c r="H39">
        <f>report_47_flagged!F33</f>
        <v>1</v>
      </c>
      <c r="I39" s="67">
        <f>report_47!V33</f>
        <v>43275</v>
      </c>
      <c r="J39" s="67">
        <f>report_47!W33</f>
        <v>43292</v>
      </c>
      <c r="K39" s="67">
        <f>report_47!X33</f>
        <v>43283.5</v>
      </c>
      <c r="L39" s="97">
        <f>report_47!Y33</f>
        <v>17</v>
      </c>
      <c r="M39" s="90">
        <f>report_47_flagged!H33</f>
        <v>12.230252100840335</v>
      </c>
      <c r="N39" s="90">
        <f t="shared" si="0"/>
        <v>7.3381512605042009E-3</v>
      </c>
      <c r="O39" s="90">
        <f>report_47_flagged!J33</f>
        <v>1</v>
      </c>
      <c r="P39" s="623">
        <f>report_47_flagged!BA33</f>
        <v>37.01</v>
      </c>
      <c r="Q39" s="623">
        <f t="shared" si="1"/>
        <v>0.81421999999999994</v>
      </c>
      <c r="R39" s="676">
        <f>report_47_flagged!BB33</f>
        <v>1</v>
      </c>
      <c r="S39" s="623">
        <f>report_47_flagged!BC33</f>
        <v>8.5950000000000006</v>
      </c>
      <c r="T39" s="623">
        <f t="shared" si="2"/>
        <v>0.24925500000000003</v>
      </c>
      <c r="U39" s="676">
        <f>report_47_flagged!BD33</f>
        <v>1</v>
      </c>
      <c r="V39" s="101">
        <f>(report_47_flagged!N33/100)*report_47_flagged!H33</f>
        <v>1.673649400198159</v>
      </c>
      <c r="W39" s="677">
        <f t="shared" si="7"/>
        <v>3.5160980043976518E-2</v>
      </c>
      <c r="X39" s="97">
        <f>report_47_flagged!AP33</f>
        <v>1</v>
      </c>
      <c r="Y39" s="101">
        <f>(report_47_flagged!P33/100)*report_47_flagged!H33</f>
        <v>9.7459136187529355E-2</v>
      </c>
      <c r="Z39" s="101">
        <f t="shared" si="3"/>
        <v>3.7039087948964287E-3</v>
      </c>
      <c r="AA39" s="97">
        <f>report_47_flagged!AR33</f>
        <v>1</v>
      </c>
      <c r="AB39" s="101">
        <f>(report_47_flagged!R33/100)*report_47_flagged!H33</f>
        <v>0.61694633549484645</v>
      </c>
      <c r="AC39" s="101">
        <f t="shared" si="4"/>
        <v>1.727846302225532E-2</v>
      </c>
      <c r="AD39" s="97">
        <f>report_47_flagged!AT33</f>
        <v>1</v>
      </c>
      <c r="AE39" s="101">
        <f>(report_47_flagged!L33/100)*report_47_flagged!H33</f>
        <v>1.0567030647033124</v>
      </c>
      <c r="AF39" s="101">
        <f t="shared" si="5"/>
        <v>2.0087366605960843E-2</v>
      </c>
      <c r="AG39" s="97">
        <f>report_47_flagged!AV33</f>
        <v>1</v>
      </c>
      <c r="AH39" s="101">
        <f>(report_47_flagged!T33/100)*report_47_flagged!H33</f>
        <v>0.45622041416840359</v>
      </c>
      <c r="AI39" s="101">
        <f t="shared" si="6"/>
        <v>2.235647614316149E-2</v>
      </c>
      <c r="AJ39" s="97">
        <f>report_47_flagged!AX33</f>
        <v>1</v>
      </c>
    </row>
    <row r="40" spans="1:36">
      <c r="A40">
        <f>report_47!A34</f>
        <v>2018</v>
      </c>
      <c r="B40" t="str">
        <f>LEFT(report_47!B34,2)</f>
        <v>47</v>
      </c>
      <c r="C40">
        <f>report_47!E34</f>
        <v>2000</v>
      </c>
      <c r="D40" s="146">
        <f>report_47!AF34</f>
        <v>1798.9</v>
      </c>
      <c r="E40" t="str">
        <f>report_47!D34</f>
        <v>McLane-PARFLUX-Mark78H-21 ; frame controller sn 12419-02, frame sn 12419-02, motor sn 12419-02, cup set S250x21</v>
      </c>
      <c r="G40">
        <f>report_47!C34</f>
        <v>8</v>
      </c>
      <c r="H40">
        <f>report_47_flagged!F34</f>
        <v>1</v>
      </c>
      <c r="I40" s="67">
        <f>report_47!V34</f>
        <v>43292</v>
      </c>
      <c r="J40" s="67">
        <f>report_47!W34</f>
        <v>43309</v>
      </c>
      <c r="K40" s="67">
        <f>report_47!X34</f>
        <v>43300.5</v>
      </c>
      <c r="L40" s="97">
        <f>report_47!Y34</f>
        <v>17</v>
      </c>
      <c r="M40" s="90">
        <f>report_47_flagged!H34</f>
        <v>21.277310924369747</v>
      </c>
      <c r="N40" s="90">
        <f t="shared" si="0"/>
        <v>1.2766386554621848E-2</v>
      </c>
      <c r="O40" s="90">
        <f>report_47_flagged!J34</f>
        <v>1</v>
      </c>
      <c r="P40" s="623">
        <f>report_47_flagged!BA34</f>
        <v>39.08</v>
      </c>
      <c r="Q40" s="623">
        <f t="shared" si="1"/>
        <v>0.85975999999999986</v>
      </c>
      <c r="R40" s="676">
        <f>report_47_flagged!BB34</f>
        <v>1</v>
      </c>
      <c r="S40" s="623">
        <f>report_47_flagged!BC34</f>
        <v>8.65</v>
      </c>
      <c r="T40" s="623">
        <f t="shared" si="2"/>
        <v>0.25085000000000002</v>
      </c>
      <c r="U40" s="676">
        <f>report_47_flagged!BD34</f>
        <v>1</v>
      </c>
      <c r="V40" s="101">
        <f>(report_47_flagged!N34/100)*report_47_flagged!H34</f>
        <v>2.9322737301097197</v>
      </c>
      <c r="W40" s="677">
        <f t="shared" si="7"/>
        <v>6.1602876979884362E-2</v>
      </c>
      <c r="X40" s="97">
        <f>report_47_flagged!AP34</f>
        <v>1</v>
      </c>
      <c r="Y40" s="101">
        <f>(report_47_flagged!P34/100)*report_47_flagged!H34</f>
        <v>0.21270886088619712</v>
      </c>
      <c r="Z40" s="101">
        <f t="shared" si="3"/>
        <v>8.0839442191731475E-3</v>
      </c>
      <c r="AA40" s="97">
        <f>report_47_flagged!AR34</f>
        <v>1</v>
      </c>
      <c r="AB40" s="101">
        <f>(report_47_flagged!R34/100)*report_47_flagged!H34</f>
        <v>1.1689185925057384</v>
      </c>
      <c r="AC40" s="101">
        <f t="shared" si="4"/>
        <v>3.2737234204393534E-2</v>
      </c>
      <c r="AD40" s="97">
        <f>report_47_flagged!AT34</f>
        <v>1</v>
      </c>
      <c r="AE40" s="101">
        <f>(report_47_flagged!L34/100)*report_47_flagged!H34</f>
        <v>1.7633551376039811</v>
      </c>
      <c r="AF40" s="101">
        <f t="shared" si="5"/>
        <v>3.3520448921477097E-2</v>
      </c>
      <c r="AG40" s="97">
        <f>report_47_flagged!AV34</f>
        <v>1</v>
      </c>
      <c r="AH40" s="101">
        <f>(report_47_flagged!T34/100)*report_47_flagged!H34</f>
        <v>0.91108065335969479</v>
      </c>
      <c r="AI40" s="101">
        <f t="shared" si="6"/>
        <v>4.4646298716070607E-2</v>
      </c>
      <c r="AJ40" s="97">
        <f>report_47_flagged!AX34</f>
        <v>1</v>
      </c>
    </row>
    <row r="41" spans="1:36">
      <c r="A41">
        <f>report_47!A35</f>
        <v>2018</v>
      </c>
      <c r="B41" t="str">
        <f>LEFT(report_47!B35,2)</f>
        <v>47</v>
      </c>
      <c r="C41">
        <f>report_47!E35</f>
        <v>2000</v>
      </c>
      <c r="D41" s="146">
        <f>report_47!AF35</f>
        <v>1798.9</v>
      </c>
      <c r="E41" t="str">
        <f>report_47!D35</f>
        <v>McLane-PARFLUX-Mark78H-21 ; frame controller sn 12419-02, frame sn 12419-02, motor sn 12419-02, cup set S250x21</v>
      </c>
      <c r="G41">
        <f>report_47!C35</f>
        <v>9</v>
      </c>
      <c r="H41">
        <f>report_47_flagged!F35</f>
        <v>1</v>
      </c>
      <c r="I41" s="67">
        <f>report_47!V35</f>
        <v>43309</v>
      </c>
      <c r="J41" s="67">
        <f>report_47!W35</f>
        <v>43326</v>
      </c>
      <c r="K41" s="67">
        <f>report_47!X35</f>
        <v>43317.5</v>
      </c>
      <c r="L41" s="97">
        <f>report_47!Y35</f>
        <v>17</v>
      </c>
      <c r="M41" s="90">
        <f>report_47_flagged!H35</f>
        <v>40.206722689075633</v>
      </c>
      <c r="N41" s="90">
        <f t="shared" si="0"/>
        <v>2.4124033613445377E-2</v>
      </c>
      <c r="O41" s="90">
        <f>report_47_flagged!J35</f>
        <v>1</v>
      </c>
      <c r="P41" s="623">
        <f>report_47_flagged!BA35</f>
        <v>39.520000000000003</v>
      </c>
      <c r="Q41" s="623">
        <f t="shared" si="1"/>
        <v>0.86943999999999999</v>
      </c>
      <c r="R41" s="676">
        <f>report_47_flagged!BB35</f>
        <v>1</v>
      </c>
      <c r="S41" s="623">
        <f>report_47_flagged!BC35</f>
        <v>8.6980000000000004</v>
      </c>
      <c r="T41" s="623">
        <f t="shared" si="2"/>
        <v>0.25224200000000002</v>
      </c>
      <c r="U41" s="676">
        <f>report_47_flagged!BD35</f>
        <v>1</v>
      </c>
      <c r="V41" s="101">
        <f>(report_47_flagged!N35/100)*report_47_flagged!H35</f>
        <v>5.3442322601510703</v>
      </c>
      <c r="W41" s="677">
        <f t="shared" si="7"/>
        <v>0.11227467582356201</v>
      </c>
      <c r="X41" s="97">
        <f>report_47_flagged!AP35</f>
        <v>1</v>
      </c>
      <c r="Y41" s="101">
        <f>(report_47_flagged!P35/100)*report_47_flagged!H35</f>
        <v>0.27996491004939844</v>
      </c>
      <c r="Z41" s="101">
        <f t="shared" si="3"/>
        <v>1.0639992648806608E-2</v>
      </c>
      <c r="AA41" s="97">
        <f>report_47_flagged!AR35</f>
        <v>1</v>
      </c>
      <c r="AB41" s="101">
        <f>(report_47_flagged!R35/100)*report_47_flagged!H35</f>
        <v>1.9208978911769576</v>
      </c>
      <c r="AC41" s="101">
        <f t="shared" si="4"/>
        <v>5.3797488165008372E-2</v>
      </c>
      <c r="AD41" s="97">
        <f>report_47_flagged!AT35</f>
        <v>1</v>
      </c>
      <c r="AE41" s="101">
        <f>(report_47_flagged!L35/100)*report_47_flagged!H35</f>
        <v>3.4233343689741123</v>
      </c>
      <c r="AF41" s="101">
        <f t="shared" si="5"/>
        <v>6.5075776517858203E-2</v>
      </c>
      <c r="AG41" s="97">
        <f>report_47_flagged!AV35</f>
        <v>1</v>
      </c>
      <c r="AH41" s="101">
        <f>(report_47_flagged!T35/100)*report_47_flagged!H35</f>
        <v>1.8153440339894993</v>
      </c>
      <c r="AI41" s="101">
        <f t="shared" si="6"/>
        <v>8.8958526026272564E-2</v>
      </c>
      <c r="AJ41" s="97">
        <f>report_47_flagged!AX35</f>
        <v>1</v>
      </c>
    </row>
    <row r="42" spans="1:36">
      <c r="A42">
        <f>report_47!A36</f>
        <v>2018</v>
      </c>
      <c r="B42" t="str">
        <f>LEFT(report_47!B36,2)</f>
        <v>47</v>
      </c>
      <c r="C42">
        <f>report_47!E36</f>
        <v>2000</v>
      </c>
      <c r="D42" s="146">
        <f>report_47!AF36</f>
        <v>1798.9</v>
      </c>
      <c r="E42" t="str">
        <f>report_47!D36</f>
        <v>McLane-PARFLUX-Mark78H-21 ; frame controller sn 12419-02, frame sn 12419-02, motor sn 12419-02, cup set S250x21</v>
      </c>
      <c r="G42">
        <f>report_47!C36</f>
        <v>10</v>
      </c>
      <c r="H42">
        <f>report_47_flagged!F36</f>
        <v>1</v>
      </c>
      <c r="I42" s="67">
        <f>report_47!V36</f>
        <v>43326</v>
      </c>
      <c r="J42" s="67">
        <f>report_47!W36</f>
        <v>43343</v>
      </c>
      <c r="K42" s="67">
        <f>report_47!X36</f>
        <v>43334.5</v>
      </c>
      <c r="L42" s="97">
        <f>report_47!Y36</f>
        <v>17</v>
      </c>
      <c r="M42" s="90">
        <f>report_47_flagged!H36</f>
        <v>35.048739495798323</v>
      </c>
      <c r="N42" s="90">
        <f t="shared" si="0"/>
        <v>2.1029243697478991E-2</v>
      </c>
      <c r="O42" s="90">
        <f>report_47_flagged!J36</f>
        <v>1</v>
      </c>
      <c r="P42" s="623">
        <f>report_47_flagged!BA36</f>
        <v>40.21</v>
      </c>
      <c r="Q42" s="623">
        <f t="shared" si="1"/>
        <v>0.88461999999999996</v>
      </c>
      <c r="R42" s="676">
        <f>report_47_flagged!BB36</f>
        <v>1</v>
      </c>
      <c r="S42" s="623">
        <f>report_47_flagged!BC36</f>
        <v>8.7279999999999998</v>
      </c>
      <c r="T42" s="623">
        <f t="shared" si="2"/>
        <v>0.253112</v>
      </c>
      <c r="U42" s="676">
        <f>report_47_flagged!BD36</f>
        <v>1</v>
      </c>
      <c r="V42" s="101">
        <f>(report_47_flagged!N36/100)*report_47_flagged!H36</f>
        <v>4.7327253095162023</v>
      </c>
      <c r="W42" s="677">
        <f t="shared" si="7"/>
        <v>9.9427789441336553E-2</v>
      </c>
      <c r="X42" s="97">
        <f>report_47_flagged!AP36</f>
        <v>1</v>
      </c>
      <c r="Y42" s="101">
        <f>(report_47_flagged!P36/100)*report_47_flagged!H36</f>
        <v>0.30990598118605733</v>
      </c>
      <c r="Z42" s="101">
        <f t="shared" si="3"/>
        <v>1.1777895169287607E-2</v>
      </c>
      <c r="AA42" s="97">
        <f>report_47_flagged!AR36</f>
        <v>1</v>
      </c>
      <c r="AB42" s="101">
        <f>(report_47_flagged!R36/100)*report_47_flagged!H36</f>
        <v>1.8290838874401536</v>
      </c>
      <c r="AC42" s="101">
        <f t="shared" si="4"/>
        <v>5.1226105895237468E-2</v>
      </c>
      <c r="AD42" s="97">
        <f>report_47_flagged!AT36</f>
        <v>1</v>
      </c>
      <c r="AE42" s="101">
        <f>(report_47_flagged!L36/100)*report_47_flagged!H36</f>
        <v>2.9036414220760483</v>
      </c>
      <c r="AF42" s="101">
        <f t="shared" si="5"/>
        <v>5.5196688346760149E-2</v>
      </c>
      <c r="AG42" s="97">
        <f>report_47_flagged!AV36</f>
        <v>1</v>
      </c>
      <c r="AH42" s="101">
        <f>(report_47_flagged!T36/100)*report_47_flagged!H36</f>
        <v>1.6736430327090182</v>
      </c>
      <c r="AI42" s="101">
        <f t="shared" si="6"/>
        <v>8.2014656448749015E-2</v>
      </c>
      <c r="AJ42" s="97">
        <f>report_47_flagged!AX36</f>
        <v>1</v>
      </c>
    </row>
    <row r="43" spans="1:36">
      <c r="A43">
        <f>report_47!A37</f>
        <v>2018</v>
      </c>
      <c r="B43" t="str">
        <f>LEFT(report_47!B37,2)</f>
        <v>47</v>
      </c>
      <c r="C43">
        <f>report_47!E37</f>
        <v>2000</v>
      </c>
      <c r="D43" s="146">
        <f>report_47!AF37</f>
        <v>1798.9</v>
      </c>
      <c r="E43" t="str">
        <f>report_47!D37</f>
        <v>McLane-PARFLUX-Mark78H-21 ; frame controller sn 12419-02, frame sn 12419-02, motor sn 12419-02, cup set S250x21</v>
      </c>
      <c r="G43">
        <f>report_47!C37</f>
        <v>11</v>
      </c>
      <c r="H43">
        <f>report_47_flagged!F37</f>
        <v>1</v>
      </c>
      <c r="I43" s="67">
        <f>report_47!V37</f>
        <v>43343</v>
      </c>
      <c r="J43" s="67">
        <f>report_47!W37</f>
        <v>43360</v>
      </c>
      <c r="K43" s="67">
        <f>report_47!X37</f>
        <v>43351.5</v>
      </c>
      <c r="L43" s="97">
        <f>report_47!Y37</f>
        <v>17</v>
      </c>
      <c r="M43" s="90">
        <f>report_47_flagged!H37</f>
        <v>47.040336134453774</v>
      </c>
      <c r="N43" s="90">
        <f t="shared" si="0"/>
        <v>2.8224201680672262E-2</v>
      </c>
      <c r="O43" s="90">
        <f>report_47_flagged!J37</f>
        <v>1</v>
      </c>
      <c r="P43" s="623">
        <f>report_47_flagged!BA37</f>
        <v>40.299999999999997</v>
      </c>
      <c r="Q43" s="623">
        <f t="shared" si="1"/>
        <v>0.88659999999999983</v>
      </c>
      <c r="R43" s="676">
        <f>report_47_flagged!BB37</f>
        <v>1</v>
      </c>
      <c r="S43" s="623">
        <f>report_47_flagged!BC37</f>
        <v>8.6869999999999994</v>
      </c>
      <c r="T43" s="623">
        <f t="shared" si="2"/>
        <v>0.25192300000000001</v>
      </c>
      <c r="U43" s="676">
        <f>report_47_flagged!BD37</f>
        <v>1</v>
      </c>
      <c r="V43" s="101">
        <f>(report_47_flagged!N37/100)*report_47_flagged!H37</f>
        <v>6.1222330662703301</v>
      </c>
      <c r="W43" s="677">
        <f t="shared" si="7"/>
        <v>0.12861935997002547</v>
      </c>
      <c r="X43" s="97">
        <f>report_47_flagged!AP37</f>
        <v>1</v>
      </c>
      <c r="Y43" s="101">
        <f>(report_47_flagged!P37/100)*report_47_flagged!H37</f>
        <v>0.35041243053484356</v>
      </c>
      <c r="Z43" s="101">
        <f t="shared" si="3"/>
        <v>1.3317332105238961E-2</v>
      </c>
      <c r="AA43" s="97">
        <f>report_47_flagged!AR37</f>
        <v>1</v>
      </c>
      <c r="AB43" s="101">
        <f>(report_47_flagged!R37/100)*report_47_flagged!H37</f>
        <v>2.2964662464935723</v>
      </c>
      <c r="AC43" s="101">
        <f t="shared" si="4"/>
        <v>6.4315816204776069E-2</v>
      </c>
      <c r="AD43" s="97">
        <f>report_47_flagged!AT37</f>
        <v>1</v>
      </c>
      <c r="AE43" s="101">
        <f>(report_47_flagged!L37/100)*report_47_flagged!H37</f>
        <v>3.8257668197767578</v>
      </c>
      <c r="AF43" s="101">
        <f t="shared" si="5"/>
        <v>7.2725804651047832E-2</v>
      </c>
      <c r="AG43" s="97">
        <f>report_47_flagged!AV37</f>
        <v>1</v>
      </c>
      <c r="AH43" s="101">
        <f>(report_47_flagged!T37/100)*report_47_flagged!H37</f>
        <v>2.7067431660624797</v>
      </c>
      <c r="AI43" s="101">
        <f t="shared" si="6"/>
        <v>0.13264035790253811</v>
      </c>
      <c r="AJ43" s="97">
        <f>report_47_flagged!AX37</f>
        <v>1</v>
      </c>
    </row>
    <row r="44" spans="1:36">
      <c r="A44">
        <f>report_47!A38</f>
        <v>2018</v>
      </c>
      <c r="B44" t="str">
        <f>LEFT(report_47!B38,2)</f>
        <v>47</v>
      </c>
      <c r="C44">
        <f>report_47!E38</f>
        <v>2000</v>
      </c>
      <c r="D44" s="146">
        <f>report_47!AF38</f>
        <v>1798.9</v>
      </c>
      <c r="E44" t="str">
        <f>report_47!D38</f>
        <v>McLane-PARFLUX-Mark78H-21 ; frame controller sn 12419-02, frame sn 12419-02, motor sn 12419-02, cup set S250x21</v>
      </c>
      <c r="G44">
        <f>report_47!C38</f>
        <v>12</v>
      </c>
      <c r="H44">
        <f>report_47_flagged!F38</f>
        <v>1</v>
      </c>
      <c r="I44" s="67">
        <f>report_47!V38</f>
        <v>43360</v>
      </c>
      <c r="J44" s="67">
        <f>report_47!W38</f>
        <v>43377</v>
      </c>
      <c r="K44" s="67">
        <f>report_47!X38</f>
        <v>43368.5</v>
      </c>
      <c r="L44" s="97">
        <f>report_47!Y38</f>
        <v>17</v>
      </c>
      <c r="M44" s="90">
        <f>report_47_flagged!H38</f>
        <v>84.242016806722702</v>
      </c>
      <c r="N44" s="90">
        <f t="shared" si="0"/>
        <v>5.054521008403362E-2</v>
      </c>
      <c r="O44" s="90">
        <f>report_47_flagged!J38</f>
        <v>3</v>
      </c>
      <c r="P44" s="623">
        <f>report_47_flagged!BA38</f>
        <v>40.049999999999997</v>
      </c>
      <c r="Q44" s="623">
        <f t="shared" si="1"/>
        <v>0.88109999999999988</v>
      </c>
      <c r="R44" s="676">
        <f>report_47_flagged!BB38</f>
        <v>1</v>
      </c>
      <c r="S44" s="623">
        <f>report_47_flagged!BC38</f>
        <v>8.6370000000000005</v>
      </c>
      <c r="T44" s="623">
        <f t="shared" si="2"/>
        <v>0.250473</v>
      </c>
      <c r="U44" s="676">
        <f>report_47_flagged!BD38</f>
        <v>1</v>
      </c>
      <c r="V44" s="101">
        <f>(report_47_flagged!N38/100)*report_47_flagged!H38</f>
        <v>10.523814500888857</v>
      </c>
      <c r="W44" s="677">
        <f t="shared" si="7"/>
        <v>0.22109029024146443</v>
      </c>
      <c r="X44" s="97">
        <f>report_47_flagged!AP38</f>
        <v>3</v>
      </c>
      <c r="Y44" s="101">
        <f>(report_47_flagged!P38/100)*report_47_flagged!H38</f>
        <v>0.59866506140572695</v>
      </c>
      <c r="Z44" s="101">
        <f t="shared" si="3"/>
        <v>2.275210793856406E-2</v>
      </c>
      <c r="AA44" s="97">
        <f>report_47_flagged!AR38</f>
        <v>3</v>
      </c>
      <c r="AB44" s="101">
        <f>(report_47_flagged!R38/100)*report_47_flagged!H38</f>
        <v>3.8070321200068706</v>
      </c>
      <c r="AC44" s="101">
        <f t="shared" si="4"/>
        <v>0.10662137032926176</v>
      </c>
      <c r="AD44" s="97">
        <f>report_47_flagged!AT38</f>
        <v>3</v>
      </c>
      <c r="AE44" s="101">
        <f>(report_47_flagged!L38/100)*report_47_flagged!H38</f>
        <v>6.7167823808819875</v>
      </c>
      <c r="AF44" s="101">
        <f t="shared" si="5"/>
        <v>0.12768248205574836</v>
      </c>
      <c r="AG44" s="97">
        <f>report_47_flagged!AV38</f>
        <v>1</v>
      </c>
      <c r="AH44" s="101">
        <f>(report_47_flagged!T38/100)*report_47_flagged!H38</f>
        <v>6.4983092240323392</v>
      </c>
      <c r="AI44" s="101">
        <f t="shared" si="6"/>
        <v>0.31844102242285593</v>
      </c>
      <c r="AJ44" s="97">
        <f>report_47_flagged!AX38</f>
        <v>3</v>
      </c>
    </row>
    <row r="45" spans="1:36">
      <c r="A45">
        <f>report_47!A39</f>
        <v>2018</v>
      </c>
      <c r="B45" t="str">
        <f>LEFT(report_47!B39,2)</f>
        <v>47</v>
      </c>
      <c r="C45">
        <f>report_47!E39</f>
        <v>2000</v>
      </c>
      <c r="D45" s="146">
        <f>report_47!AF39</f>
        <v>1798.9</v>
      </c>
      <c r="E45" t="str">
        <f>report_47!D39</f>
        <v>McLane-PARFLUX-Mark78H-21 ; frame controller sn 12419-02, frame sn 12419-02, motor sn 12419-02, cup set S250x21</v>
      </c>
      <c r="G45">
        <f>report_47!C39</f>
        <v>13</v>
      </c>
      <c r="H45">
        <f>report_47_flagged!F39</f>
        <v>1</v>
      </c>
      <c r="I45" s="67">
        <f>report_47!V39</f>
        <v>43377</v>
      </c>
      <c r="J45" s="67">
        <f>report_47!W39</f>
        <v>43394</v>
      </c>
      <c r="K45" s="67">
        <f>report_47!X39</f>
        <v>43385.5</v>
      </c>
      <c r="L45" s="97">
        <f>report_47!Y39</f>
        <v>17</v>
      </c>
      <c r="M45" s="90">
        <f>report_47_flagged!H39</f>
        <v>69.759663865546216</v>
      </c>
      <c r="N45" s="90">
        <f t="shared" si="0"/>
        <v>4.1855798319327724E-2</v>
      </c>
      <c r="O45" s="90">
        <f>report_47_flagged!J39</f>
        <v>1</v>
      </c>
      <c r="P45" s="623">
        <f>report_47_flagged!BA39</f>
        <v>39.909999999999997</v>
      </c>
      <c r="Q45" s="623">
        <f t="shared" si="1"/>
        <v>0.87801999999999991</v>
      </c>
      <c r="R45" s="676">
        <f>report_47_flagged!BB39</f>
        <v>1</v>
      </c>
      <c r="S45" s="623">
        <f>report_47_flagged!BC39</f>
        <v>8.5920000000000005</v>
      </c>
      <c r="T45" s="623">
        <f t="shared" si="2"/>
        <v>0.24916800000000003</v>
      </c>
      <c r="U45" s="676">
        <f>report_47_flagged!BD39</f>
        <v>1</v>
      </c>
      <c r="V45" s="101">
        <f>(report_47_flagged!N39/100)*report_47_flagged!H39</f>
        <v>8.6552056157568913</v>
      </c>
      <c r="W45" s="677">
        <f t="shared" si="7"/>
        <v>0.18183349027347639</v>
      </c>
      <c r="X45" s="97">
        <f>report_47_flagged!AP39</f>
        <v>1</v>
      </c>
      <c r="Y45" s="101">
        <f>(report_47_flagged!P39/100)*report_47_flagged!H39</f>
        <v>0.46834938435794926</v>
      </c>
      <c r="Z45" s="101">
        <f t="shared" si="3"/>
        <v>1.7799494964431124E-2</v>
      </c>
      <c r="AA45" s="97">
        <f>report_47_flagged!AR39</f>
        <v>1</v>
      </c>
      <c r="AB45" s="101">
        <f>(report_47_flagged!R39/100)*report_47_flagged!H39</f>
        <v>2.9973232966953494</v>
      </c>
      <c r="AC45" s="101">
        <f t="shared" si="4"/>
        <v>8.3944318602938869E-2</v>
      </c>
      <c r="AD45" s="97">
        <f>report_47_flagged!AT39</f>
        <v>1</v>
      </c>
      <c r="AE45" s="101">
        <f>(report_47_flagged!L39/100)*report_47_flagged!H39</f>
        <v>5.6578823190615424</v>
      </c>
      <c r="AF45" s="101">
        <f t="shared" si="5"/>
        <v>0.10755335169609152</v>
      </c>
      <c r="AG45" s="97">
        <f>report_47_flagged!AV39</f>
        <v>1</v>
      </c>
      <c r="AH45" s="101">
        <f>(report_47_flagged!T39/100)*report_47_flagged!H39</f>
        <v>5.1933678492295394</v>
      </c>
      <c r="AI45" s="101">
        <f t="shared" si="6"/>
        <v>0.25449410157499958</v>
      </c>
      <c r="AJ45" s="97">
        <f>report_47_flagged!AX39</f>
        <v>3</v>
      </c>
    </row>
    <row r="46" spans="1:36">
      <c r="A46">
        <f>report_47!A40</f>
        <v>2018</v>
      </c>
      <c r="B46" t="str">
        <f>LEFT(report_47!B40,2)</f>
        <v>47</v>
      </c>
      <c r="C46">
        <f>report_47!E40</f>
        <v>2000</v>
      </c>
      <c r="D46" s="146">
        <f>report_47!AF40</f>
        <v>1798.9</v>
      </c>
      <c r="E46" t="str">
        <f>report_47!D40</f>
        <v>McLane-PARFLUX-Mark78H-21 ; frame controller sn 12419-02, frame sn 12419-02, motor sn 12419-02, cup set S250x21</v>
      </c>
      <c r="G46">
        <f>report_47!C40</f>
        <v>14</v>
      </c>
      <c r="H46">
        <f>report_47_flagged!F40</f>
        <v>1</v>
      </c>
      <c r="I46" s="67">
        <f>report_47!V40</f>
        <v>43394</v>
      </c>
      <c r="J46" s="67">
        <f>report_47!W40</f>
        <v>43411</v>
      </c>
      <c r="K46" s="67">
        <f>report_47!X40</f>
        <v>43402.5</v>
      </c>
      <c r="L46" s="97">
        <f>report_47!Y40</f>
        <v>17</v>
      </c>
      <c r="M46" s="90">
        <f>report_47_flagged!H40</f>
        <v>54.030252100840336</v>
      </c>
      <c r="N46" s="90">
        <f t="shared" si="0"/>
        <v>3.2418151260504201E-2</v>
      </c>
      <c r="O46" s="90">
        <f>report_47_flagged!J40</f>
        <v>1</v>
      </c>
      <c r="P46" s="623">
        <f>report_47_flagged!BA40</f>
        <v>40.22</v>
      </c>
      <c r="Q46" s="623">
        <f t="shared" si="1"/>
        <v>0.88483999999999996</v>
      </c>
      <c r="R46" s="676">
        <f>report_47_flagged!BB40</f>
        <v>1</v>
      </c>
      <c r="S46" s="623">
        <f>report_47_flagged!BC40</f>
        <v>8.2270000000000003</v>
      </c>
      <c r="T46" s="623">
        <f t="shared" si="2"/>
        <v>0.23858300000000002</v>
      </c>
      <c r="U46" s="676">
        <f>report_47_flagged!BD40</f>
        <v>1</v>
      </c>
      <c r="V46" s="101">
        <f>(report_47_flagged!N40/100)*report_47_flagged!H40</f>
        <v>8.2141775269067594</v>
      </c>
      <c r="W46" s="677">
        <f t="shared" si="7"/>
        <v>0.17256812093802504</v>
      </c>
      <c r="X46" s="97">
        <f>report_47_flagged!AP40</f>
        <v>1</v>
      </c>
      <c r="Y46" s="101">
        <f>(report_47_flagged!P40/100)*report_47_flagged!H40</f>
        <v>0.63667409119485807</v>
      </c>
      <c r="Z46" s="101">
        <f t="shared" si="3"/>
        <v>2.4196631102103624E-2</v>
      </c>
      <c r="AA46" s="97">
        <f>report_47_flagged!AR40</f>
        <v>1</v>
      </c>
      <c r="AB46" s="101">
        <f>(report_47_flagged!R40/100)*report_47_flagged!H40</f>
        <v>3.8940993329340636</v>
      </c>
      <c r="AC46" s="101">
        <f t="shared" si="4"/>
        <v>0.10905981194478198</v>
      </c>
      <c r="AD46" s="97">
        <f>report_47_flagged!AT40</f>
        <v>1</v>
      </c>
      <c r="AE46" s="101">
        <f>(report_47_flagged!L40/100)*report_47_flagged!H40</f>
        <v>4.3200781939726953</v>
      </c>
      <c r="AF46" s="101">
        <f t="shared" si="5"/>
        <v>8.2122402543718789E-2</v>
      </c>
      <c r="AG46" s="97">
        <f>report_47_flagged!AV40</f>
        <v>1</v>
      </c>
      <c r="AH46" s="101">
        <f>(report_47_flagged!T40/100)*report_47_flagged!H40</f>
        <v>2.7132583732255457</v>
      </c>
      <c r="AI46" s="101">
        <f t="shared" si="6"/>
        <v>0.13295962698604535</v>
      </c>
      <c r="AJ46" s="97">
        <f>report_47_flagged!AX40</f>
        <v>1</v>
      </c>
    </row>
    <row r="47" spans="1:36">
      <c r="A47">
        <f>report_47!A41</f>
        <v>2018</v>
      </c>
      <c r="B47" t="str">
        <f>LEFT(report_47!B41,2)</f>
        <v>47</v>
      </c>
      <c r="C47">
        <f>report_47!E41</f>
        <v>2000</v>
      </c>
      <c r="D47" s="146">
        <f>report_47!AF41</f>
        <v>1798.9</v>
      </c>
      <c r="E47" t="str">
        <f>report_47!D41</f>
        <v>McLane-PARFLUX-Mark78H-21 ; frame controller sn 12419-02, frame sn 12419-02, motor sn 12419-02, cup set S250x21</v>
      </c>
      <c r="G47">
        <f>report_47!C41</f>
        <v>15</v>
      </c>
      <c r="H47">
        <f>report_47_flagged!F41</f>
        <v>1</v>
      </c>
      <c r="I47" s="67">
        <f>report_47!V41</f>
        <v>43411</v>
      </c>
      <c r="J47" s="67">
        <f>report_47!W41</f>
        <v>43428</v>
      </c>
      <c r="K47" s="67">
        <f>report_47!X41</f>
        <v>43419.5</v>
      </c>
      <c r="L47" s="97">
        <f>report_47!Y41</f>
        <v>17</v>
      </c>
      <c r="M47" s="90">
        <f>report_47_flagged!H41</f>
        <v>50.176470588235297</v>
      </c>
      <c r="N47" s="90">
        <f t="shared" si="0"/>
        <v>3.0105882352941177E-2</v>
      </c>
      <c r="O47" s="90">
        <f>report_47_flagged!J41</f>
        <v>1</v>
      </c>
      <c r="P47" s="623">
        <f>report_47_flagged!BA41</f>
        <v>40.03</v>
      </c>
      <c r="Q47" s="623">
        <f t="shared" si="1"/>
        <v>0.88066</v>
      </c>
      <c r="R47" s="676">
        <f>report_47_flagged!BB41</f>
        <v>1</v>
      </c>
      <c r="S47" s="623">
        <f>report_47_flagged!BC41</f>
        <v>8.5150000000000006</v>
      </c>
      <c r="T47" s="623">
        <f t="shared" si="2"/>
        <v>0.24693500000000002</v>
      </c>
      <c r="U47" s="676">
        <f>report_47_flagged!BD41</f>
        <v>1</v>
      </c>
      <c r="V47" s="101">
        <f>(report_47_flagged!N41/100)*report_47_flagged!H41</f>
        <v>6.5692714937995458</v>
      </c>
      <c r="W47" s="677">
        <f t="shared" si="7"/>
        <v>0.13801099792441684</v>
      </c>
      <c r="X47" s="97">
        <f>report_47_flagged!AP41</f>
        <v>1</v>
      </c>
      <c r="Y47" s="101">
        <f>(report_47_flagged!P41/100)*report_47_flagged!H41</f>
        <v>0.30126654312891121</v>
      </c>
      <c r="Z47" s="101">
        <f t="shared" si="3"/>
        <v>1.1449555602012424E-2</v>
      </c>
      <c r="AA47" s="97">
        <f>report_47_flagged!AR41</f>
        <v>1</v>
      </c>
      <c r="AB47" s="101">
        <f>(report_47_flagged!R41/100)*report_47_flagged!H41</f>
        <v>1.841891079275086</v>
      </c>
      <c r="AC47" s="101">
        <f t="shared" si="4"/>
        <v>5.1584789589113882E-2</v>
      </c>
      <c r="AD47" s="97">
        <f>report_47_flagged!AT41</f>
        <v>1</v>
      </c>
      <c r="AE47" s="101">
        <f>(report_47_flagged!L41/100)*report_47_flagged!H41</f>
        <v>4.7273804145244602</v>
      </c>
      <c r="AF47" s="101">
        <f t="shared" si="5"/>
        <v>8.9865002425306484E-2</v>
      </c>
      <c r="AG47" s="97">
        <f>report_47_flagged!AV41</f>
        <v>1</v>
      </c>
      <c r="AH47" s="101">
        <f>(report_47_flagged!T41/100)*report_47_flagged!H41</f>
        <v>2.0806288032065328</v>
      </c>
      <c r="AI47" s="101">
        <f t="shared" si="6"/>
        <v>0.10195845419685959</v>
      </c>
      <c r="AJ47" s="97">
        <f>report_47_flagged!AX41</f>
        <v>1</v>
      </c>
    </row>
    <row r="48" spans="1:36">
      <c r="A48">
        <f>report_47!A42</f>
        <v>2018</v>
      </c>
      <c r="B48" t="str">
        <f>LEFT(report_47!B42,2)</f>
        <v>47</v>
      </c>
      <c r="C48">
        <f>report_47!E42</f>
        <v>2000</v>
      </c>
      <c r="D48" s="146">
        <f>report_47!AF42</f>
        <v>1798.9</v>
      </c>
      <c r="E48" t="str">
        <f>report_47!D42</f>
        <v>McLane-PARFLUX-Mark78H-21 ; frame controller sn 12419-02, frame sn 12419-02, motor sn 12419-02, cup set S250x21</v>
      </c>
      <c r="G48">
        <f>report_47!C42</f>
        <v>16</v>
      </c>
      <c r="H48">
        <f>report_47_flagged!F42</f>
        <v>1</v>
      </c>
      <c r="I48" s="67">
        <f>report_47!V42</f>
        <v>43428</v>
      </c>
      <c r="J48" s="67">
        <f>report_47!W42</f>
        <v>43445</v>
      </c>
      <c r="K48" s="67">
        <f>report_47!X42</f>
        <v>43436.5</v>
      </c>
      <c r="L48" s="97">
        <f>report_47!Y42</f>
        <v>17</v>
      </c>
      <c r="M48" s="90">
        <f>report_47_flagged!H42</f>
        <v>46.21344537815127</v>
      </c>
      <c r="N48" s="90">
        <f t="shared" si="0"/>
        <v>2.7728067226890758E-2</v>
      </c>
      <c r="O48" s="90">
        <f>report_47_flagged!J42</f>
        <v>1</v>
      </c>
      <c r="P48" s="623">
        <f>report_47_flagged!BA42</f>
        <v>39.75</v>
      </c>
      <c r="Q48" s="623">
        <f t="shared" si="1"/>
        <v>0.87449999999999994</v>
      </c>
      <c r="R48" s="676">
        <f>report_47_flagged!BB42</f>
        <v>1</v>
      </c>
      <c r="S48" s="623">
        <f>report_47_flagged!BC42</f>
        <v>8.6809999999999992</v>
      </c>
      <c r="T48" s="623">
        <f t="shared" si="2"/>
        <v>0.251749</v>
      </c>
      <c r="U48" s="676">
        <f>report_47_flagged!BD42</f>
        <v>1</v>
      </c>
      <c r="V48" s="101">
        <f>(report_47_flagged!N42/100)*report_47_flagged!H42</f>
        <v>6.1669393655953302</v>
      </c>
      <c r="W48" s="677">
        <f t="shared" si="7"/>
        <v>0.1295585753745303</v>
      </c>
      <c r="X48" s="97">
        <f>report_47_flagged!AP42</f>
        <v>1</v>
      </c>
      <c r="Y48" s="101">
        <f>(report_47_flagged!P42/100)*report_47_flagged!H42</f>
        <v>0.27124111520843353</v>
      </c>
      <c r="Z48" s="101">
        <f t="shared" si="3"/>
        <v>1.0308447124186448E-2</v>
      </c>
      <c r="AA48" s="97">
        <f>report_47_flagged!AR42</f>
        <v>1</v>
      </c>
      <c r="AB48" s="101">
        <f>(report_47_flagged!R42/100)*report_47_flagged!H42</f>
        <v>1.8998719259624139</v>
      </c>
      <c r="AC48" s="101">
        <f t="shared" si="4"/>
        <v>5.320862598759496E-2</v>
      </c>
      <c r="AD48" s="97">
        <f>report_47_flagged!AT42</f>
        <v>1</v>
      </c>
      <c r="AE48" s="101">
        <f>(report_47_flagged!L42/100)*report_47_flagged!H42</f>
        <v>4.2670674396329167</v>
      </c>
      <c r="AF48" s="101">
        <f t="shared" si="5"/>
        <v>8.1114696129258229E-2</v>
      </c>
      <c r="AG48" s="97">
        <f>report_47_flagged!AV42</f>
        <v>1</v>
      </c>
      <c r="AH48" s="101">
        <f>(report_47_flagged!T42/100)*report_47_flagged!H42</f>
        <v>1.8857942756410921</v>
      </c>
      <c r="AI48" s="101">
        <f t="shared" si="6"/>
        <v>9.2410846654306572E-2</v>
      </c>
      <c r="AJ48" s="97">
        <f>report_47_flagged!AX42</f>
        <v>1</v>
      </c>
    </row>
    <row r="49" spans="1:36">
      <c r="A49">
        <f>report_47!A43</f>
        <v>2018</v>
      </c>
      <c r="B49" t="str">
        <f>LEFT(report_47!B43,2)</f>
        <v>47</v>
      </c>
      <c r="C49">
        <f>report_47!E43</f>
        <v>2000</v>
      </c>
      <c r="D49" s="146">
        <f>report_47!AF43</f>
        <v>1798.9</v>
      </c>
      <c r="E49" t="str">
        <f>report_47!D43</f>
        <v>McLane-PARFLUX-Mark78H-21 ; frame controller sn 12419-02, frame sn 12419-02, motor sn 12419-02, cup set S250x21</v>
      </c>
      <c r="G49">
        <f>report_47!C43</f>
        <v>17</v>
      </c>
      <c r="H49">
        <f>report_47_flagged!F43</f>
        <v>1</v>
      </c>
      <c r="I49" s="67">
        <f>report_47!V43</f>
        <v>43445</v>
      </c>
      <c r="J49" s="67">
        <f>report_47!W43</f>
        <v>43462</v>
      </c>
      <c r="K49" s="67">
        <f>report_47!X43</f>
        <v>43453.5</v>
      </c>
      <c r="L49" s="97">
        <f>report_47!Y43</f>
        <v>17</v>
      </c>
      <c r="M49" s="90">
        <f>report_47_flagged!H43</f>
        <v>30.416806722689074</v>
      </c>
      <c r="N49" s="90">
        <f t="shared" si="0"/>
        <v>1.8250084033613442E-2</v>
      </c>
      <c r="O49" s="90">
        <f>report_47_flagged!J43</f>
        <v>1</v>
      </c>
      <c r="P49" s="623">
        <f>report_47_flagged!BA43</f>
        <v>39.9</v>
      </c>
      <c r="Q49" s="623">
        <f t="shared" si="1"/>
        <v>0.87779999999999991</v>
      </c>
      <c r="R49" s="676">
        <f>report_47_flagged!BB43</f>
        <v>1</v>
      </c>
      <c r="S49" s="623">
        <f>report_47_flagged!BC43</f>
        <v>8.6840000000000011</v>
      </c>
      <c r="T49" s="623">
        <f t="shared" si="2"/>
        <v>0.25183600000000006</v>
      </c>
      <c r="U49" s="676">
        <f>report_47_flagged!BD43</f>
        <v>1</v>
      </c>
      <c r="V49" s="101">
        <f>(report_47_flagged!N43/100)*report_47_flagged!H43</f>
        <v>3.9905177196438535</v>
      </c>
      <c r="W49" s="677">
        <f t="shared" si="7"/>
        <v>8.3835069572468127E-2</v>
      </c>
      <c r="X49" s="97">
        <f>report_47_flagged!AP43</f>
        <v>1</v>
      </c>
      <c r="Y49" s="101">
        <f>(report_47_flagged!P43/100)*report_47_flagged!H43</f>
        <v>0.17198597851487435</v>
      </c>
      <c r="Z49" s="101">
        <f t="shared" si="3"/>
        <v>6.53628180322024E-3</v>
      </c>
      <c r="AA49" s="97">
        <f>report_47_flagged!AR43</f>
        <v>1</v>
      </c>
      <c r="AB49" s="101">
        <f>(report_47_flagged!R43/100)*report_47_flagged!H43</f>
        <v>1.1736150514661432</v>
      </c>
      <c r="AC49" s="101">
        <f t="shared" si="4"/>
        <v>3.2868765243341688E-2</v>
      </c>
      <c r="AD49" s="97">
        <f>report_47_flagged!AT43</f>
        <v>1</v>
      </c>
      <c r="AE49" s="101">
        <f>(report_47_flagged!L43/100)*report_47_flagged!H43</f>
        <v>2.8169026681777103</v>
      </c>
      <c r="AF49" s="101">
        <f t="shared" si="5"/>
        <v>5.354783049189122E-2</v>
      </c>
      <c r="AG49" s="97">
        <f>report_47_flagged!AV43</f>
        <v>1</v>
      </c>
      <c r="AH49" s="101">
        <f>(report_47_flagged!T43/100)*report_47_flagged!H43</f>
        <v>1.2750159258547276</v>
      </c>
      <c r="AI49" s="101">
        <f t="shared" si="6"/>
        <v>6.2480463923300547E-2</v>
      </c>
      <c r="AJ49" s="97">
        <f>report_47_flagged!AX43</f>
        <v>1</v>
      </c>
    </row>
    <row r="50" spans="1:36">
      <c r="A50">
        <f>report_47!A44</f>
        <v>2018</v>
      </c>
      <c r="B50" t="str">
        <f>LEFT(report_47!B44,2)</f>
        <v>47</v>
      </c>
      <c r="C50">
        <f>report_47!E44</f>
        <v>2000</v>
      </c>
      <c r="D50" s="146">
        <f>report_47!AF44</f>
        <v>1798.9</v>
      </c>
      <c r="E50" t="str">
        <f>report_47!D44</f>
        <v>McLane-PARFLUX-Mark78H-21 ; frame controller sn 12419-02, frame sn 12419-02, motor sn 12419-02, cup set S250x21</v>
      </c>
      <c r="G50">
        <f>report_47!C44</f>
        <v>18</v>
      </c>
      <c r="H50">
        <f>report_47_flagged!F44</f>
        <v>1</v>
      </c>
      <c r="I50" s="67">
        <f>report_47!V44</f>
        <v>43462</v>
      </c>
      <c r="J50" s="67">
        <f>report_47!W44</f>
        <v>43479</v>
      </c>
      <c r="K50" s="67">
        <f>report_47!X44</f>
        <v>43470.5</v>
      </c>
      <c r="L50" s="97">
        <f>report_47!Y44</f>
        <v>17</v>
      </c>
      <c r="M50" s="90">
        <f>report_47_flagged!H44</f>
        <v>53.117647058823515</v>
      </c>
      <c r="N50" s="90">
        <f t="shared" si="0"/>
        <v>3.1870588235294109E-2</v>
      </c>
      <c r="O50" s="90">
        <f>report_47_flagged!J44</f>
        <v>1</v>
      </c>
      <c r="P50" s="623">
        <f>report_47_flagged!BA44</f>
        <v>40.17</v>
      </c>
      <c r="Q50" s="623">
        <f t="shared" si="1"/>
        <v>0.88373999999999997</v>
      </c>
      <c r="R50" s="676">
        <f>report_47_flagged!BB44</f>
        <v>1</v>
      </c>
      <c r="S50" s="623">
        <f>report_47_flagged!BC44</f>
        <v>8.6980000000000004</v>
      </c>
      <c r="T50" s="623">
        <f t="shared" si="2"/>
        <v>0.25224200000000002</v>
      </c>
      <c r="U50" s="676">
        <f>report_47_flagged!BD44</f>
        <v>1</v>
      </c>
      <c r="V50" s="101">
        <f>(report_47_flagged!N44/100)*report_47_flagged!H44</f>
        <v>6.9619417426165402</v>
      </c>
      <c r="W50" s="677">
        <f t="shared" si="7"/>
        <v>0.14626043820795709</v>
      </c>
      <c r="X50" s="97">
        <f>report_47_flagged!AP44</f>
        <v>1</v>
      </c>
      <c r="Y50" s="101">
        <f>(report_47_flagged!P44/100)*report_47_flagged!H44</f>
        <v>0.33257842351408556</v>
      </c>
      <c r="Z50" s="101">
        <f t="shared" si="3"/>
        <v>1.2639555366839318E-2</v>
      </c>
      <c r="AA50" s="97">
        <f>report_47_flagged!AR44</f>
        <v>1</v>
      </c>
      <c r="AB50" s="101">
        <f>(report_47_flagged!R44/100)*report_47_flagged!H44</f>
        <v>2.1816464759137912</v>
      </c>
      <c r="AC50" s="101">
        <f t="shared" si="4"/>
        <v>6.1100124586160147E-2</v>
      </c>
      <c r="AD50" s="97">
        <f>report_47_flagged!AT44</f>
        <v>1</v>
      </c>
      <c r="AE50" s="101">
        <f>(report_47_flagged!L44/100)*report_47_flagged!H44</f>
        <v>4.7802952667027485</v>
      </c>
      <c r="AF50" s="101">
        <f t="shared" si="5"/>
        <v>9.0870885790378331E-2</v>
      </c>
      <c r="AG50" s="97">
        <f>report_47_flagged!AV44</f>
        <v>1</v>
      </c>
      <c r="AH50" s="101">
        <f>(report_47_flagged!T44/100)*report_47_flagged!H44</f>
        <v>2.5887523231370051</v>
      </c>
      <c r="AI50" s="101">
        <f t="shared" si="6"/>
        <v>0.12685837317968618</v>
      </c>
      <c r="AJ50" s="97">
        <f>report_47_flagged!AX44</f>
        <v>1</v>
      </c>
    </row>
    <row r="51" spans="1:36">
      <c r="A51">
        <f>report_47!A45</f>
        <v>2018</v>
      </c>
      <c r="B51" t="str">
        <f>LEFT(report_47!B45,2)</f>
        <v>47</v>
      </c>
      <c r="C51">
        <f>report_47!E45</f>
        <v>2000</v>
      </c>
      <c r="D51" s="146">
        <f>report_47!AF45</f>
        <v>1798.9</v>
      </c>
      <c r="E51" t="str">
        <f>report_47!D45</f>
        <v>McLane-PARFLUX-Mark78H-21 ; frame controller sn 12419-02, frame sn 12419-02, motor sn 12419-02, cup set S250x21</v>
      </c>
      <c r="G51">
        <f>report_47!C45</f>
        <v>19</v>
      </c>
      <c r="H51">
        <f>report_47_flagged!F45</f>
        <v>1</v>
      </c>
      <c r="I51" s="67">
        <f>report_47!V45</f>
        <v>43479</v>
      </c>
      <c r="J51" s="67">
        <f>report_47!W45</f>
        <v>43496</v>
      </c>
      <c r="K51" s="67">
        <f>report_47!X45</f>
        <v>43487.5</v>
      </c>
      <c r="L51" s="97">
        <f>report_47!Y45</f>
        <v>17</v>
      </c>
      <c r="M51" s="90">
        <f>report_47_flagged!H45</f>
        <v>57.885714285714293</v>
      </c>
      <c r="N51" s="90">
        <f t="shared" si="0"/>
        <v>3.4731428571428573E-2</v>
      </c>
      <c r="O51" s="90">
        <f>report_47_flagged!J45</f>
        <v>3</v>
      </c>
      <c r="P51" s="623">
        <f>report_47_flagged!BA45</f>
        <v>39.96</v>
      </c>
      <c r="Q51" s="623">
        <f t="shared" si="1"/>
        <v>0.87912000000000001</v>
      </c>
      <c r="R51" s="676">
        <f>report_47_flagged!BB45</f>
        <v>1</v>
      </c>
      <c r="S51" s="623">
        <f>report_47_flagged!BC45</f>
        <v>8.6910000000000007</v>
      </c>
      <c r="T51" s="623">
        <f t="shared" si="2"/>
        <v>0.25203900000000001</v>
      </c>
      <c r="U51" s="676">
        <f>report_47_flagged!BD45</f>
        <v>1</v>
      </c>
      <c r="V51" s="101">
        <f>(report_47_flagged!N45/100)*report_47_flagged!H45</f>
        <v>7.5905586340767996</v>
      </c>
      <c r="W51" s="677">
        <f t="shared" si="7"/>
        <v>0.1594667799742337</v>
      </c>
      <c r="X51" s="97">
        <f>report_47_flagged!AP45</f>
        <v>3</v>
      </c>
      <c r="Y51" s="101">
        <f>(report_47_flagged!P45/100)*report_47_flagged!H45</f>
        <v>0.49009457792554584</v>
      </c>
      <c r="Z51" s="101">
        <f t="shared" si="3"/>
        <v>1.8625915317129184E-2</v>
      </c>
      <c r="AA51" s="97">
        <f>report_47_flagged!AR45</f>
        <v>3</v>
      </c>
      <c r="AB51" s="101">
        <f>(report_47_flagged!R45/100)*report_47_flagged!H45</f>
        <v>2.8522691950115404</v>
      </c>
      <c r="AC51" s="101">
        <f t="shared" si="4"/>
        <v>7.9881871372160088E-2</v>
      </c>
      <c r="AD51" s="97">
        <f>report_47_flagged!AT45</f>
        <v>3</v>
      </c>
      <c r="AE51" s="101">
        <f>(report_47_flagged!L45/100)*report_47_flagged!H45</f>
        <v>4.7382894390652597</v>
      </c>
      <c r="AF51" s="101">
        <f t="shared" si="5"/>
        <v>9.0072377214482469E-2</v>
      </c>
      <c r="AG51" s="97">
        <f>report_47_flagged!AV45</f>
        <v>3</v>
      </c>
      <c r="AH51" s="101">
        <f>(report_47_flagged!T45/100)*report_47_flagged!H45</f>
        <v>3.5535724530735791</v>
      </c>
      <c r="AI51" s="101">
        <f t="shared" si="6"/>
        <v>0.17413810365094676</v>
      </c>
      <c r="AJ51" s="97">
        <f>report_47_flagged!AX45</f>
        <v>3</v>
      </c>
    </row>
    <row r="52" spans="1:36">
      <c r="A52">
        <f>report_47!A46</f>
        <v>2018</v>
      </c>
      <c r="B52" t="str">
        <f>LEFT(report_47!B46,2)</f>
        <v>47</v>
      </c>
      <c r="C52">
        <f>report_47!E46</f>
        <v>2000</v>
      </c>
      <c r="D52" s="146">
        <f>report_47!AF46</f>
        <v>1798.9</v>
      </c>
      <c r="E52" t="str">
        <f>report_47!D46</f>
        <v>McLane-PARFLUX-Mark78H-21 ; frame controller sn 12419-02, frame sn 12419-02, motor sn 12419-02, cup set S250x21</v>
      </c>
      <c r="G52">
        <f>report_47!C46</f>
        <v>20</v>
      </c>
      <c r="H52">
        <f>report_47_flagged!F46</f>
        <v>1</v>
      </c>
      <c r="I52" s="67">
        <f>report_47!V46</f>
        <v>43496</v>
      </c>
      <c r="J52" s="67">
        <f>report_47!W46</f>
        <v>43513</v>
      </c>
      <c r="K52" s="67">
        <f>report_47!X46</f>
        <v>43504.5</v>
      </c>
      <c r="L52" s="97">
        <f>report_47!Y46</f>
        <v>17</v>
      </c>
      <c r="M52" s="90">
        <f>report_47_flagged!H46</f>
        <v>71.497478991596637</v>
      </c>
      <c r="N52" s="90">
        <f t="shared" si="0"/>
        <v>4.2898487394957975E-2</v>
      </c>
      <c r="O52" s="90">
        <f>report_47_flagged!J46</f>
        <v>1</v>
      </c>
      <c r="P52" s="623">
        <f>report_47_flagged!BA46</f>
        <v>39.869999999999997</v>
      </c>
      <c r="Q52" s="623">
        <f t="shared" si="1"/>
        <v>0.87713999999999992</v>
      </c>
      <c r="R52" s="676">
        <f>report_47_flagged!BB46</f>
        <v>1</v>
      </c>
      <c r="S52" s="623">
        <f>report_47_flagged!BC46</f>
        <v>8.6620000000000008</v>
      </c>
      <c r="T52" s="623">
        <f t="shared" si="2"/>
        <v>0.25119800000000003</v>
      </c>
      <c r="U52" s="676">
        <f>report_47_flagged!BD46</f>
        <v>1</v>
      </c>
      <c r="V52" s="101">
        <f>(report_47_flagged!N46/100)*report_47_flagged!H46</f>
        <v>8.7148714456157528</v>
      </c>
      <c r="W52" s="677">
        <f t="shared" ref="W52:W74" si="8">V52*SQRT(($V$5)^2+($M$5)^2)</f>
        <v>0.18308698401758214</v>
      </c>
      <c r="X52" s="97">
        <f>report_47_flagged!AP46</f>
        <v>1</v>
      </c>
      <c r="Y52" s="101">
        <f>(report_47_flagged!P46/100)*report_47_flagged!H46</f>
        <v>0.46262586063797734</v>
      </c>
      <c r="Z52" s="101">
        <f t="shared" si="3"/>
        <v>1.7581973953333604E-2</v>
      </c>
      <c r="AA52" s="97">
        <f>report_47_flagged!AR46</f>
        <v>1</v>
      </c>
      <c r="AB52" s="101">
        <f>(report_47_flagged!R46/100)*report_47_flagged!H46</f>
        <v>2.9983362243626153</v>
      </c>
      <c r="AC52" s="101">
        <f t="shared" si="4"/>
        <v>8.3972687088552836E-2</v>
      </c>
      <c r="AD52" s="97">
        <f>report_47_flagged!AT46</f>
        <v>1</v>
      </c>
      <c r="AE52" s="101">
        <f>(report_47_flagged!L46/100)*report_47_flagged!H46</f>
        <v>5.7165352212531362</v>
      </c>
      <c r="AF52" s="101">
        <f t="shared" si="5"/>
        <v>0.10866831235834426</v>
      </c>
      <c r="AG52" s="97">
        <f>report_47_flagged!AV46</f>
        <v>1</v>
      </c>
      <c r="AH52" s="101">
        <f>(report_47_flagged!T46/100)*report_47_flagged!H46</f>
        <v>5.7675237848952765</v>
      </c>
      <c r="AI52" s="101">
        <f t="shared" si="6"/>
        <v>0.28262985148782016</v>
      </c>
      <c r="AJ52" s="97">
        <f>report_47_flagged!AX46</f>
        <v>1</v>
      </c>
    </row>
    <row r="53" spans="1:36">
      <c r="A53">
        <f>report_47!A47</f>
        <v>2018</v>
      </c>
      <c r="B53" t="str">
        <f>LEFT(report_47!B47,2)</f>
        <v>47</v>
      </c>
      <c r="C53">
        <f>report_47!E47</f>
        <v>2000</v>
      </c>
      <c r="D53" s="146">
        <f>report_47!AF47</f>
        <v>1798.9</v>
      </c>
      <c r="E53" t="str">
        <f>report_47!D47</f>
        <v>McLane-PARFLUX-Mark78H-21 ; frame controller sn 12419-02, frame sn 12419-02, motor sn 12419-02, cup set S250x21</v>
      </c>
      <c r="G53">
        <f>report_47!C47</f>
        <v>21</v>
      </c>
      <c r="H53">
        <f>report_47_flagged!F47</f>
        <v>1</v>
      </c>
      <c r="I53" s="67">
        <f>report_47!V47</f>
        <v>43513</v>
      </c>
      <c r="J53" s="67">
        <f>report_47!W47</f>
        <v>43530</v>
      </c>
      <c r="K53" s="67">
        <f>report_47!X47</f>
        <v>43521.5</v>
      </c>
      <c r="L53" s="97">
        <f>report_47!Y47</f>
        <v>17</v>
      </c>
      <c r="M53" s="90">
        <f>report_47_flagged!H47</f>
        <v>70.868907563025218</v>
      </c>
      <c r="N53" s="90">
        <f t="shared" si="0"/>
        <v>4.2521344537815128E-2</v>
      </c>
      <c r="O53" s="90">
        <f>report_47_flagged!J47</f>
        <v>1</v>
      </c>
      <c r="P53" s="623">
        <f>report_47_flagged!BA47</f>
        <v>40.14</v>
      </c>
      <c r="Q53" s="623">
        <f t="shared" si="1"/>
        <v>0.88307999999999998</v>
      </c>
      <c r="R53" s="676">
        <f>report_47_flagged!BB47</f>
        <v>1</v>
      </c>
      <c r="S53" s="623">
        <f>report_47_flagged!BC47</f>
        <v>8.6809999999999992</v>
      </c>
      <c r="T53" s="623">
        <f t="shared" si="2"/>
        <v>0.251749</v>
      </c>
      <c r="U53" s="676">
        <f>report_47_flagged!BD47</f>
        <v>1</v>
      </c>
      <c r="V53" s="101">
        <f>(report_47_flagged!N47/100)*report_47_flagged!H47</f>
        <v>10.902116437671566</v>
      </c>
      <c r="W53" s="677">
        <f t="shared" si="8"/>
        <v>0.22903787284044816</v>
      </c>
      <c r="X53" s="97">
        <f>report_47_flagged!AP47</f>
        <v>1</v>
      </c>
      <c r="Y53" s="101">
        <f>(report_47_flagged!P47/100)*report_47_flagged!H47</f>
        <v>0.87099946803605865</v>
      </c>
      <c r="Z53" s="101">
        <f t="shared" si="3"/>
        <v>3.3102105315208748E-2</v>
      </c>
      <c r="AA53" s="97">
        <f>report_47_flagged!AR47</f>
        <v>1</v>
      </c>
      <c r="AB53" s="101">
        <f>(report_47_flagged!R47/100)*report_47_flagged!H47</f>
        <v>5.1954002990796049</v>
      </c>
      <c r="AC53" s="101">
        <f t="shared" si="4"/>
        <v>0.14550460354296252</v>
      </c>
      <c r="AD53" s="97">
        <f>report_47_flagged!AT47</f>
        <v>1</v>
      </c>
      <c r="AE53" s="101">
        <f>(report_47_flagged!L47/100)*report_47_flagged!H47</f>
        <v>5.706716138591962</v>
      </c>
      <c r="AF53" s="101">
        <f t="shared" si="5"/>
        <v>0.10848165678807332</v>
      </c>
      <c r="AG53" s="97">
        <f>report_47_flagged!AV47</f>
        <v>1</v>
      </c>
      <c r="AH53" s="101">
        <f>(report_47_flagged!T47/100)*report_47_flagged!H47</f>
        <v>5.8072958583597014</v>
      </c>
      <c r="AI53" s="101">
        <f t="shared" si="6"/>
        <v>0.28457882918359523</v>
      </c>
      <c r="AJ53" s="97">
        <f>report_47_flagged!AX47</f>
        <v>1</v>
      </c>
    </row>
    <row r="54" spans="1:36">
      <c r="A54">
        <f>report_47!A48</f>
        <v>2018</v>
      </c>
      <c r="B54" t="str">
        <f>LEFT(report_47!B48,2)</f>
        <v>47</v>
      </c>
      <c r="C54">
        <f>report_47!E48</f>
        <v>3800</v>
      </c>
      <c r="D54" s="146">
        <f>report_47!AF48</f>
        <v>3799.6</v>
      </c>
      <c r="E54" t="str">
        <f>report_47!D48</f>
        <v>McLane-PARFLUX-Mark78H-21 ; frame controller sn 12993-01, frame sn 12993-01, motor sn 12993-01, cup set R250x21</v>
      </c>
      <c r="G54">
        <f>report_47!C48</f>
        <v>1</v>
      </c>
      <c r="H54">
        <f>report_47_flagged!F48</f>
        <v>1</v>
      </c>
      <c r="I54" s="67">
        <f>report_47!V48</f>
        <v>43173</v>
      </c>
      <c r="J54" s="67">
        <f>report_47!W48</f>
        <v>43190</v>
      </c>
      <c r="K54" s="67">
        <f>report_47!X48</f>
        <v>43181.5</v>
      </c>
      <c r="L54" s="97">
        <f>report_47!Y48</f>
        <v>17</v>
      </c>
      <c r="M54" s="90">
        <f>report_47_flagged!H48</f>
        <v>50.526050420168069</v>
      </c>
      <c r="N54" s="90">
        <f t="shared" si="0"/>
        <v>3.031563025210084E-2</v>
      </c>
      <c r="O54" s="90">
        <f>report_47_flagged!J48</f>
        <v>1</v>
      </c>
      <c r="P54" s="623">
        <f>report_47_flagged!BA48</f>
        <v>39.130000000000003</v>
      </c>
      <c r="Q54" s="623">
        <f t="shared" si="1"/>
        <v>0.86085999999999996</v>
      </c>
      <c r="R54" s="676">
        <f>report_47_flagged!BB48</f>
        <v>1</v>
      </c>
      <c r="S54" s="623">
        <f>report_47_flagged!BC48</f>
        <v>8.6329999999999991</v>
      </c>
      <c r="T54" s="623">
        <f t="shared" si="2"/>
        <v>0.250357</v>
      </c>
      <c r="U54" s="676">
        <f>report_47_flagged!BD48</f>
        <v>1</v>
      </c>
      <c r="V54" s="101">
        <f>(report_47_flagged!N48/100)*report_47_flagged!H48</f>
        <v>6.9728354994829971</v>
      </c>
      <c r="W54" s="677">
        <f t="shared" si="8"/>
        <v>0.14648930045816316</v>
      </c>
      <c r="X54" s="97">
        <f>report_47_flagged!AP48</f>
        <v>1</v>
      </c>
      <c r="Y54" s="101">
        <f>(report_47_flagged!P48/100)*report_47_flagged!H48</f>
        <v>0.35277013712870975</v>
      </c>
      <c r="Z54" s="101">
        <f t="shared" si="3"/>
        <v>1.3406936123193757E-2</v>
      </c>
      <c r="AA54" s="97">
        <f>report_47_flagged!AR48</f>
        <v>1</v>
      </c>
      <c r="AB54" s="101">
        <f>(report_47_flagged!R48/100)*report_47_flagged!H48</f>
        <v>2.6632832388576309</v>
      </c>
      <c r="AC54" s="101">
        <f t="shared" si="4"/>
        <v>7.4589049829567156E-2</v>
      </c>
      <c r="AD54" s="97">
        <f>report_47_flagged!AT48</f>
        <v>1</v>
      </c>
      <c r="AE54" s="101">
        <f>(report_47_flagged!L48/100)*report_47_flagged!H48</f>
        <v>4.3095522606253658</v>
      </c>
      <c r="AF54" s="101">
        <f t="shared" si="5"/>
        <v>8.1922310115599375E-2</v>
      </c>
      <c r="AG54" s="97">
        <f>report_47_flagged!AV48</f>
        <v>1</v>
      </c>
      <c r="AH54" s="101">
        <f>(report_47_flagged!T48/100)*report_47_flagged!H48</f>
        <v>1.7295396376430601</v>
      </c>
      <c r="AI54" s="101">
        <f t="shared" si="6"/>
        <v>8.4753795417287919E-2</v>
      </c>
      <c r="AJ54" s="97">
        <f>report_47_flagged!AX48</f>
        <v>1</v>
      </c>
    </row>
    <row r="55" spans="1:36">
      <c r="A55">
        <f>report_47!A49</f>
        <v>2018</v>
      </c>
      <c r="B55" t="str">
        <f>LEFT(report_47!B49,2)</f>
        <v>47</v>
      </c>
      <c r="C55">
        <f>report_47!E49</f>
        <v>3800</v>
      </c>
      <c r="D55" s="146">
        <f>report_47!AF49</f>
        <v>3799.6</v>
      </c>
      <c r="E55" t="str">
        <f>report_47!D49</f>
        <v>McLane-PARFLUX-Mark78H-21 ; frame controller sn 12993-01, frame sn 12993-01, motor sn 12993-01, cup set R250x21</v>
      </c>
      <c r="G55">
        <f>report_47!C49</f>
        <v>2</v>
      </c>
      <c r="H55">
        <f>report_47_flagged!F49</f>
        <v>1</v>
      </c>
      <c r="I55" s="67">
        <f>report_47!V49</f>
        <v>43190</v>
      </c>
      <c r="J55" s="67">
        <f>report_47!W49</f>
        <v>43207</v>
      </c>
      <c r="K55" s="67">
        <f>report_47!X49</f>
        <v>43198.5</v>
      </c>
      <c r="L55" s="97">
        <f>report_47!Y49</f>
        <v>17</v>
      </c>
      <c r="M55" s="90">
        <f>report_47_flagged!H49</f>
        <v>62.327731092436977</v>
      </c>
      <c r="N55" s="90">
        <f t="shared" si="0"/>
        <v>3.739663865546218E-2</v>
      </c>
      <c r="O55" s="90">
        <f>report_47_flagged!J49</f>
        <v>1</v>
      </c>
      <c r="P55" s="623">
        <f>report_47_flagged!BA49</f>
        <v>38.5</v>
      </c>
      <c r="Q55" s="623">
        <f t="shared" si="1"/>
        <v>0.84699999999999998</v>
      </c>
      <c r="R55" s="676">
        <f>report_47_flagged!BB49</f>
        <v>1</v>
      </c>
      <c r="S55" s="623">
        <f>report_47_flagged!BC49</f>
        <v>8.6050000000000004</v>
      </c>
      <c r="T55" s="623">
        <f t="shared" si="2"/>
        <v>0.24954500000000002</v>
      </c>
      <c r="U55" s="676">
        <f>report_47_flagged!BD49</f>
        <v>1</v>
      </c>
      <c r="V55" s="101">
        <f>(report_47_flagged!N49/100)*report_47_flagged!H49</f>
        <v>9.6498190911076662</v>
      </c>
      <c r="W55" s="677">
        <f t="shared" si="8"/>
        <v>0.20272889677506395</v>
      </c>
      <c r="X55" s="97">
        <f>report_47_flagged!AP49</f>
        <v>1</v>
      </c>
      <c r="Y55" s="101">
        <f>(report_47_flagged!P49/100)*report_47_flagged!H49</f>
        <v>0.64189871145897548</v>
      </c>
      <c r="Z55" s="101">
        <f t="shared" si="3"/>
        <v>2.4395191418799051E-2</v>
      </c>
      <c r="AA55" s="97">
        <f>report_47_flagged!AR49</f>
        <v>1</v>
      </c>
      <c r="AB55" s="101">
        <f>(report_47_flagged!R49/100)*report_47_flagged!H49</f>
        <v>4.2573084937264127</v>
      </c>
      <c r="AC55" s="101">
        <f t="shared" si="4"/>
        <v>0.11923200309502412</v>
      </c>
      <c r="AD55" s="97">
        <f>report_47_flagged!AT49</f>
        <v>1</v>
      </c>
      <c r="AE55" s="101">
        <f>(report_47_flagged!L49/100)*report_47_flagged!H49</f>
        <v>5.3925105973812535</v>
      </c>
      <c r="AF55" s="101">
        <f t="shared" si="5"/>
        <v>0.10250877556273505</v>
      </c>
      <c r="AG55" s="97">
        <f>report_47_flagged!AV49</f>
        <v>1</v>
      </c>
      <c r="AH55" s="101">
        <f>(report_47_flagged!T49/100)*report_47_flagged!H49</f>
        <v>1.6203685589106678</v>
      </c>
      <c r="AI55" s="101">
        <f t="shared" si="6"/>
        <v>7.9404011537816427E-2</v>
      </c>
      <c r="AJ55" s="97">
        <f>report_47_flagged!AX49</f>
        <v>1</v>
      </c>
    </row>
    <row r="56" spans="1:36">
      <c r="A56">
        <f>report_47!A50</f>
        <v>2018</v>
      </c>
      <c r="B56" t="str">
        <f>LEFT(report_47!B50,2)</f>
        <v>47</v>
      </c>
      <c r="C56">
        <f>report_47!E50</f>
        <v>3800</v>
      </c>
      <c r="D56" s="146">
        <f>report_47!AF50</f>
        <v>3799.6</v>
      </c>
      <c r="E56" t="str">
        <f>report_47!D50</f>
        <v>McLane-PARFLUX-Mark78H-21 ; frame controller sn 12993-01, frame sn 12993-01, motor sn 12993-01, cup set R250x21</v>
      </c>
      <c r="G56">
        <f>report_47!C50</f>
        <v>3</v>
      </c>
      <c r="H56">
        <f>report_47_flagged!F50</f>
        <v>1</v>
      </c>
      <c r="I56" s="67">
        <f>report_47!V50</f>
        <v>43207</v>
      </c>
      <c r="J56" s="67">
        <f>report_47!W50</f>
        <v>43224</v>
      </c>
      <c r="K56" s="67">
        <f>report_47!X50</f>
        <v>43215.5</v>
      </c>
      <c r="L56" s="97">
        <f>report_47!Y50</f>
        <v>17</v>
      </c>
      <c r="M56" s="90">
        <f>report_47_flagged!H50</f>
        <v>94.811764705882311</v>
      </c>
      <c r="N56" s="90">
        <f t="shared" si="0"/>
        <v>5.6887058823529381E-2</v>
      </c>
      <c r="O56" s="90">
        <f>report_47_flagged!J50</f>
        <v>2</v>
      </c>
      <c r="P56" s="623">
        <f>report_47_flagged!BA50</f>
        <v>39.47</v>
      </c>
      <c r="Q56" s="623">
        <f t="shared" si="1"/>
        <v>0.86833999999999989</v>
      </c>
      <c r="R56" s="676">
        <f>report_47_flagged!BB50</f>
        <v>1</v>
      </c>
      <c r="S56" s="623">
        <f>report_47_flagged!BC50</f>
        <v>8.548</v>
      </c>
      <c r="T56" s="623">
        <f t="shared" si="2"/>
        <v>0.247892</v>
      </c>
      <c r="U56" s="676">
        <f>report_47_flagged!BD50</f>
        <v>1</v>
      </c>
      <c r="V56" s="101">
        <f>(report_47_flagged!N50/100)*report_47_flagged!H50</f>
        <v>15.089563575408031</v>
      </c>
      <c r="W56" s="677">
        <f t="shared" si="8"/>
        <v>0.31701014781495951</v>
      </c>
      <c r="X56" s="97">
        <f>report_47_flagged!AP50</f>
        <v>3</v>
      </c>
      <c r="Y56" s="101">
        <f>(report_47_flagged!P50/100)*report_47_flagged!H50</f>
        <v>1.1340227744088447</v>
      </c>
      <c r="Z56" s="101">
        <f t="shared" si="3"/>
        <v>4.3098236779603546E-2</v>
      </c>
      <c r="AA56" s="97">
        <f>report_47_flagged!AR50</f>
        <v>2</v>
      </c>
      <c r="AB56" s="101">
        <f>(report_47_flagged!R50/100)*report_47_flagged!H50</f>
        <v>7.5756989603791309</v>
      </c>
      <c r="AC56" s="101">
        <f t="shared" si="4"/>
        <v>0.21216826622311999</v>
      </c>
      <c r="AD56" s="97">
        <f>report_47_flagged!AT50</f>
        <v>3</v>
      </c>
      <c r="AE56" s="101">
        <f>(report_47_flagged!L50/100)*report_47_flagged!H50</f>
        <v>7.5138646150289006</v>
      </c>
      <c r="AF56" s="101">
        <f t="shared" si="5"/>
        <v>0.14283459392825704</v>
      </c>
      <c r="AG56" s="97">
        <f>report_47_flagged!AV50</f>
        <v>2</v>
      </c>
      <c r="AH56" s="101">
        <f>(report_47_flagged!T50/100)*report_47_flagged!H50</f>
        <v>3.3269148473596362</v>
      </c>
      <c r="AI56" s="101">
        <f t="shared" si="6"/>
        <v>0.16303104838239535</v>
      </c>
      <c r="AJ56" s="97">
        <f>report_47_flagged!AX50</f>
        <v>2</v>
      </c>
    </row>
    <row r="57" spans="1:36">
      <c r="A57">
        <f>report_47!A51</f>
        <v>2018</v>
      </c>
      <c r="B57" t="str">
        <f>LEFT(report_47!B51,2)</f>
        <v>47</v>
      </c>
      <c r="C57">
        <f>report_47!E51</f>
        <v>3800</v>
      </c>
      <c r="D57" s="146">
        <f>report_47!AF51</f>
        <v>3799.6</v>
      </c>
      <c r="E57" t="str">
        <f>report_47!D51</f>
        <v>McLane-PARFLUX-Mark78H-21 ; frame controller sn 12993-01, frame sn 12993-01, motor sn 12993-01, cup set R250x21</v>
      </c>
      <c r="G57">
        <f>report_47!C51</f>
        <v>4</v>
      </c>
      <c r="H57">
        <f>report_47_flagged!F51</f>
        <v>1</v>
      </c>
      <c r="I57" s="67">
        <f>report_47!V51</f>
        <v>43224</v>
      </c>
      <c r="J57" s="67">
        <f>report_47!W51</f>
        <v>43241</v>
      </c>
      <c r="K57" s="67">
        <f>report_47!X51</f>
        <v>43232.5</v>
      </c>
      <c r="L57" s="97">
        <f>report_47!Y51</f>
        <v>17</v>
      </c>
      <c r="M57" s="90">
        <f>report_47_flagged!H51</f>
        <v>67.5781512605042</v>
      </c>
      <c r="N57" s="90">
        <f t="shared" si="0"/>
        <v>4.0546890756302516E-2</v>
      </c>
      <c r="O57" s="90">
        <f>report_47_flagged!J51</f>
        <v>1</v>
      </c>
      <c r="P57" s="623">
        <f>report_47_flagged!BA51</f>
        <v>40.06</v>
      </c>
      <c r="Q57" s="623">
        <f t="shared" si="1"/>
        <v>0.88131999999999999</v>
      </c>
      <c r="R57" s="676">
        <f>report_47_flagged!BB51</f>
        <v>1</v>
      </c>
      <c r="S57" s="623">
        <f>report_47_flagged!BC51</f>
        <v>8.5380000000000003</v>
      </c>
      <c r="T57" s="623">
        <f t="shared" si="2"/>
        <v>0.24760200000000002</v>
      </c>
      <c r="U57" s="676">
        <f>report_47_flagged!BD51</f>
        <v>1</v>
      </c>
      <c r="V57" s="101">
        <f>(report_47_flagged!N51/100)*report_47_flagged!H51</f>
        <v>9.584248024066957</v>
      </c>
      <c r="W57" s="677">
        <f t="shared" si="8"/>
        <v>0.20135134244414635</v>
      </c>
      <c r="X57" s="97">
        <f>report_47_flagged!AP51</f>
        <v>1</v>
      </c>
      <c r="Y57" s="101">
        <f>(report_47_flagged!P51/100)*report_47_flagged!H51</f>
        <v>0.58625053694769114</v>
      </c>
      <c r="Z57" s="101">
        <f t="shared" si="3"/>
        <v>2.2280297207181245E-2</v>
      </c>
      <c r="AA57" s="97">
        <f>report_47_flagged!AR51</f>
        <v>1</v>
      </c>
      <c r="AB57" s="101">
        <f>(report_47_flagged!R51/100)*report_47_flagged!H51</f>
        <v>3.8248888580715343</v>
      </c>
      <c r="AC57" s="101">
        <f t="shared" si="4"/>
        <v>0.10712147377521369</v>
      </c>
      <c r="AD57" s="97">
        <f>report_47_flagged!AT51</f>
        <v>1</v>
      </c>
      <c r="AE57" s="101">
        <f>(report_47_flagged!L51/100)*report_47_flagged!H51</f>
        <v>5.7593591659954226</v>
      </c>
      <c r="AF57" s="101">
        <f t="shared" si="5"/>
        <v>0.10948237290788307</v>
      </c>
      <c r="AG57" s="97">
        <f>report_47_flagged!AV51</f>
        <v>1</v>
      </c>
      <c r="AH57" s="101">
        <f>(report_47_flagged!T51/100)*report_47_flagged!H51</f>
        <v>2.5994024344511932</v>
      </c>
      <c r="AI57" s="101">
        <f t="shared" si="6"/>
        <v>0.1273802677554729</v>
      </c>
      <c r="AJ57" s="97">
        <f>report_47_flagged!AX51</f>
        <v>1</v>
      </c>
    </row>
    <row r="58" spans="1:36">
      <c r="A58">
        <f>report_47!A52</f>
        <v>2018</v>
      </c>
      <c r="B58" t="str">
        <f>LEFT(report_47!B52,2)</f>
        <v>47</v>
      </c>
      <c r="C58">
        <f>report_47!E52</f>
        <v>3800</v>
      </c>
      <c r="D58" s="146">
        <f>report_47!AF52</f>
        <v>3799.6</v>
      </c>
      <c r="E58" t="str">
        <f>report_47!D52</f>
        <v>McLane-PARFLUX-Mark78H-21 ; frame controller sn 12993-01, frame sn 12993-01, motor sn 12993-01, cup set R250x21</v>
      </c>
      <c r="G58">
        <f>report_47!C52</f>
        <v>5</v>
      </c>
      <c r="H58">
        <f>report_47_flagged!F52</f>
        <v>1</v>
      </c>
      <c r="I58" s="67">
        <f>report_47!V52</f>
        <v>43241</v>
      </c>
      <c r="J58" s="67">
        <f>report_47!W52</f>
        <v>43258</v>
      </c>
      <c r="K58" s="67">
        <f>report_47!X52</f>
        <v>43249.5</v>
      </c>
      <c r="L58" s="97">
        <f>report_47!Y52</f>
        <v>17</v>
      </c>
      <c r="M58" s="90">
        <f>report_47_flagged!H52</f>
        <v>42.818487394957984</v>
      </c>
      <c r="N58" s="90">
        <f t="shared" si="0"/>
        <v>2.5691092436974788E-2</v>
      </c>
      <c r="O58" s="90">
        <f>report_47_flagged!J52</f>
        <v>1</v>
      </c>
      <c r="P58" s="623">
        <f>report_47_flagged!BA52</f>
        <v>40.07</v>
      </c>
      <c r="Q58" s="623">
        <f t="shared" si="1"/>
        <v>0.88153999999999999</v>
      </c>
      <c r="R58" s="676">
        <f>report_47_flagged!BB52</f>
        <v>1</v>
      </c>
      <c r="S58" s="623">
        <f>report_47_flagged!BC52</f>
        <v>8.6754999999999995</v>
      </c>
      <c r="T58" s="623">
        <f t="shared" si="2"/>
        <v>0.25158950000000002</v>
      </c>
      <c r="U58" s="676">
        <f>report_47_flagged!BD52</f>
        <v>1</v>
      </c>
      <c r="V58" s="101">
        <f>(report_47_flagged!N52/100)*report_47_flagged!H52</f>
        <v>5.6112131213981566</v>
      </c>
      <c r="W58" s="677">
        <f t="shared" si="8"/>
        <v>0.11788356185030155</v>
      </c>
      <c r="X58" s="97">
        <f>report_47_flagged!AP52</f>
        <v>1</v>
      </c>
      <c r="Y58" s="101">
        <f>(report_47_flagged!P52/100)*report_47_flagged!H52</f>
        <v>0.26425309914901474</v>
      </c>
      <c r="Z58" s="101">
        <f t="shared" si="3"/>
        <v>1.0042869414862664E-2</v>
      </c>
      <c r="AA58" s="97">
        <f>report_47_flagged!AR52</f>
        <v>1</v>
      </c>
      <c r="AB58" s="101">
        <f>(report_47_flagged!R52/100)*report_47_flagged!H52</f>
        <v>1.7881507382784292</v>
      </c>
      <c r="AC58" s="101">
        <f t="shared" si="4"/>
        <v>5.0079714607236654E-2</v>
      </c>
      <c r="AD58" s="97">
        <f>report_47_flagged!AT52</f>
        <v>1</v>
      </c>
      <c r="AE58" s="101">
        <f>(report_47_flagged!L52/100)*report_47_flagged!H52</f>
        <v>3.8230623831197277</v>
      </c>
      <c r="AF58" s="101">
        <f t="shared" si="5"/>
        <v>7.2674394739969728E-2</v>
      </c>
      <c r="AG58" s="97">
        <f>report_47_flagged!AV52</f>
        <v>1</v>
      </c>
      <c r="AH58" s="101">
        <f>(report_47_flagged!T52/100)*report_47_flagged!H52</f>
        <v>1.6845400985612178</v>
      </c>
      <c r="AI58" s="101">
        <f t="shared" si="6"/>
        <v>8.2548652704044226E-2</v>
      </c>
      <c r="AJ58" s="97">
        <f>report_47_flagged!AX52</f>
        <v>1</v>
      </c>
    </row>
    <row r="59" spans="1:36">
      <c r="A59">
        <f>report_47!A53</f>
        <v>2018</v>
      </c>
      <c r="B59" t="str">
        <f>LEFT(report_47!B53,2)</f>
        <v>47</v>
      </c>
      <c r="C59">
        <f>report_47!E53</f>
        <v>3800</v>
      </c>
      <c r="D59" s="146">
        <f>report_47!AF53</f>
        <v>3799.6</v>
      </c>
      <c r="E59" t="str">
        <f>report_47!D53</f>
        <v>McLane-PARFLUX-Mark78H-21 ; frame controller sn 12993-01, frame sn 12993-01, motor sn 12993-01, cup set R250x21</v>
      </c>
      <c r="G59">
        <f>report_47!C53</f>
        <v>6</v>
      </c>
      <c r="H59">
        <f>report_47_flagged!F53</f>
        <v>1</v>
      </c>
      <c r="I59" s="67">
        <f>report_47!V53</f>
        <v>43258</v>
      </c>
      <c r="J59" s="67">
        <f>report_47!W53</f>
        <v>43275</v>
      </c>
      <c r="K59" s="67">
        <f>report_47!X53</f>
        <v>43266.5</v>
      </c>
      <c r="L59" s="97">
        <f>report_47!Y53</f>
        <v>17</v>
      </c>
      <c r="M59" s="90">
        <f>report_47_flagged!H53</f>
        <v>30.655462184873947</v>
      </c>
      <c r="N59" s="90">
        <f t="shared" si="0"/>
        <v>1.8393277310924366E-2</v>
      </c>
      <c r="O59" s="90">
        <f>report_47_flagged!J53</f>
        <v>1</v>
      </c>
      <c r="P59" s="623">
        <f>report_47_flagged!BA53</f>
        <v>40.1</v>
      </c>
      <c r="Q59" s="623">
        <f t="shared" si="1"/>
        <v>0.88219999999999998</v>
      </c>
      <c r="R59" s="676">
        <f>report_47_flagged!BB53</f>
        <v>1</v>
      </c>
      <c r="S59" s="623">
        <f>report_47_flagged!BC53</f>
        <v>8.6750000000000007</v>
      </c>
      <c r="T59" s="623">
        <f t="shared" si="2"/>
        <v>0.25157500000000005</v>
      </c>
      <c r="U59" s="676">
        <f>report_47_flagged!BD53</f>
        <v>1</v>
      </c>
      <c r="V59" s="101">
        <f>(report_47_flagged!N53/100)*report_47_flagged!H53</f>
        <v>4.3141589663209032</v>
      </c>
      <c r="W59" s="677">
        <f t="shared" si="8"/>
        <v>9.0634309254609496E-2</v>
      </c>
      <c r="X59" s="97">
        <f>report_47_flagged!AP53</f>
        <v>1</v>
      </c>
      <c r="Y59" s="101">
        <f>(report_47_flagged!P53/100)*report_47_flagged!H53</f>
        <v>0.25403814427992877</v>
      </c>
      <c r="Z59" s="101">
        <f t="shared" si="3"/>
        <v>9.6546527462244812E-3</v>
      </c>
      <c r="AA59" s="97">
        <f>report_47_flagged!AR53</f>
        <v>1</v>
      </c>
      <c r="AB59" s="101">
        <f>(report_47_flagged!R53/100)*report_47_flagged!H53</f>
        <v>1.6220414513763064</v>
      </c>
      <c r="AC59" s="101">
        <f t="shared" si="4"/>
        <v>4.5427586851117578E-2</v>
      </c>
      <c r="AD59" s="97">
        <f>report_47_flagged!AT53</f>
        <v>1</v>
      </c>
      <c r="AE59" s="101">
        <f>(report_47_flagged!L53/100)*report_47_flagged!H53</f>
        <v>2.6921175149445968</v>
      </c>
      <c r="AF59" s="101">
        <f t="shared" si="5"/>
        <v>5.1175730699904408E-2</v>
      </c>
      <c r="AG59" s="97">
        <f>report_47_flagged!AV53</f>
        <v>1</v>
      </c>
      <c r="AH59" s="101">
        <f>(report_47_flagged!T53/100)*report_47_flagged!H53</f>
        <v>1.0662612272631824</v>
      </c>
      <c r="AI59" s="101">
        <f t="shared" si="6"/>
        <v>5.2250716867062903E-2</v>
      </c>
      <c r="AJ59" s="97">
        <f>report_47_flagged!AX53</f>
        <v>1</v>
      </c>
    </row>
    <row r="60" spans="1:36">
      <c r="A60">
        <f>report_47!A54</f>
        <v>2018</v>
      </c>
      <c r="B60" t="str">
        <f>LEFT(report_47!B54,2)</f>
        <v>47</v>
      </c>
      <c r="C60">
        <f>report_47!E54</f>
        <v>3800</v>
      </c>
      <c r="D60" s="146">
        <f>report_47!AF54</f>
        <v>3799.6</v>
      </c>
      <c r="E60" t="str">
        <f>report_47!D54</f>
        <v>McLane-PARFLUX-Mark78H-21 ; frame controller sn 12993-01, frame sn 12993-01, motor sn 12993-01, cup set R250x21</v>
      </c>
      <c r="G60">
        <f>report_47!C54</f>
        <v>7</v>
      </c>
      <c r="H60">
        <f>report_47_flagged!F54</f>
        <v>1</v>
      </c>
      <c r="I60" s="67">
        <f>report_47!V54</f>
        <v>43275</v>
      </c>
      <c r="J60" s="67">
        <f>report_47!W54</f>
        <v>43292</v>
      </c>
      <c r="K60" s="67">
        <f>report_47!X54</f>
        <v>43283.5</v>
      </c>
      <c r="L60" s="97">
        <f>report_47!Y54</f>
        <v>17</v>
      </c>
      <c r="M60" s="90">
        <f>report_47_flagged!H54</f>
        <v>36.349579831932772</v>
      </c>
      <c r="N60" s="90">
        <f t="shared" si="0"/>
        <v>2.1809747899159661E-2</v>
      </c>
      <c r="O60" s="90">
        <f>report_47_flagged!J54</f>
        <v>1</v>
      </c>
      <c r="P60" s="623">
        <f>report_47_flagged!BA54</f>
        <v>40.200000000000003</v>
      </c>
      <c r="Q60" s="623">
        <f t="shared" si="1"/>
        <v>0.88439999999999996</v>
      </c>
      <c r="R60" s="676">
        <f>report_47_flagged!BB54</f>
        <v>1</v>
      </c>
      <c r="S60" s="623">
        <f>report_47_flagged!BC54</f>
        <v>8.6389999999999993</v>
      </c>
      <c r="T60" s="623">
        <f t="shared" si="2"/>
        <v>0.250531</v>
      </c>
      <c r="U60" s="676">
        <f>report_47_flagged!BD54</f>
        <v>1</v>
      </c>
      <c r="V60" s="101">
        <f>(report_47_flagged!N54/100)*report_47_flagged!H54</f>
        <v>5.0436841164596933</v>
      </c>
      <c r="W60" s="677">
        <f t="shared" si="8"/>
        <v>0.10596058920462288</v>
      </c>
      <c r="X60" s="97">
        <f>report_47_flagged!AP54</f>
        <v>1</v>
      </c>
      <c r="Y60" s="101">
        <f>(report_47_flagged!P54/100)*report_47_flagged!H54</f>
        <v>0.2731202109441036</v>
      </c>
      <c r="Z60" s="101">
        <f t="shared" si="3"/>
        <v>1.0379861662567011E-2</v>
      </c>
      <c r="AA60" s="97">
        <f>report_47_flagged!AR54</f>
        <v>1</v>
      </c>
      <c r="AB60" s="101">
        <f>(report_47_flagged!R54/100)*report_47_flagged!H54</f>
        <v>1.7927829260956201</v>
      </c>
      <c r="AC60" s="101">
        <f t="shared" si="4"/>
        <v>5.0209445641050607E-2</v>
      </c>
      <c r="AD60" s="97">
        <f>report_47_flagged!AT54</f>
        <v>1</v>
      </c>
      <c r="AE60" s="101">
        <f>(report_47_flagged!L54/100)*report_47_flagged!H54</f>
        <v>3.2509011903640737</v>
      </c>
      <c r="AF60" s="101">
        <f t="shared" si="5"/>
        <v>6.179791295384604E-2</v>
      </c>
      <c r="AG60" s="97">
        <f>report_47_flagged!AV54</f>
        <v>1</v>
      </c>
      <c r="AH60" s="101">
        <f>(report_47_flagged!T54/100)*report_47_flagged!H54</f>
        <v>1.2449252585538955</v>
      </c>
      <c r="AI60" s="101">
        <f t="shared" si="6"/>
        <v>6.1005910692557695E-2</v>
      </c>
      <c r="AJ60" s="97">
        <f>report_47_flagged!AX54</f>
        <v>1</v>
      </c>
    </row>
    <row r="61" spans="1:36">
      <c r="A61">
        <f>report_47!A55</f>
        <v>2018</v>
      </c>
      <c r="B61" t="str">
        <f>LEFT(report_47!B55,2)</f>
        <v>47</v>
      </c>
      <c r="C61">
        <f>report_47!E55</f>
        <v>3800</v>
      </c>
      <c r="D61" s="146">
        <f>report_47!AF55</f>
        <v>3799.6</v>
      </c>
      <c r="E61" t="str">
        <f>report_47!D55</f>
        <v>McLane-PARFLUX-Mark78H-21 ; frame controller sn 12993-01, frame sn 12993-01, motor sn 12993-01, cup set R250x21</v>
      </c>
      <c r="G61">
        <f>report_47!C55</f>
        <v>8</v>
      </c>
      <c r="H61">
        <f>report_47_flagged!F55</f>
        <v>1</v>
      </c>
      <c r="I61" s="67">
        <f>report_47!V55</f>
        <v>43292</v>
      </c>
      <c r="J61" s="67">
        <f>report_47!W55</f>
        <v>43309</v>
      </c>
      <c r="K61" s="67">
        <f>report_47!X55</f>
        <v>43300.5</v>
      </c>
      <c r="L61" s="97">
        <f>report_47!Y55</f>
        <v>17</v>
      </c>
      <c r="M61" s="90">
        <f>report_47_flagged!H55</f>
        <v>28.870588235294115</v>
      </c>
      <c r="N61" s="90">
        <f t="shared" si="0"/>
        <v>1.7322352941176466E-2</v>
      </c>
      <c r="O61" s="90">
        <f>report_47_flagged!J55</f>
        <v>1</v>
      </c>
      <c r="P61" s="623">
        <f>report_47_flagged!BA55</f>
        <v>39.96</v>
      </c>
      <c r="Q61" s="623">
        <f t="shared" si="1"/>
        <v>0.87912000000000001</v>
      </c>
      <c r="R61" s="676">
        <f>report_47_flagged!BB55</f>
        <v>1</v>
      </c>
      <c r="S61" s="623">
        <f>report_47_flagged!BC55</f>
        <v>8.6780000000000008</v>
      </c>
      <c r="T61" s="623">
        <f t="shared" si="2"/>
        <v>0.25166200000000005</v>
      </c>
      <c r="U61" s="676">
        <f>report_47_flagged!BD55</f>
        <v>1</v>
      </c>
      <c r="V61" s="101">
        <f>(report_47_flagged!N55/100)*report_47_flagged!H55</f>
        <v>3.9186994905247374</v>
      </c>
      <c r="W61" s="677">
        <f t="shared" si="8"/>
        <v>8.2326271301723972E-2</v>
      </c>
      <c r="X61" s="97">
        <f>report_47_flagged!AP55</f>
        <v>1</v>
      </c>
      <c r="Y61" s="101">
        <f>(report_47_flagged!P55/100)*report_47_flagged!H55</f>
        <v>0.19998643094301222</v>
      </c>
      <c r="Z61" s="101">
        <f t="shared" si="3"/>
        <v>7.6004316209458923E-3</v>
      </c>
      <c r="AA61" s="97">
        <f>report_47_flagged!AR55</f>
        <v>1</v>
      </c>
      <c r="AB61" s="101">
        <f>(report_47_flagged!R55/100)*report_47_flagged!H55</f>
        <v>1.3522784435147748</v>
      </c>
      <c r="AC61" s="101">
        <f t="shared" si="4"/>
        <v>3.7872488639262195E-2</v>
      </c>
      <c r="AD61" s="97">
        <f>report_47_flagged!AT55</f>
        <v>1</v>
      </c>
      <c r="AE61" s="101">
        <f>(report_47_flagged!L55/100)*report_47_flagged!H55</f>
        <v>2.5664210470099622</v>
      </c>
      <c r="AF61" s="101">
        <f t="shared" si="5"/>
        <v>4.878630729723233E-2</v>
      </c>
      <c r="AG61" s="97">
        <f>report_47_flagged!AV55</f>
        <v>1</v>
      </c>
      <c r="AH61" s="101">
        <f>(report_47_flagged!T55/100)*report_47_flagged!H55</f>
        <v>1.0414305451423278</v>
      </c>
      <c r="AI61" s="101">
        <f t="shared" si="6"/>
        <v>5.1033922231809248E-2</v>
      </c>
      <c r="AJ61" s="97">
        <f>report_47_flagged!AX55</f>
        <v>1</v>
      </c>
    </row>
    <row r="62" spans="1:36">
      <c r="A62">
        <f>report_47!A56</f>
        <v>2018</v>
      </c>
      <c r="B62" t="str">
        <f>LEFT(report_47!B56,2)</f>
        <v>47</v>
      </c>
      <c r="C62">
        <f>report_47!E56</f>
        <v>3800</v>
      </c>
      <c r="D62" s="146">
        <f>report_47!AF56</f>
        <v>3799.6</v>
      </c>
      <c r="E62" t="str">
        <f>report_47!D56</f>
        <v>McLane-PARFLUX-Mark78H-21 ; frame controller sn 12993-01, frame sn 12993-01, motor sn 12993-01, cup set R250x21</v>
      </c>
      <c r="G62">
        <f>report_47!C56</f>
        <v>9</v>
      </c>
      <c r="H62">
        <f>report_47_flagged!F56</f>
        <v>1</v>
      </c>
      <c r="I62" s="67">
        <f>report_47!V56</f>
        <v>43309</v>
      </c>
      <c r="J62" s="67">
        <f>report_47!W56</f>
        <v>43326</v>
      </c>
      <c r="K62" s="67">
        <f>report_47!X56</f>
        <v>43317.5</v>
      </c>
      <c r="L62" s="97">
        <f>report_47!Y56</f>
        <v>17</v>
      </c>
      <c r="M62" s="90">
        <f>report_47_flagged!H56</f>
        <v>30.87394957983193</v>
      </c>
      <c r="N62" s="90">
        <f t="shared" si="0"/>
        <v>1.8524369747899155E-2</v>
      </c>
      <c r="O62" s="90">
        <f>report_47_flagged!J56</f>
        <v>1</v>
      </c>
      <c r="P62" s="623">
        <f>report_47_flagged!BA56</f>
        <v>40.159999999999997</v>
      </c>
      <c r="Q62" s="623">
        <f t="shared" si="1"/>
        <v>0.88351999999999986</v>
      </c>
      <c r="R62" s="676">
        <f>report_47_flagged!BB56</f>
        <v>1</v>
      </c>
      <c r="S62" s="623">
        <f>report_47_flagged!BC56</f>
        <v>8.6489999999999991</v>
      </c>
      <c r="T62" s="623">
        <f t="shared" si="2"/>
        <v>0.25082099999999996</v>
      </c>
      <c r="U62" s="676">
        <f>report_47_flagged!BD56</f>
        <v>1</v>
      </c>
      <c r="V62" s="101">
        <f>(report_47_flagged!N56/100)*report_47_flagged!H56</f>
        <v>4.0148860017792511</v>
      </c>
      <c r="W62" s="677">
        <f t="shared" si="8"/>
        <v>8.4347012325691861E-2</v>
      </c>
      <c r="X62" s="97">
        <f>report_47_flagged!AP56</f>
        <v>1</v>
      </c>
      <c r="Y62" s="101">
        <f>(report_47_flagged!P56/100)*report_47_flagged!H56</f>
        <v>0.18581281461635554</v>
      </c>
      <c r="Z62" s="101">
        <f t="shared" si="3"/>
        <v>7.0617670665343302E-3</v>
      </c>
      <c r="AA62" s="97">
        <f>report_47_flagged!AR56</f>
        <v>1</v>
      </c>
      <c r="AB62" s="101">
        <f>(report_47_flagged!R56/100)*report_47_flagged!H56</f>
        <v>1.2390746333710108</v>
      </c>
      <c r="AC62" s="101">
        <f t="shared" si="4"/>
        <v>3.4702054299979572E-2</v>
      </c>
      <c r="AD62" s="97">
        <f>report_47_flagged!AT56</f>
        <v>1</v>
      </c>
      <c r="AE62" s="101">
        <f>(report_47_flagged!L56/100)*report_47_flagged!H56</f>
        <v>2.7758113684082408</v>
      </c>
      <c r="AF62" s="101">
        <f t="shared" si="5"/>
        <v>5.2766706607277031E-2</v>
      </c>
      <c r="AG62" s="97">
        <f>report_47_flagged!AV56</f>
        <v>1</v>
      </c>
      <c r="AH62" s="101">
        <f>(report_47_flagged!T56/100)*report_47_flagged!H56</f>
        <v>1.24939409093061</v>
      </c>
      <c r="AI62" s="101">
        <f t="shared" si="6"/>
        <v>6.1224899894520339E-2</v>
      </c>
      <c r="AJ62" s="97">
        <f>report_47_flagged!AX56</f>
        <v>1</v>
      </c>
    </row>
    <row r="63" spans="1:36">
      <c r="A63">
        <f>report_47!A57</f>
        <v>2018</v>
      </c>
      <c r="B63" t="str">
        <f>LEFT(report_47!B57,2)</f>
        <v>47</v>
      </c>
      <c r="C63">
        <f>report_47!E57</f>
        <v>3800</v>
      </c>
      <c r="D63" s="146">
        <f>report_47!AF57</f>
        <v>3799.6</v>
      </c>
      <c r="E63" t="str">
        <f>report_47!D57</f>
        <v>McLane-PARFLUX-Mark78H-21 ; frame controller sn 12993-01, frame sn 12993-01, motor sn 12993-01, cup set R250x21</v>
      </c>
      <c r="G63">
        <f>report_47!C57</f>
        <v>10</v>
      </c>
      <c r="H63">
        <f>report_47_flagged!F57</f>
        <v>1</v>
      </c>
      <c r="I63" s="67">
        <f>report_47!V57</f>
        <v>43326</v>
      </c>
      <c r="J63" s="67">
        <f>report_47!W57</f>
        <v>43343</v>
      </c>
      <c r="K63" s="67">
        <f>report_47!X57</f>
        <v>43334.5</v>
      </c>
      <c r="L63" s="97">
        <f>report_47!Y57</f>
        <v>17</v>
      </c>
      <c r="M63" s="90">
        <f>report_47_flagged!H57</f>
        <v>25.186554621848739</v>
      </c>
      <c r="N63" s="90">
        <f t="shared" si="0"/>
        <v>1.5111932773109241E-2</v>
      </c>
      <c r="O63" s="90">
        <f>report_47_flagged!J57</f>
        <v>1</v>
      </c>
      <c r="P63" s="623">
        <f>report_47_flagged!BA57</f>
        <v>40.08</v>
      </c>
      <c r="Q63" s="623">
        <f t="shared" si="1"/>
        <v>0.88175999999999988</v>
      </c>
      <c r="R63" s="676">
        <f>report_47_flagged!BB57</f>
        <v>1</v>
      </c>
      <c r="S63" s="623">
        <f>report_47_flagged!BC57</f>
        <v>8.6920000000000002</v>
      </c>
      <c r="T63" s="623">
        <f t="shared" si="2"/>
        <v>0.25206800000000001</v>
      </c>
      <c r="U63" s="676">
        <f>report_47_flagged!BD57</f>
        <v>1</v>
      </c>
      <c r="V63" s="101">
        <f>(report_47_flagged!N57/100)*report_47_flagged!H57</f>
        <v>3.4993886869093953</v>
      </c>
      <c r="W63" s="677">
        <f t="shared" si="8"/>
        <v>7.3517151066388425E-2</v>
      </c>
      <c r="X63" s="97">
        <f>report_47_flagged!AP57</f>
        <v>1</v>
      </c>
      <c r="Y63" s="101">
        <f>(report_47_flagged!P57/100)*report_47_flagged!H57</f>
        <v>0.23055421522685457</v>
      </c>
      <c r="Z63" s="101">
        <f t="shared" si="3"/>
        <v>8.7621522094760828E-3</v>
      </c>
      <c r="AA63" s="97">
        <f>report_47_flagged!AR57</f>
        <v>1</v>
      </c>
      <c r="AB63" s="101">
        <f>(report_47_flagged!R57/100)*report_47_flagged!H57</f>
        <v>1.3708547911525162</v>
      </c>
      <c r="AC63" s="101">
        <f t="shared" si="4"/>
        <v>3.8392745778790913E-2</v>
      </c>
      <c r="AD63" s="97">
        <f>report_47_flagged!AT57</f>
        <v>1</v>
      </c>
      <c r="AE63" s="101">
        <f>(report_47_flagged!L57/100)*report_47_flagged!H57</f>
        <v>2.1285338957568789</v>
      </c>
      <c r="AF63" s="101">
        <f t="shared" si="5"/>
        <v>4.0462304052545854E-2</v>
      </c>
      <c r="AG63" s="97">
        <f>report_47_flagged!AV57</f>
        <v>1</v>
      </c>
      <c r="AH63" s="101">
        <f>(report_47_flagged!T57/100)*report_47_flagged!H57</f>
        <v>0.97350530705267468</v>
      </c>
      <c r="AI63" s="101">
        <f t="shared" si="6"/>
        <v>4.7705336053485918E-2</v>
      </c>
      <c r="AJ63" s="97">
        <f>report_47_flagged!AX57</f>
        <v>1</v>
      </c>
    </row>
    <row r="64" spans="1:36">
      <c r="A64">
        <f>report_47!A58</f>
        <v>2018</v>
      </c>
      <c r="B64" t="str">
        <f>LEFT(report_47!B58,2)</f>
        <v>47</v>
      </c>
      <c r="C64">
        <f>report_47!E58</f>
        <v>3800</v>
      </c>
      <c r="D64" s="146">
        <f>report_47!AF58</f>
        <v>3799.6</v>
      </c>
      <c r="E64" t="str">
        <f>report_47!D58</f>
        <v>McLane-PARFLUX-Mark78H-21 ; frame controller sn 12993-01, frame sn 12993-01, motor sn 12993-01, cup set R250x21</v>
      </c>
      <c r="G64">
        <f>report_47!C58</f>
        <v>11</v>
      </c>
      <c r="H64">
        <f>report_47_flagged!F58</f>
        <v>1</v>
      </c>
      <c r="I64" s="67">
        <f>report_47!V58</f>
        <v>43343</v>
      </c>
      <c r="J64" s="67">
        <f>report_47!W58</f>
        <v>43360</v>
      </c>
      <c r="K64" s="67">
        <f>report_47!X58</f>
        <v>43351.5</v>
      </c>
      <c r="L64" s="97">
        <f>report_47!Y58</f>
        <v>17</v>
      </c>
      <c r="M64" s="90">
        <f>report_47_flagged!H58</f>
        <v>31.4</v>
      </c>
      <c r="N64" s="90">
        <f t="shared" si="0"/>
        <v>1.8839999999999999E-2</v>
      </c>
      <c r="O64" s="90">
        <f>report_47_flagged!J58</f>
        <v>1</v>
      </c>
      <c r="P64" s="623">
        <f>report_47_flagged!BA58</f>
        <v>40.119999999999997</v>
      </c>
      <c r="Q64" s="623">
        <f t="shared" si="1"/>
        <v>0.88263999999999987</v>
      </c>
      <c r="R64" s="676">
        <f>report_47_flagged!BB58</f>
        <v>1</v>
      </c>
      <c r="S64" s="623">
        <f>report_47_flagged!BC58</f>
        <v>8.7289999999999992</v>
      </c>
      <c r="T64" s="623">
        <f t="shared" si="2"/>
        <v>0.253141</v>
      </c>
      <c r="U64" s="676">
        <f>report_47_flagged!BD58</f>
        <v>1</v>
      </c>
      <c r="V64" s="101">
        <f>(report_47_flagged!N58/100)*report_47_flagged!H58</f>
        <v>3.8503767280578614</v>
      </c>
      <c r="W64" s="677">
        <f t="shared" si="8"/>
        <v>8.0890907785707566E-2</v>
      </c>
      <c r="X64" s="97">
        <f>report_47_flagged!AP58</f>
        <v>1</v>
      </c>
      <c r="Y64" s="101">
        <f>(report_47_flagged!P58/100)*report_47_flagged!H58</f>
        <v>0.14715084499120712</v>
      </c>
      <c r="Z64" s="101">
        <f t="shared" si="3"/>
        <v>5.592429096545946E-3</v>
      </c>
      <c r="AA64" s="97">
        <f>report_47_flagged!AR58</f>
        <v>1</v>
      </c>
      <c r="AB64" s="101">
        <f>(report_47_flagged!R58/100)*report_47_flagged!H58</f>
        <v>1.0243790791191549</v>
      </c>
      <c r="AC64" s="101">
        <f t="shared" si="4"/>
        <v>2.8689198753625026E-2</v>
      </c>
      <c r="AD64" s="97">
        <f>report_47_flagged!AT58</f>
        <v>1</v>
      </c>
      <c r="AE64" s="101">
        <f>(report_47_flagged!L58/100)*report_47_flagged!H58</f>
        <v>2.825997648938706</v>
      </c>
      <c r="AF64" s="101">
        <f t="shared" si="5"/>
        <v>5.3720721267855397E-2</v>
      </c>
      <c r="AG64" s="97">
        <f>report_47_flagged!AV58</f>
        <v>1</v>
      </c>
      <c r="AH64" s="101">
        <f>(report_47_flagged!T58/100)*report_47_flagged!H58</f>
        <v>1.3416858650513193</v>
      </c>
      <c r="AI64" s="101">
        <f t="shared" si="6"/>
        <v>6.5747535844734653E-2</v>
      </c>
      <c r="AJ64" s="97">
        <f>report_47_flagged!AX58</f>
        <v>1</v>
      </c>
    </row>
    <row r="65" spans="1:36">
      <c r="A65">
        <f>report_47!A59</f>
        <v>2018</v>
      </c>
      <c r="B65" t="str">
        <f>LEFT(report_47!B59,2)</f>
        <v>47</v>
      </c>
      <c r="C65">
        <f>report_47!E59</f>
        <v>3800</v>
      </c>
      <c r="D65" s="146">
        <f>report_47!AF59</f>
        <v>3799.6</v>
      </c>
      <c r="E65" t="str">
        <f>report_47!D59</f>
        <v>McLane-PARFLUX-Mark78H-21 ; frame controller sn 12993-01, frame sn 12993-01, motor sn 12993-01, cup set R250x21</v>
      </c>
      <c r="G65">
        <f>report_47!C59</f>
        <v>12</v>
      </c>
      <c r="H65">
        <f>report_47_flagged!F59</f>
        <v>1</v>
      </c>
      <c r="I65" s="67">
        <f>report_47!V59</f>
        <v>43360</v>
      </c>
      <c r="J65" s="67">
        <f>report_47!W59</f>
        <v>43377</v>
      </c>
      <c r="K65" s="67">
        <f>report_47!X59</f>
        <v>43368.5</v>
      </c>
      <c r="L65" s="97">
        <f>report_47!Y59</f>
        <v>17</v>
      </c>
      <c r="M65" s="90">
        <f>report_47_flagged!H59</f>
        <v>51.378151260504204</v>
      </c>
      <c r="N65" s="90">
        <f t="shared" si="0"/>
        <v>3.082689075630252E-2</v>
      </c>
      <c r="O65" s="90">
        <f>report_47_flagged!J59</f>
        <v>1</v>
      </c>
      <c r="P65" s="623">
        <f>report_47_flagged!BA59</f>
        <v>39.770000000000003</v>
      </c>
      <c r="Q65" s="623">
        <f t="shared" si="1"/>
        <v>0.87494000000000005</v>
      </c>
      <c r="R65" s="676">
        <f>report_47_flagged!BB59</f>
        <v>1</v>
      </c>
      <c r="S65" s="623">
        <f>report_47_flagged!BC59</f>
        <v>8.7430000000000003</v>
      </c>
      <c r="T65" s="623">
        <f t="shared" si="2"/>
        <v>0.25354700000000002</v>
      </c>
      <c r="U65" s="676">
        <f>report_47_flagged!BD59</f>
        <v>1</v>
      </c>
      <c r="V65" s="101">
        <f>(report_47_flagged!N59/100)*report_47_flagged!H59</f>
        <v>6.0892019044251002</v>
      </c>
      <c r="W65" s="677">
        <f t="shared" si="8"/>
        <v>0.12792542250478814</v>
      </c>
      <c r="X65" s="97">
        <f>report_47_flagged!AP59</f>
        <v>1</v>
      </c>
      <c r="Y65" s="101">
        <f>(report_47_flagged!P59/100)*report_47_flagged!H59</f>
        <v>0.22353313173065667</v>
      </c>
      <c r="Z65" s="101">
        <f t="shared" si="3"/>
        <v>8.4953177809292263E-3</v>
      </c>
      <c r="AA65" s="97">
        <f>report_47_flagged!AR59</f>
        <v>1</v>
      </c>
      <c r="AB65" s="101">
        <f>(report_47_flagged!R59/100)*report_47_flagged!H59</f>
        <v>1.5442607576847347</v>
      </c>
      <c r="AC65" s="101">
        <f t="shared" si="4"/>
        <v>4.3249227466395347E-2</v>
      </c>
      <c r="AD65" s="97">
        <f>report_47_flagged!AT59</f>
        <v>1</v>
      </c>
      <c r="AE65" s="101">
        <f>(report_47_flagged!L59/100)*report_47_flagged!H59</f>
        <v>4.5449411467403653</v>
      </c>
      <c r="AF65" s="101">
        <f t="shared" si="5"/>
        <v>8.6396928396079445E-2</v>
      </c>
      <c r="AG65" s="97">
        <f>report_47_flagged!AV59</f>
        <v>1</v>
      </c>
      <c r="AH65" s="101">
        <f>(report_47_flagged!T59/100)*report_47_flagged!H59</f>
        <v>2.864549269508212</v>
      </c>
      <c r="AI65" s="101">
        <f t="shared" si="6"/>
        <v>0.14037343664554131</v>
      </c>
      <c r="AJ65" s="97">
        <f>report_47_flagged!AX59</f>
        <v>1</v>
      </c>
    </row>
    <row r="66" spans="1:36">
      <c r="A66">
        <f>report_47!A60</f>
        <v>2018</v>
      </c>
      <c r="B66" t="str">
        <f>LEFT(report_47!B60,2)</f>
        <v>47</v>
      </c>
      <c r="C66">
        <f>report_47!E60</f>
        <v>3800</v>
      </c>
      <c r="D66" s="146">
        <f>report_47!AF60</f>
        <v>3799.6</v>
      </c>
      <c r="E66" t="str">
        <f>report_47!D60</f>
        <v>McLane-PARFLUX-Mark78H-21 ; frame controller sn 12993-01, frame sn 12993-01, motor sn 12993-01, cup set R250x21</v>
      </c>
      <c r="G66">
        <f>report_47!C60</f>
        <v>13</v>
      </c>
      <c r="H66">
        <f>report_47_flagged!F60</f>
        <v>1</v>
      </c>
      <c r="I66" s="67">
        <f>report_47!V60</f>
        <v>43377</v>
      </c>
      <c r="J66" s="67">
        <f>report_47!W60</f>
        <v>43394</v>
      </c>
      <c r="K66" s="67">
        <f>report_47!X60</f>
        <v>43385.5</v>
      </c>
      <c r="L66" s="97">
        <f>report_47!Y60</f>
        <v>17</v>
      </c>
      <c r="M66" s="90">
        <f>report_47_flagged!H60</f>
        <v>59.989915966386555</v>
      </c>
      <c r="N66" s="90">
        <f t="shared" si="0"/>
        <v>3.599394957983193E-2</v>
      </c>
      <c r="O66" s="90">
        <f>report_47_flagged!J60</f>
        <v>1</v>
      </c>
      <c r="P66" s="623">
        <f>report_47_flagged!BA60</f>
        <v>39.6</v>
      </c>
      <c r="Q66" s="623">
        <f t="shared" si="1"/>
        <v>0.87119999999999997</v>
      </c>
      <c r="R66" s="676">
        <f>report_47_flagged!BB60</f>
        <v>1</v>
      </c>
      <c r="S66" s="623">
        <f>report_47_flagged!BC60</f>
        <v>8.6579999999999995</v>
      </c>
      <c r="T66" s="623">
        <f t="shared" si="2"/>
        <v>0.25108199999999997</v>
      </c>
      <c r="U66" s="676">
        <f>report_47_flagged!BD60</f>
        <v>1</v>
      </c>
      <c r="V66" s="101">
        <f>(report_47_flagged!N60/100)*report_47_flagged!H60</f>
        <v>7.2645154476967173</v>
      </c>
      <c r="W66" s="677">
        <f t="shared" si="8"/>
        <v>0.15261707897447396</v>
      </c>
      <c r="X66" s="97">
        <f>report_47_flagged!AP60</f>
        <v>1</v>
      </c>
      <c r="Y66" s="101">
        <f>(report_47_flagged!P60/100)*report_47_flagged!H60</f>
        <v>0.31951779748011033</v>
      </c>
      <c r="Z66" s="101">
        <f t="shared" si="3"/>
        <v>1.2143189715280382E-2</v>
      </c>
      <c r="AA66" s="97">
        <f>report_47_flagged!AR60</f>
        <v>1</v>
      </c>
      <c r="AB66" s="101">
        <f>(report_47_flagged!R60/100)*report_47_flagged!H60</f>
        <v>2.0984002261403294</v>
      </c>
      <c r="AC66" s="101">
        <f t="shared" si="4"/>
        <v>5.8768694499459831E-2</v>
      </c>
      <c r="AD66" s="97">
        <f>report_47_flagged!AT60</f>
        <v>1</v>
      </c>
      <c r="AE66" s="101">
        <f>(report_47_flagged!L60/100)*report_47_flagged!H60</f>
        <v>5.1661152215563879</v>
      </c>
      <c r="AF66" s="101">
        <f t="shared" si="5"/>
        <v>9.8205119158213117E-2</v>
      </c>
      <c r="AG66" s="97">
        <f>report_47_flagged!AV60</f>
        <v>1</v>
      </c>
      <c r="AH66" s="101">
        <f>(report_47_flagged!T60/100)*report_47_flagged!H60</f>
        <v>3.5904135058958779</v>
      </c>
      <c r="AI66" s="101">
        <f t="shared" si="6"/>
        <v>0.1759434505686466</v>
      </c>
      <c r="AJ66" s="97">
        <f>report_47_flagged!AX60</f>
        <v>1</v>
      </c>
    </row>
    <row r="67" spans="1:36">
      <c r="A67">
        <f>report_47!A61</f>
        <v>2018</v>
      </c>
      <c r="B67" t="str">
        <f>LEFT(report_47!B61,2)</f>
        <v>47</v>
      </c>
      <c r="C67">
        <f>report_47!E61</f>
        <v>3800</v>
      </c>
      <c r="D67" s="146">
        <f>report_47!AF61</f>
        <v>3799.6</v>
      </c>
      <c r="E67" t="str">
        <f>report_47!D61</f>
        <v>McLane-PARFLUX-Mark78H-21 ; frame controller sn 12993-01, frame sn 12993-01, motor sn 12993-01, cup set R250x21</v>
      </c>
      <c r="G67">
        <f>report_47!C61</f>
        <v>14</v>
      </c>
      <c r="H67">
        <f>report_47_flagged!F61</f>
        <v>1</v>
      </c>
      <c r="I67" s="67">
        <f>report_47!V61</f>
        <v>43394</v>
      </c>
      <c r="J67" s="67">
        <f>report_47!W61</f>
        <v>43411</v>
      </c>
      <c r="K67" s="67">
        <f>report_47!X61</f>
        <v>43402.5</v>
      </c>
      <c r="L67" s="97">
        <f>report_47!Y61</f>
        <v>17</v>
      </c>
      <c r="M67" s="90">
        <f>report_47_flagged!H61</f>
        <v>41.828571428571422</v>
      </c>
      <c r="N67" s="90">
        <f t="shared" si="0"/>
        <v>2.5097142857142853E-2</v>
      </c>
      <c r="O67" s="90">
        <f>report_47_flagged!J61</f>
        <v>1</v>
      </c>
      <c r="P67" s="623">
        <f>report_47_flagged!BA61</f>
        <v>40.17</v>
      </c>
      <c r="Q67" s="623">
        <f t="shared" si="1"/>
        <v>0.88373999999999997</v>
      </c>
      <c r="R67" s="676">
        <f>report_47_flagged!BB61</f>
        <v>1</v>
      </c>
      <c r="S67" s="623">
        <f>report_47_flagged!BC61</f>
        <v>8.7270000000000003</v>
      </c>
      <c r="T67" s="623">
        <f t="shared" si="2"/>
        <v>0.253083</v>
      </c>
      <c r="U67" s="676">
        <f>report_47_flagged!BD61</f>
        <v>1</v>
      </c>
      <c r="V67" s="101">
        <f>(report_47_flagged!N61/100)*report_47_flagged!H61</f>
        <v>5.1221722019740508</v>
      </c>
      <c r="W67" s="677">
        <f t="shared" si="8"/>
        <v>0.10760951161820215</v>
      </c>
      <c r="X67" s="97">
        <f>report_47_flagged!AP61</f>
        <v>1</v>
      </c>
      <c r="Y67" s="101">
        <f>(report_47_flagged!P61/100)*report_47_flagged!H61</f>
        <v>0.20915041146959573</v>
      </c>
      <c r="Z67" s="101">
        <f t="shared" si="3"/>
        <v>7.9487062865797077E-3</v>
      </c>
      <c r="AA67" s="97">
        <f>report_47_flagged!AR61</f>
        <v>1</v>
      </c>
      <c r="AB67" s="101">
        <f>(report_47_flagged!R61/100)*report_47_flagged!H61</f>
        <v>1.3980601867872164</v>
      </c>
      <c r="AC67" s="101">
        <f t="shared" si="4"/>
        <v>3.9154671728319344E-2</v>
      </c>
      <c r="AD67" s="97">
        <f>report_47_flagged!AT61</f>
        <v>1</v>
      </c>
      <c r="AE67" s="101">
        <f>(report_47_flagged!L61/100)*report_47_flagged!H61</f>
        <v>3.7241120151868339</v>
      </c>
      <c r="AF67" s="101">
        <f t="shared" si="5"/>
        <v>7.0793400558296915E-2</v>
      </c>
      <c r="AG67" s="97">
        <f>report_47_flagged!AV61</f>
        <v>1</v>
      </c>
      <c r="AH67" s="101">
        <f>(report_47_flagged!T61/100)*report_47_flagged!H61</f>
        <v>2.1990201153290179</v>
      </c>
      <c r="AI67" s="101">
        <f t="shared" si="6"/>
        <v>0.10776006338142123</v>
      </c>
      <c r="AJ67" s="97">
        <f>report_47_flagged!AX61</f>
        <v>1</v>
      </c>
    </row>
    <row r="68" spans="1:36">
      <c r="A68">
        <f>report_47!A62</f>
        <v>2018</v>
      </c>
      <c r="B68" t="str">
        <f>LEFT(report_47!B62,2)</f>
        <v>47</v>
      </c>
      <c r="C68">
        <f>report_47!E62</f>
        <v>3800</v>
      </c>
      <c r="D68" s="146">
        <f>report_47!AF62</f>
        <v>3799.6</v>
      </c>
      <c r="E68" t="str">
        <f>report_47!D62</f>
        <v>McLane-PARFLUX-Mark78H-21 ; frame controller sn 12993-01, frame sn 12993-01, motor sn 12993-01, cup set R250x21</v>
      </c>
      <c r="G68">
        <f>report_47!C62</f>
        <v>15</v>
      </c>
      <c r="H68">
        <f>report_47_flagged!F62</f>
        <v>1</v>
      </c>
      <c r="I68" s="67">
        <f>report_47!V62</f>
        <v>43411</v>
      </c>
      <c r="J68" s="67">
        <f>report_47!W62</f>
        <v>43428</v>
      </c>
      <c r="K68" s="67">
        <f>report_47!X62</f>
        <v>43419.5</v>
      </c>
      <c r="L68" s="97">
        <f>report_47!Y62</f>
        <v>17</v>
      </c>
      <c r="M68" s="90">
        <f>report_47_flagged!H62</f>
        <v>75.349579831932772</v>
      </c>
      <c r="N68" s="90">
        <f t="shared" si="0"/>
        <v>4.5209747899159658E-2</v>
      </c>
      <c r="O68" s="90">
        <f>report_47_flagged!J62</f>
        <v>1</v>
      </c>
      <c r="P68" s="623">
        <f>report_47_flagged!BA62</f>
        <v>40.26</v>
      </c>
      <c r="Q68" s="623">
        <f t="shared" si="1"/>
        <v>0.88571999999999995</v>
      </c>
      <c r="R68" s="676">
        <f>report_47_flagged!BB62</f>
        <v>1</v>
      </c>
      <c r="S68" s="623">
        <f>report_47_flagged!BC62</f>
        <v>8.6950000000000003</v>
      </c>
      <c r="T68" s="623">
        <f t="shared" si="2"/>
        <v>0.25215500000000002</v>
      </c>
      <c r="U68" s="676">
        <f>report_47_flagged!BD62</f>
        <v>1</v>
      </c>
      <c r="V68" s="101">
        <f>(report_47_flagged!N62/100)*report_47_flagged!H62</f>
        <v>9.4631551797690499</v>
      </c>
      <c r="W68" s="677">
        <f t="shared" si="8"/>
        <v>0.1988073549869627</v>
      </c>
      <c r="X68" s="97">
        <f>report_47_flagged!AP62</f>
        <v>1</v>
      </c>
      <c r="Y68" s="101">
        <f>(report_47_flagged!P62/100)*report_47_flagged!H62</f>
        <v>0.27895894913613295</v>
      </c>
      <c r="Z68" s="101">
        <f t="shared" si="3"/>
        <v>1.0601761369321465E-2</v>
      </c>
      <c r="AA68" s="97">
        <f>report_47_flagged!AR62</f>
        <v>1</v>
      </c>
      <c r="AB68" s="101">
        <f>(report_47_flagged!R62/100)*report_47_flagged!H62</f>
        <v>2.3941115849951795</v>
      </c>
      <c r="AC68" s="101">
        <f t="shared" si="4"/>
        <v>6.7050513330811135E-2</v>
      </c>
      <c r="AD68" s="97">
        <f>report_47_flagged!AT62</f>
        <v>1</v>
      </c>
      <c r="AE68" s="101">
        <f>(report_47_flagged!L62/100)*report_47_flagged!H62</f>
        <v>7.0690435947738717</v>
      </c>
      <c r="AF68" s="101">
        <f t="shared" si="5"/>
        <v>0.13437878149961699</v>
      </c>
      <c r="AG68" s="97">
        <f>report_47_flagged!AV62</f>
        <v>1</v>
      </c>
      <c r="AH68" s="101">
        <f>(report_47_flagged!T62/100)*report_47_flagged!H62</f>
        <v>3.125799646226787</v>
      </c>
      <c r="AI68" s="101">
        <f t="shared" si="6"/>
        <v>0.15317566476404199</v>
      </c>
      <c r="AJ68" s="97">
        <f>report_47_flagged!AX62</f>
        <v>1</v>
      </c>
    </row>
    <row r="69" spans="1:36">
      <c r="A69">
        <f>report_47!A63</f>
        <v>2018</v>
      </c>
      <c r="B69" t="str">
        <f>LEFT(report_47!B63,2)</f>
        <v>47</v>
      </c>
      <c r="C69">
        <f>report_47!E63</f>
        <v>3800</v>
      </c>
      <c r="D69" s="146">
        <f>report_47!AF63</f>
        <v>3799.6</v>
      </c>
      <c r="E69" t="str">
        <f>report_47!D63</f>
        <v>McLane-PARFLUX-Mark78H-21 ; frame controller sn 12993-01, frame sn 12993-01, motor sn 12993-01, cup set R250x21</v>
      </c>
      <c r="G69">
        <f>report_47!C63</f>
        <v>16</v>
      </c>
      <c r="H69">
        <f>report_47_flagged!F63</f>
        <v>1</v>
      </c>
      <c r="I69" s="67">
        <f>report_47!V63</f>
        <v>43428</v>
      </c>
      <c r="J69" s="67">
        <f>report_47!W63</f>
        <v>43445</v>
      </c>
      <c r="K69" s="67">
        <f>report_47!X63</f>
        <v>43436.5</v>
      </c>
      <c r="L69" s="97">
        <f>report_47!Y63</f>
        <v>17</v>
      </c>
      <c r="M69" s="90">
        <f>report_47_flagged!H63</f>
        <v>40.596638655462186</v>
      </c>
      <c r="N69" s="90">
        <f t="shared" si="0"/>
        <v>2.4357983193277311E-2</v>
      </c>
      <c r="O69" s="90">
        <f>report_47_flagged!J63</f>
        <v>1</v>
      </c>
      <c r="P69" s="623">
        <f>report_47_flagged!BA63</f>
        <v>40.07</v>
      </c>
      <c r="Q69" s="623">
        <f t="shared" si="1"/>
        <v>0.88153999999999999</v>
      </c>
      <c r="R69" s="676">
        <f>report_47_flagged!BB63</f>
        <v>1</v>
      </c>
      <c r="S69" s="623">
        <f>report_47_flagged!BC63</f>
        <v>8.4930000000000003</v>
      </c>
      <c r="T69" s="623">
        <f t="shared" si="2"/>
        <v>0.24629700000000002</v>
      </c>
      <c r="U69" s="676">
        <f>report_47_flagged!BD63</f>
        <v>1</v>
      </c>
      <c r="V69" s="101">
        <f>(report_47_flagged!N63/100)*report_47_flagged!H63</f>
        <v>5.1851410320826945</v>
      </c>
      <c r="W69" s="677">
        <f t="shared" si="8"/>
        <v>0.10893239667320855</v>
      </c>
      <c r="X69" s="97">
        <f>report_47_flagged!AP63</f>
        <v>1</v>
      </c>
      <c r="Y69" s="101">
        <f>(report_47_flagged!P63/100)*report_47_flagged!H63</f>
        <v>0.21378831280880617</v>
      </c>
      <c r="Z69" s="101">
        <f t="shared" si="3"/>
        <v>8.1249685051069595E-3</v>
      </c>
      <c r="AA69" s="97">
        <f>report_47_flagged!AR63</f>
        <v>1</v>
      </c>
      <c r="AB69" s="101">
        <f>(report_47_flagged!R63/100)*report_47_flagged!H63</f>
        <v>1.3605380326684682</v>
      </c>
      <c r="AC69" s="101">
        <f t="shared" si="4"/>
        <v>3.8103810226830494E-2</v>
      </c>
      <c r="AD69" s="97">
        <f>report_47_flagged!AT63</f>
        <v>1</v>
      </c>
      <c r="AE69" s="101">
        <f>(report_47_flagged!L63/100)*report_47_flagged!H63</f>
        <v>3.8246029994142261</v>
      </c>
      <c r="AF69" s="101">
        <f t="shared" si="5"/>
        <v>7.2703681041240545E-2</v>
      </c>
      <c r="AG69" s="97">
        <f>report_47_flagged!AV63</f>
        <v>1</v>
      </c>
      <c r="AH69" s="101">
        <f>(report_47_flagged!T63/100)*report_47_flagged!H63</f>
        <v>1.5636025447589676</v>
      </c>
      <c r="AI69" s="101">
        <f t="shared" si="6"/>
        <v>7.6622268323983833E-2</v>
      </c>
      <c r="AJ69" s="97">
        <f>report_47_flagged!AX63</f>
        <v>1</v>
      </c>
    </row>
    <row r="70" spans="1:36">
      <c r="A70">
        <f>report_47!A64</f>
        <v>2018</v>
      </c>
      <c r="B70" t="str">
        <f>LEFT(report_47!B64,2)</f>
        <v>47</v>
      </c>
      <c r="C70">
        <f>report_47!E64</f>
        <v>3800</v>
      </c>
      <c r="D70" s="146">
        <f>report_47!AF64</f>
        <v>3799.6</v>
      </c>
      <c r="E70" t="str">
        <f>report_47!D64</f>
        <v>McLane-PARFLUX-Mark78H-21 ; frame controller sn 12993-01, frame sn 12993-01, motor sn 12993-01, cup set R250x21</v>
      </c>
      <c r="G70">
        <f>report_47!C64</f>
        <v>17</v>
      </c>
      <c r="H70">
        <f>report_47_flagged!F64</f>
        <v>1</v>
      </c>
      <c r="I70" s="67">
        <f>report_47!V64</f>
        <v>43445</v>
      </c>
      <c r="J70" s="67">
        <f>report_47!W64</f>
        <v>43462</v>
      </c>
      <c r="K70" s="67">
        <f>report_47!X64</f>
        <v>43453.5</v>
      </c>
      <c r="L70" s="97">
        <f>report_47!Y64</f>
        <v>17</v>
      </c>
      <c r="M70" s="90">
        <f>report_47_flagged!H64</f>
        <v>45.368067226890751</v>
      </c>
      <c r="N70" s="90">
        <f t="shared" si="0"/>
        <v>2.722084033613445E-2</v>
      </c>
      <c r="O70" s="90">
        <f>report_47_flagged!J64</f>
        <v>1</v>
      </c>
      <c r="P70" s="623">
        <f>report_47_flagged!BA64</f>
        <v>39.97</v>
      </c>
      <c r="Q70" s="623">
        <f t="shared" si="1"/>
        <v>0.8793399999999999</v>
      </c>
      <c r="R70" s="676">
        <f>report_47_flagged!BB64</f>
        <v>1</v>
      </c>
      <c r="S70" s="623">
        <f>report_47_flagged!BC64</f>
        <v>8.7195</v>
      </c>
      <c r="T70" s="623">
        <f t="shared" si="2"/>
        <v>0.25286550000000002</v>
      </c>
      <c r="U70" s="676">
        <f>report_47_flagged!BD64</f>
        <v>1</v>
      </c>
      <c r="V70" s="101">
        <f>(report_47_flagged!N64/100)*report_47_flagged!H64</f>
        <v>5.6431864029058882</v>
      </c>
      <c r="W70" s="677">
        <f t="shared" si="8"/>
        <v>0.11855527476275543</v>
      </c>
      <c r="X70" s="97">
        <f>report_47_flagged!AP64</f>
        <v>1</v>
      </c>
      <c r="Y70" s="101">
        <f>(report_47_flagged!P64/100)*report_47_flagged!H64</f>
        <v>0.17053627985265071</v>
      </c>
      <c r="Z70" s="101">
        <f t="shared" si="3"/>
        <v>6.4811863874900235E-3</v>
      </c>
      <c r="AA70" s="97">
        <f>report_47_flagged!AR64</f>
        <v>1</v>
      </c>
      <c r="AB70" s="101">
        <f>(report_47_flagged!R64/100)*report_47_flagged!H64</f>
        <v>1.3030969384966407</v>
      </c>
      <c r="AC70" s="101">
        <f t="shared" si="4"/>
        <v>3.6495090368222793E-2</v>
      </c>
      <c r="AD70" s="97">
        <f>report_47_flagged!AT64</f>
        <v>1</v>
      </c>
      <c r="AE70" s="101">
        <f>(report_47_flagged!L64/100)*report_47_flagged!H64</f>
        <v>4.3400894644092478</v>
      </c>
      <c r="AF70" s="101">
        <f t="shared" si="5"/>
        <v>8.2502806215229776E-2</v>
      </c>
      <c r="AG70" s="97">
        <f>report_47_flagged!AV64</f>
        <v>1</v>
      </c>
      <c r="AH70" s="101">
        <f>(report_47_flagged!T64/100)*report_47_flagged!H64</f>
        <v>1.7287697440418284</v>
      </c>
      <c r="AI70" s="101">
        <f t="shared" si="6"/>
        <v>8.4716067802752995E-2</v>
      </c>
      <c r="AJ70" s="97">
        <f>report_47_flagged!AX64</f>
        <v>1</v>
      </c>
    </row>
    <row r="71" spans="1:36">
      <c r="A71">
        <f>report_47!A65</f>
        <v>2018</v>
      </c>
      <c r="B71" t="str">
        <f>LEFT(report_47!B65,2)</f>
        <v>47</v>
      </c>
      <c r="C71">
        <f>report_47!E65</f>
        <v>3800</v>
      </c>
      <c r="D71" s="146">
        <f>report_47!AF65</f>
        <v>3799.6</v>
      </c>
      <c r="E71" t="str">
        <f>report_47!D65</f>
        <v>McLane-PARFLUX-Mark78H-21 ; frame controller sn 12993-01, frame sn 12993-01, motor sn 12993-01, cup set R250x21</v>
      </c>
      <c r="G71">
        <f>report_47!C65</f>
        <v>18</v>
      </c>
      <c r="H71">
        <f>report_47_flagged!F65</f>
        <v>1</v>
      </c>
      <c r="I71" s="67">
        <f>report_47!V65</f>
        <v>43462</v>
      </c>
      <c r="J71" s="67">
        <f>report_47!W65</f>
        <v>43479</v>
      </c>
      <c r="K71" s="67">
        <f>report_47!X65</f>
        <v>43470.5</v>
      </c>
      <c r="L71" s="97">
        <f>report_47!Y65</f>
        <v>17</v>
      </c>
      <c r="M71" s="90">
        <f>report_47_flagged!H65</f>
        <v>49.512605042016808</v>
      </c>
      <c r="N71" s="90">
        <f t="shared" si="0"/>
        <v>2.9707563025210083E-2</v>
      </c>
      <c r="O71" s="90">
        <f>report_47_flagged!J65</f>
        <v>1</v>
      </c>
      <c r="P71" s="623">
        <f>report_47_flagged!BA65</f>
        <v>40.17</v>
      </c>
      <c r="Q71" s="623">
        <f t="shared" si="1"/>
        <v>0.88373999999999997</v>
      </c>
      <c r="R71" s="676">
        <f>report_47_flagged!BB65</f>
        <v>1</v>
      </c>
      <c r="S71" s="623">
        <f>report_47_flagged!BC65</f>
        <v>8.7110000000000003</v>
      </c>
      <c r="T71" s="623">
        <f t="shared" si="2"/>
        <v>0.25261900000000004</v>
      </c>
      <c r="U71" s="676">
        <f>report_47_flagged!BD65</f>
        <v>1</v>
      </c>
      <c r="V71" s="101">
        <f>(report_47_flagged!N65/100)*report_47_flagged!H65</f>
        <v>6.0740872211616583</v>
      </c>
      <c r="W71" s="677">
        <f t="shared" si="8"/>
        <v>0.12760788462825678</v>
      </c>
      <c r="X71" s="97">
        <f>report_47_flagged!AP65</f>
        <v>1</v>
      </c>
      <c r="Y71" s="101">
        <f>(report_47_flagged!P65/100)*report_47_flagged!H65</f>
        <v>0.1826206589746876</v>
      </c>
      <c r="Z71" s="101">
        <f t="shared" si="3"/>
        <v>6.9404500323560093E-3</v>
      </c>
      <c r="AA71" s="97">
        <f>report_47_flagged!AR65</f>
        <v>1</v>
      </c>
      <c r="AB71" s="101">
        <f>(report_47_flagged!R65/100)*report_47_flagged!H65</f>
        <v>1.3879009689717166</v>
      </c>
      <c r="AC71" s="101">
        <f t="shared" si="4"/>
        <v>3.8870148327723474E-2</v>
      </c>
      <c r="AD71" s="97">
        <f>report_47_flagged!AT65</f>
        <v>1</v>
      </c>
      <c r="AE71" s="101">
        <f>(report_47_flagged!L65/100)*report_47_flagged!H65</f>
        <v>4.6861862521899411</v>
      </c>
      <c r="AF71" s="101">
        <f t="shared" si="5"/>
        <v>8.9081923177711728E-2</v>
      </c>
      <c r="AG71" s="97">
        <f>report_47_flagged!AV65</f>
        <v>1</v>
      </c>
      <c r="AH71" s="101">
        <f>(report_47_flagged!T65/100)*report_47_flagged!H65</f>
        <v>2.0012632500565632</v>
      </c>
      <c r="AI71" s="101">
        <f t="shared" si="6"/>
        <v>9.806925055650878E-2</v>
      </c>
      <c r="AJ71" s="97">
        <f>report_47_flagged!AX65</f>
        <v>1</v>
      </c>
    </row>
    <row r="72" spans="1:36">
      <c r="A72">
        <f>report_47!A66</f>
        <v>2018</v>
      </c>
      <c r="B72" t="str">
        <f>LEFT(report_47!B66,2)</f>
        <v>47</v>
      </c>
      <c r="C72">
        <f>report_47!E66</f>
        <v>3800</v>
      </c>
      <c r="D72" s="146">
        <f>report_47!AF66</f>
        <v>3799.6</v>
      </c>
      <c r="E72" t="str">
        <f>report_47!D66</f>
        <v>McLane-PARFLUX-Mark78H-21 ; frame controller sn 12993-01, frame sn 12993-01, motor sn 12993-01, cup set R250x21</v>
      </c>
      <c r="G72">
        <f>report_47!C66</f>
        <v>19</v>
      </c>
      <c r="H72">
        <f>report_47_flagged!F66</f>
        <v>1</v>
      </c>
      <c r="I72" s="67">
        <f>report_47!V66</f>
        <v>43479</v>
      </c>
      <c r="J72" s="67">
        <f>report_47!W66</f>
        <v>43496</v>
      </c>
      <c r="K72" s="67">
        <f>report_47!X66</f>
        <v>43487.5</v>
      </c>
      <c r="L72" s="97">
        <f>report_47!Y66</f>
        <v>17</v>
      </c>
      <c r="M72" s="90">
        <f>report_47_flagged!H66</f>
        <v>60.317647058823525</v>
      </c>
      <c r="N72" s="90">
        <f t="shared" si="0"/>
        <v>3.6190588235294113E-2</v>
      </c>
      <c r="O72" s="90">
        <f>report_47_flagged!J66</f>
        <v>1</v>
      </c>
      <c r="P72" s="623">
        <f>report_47_flagged!BA66</f>
        <v>40</v>
      </c>
      <c r="Q72" s="623">
        <f t="shared" si="1"/>
        <v>0.87999999999999989</v>
      </c>
      <c r="R72" s="676">
        <f>report_47_flagged!BB66</f>
        <v>1</v>
      </c>
      <c r="S72" s="623">
        <f>report_47_flagged!BC66</f>
        <v>8.6980000000000004</v>
      </c>
      <c r="T72" s="623">
        <f t="shared" si="2"/>
        <v>0.25224200000000002</v>
      </c>
      <c r="U72" s="676">
        <f>report_47_flagged!BD66</f>
        <v>1</v>
      </c>
      <c r="V72" s="101">
        <f>(report_47_flagged!N66/100)*report_47_flagged!H66</f>
        <v>7.3436184220033525</v>
      </c>
      <c r="W72" s="677">
        <f t="shared" si="8"/>
        <v>0.15427891932209126</v>
      </c>
      <c r="X72" s="97">
        <f>report_47_flagged!AP66</f>
        <v>1</v>
      </c>
      <c r="Y72" s="101">
        <f>(report_47_flagged!P66/100)*report_47_flagged!H66</f>
        <v>0.24068550704156649</v>
      </c>
      <c r="Z72" s="101">
        <f t="shared" si="3"/>
        <v>9.1471892857740694E-3</v>
      </c>
      <c r="AA72" s="97">
        <f>report_47_flagged!AR66</f>
        <v>1</v>
      </c>
      <c r="AB72" s="101">
        <f>(report_47_flagged!R66/100)*report_47_flagged!H66</f>
        <v>1.4378371990801839</v>
      </c>
      <c r="AC72" s="101">
        <f t="shared" si="4"/>
        <v>4.0268683752539523E-2</v>
      </c>
      <c r="AD72" s="97">
        <f>report_47_flagged!AT66</f>
        <v>1</v>
      </c>
      <c r="AE72" s="101">
        <f>(report_47_flagged!L66/100)*report_47_flagged!H66</f>
        <v>5.905781222923169</v>
      </c>
      <c r="AF72" s="101">
        <f t="shared" si="5"/>
        <v>0.11226577880018292</v>
      </c>
      <c r="AG72" s="97">
        <f>report_47_flagged!AV66</f>
        <v>1</v>
      </c>
      <c r="AH72" s="101">
        <f>(report_47_flagged!T66/100)*report_47_flagged!H66</f>
        <v>3.0907352855292021</v>
      </c>
      <c r="AI72" s="101">
        <f t="shared" si="6"/>
        <v>0.15145738228683264</v>
      </c>
      <c r="AJ72" s="97">
        <f>report_47_flagged!AX66</f>
        <v>1</v>
      </c>
    </row>
    <row r="73" spans="1:36">
      <c r="A73">
        <f>report_47!A67</f>
        <v>2018</v>
      </c>
      <c r="B73" t="str">
        <f>LEFT(report_47!B67,2)</f>
        <v>47</v>
      </c>
      <c r="C73">
        <f>report_47!E67</f>
        <v>3800</v>
      </c>
      <c r="D73" s="146">
        <f>report_47!AF67</f>
        <v>3799.6</v>
      </c>
      <c r="E73" t="str">
        <f>report_47!D67</f>
        <v>McLane-PARFLUX-Mark78H-21 ; frame controller sn 12993-01, frame sn 12993-01, motor sn 12993-01, cup set R250x21</v>
      </c>
      <c r="G73">
        <f>report_47!C67</f>
        <v>20</v>
      </c>
      <c r="H73">
        <f>report_47_flagged!F67</f>
        <v>1</v>
      </c>
      <c r="I73" s="67">
        <f>report_47!V67</f>
        <v>43496</v>
      </c>
      <c r="J73" s="67">
        <f>report_47!W67</f>
        <v>43513</v>
      </c>
      <c r="K73" s="67">
        <f>report_47!X67</f>
        <v>43504.5</v>
      </c>
      <c r="L73" s="97">
        <f>report_47!Y67</f>
        <v>17</v>
      </c>
      <c r="M73" s="90">
        <f>report_47_flagged!H67</f>
        <v>97.603361344537817</v>
      </c>
      <c r="N73" s="90">
        <f t="shared" si="0"/>
        <v>5.8562016806722683E-2</v>
      </c>
      <c r="O73" s="90">
        <f>report_47_flagged!J67</f>
        <v>1</v>
      </c>
      <c r="P73" s="623">
        <f>report_47_flagged!BA67</f>
        <v>39.83</v>
      </c>
      <c r="Q73" s="623">
        <f t="shared" si="1"/>
        <v>0.87625999999999993</v>
      </c>
      <c r="R73" s="676">
        <f>report_47_flagged!BB67</f>
        <v>1</v>
      </c>
      <c r="S73" s="623">
        <f>report_47_flagged!BC67</f>
        <v>8.6229999999999993</v>
      </c>
      <c r="T73" s="623">
        <f t="shared" si="2"/>
        <v>0.25006699999999998</v>
      </c>
      <c r="U73" s="676">
        <f>report_47_flagged!BD67</f>
        <v>1</v>
      </c>
      <c r="V73" s="101">
        <f>(report_47_flagged!N67/100)*report_47_flagged!H67</f>
        <v>11.248073085079675</v>
      </c>
      <c r="W73" s="677">
        <f t="shared" si="8"/>
        <v>0.23630592717378543</v>
      </c>
      <c r="X73" s="97">
        <f>report_47_flagged!AP67</f>
        <v>1</v>
      </c>
      <c r="Y73" s="101">
        <f>(report_47_flagged!P67/100)*report_47_flagged!H67</f>
        <v>0.43524549480746777</v>
      </c>
      <c r="Z73" s="101">
        <f t="shared" si="3"/>
        <v>1.6541390363387087E-2</v>
      </c>
      <c r="AA73" s="97">
        <f>report_47_flagged!AR67</f>
        <v>1</v>
      </c>
      <c r="AB73" s="101">
        <f>(report_47_flagged!R67/100)*report_47_flagged!H67</f>
        <v>2.4138805642299648</v>
      </c>
      <c r="AC73" s="101">
        <f t="shared" si="4"/>
        <v>6.7604171821094572E-2</v>
      </c>
      <c r="AD73" s="97">
        <f>report_47_flagged!AT67</f>
        <v>1</v>
      </c>
      <c r="AE73" s="101">
        <f>(report_47_flagged!L67/100)*report_47_flagged!H67</f>
        <v>8.8341925208497099</v>
      </c>
      <c r="AF73" s="101">
        <f t="shared" si="5"/>
        <v>0.16793332939161035</v>
      </c>
      <c r="AG73" s="97">
        <f>report_47_flagged!AV67</f>
        <v>1</v>
      </c>
      <c r="AH73" s="101">
        <f>(report_47_flagged!T67/100)*report_47_flagged!H67</f>
        <v>7.49413898609036</v>
      </c>
      <c r="AI73" s="101">
        <f t="shared" si="6"/>
        <v>0.36724033877673207</v>
      </c>
      <c r="AJ73" s="97">
        <f>report_47_flagged!AX67</f>
        <v>1</v>
      </c>
    </row>
    <row r="74" spans="1:36">
      <c r="A74">
        <f>report_47!A68</f>
        <v>2018</v>
      </c>
      <c r="B74" t="str">
        <f>LEFT(report_47!B68,2)</f>
        <v>47</v>
      </c>
      <c r="C74">
        <f>report_47!E68</f>
        <v>3800</v>
      </c>
      <c r="D74" s="146">
        <f>report_47!AF68</f>
        <v>3799.6</v>
      </c>
      <c r="E74" t="str">
        <f>report_47!D68</f>
        <v>McLane-PARFLUX-Mark78H-21 ; frame controller sn 12993-01, frame sn 12993-01, motor sn 12993-01, cup set R250x21</v>
      </c>
      <c r="G74">
        <f>report_47!C68</f>
        <v>21</v>
      </c>
      <c r="H74">
        <f>report_47_flagged!F68</f>
        <v>1</v>
      </c>
      <c r="I74" s="67">
        <f>report_47!V68</f>
        <v>43513</v>
      </c>
      <c r="J74" s="67">
        <f>report_47!W68</f>
        <v>43530</v>
      </c>
      <c r="K74" s="67">
        <f>report_47!X68</f>
        <v>43521.5</v>
      </c>
      <c r="L74" s="97">
        <f>report_47!Y68</f>
        <v>17</v>
      </c>
      <c r="M74" s="90">
        <f>report_47_flagged!H68</f>
        <v>89.470588235294116</v>
      </c>
      <c r="N74" s="90">
        <f t="shared" si="0"/>
        <v>5.3682352941176466E-2</v>
      </c>
      <c r="O74" s="90">
        <f>report_47_flagged!J68</f>
        <v>1</v>
      </c>
      <c r="P74" s="623">
        <f>report_47_flagged!BA68</f>
        <v>39.880000000000003</v>
      </c>
      <c r="Q74" s="623">
        <f t="shared" si="1"/>
        <v>0.87736000000000003</v>
      </c>
      <c r="R74" s="676">
        <f>report_47_flagged!BB68</f>
        <v>1</v>
      </c>
      <c r="S74" s="623">
        <f>report_47_flagged!BC68</f>
        <v>8.6319999999999997</v>
      </c>
      <c r="T74" s="623">
        <f t="shared" si="2"/>
        <v>0.25032799999999999</v>
      </c>
      <c r="U74" s="676">
        <f>report_47_flagged!BD68</f>
        <v>1</v>
      </c>
      <c r="V74" s="101">
        <f>(report_47_flagged!N68/100)*report_47_flagged!H68</f>
        <v>10.119492512310252</v>
      </c>
      <c r="W74" s="677">
        <f t="shared" si="8"/>
        <v>0.21259606357124899</v>
      </c>
      <c r="X74" s="97">
        <f>report_47_flagged!AP68</f>
        <v>1</v>
      </c>
      <c r="Y74" s="101">
        <f>(report_47_flagged!P68/100)*report_47_flagged!H68</f>
        <v>0.44129835558288233</v>
      </c>
      <c r="Z74" s="101">
        <f t="shared" si="3"/>
        <v>1.6771427742511839E-2</v>
      </c>
      <c r="AA74" s="97">
        <f>report_47_flagged!AR68</f>
        <v>1</v>
      </c>
      <c r="AB74" s="101">
        <f>(report_47_flagged!R68/100)*report_47_flagged!H68</f>
        <v>2.3114606871545873</v>
      </c>
      <c r="AC74" s="101">
        <f t="shared" si="4"/>
        <v>6.4735756925054344E-2</v>
      </c>
      <c r="AD74" s="97">
        <f>report_47_flagged!AT68</f>
        <v>1</v>
      </c>
      <c r="AE74" s="101">
        <f>(report_47_flagged!L68/100)*report_47_flagged!H68</f>
        <v>7.8080318251556644</v>
      </c>
      <c r="AF74" s="101">
        <f t="shared" si="5"/>
        <v>0.14842655707348373</v>
      </c>
      <c r="AG74" s="97">
        <f>report_47_flagged!AV68</f>
        <v>1</v>
      </c>
      <c r="AH74" s="101">
        <f>(report_47_flagged!T68/100)*report_47_flagged!H68</f>
        <v>7.9775944560211141</v>
      </c>
      <c r="AI74" s="101">
        <f t="shared" si="6"/>
        <v>0.39093143269564246</v>
      </c>
      <c r="AJ74" s="97">
        <f>report_47_flagged!AX68</f>
        <v>1</v>
      </c>
    </row>
  </sheetData>
  <pageMargins left="0.70866141732282995" right="0.70866141732282995" top="0.74803149606299002" bottom="0.74803149606299002" header="0.31496062992126" footer="0.31496062992126"/>
  <pageSetup paperSize="9" scale="51" orientation="landscape" r:id="rId1"/>
  <headerFooter>
    <oddHeader>&amp;F</oddHeader>
  </headerFooter>
  <rowBreaks count="1" manualBreakCount="1">
    <brk id="32" max="26" man="1"/>
  </rowBreaks>
  <colBreaks count="1" manualBreakCount="1">
    <brk id="35" max="73" man="1"/>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A5FD-C283-4F93-8E17-E707EA1BF199}">
  <dimension ref="A1:AR100"/>
  <sheetViews>
    <sheetView tabSelected="1" workbookViewId="0">
      <selection activeCell="B6" sqref="B6"/>
    </sheetView>
  </sheetViews>
  <sheetFormatPr defaultColWidth="8.83203125" defaultRowHeight="15.5"/>
  <cols>
    <col min="5" max="6" width="9.1640625" bestFit="1" customWidth="1"/>
    <col min="7" max="7" width="32.33203125" customWidth="1"/>
    <col min="8" max="8" width="14.6640625" bestFit="1" customWidth="1"/>
    <col min="9" max="9" width="24.6640625" bestFit="1" customWidth="1"/>
    <col min="11" max="11" width="25.6640625" customWidth="1"/>
    <col min="20" max="20" width="23.83203125" bestFit="1" customWidth="1"/>
    <col min="21" max="21" width="21.33203125" bestFit="1" customWidth="1"/>
    <col min="22" max="22" width="9.1640625" bestFit="1" customWidth="1"/>
    <col min="25" max="25" width="9.83203125" customWidth="1"/>
    <col min="33" max="33" width="9.33203125" bestFit="1" customWidth="1"/>
    <col min="35" max="35" width="35.1640625" customWidth="1"/>
  </cols>
  <sheetData>
    <row r="1" spans="1:44" s="1" customFormat="1" ht="27" customHeight="1">
      <c r="A1" s="1" t="s">
        <v>108</v>
      </c>
      <c r="B1" s="1" t="s">
        <v>109</v>
      </c>
      <c r="C1" s="1" t="s">
        <v>110</v>
      </c>
      <c r="D1" s="81" t="s">
        <v>111</v>
      </c>
      <c r="E1" s="82" t="s">
        <v>112</v>
      </c>
      <c r="F1" s="83" t="s">
        <v>113</v>
      </c>
      <c r="G1" s="84" t="s">
        <v>114</v>
      </c>
      <c r="H1" s="1" t="s">
        <v>115</v>
      </c>
      <c r="I1" s="83" t="s">
        <v>116</v>
      </c>
      <c r="J1" s="85" t="s">
        <v>116</v>
      </c>
      <c r="K1" s="85" t="s">
        <v>117</v>
      </c>
      <c r="L1" s="85" t="s">
        <v>118</v>
      </c>
      <c r="M1" s="86" t="s">
        <v>119</v>
      </c>
      <c r="N1" s="86" t="s">
        <v>120</v>
      </c>
      <c r="O1" s="86" t="s">
        <v>121</v>
      </c>
      <c r="P1" s="86" t="s">
        <v>122</v>
      </c>
      <c r="Q1" s="85" t="s">
        <v>123</v>
      </c>
      <c r="R1" s="85" t="s">
        <v>124</v>
      </c>
      <c r="S1" s="85" t="s">
        <v>125</v>
      </c>
      <c r="T1" s="87" t="s">
        <v>115</v>
      </c>
      <c r="U1" s="87" t="s">
        <v>115</v>
      </c>
      <c r="V1" s="88" t="s">
        <v>126</v>
      </c>
      <c r="W1" s="1" t="s">
        <v>115</v>
      </c>
      <c r="X1" s="1" t="s">
        <v>115</v>
      </c>
      <c r="Y1" s="82" t="s">
        <v>111</v>
      </c>
      <c r="Z1" s="1" t="s">
        <v>127</v>
      </c>
      <c r="AB1" s="89" t="s">
        <v>128</v>
      </c>
      <c r="AC1" s="89" t="s">
        <v>128</v>
      </c>
      <c r="AD1" s="90" t="s">
        <v>129</v>
      </c>
      <c r="AE1" s="90" t="s">
        <v>130</v>
      </c>
      <c r="AF1" t="s">
        <v>131</v>
      </c>
      <c r="AG1" s="90" t="s">
        <v>132</v>
      </c>
      <c r="AH1" s="91" t="s">
        <v>133</v>
      </c>
      <c r="AI1" s="92" t="s">
        <v>134</v>
      </c>
      <c r="AJ1" s="93" t="s">
        <v>135</v>
      </c>
      <c r="AK1" s="85" t="s">
        <v>136</v>
      </c>
      <c r="AM1" s="94" t="s">
        <v>137</v>
      </c>
      <c r="AN1" s="6"/>
    </row>
    <row r="2" spans="1:44" ht="29.25" customHeight="1">
      <c r="A2" s="95" t="s">
        <v>183</v>
      </c>
      <c r="D2" s="96" t="s">
        <v>138</v>
      </c>
      <c r="E2" s="90" t="s">
        <v>139</v>
      </c>
      <c r="F2" s="97"/>
      <c r="G2" s="98" t="s">
        <v>140</v>
      </c>
      <c r="H2" t="s">
        <v>141</v>
      </c>
      <c r="I2" s="99" t="s">
        <v>142</v>
      </c>
      <c r="J2" s="100"/>
      <c r="K2" s="100"/>
      <c r="L2" s="101" t="s">
        <v>143</v>
      </c>
      <c r="M2" s="102" t="s">
        <v>144</v>
      </c>
      <c r="N2" s="102"/>
      <c r="O2" s="102" t="s">
        <v>145</v>
      </c>
      <c r="P2" s="102"/>
      <c r="Q2" s="100" t="s">
        <v>146</v>
      </c>
      <c r="R2" s="101"/>
      <c r="S2" s="101"/>
      <c r="T2" s="103" t="s">
        <v>147</v>
      </c>
      <c r="U2" s="103" t="s">
        <v>147</v>
      </c>
      <c r="V2" s="104" t="s">
        <v>147</v>
      </c>
      <c r="W2" t="s">
        <v>141</v>
      </c>
      <c r="X2" t="s">
        <v>141</v>
      </c>
      <c r="Y2" s="90" t="s">
        <v>148</v>
      </c>
      <c r="AB2" s="89" t="s">
        <v>149</v>
      </c>
      <c r="AC2" s="89" t="s">
        <v>150</v>
      </c>
      <c r="AD2" s="90" t="s">
        <v>151</v>
      </c>
      <c r="AE2" s="90" t="s">
        <v>151</v>
      </c>
      <c r="AF2" t="s">
        <v>128</v>
      </c>
      <c r="AG2" s="90" t="s">
        <v>128</v>
      </c>
      <c r="AH2" s="91" t="s">
        <v>128</v>
      </c>
      <c r="AI2" s="594" t="s">
        <v>3437</v>
      </c>
      <c r="AJ2" s="106"/>
      <c r="AK2" s="85" t="s">
        <v>152</v>
      </c>
      <c r="AM2" s="107">
        <v>1</v>
      </c>
      <c r="AN2" s="108" t="s">
        <v>153</v>
      </c>
    </row>
    <row r="3" spans="1:44" ht="19" customHeight="1">
      <c r="A3" s="109"/>
      <c r="D3" s="96"/>
      <c r="E3" s="110" t="s">
        <v>154</v>
      </c>
      <c r="F3" s="99"/>
      <c r="G3" s="98"/>
      <c r="H3" t="s">
        <v>139</v>
      </c>
      <c r="I3" s="99" t="s">
        <v>154</v>
      </c>
      <c r="J3" s="111" t="s">
        <v>154</v>
      </c>
      <c r="K3" s="111"/>
      <c r="L3" s="112"/>
      <c r="M3" s="102" t="s">
        <v>155</v>
      </c>
      <c r="N3" s="102"/>
      <c r="O3" s="102" t="s">
        <v>155</v>
      </c>
      <c r="P3" s="102"/>
      <c r="Q3" s="101"/>
      <c r="R3" s="100" t="s">
        <v>156</v>
      </c>
      <c r="S3" s="101"/>
      <c r="T3" s="103" t="s">
        <v>157</v>
      </c>
      <c r="U3" s="103" t="s">
        <v>158</v>
      </c>
      <c r="V3" s="104" t="s">
        <v>159</v>
      </c>
      <c r="W3" t="s">
        <v>160</v>
      </c>
      <c r="X3" t="s">
        <v>160</v>
      </c>
      <c r="Y3" s="110" t="s">
        <v>161</v>
      </c>
      <c r="AB3" s="89" t="s">
        <v>155</v>
      </c>
      <c r="AC3" s="89" t="s">
        <v>155</v>
      </c>
      <c r="AD3" s="113" t="s">
        <v>155</v>
      </c>
      <c r="AE3" s="113" t="s">
        <v>155</v>
      </c>
      <c r="AF3" s="113" t="s">
        <v>155</v>
      </c>
      <c r="AG3" s="113" t="s">
        <v>155</v>
      </c>
      <c r="AH3" s="114" t="s">
        <v>155</v>
      </c>
      <c r="AI3" s="105" t="s">
        <v>162</v>
      </c>
      <c r="AJ3" s="106"/>
      <c r="AM3" s="107">
        <v>2</v>
      </c>
      <c r="AN3" s="6" t="s">
        <v>163</v>
      </c>
    </row>
    <row r="4" spans="1:44" s="1" customFormat="1" ht="18" customHeight="1">
      <c r="A4" s="115" t="s">
        <v>184</v>
      </c>
      <c r="B4" s="116"/>
      <c r="D4" s="81" t="s">
        <v>164</v>
      </c>
      <c r="E4" s="82" t="s">
        <v>165</v>
      </c>
      <c r="F4" s="83" t="s">
        <v>166</v>
      </c>
      <c r="G4" s="84"/>
      <c r="H4" s="1" t="s">
        <v>167</v>
      </c>
      <c r="I4" s="83" t="s">
        <v>168</v>
      </c>
      <c r="J4" s="85" t="s">
        <v>169</v>
      </c>
      <c r="K4" s="85"/>
      <c r="L4" s="117"/>
      <c r="M4" s="118" t="s">
        <v>170</v>
      </c>
      <c r="N4" s="86"/>
      <c r="O4" s="118" t="s">
        <v>170</v>
      </c>
      <c r="P4" s="118"/>
      <c r="Q4" s="85"/>
      <c r="R4" s="85" t="s">
        <v>171</v>
      </c>
      <c r="T4" s="87"/>
      <c r="U4" s="87"/>
      <c r="V4" s="88"/>
      <c r="W4" s="1" t="s">
        <v>167</v>
      </c>
      <c r="X4" s="1" t="s">
        <v>167</v>
      </c>
      <c r="Y4" s="82" t="s">
        <v>172</v>
      </c>
      <c r="AB4" s="89" t="s">
        <v>170</v>
      </c>
      <c r="AC4" s="89" t="s">
        <v>170</v>
      </c>
      <c r="AD4" s="90" t="s">
        <v>173</v>
      </c>
      <c r="AE4" s="90" t="s">
        <v>173</v>
      </c>
      <c r="AF4" s="89" t="s">
        <v>170</v>
      </c>
      <c r="AG4" s="89" t="s">
        <v>170</v>
      </c>
      <c r="AH4" s="114" t="s">
        <v>170</v>
      </c>
      <c r="AI4" s="92" t="s">
        <v>174</v>
      </c>
      <c r="AJ4" s="106"/>
      <c r="AM4" s="107">
        <v>3</v>
      </c>
      <c r="AN4" s="6" t="s">
        <v>175</v>
      </c>
    </row>
    <row r="5" spans="1:44" ht="13" customHeight="1">
      <c r="A5" s="119"/>
      <c r="B5" s="119"/>
      <c r="C5" s="119"/>
      <c r="D5" s="120"/>
      <c r="E5" s="90"/>
      <c r="F5" s="121"/>
      <c r="G5" s="98"/>
      <c r="H5" s="119"/>
      <c r="I5" s="121"/>
      <c r="J5" s="122"/>
      <c r="K5" s="122"/>
      <c r="L5" s="122"/>
      <c r="M5" s="123"/>
      <c r="N5" s="123"/>
      <c r="O5" s="123"/>
      <c r="P5" s="123"/>
      <c r="Q5" s="101"/>
      <c r="R5" s="124"/>
      <c r="S5" s="122"/>
      <c r="T5" s="125"/>
      <c r="U5" s="125"/>
      <c r="V5" s="126"/>
      <c r="W5" t="s">
        <v>176</v>
      </c>
      <c r="X5" t="s">
        <v>177</v>
      </c>
      <c r="Y5" s="127"/>
      <c r="Z5" s="119"/>
      <c r="AA5" s="119"/>
      <c r="AB5" s="89"/>
      <c r="AC5" s="89"/>
      <c r="AD5" s="90"/>
      <c r="AE5" s="90"/>
      <c r="AG5" s="90"/>
      <c r="AH5" s="128"/>
      <c r="AI5" s="129"/>
      <c r="AJ5" s="106"/>
      <c r="AM5" s="130">
        <v>4</v>
      </c>
      <c r="AN5" s="6" t="s">
        <v>178</v>
      </c>
    </row>
    <row r="6" spans="1:44" s="134" customFormat="1">
      <c r="A6" s="131" t="s">
        <v>279</v>
      </c>
      <c r="B6" s="719" t="s">
        <v>3541</v>
      </c>
      <c r="C6" s="133"/>
      <c r="E6" s="135"/>
      <c r="F6" s="136"/>
      <c r="G6" s="131"/>
      <c r="H6" s="629" t="s">
        <v>3471</v>
      </c>
      <c r="I6" s="180" t="s">
        <v>180</v>
      </c>
      <c r="J6" s="139"/>
      <c r="K6" s="139"/>
      <c r="L6" s="139"/>
      <c r="M6" s="140"/>
      <c r="N6" s="140"/>
      <c r="O6" s="140"/>
      <c r="P6" s="140"/>
      <c r="Q6" s="141"/>
      <c r="R6" s="139"/>
      <c r="S6" s="139"/>
      <c r="T6" s="142"/>
      <c r="U6" s="142"/>
      <c r="V6" s="143"/>
      <c r="W6" s="137">
        <v>0</v>
      </c>
      <c r="X6" s="144"/>
      <c r="Y6" s="144"/>
      <c r="Z6" s="139"/>
      <c r="AA6" s="139"/>
      <c r="AB6" s="89"/>
      <c r="AC6" s="89"/>
      <c r="AD6" s="90"/>
      <c r="AE6" s="90"/>
      <c r="AF6"/>
      <c r="AG6" s="90"/>
      <c r="AH6" s="128"/>
      <c r="AI6" t="s">
        <v>3464</v>
      </c>
      <c r="AJ6" s="106"/>
      <c r="AK6" s="146"/>
      <c r="AL6" s="145"/>
      <c r="AM6" s="130">
        <v>5</v>
      </c>
      <c r="AN6" s="6" t="s">
        <v>182</v>
      </c>
      <c r="AO6" s="139"/>
      <c r="AP6" s="139"/>
      <c r="AQ6" s="139"/>
      <c r="AR6" s="139"/>
    </row>
    <row r="7" spans="1:44">
      <c r="A7">
        <v>2018</v>
      </c>
      <c r="B7" t="s">
        <v>188</v>
      </c>
      <c r="C7" t="s">
        <v>187</v>
      </c>
      <c r="D7" s="231">
        <v>1</v>
      </c>
      <c r="E7" s="97">
        <f>'mass filt'!V6</f>
        <v>156.17142857142858</v>
      </c>
      <c r="F7">
        <v>0.5</v>
      </c>
      <c r="G7" s="183" t="s">
        <v>285</v>
      </c>
      <c r="H7" s="97">
        <f>U7-T7</f>
        <v>17</v>
      </c>
      <c r="I7" s="90">
        <f>E7/F7/H7</f>
        <v>18.373109243697481</v>
      </c>
      <c r="J7" s="90">
        <f>0.001*365.25*E7/F7/H7</f>
        <v>6.7107781512605049</v>
      </c>
      <c r="K7" s="97" t="s">
        <v>2742</v>
      </c>
      <c r="L7">
        <v>1</v>
      </c>
      <c r="M7" s="90">
        <f>'CHN data'!AI4</f>
        <v>13.717081069946289</v>
      </c>
      <c r="N7" s="90">
        <f>'CHN data'!AJ4</f>
        <v>0.35594463348388672</v>
      </c>
      <c r="O7" s="90">
        <f>'CHN data'!AH4</f>
        <v>0.42717266082763672</v>
      </c>
      <c r="R7" s="296">
        <f>pH_Sal!D3</f>
        <v>34.19</v>
      </c>
      <c r="S7" s="90">
        <f>pH_Sal!I3</f>
        <v>8.0990000000000002</v>
      </c>
      <c r="T7" s="67">
        <f>'traps and logs'!G47</f>
        <v>43173</v>
      </c>
      <c r="U7" s="67">
        <f>T8</f>
        <v>43190</v>
      </c>
      <c r="V7" s="203">
        <f>AVERAGE(T7:U7)</f>
        <v>43181.5</v>
      </c>
      <c r="W7" s="97">
        <f t="shared" ref="W7:W27" si="0">H7+W6</f>
        <v>17</v>
      </c>
      <c r="X7">
        <v>0</v>
      </c>
      <c r="AB7">
        <f>'BSi_results and calculations'!K5</f>
        <v>0.40676725214504</v>
      </c>
      <c r="AC7">
        <f>'BSi_results and calculations'!L5</f>
        <v>0.87015465223906929</v>
      </c>
      <c r="AF7" s="90">
        <f>'PIC data'!AF8</f>
        <v>90.314150985944266</v>
      </c>
      <c r="AG7" s="90">
        <f>AF7*12.01/100.0869</f>
        <v>10.83731190936267</v>
      </c>
      <c r="AH7" s="90">
        <f>M7-AG7</f>
        <v>2.8797691605836189</v>
      </c>
      <c r="AI7" s="90">
        <f>AF7+(AC7*1.11)+(AH7*2.2)+3.7</f>
        <v>101.3155148032136</v>
      </c>
      <c r="AK7" s="148">
        <f>(AH7/12.01)/(O7/14.01)</f>
        <v>7.8641059236540425</v>
      </c>
    </row>
    <row r="8" spans="1:44">
      <c r="A8">
        <v>2018</v>
      </c>
      <c r="B8" t="s">
        <v>188</v>
      </c>
      <c r="C8">
        <v>2</v>
      </c>
      <c r="D8" s="231">
        <v>2</v>
      </c>
      <c r="E8">
        <f>'mass filt'!V8</f>
        <v>245.78571428571428</v>
      </c>
      <c r="F8">
        <v>0.5</v>
      </c>
      <c r="G8" s="183" t="s">
        <v>285</v>
      </c>
      <c r="H8" s="97">
        <f t="shared" ref="H8:H27" si="1">U8-T8</f>
        <v>17</v>
      </c>
      <c r="I8" s="90">
        <f t="shared" ref="I8:I27" si="2">E8/F8/H8</f>
        <v>28.915966386554622</v>
      </c>
      <c r="J8" s="90">
        <f t="shared" ref="J8:J27" si="3">0.001*365.25*E8/F8/H8</f>
        <v>10.561556722689076</v>
      </c>
      <c r="K8" s="97" t="s">
        <v>2742</v>
      </c>
      <c r="L8">
        <v>1</v>
      </c>
      <c r="M8" s="90">
        <f>'CHN data'!AI5</f>
        <v>18.464334487915039</v>
      </c>
      <c r="N8" s="90">
        <f>'CHN data'!AJ5</f>
        <v>1.3780145645141602</v>
      </c>
      <c r="O8" s="90">
        <f>'CHN data'!AH5</f>
        <v>1.1302868127822876</v>
      </c>
      <c r="R8" s="296">
        <f>pH_Sal!D4</f>
        <v>34.409999999999997</v>
      </c>
      <c r="S8" s="90">
        <f>pH_Sal!I4</f>
        <v>8.0449999999999999</v>
      </c>
      <c r="T8" s="67">
        <f>'traps and logs'!G48</f>
        <v>43190</v>
      </c>
      <c r="U8" s="67">
        <f t="shared" ref="U8:U26" si="4">T9</f>
        <v>43207</v>
      </c>
      <c r="V8" s="203">
        <f t="shared" ref="V8:V27" si="5">AVERAGE(T8:U8)</f>
        <v>43198.5</v>
      </c>
      <c r="W8" s="97">
        <f t="shared" si="0"/>
        <v>34</v>
      </c>
      <c r="X8">
        <f t="shared" ref="X8:X27" si="6">X7+H8</f>
        <v>17</v>
      </c>
      <c r="AB8">
        <f>'BSi_results and calculations'!K6</f>
        <v>0.70060000092503527</v>
      </c>
      <c r="AC8">
        <f>'BSi_results and calculations'!L6</f>
        <v>1.4987203294975211</v>
      </c>
      <c r="AF8" s="90">
        <f>'PIC data'!AF9</f>
        <v>76.935824783728762</v>
      </c>
      <c r="AG8" s="90">
        <f t="shared" ref="AG8:AG27" si="7">AF8*12.01/100.0869</f>
        <v>9.2319699746178809</v>
      </c>
      <c r="AH8" s="90">
        <f>M8-AG8</f>
        <v>9.2323645132971581</v>
      </c>
      <c r="AI8" s="90">
        <f t="shared" ref="AI8:AI27" si="8">AF8+(AC8*1.11)+(AH8*2.2)+3.7</f>
        <v>102.61060627872477</v>
      </c>
      <c r="AK8" s="148">
        <f t="shared" ref="AK8:AK27" si="9">(AH8/12.01)/(O8/14.01)</f>
        <v>9.5283874899780674</v>
      </c>
    </row>
    <row r="9" spans="1:44">
      <c r="A9">
        <v>2018</v>
      </c>
      <c r="B9" t="s">
        <v>188</v>
      </c>
      <c r="C9">
        <v>3</v>
      </c>
      <c r="D9" s="231" t="s">
        <v>283</v>
      </c>
      <c r="E9">
        <f>'mass filt'!V10</f>
        <v>221.41428571428571</v>
      </c>
      <c r="F9">
        <v>0.5</v>
      </c>
      <c r="G9" s="183" t="s">
        <v>285</v>
      </c>
      <c r="H9" s="97">
        <f t="shared" si="1"/>
        <v>17</v>
      </c>
      <c r="I9" s="90">
        <f t="shared" si="2"/>
        <v>26.048739495798319</v>
      </c>
      <c r="J9" s="90">
        <f t="shared" si="3"/>
        <v>9.5143021008403377</v>
      </c>
      <c r="K9" s="97" t="s">
        <v>2742</v>
      </c>
      <c r="L9">
        <v>1</v>
      </c>
      <c r="M9" s="90">
        <f>'CHN data'!AI6</f>
        <v>13.149158477783203</v>
      </c>
      <c r="N9" s="90">
        <f>'CHN data'!AJ6</f>
        <v>0.20279805362224579</v>
      </c>
      <c r="O9" s="90">
        <f>'CHN data'!AH6</f>
        <v>0.26112067699432373</v>
      </c>
      <c r="R9" s="296">
        <f>pH_Sal!D5</f>
        <v>34.22</v>
      </c>
      <c r="S9" s="90">
        <f>pH_Sal!I5</f>
        <v>8.1460000000000008</v>
      </c>
      <c r="T9" s="67">
        <f>'traps and logs'!G49</f>
        <v>43207</v>
      </c>
      <c r="U9" s="67">
        <f t="shared" si="4"/>
        <v>43224</v>
      </c>
      <c r="V9" s="203">
        <f t="shared" si="5"/>
        <v>43215.5</v>
      </c>
      <c r="W9" s="97">
        <f t="shared" si="0"/>
        <v>51</v>
      </c>
      <c r="X9">
        <f t="shared" si="6"/>
        <v>34</v>
      </c>
      <c r="AB9">
        <f>'BSi_results and calculations'!K7</f>
        <v>0.11143208474468959</v>
      </c>
      <c r="AC9">
        <f>'BSi_results and calculations'!L7</f>
        <v>0.23837500791414734</v>
      </c>
      <c r="AF9" s="90">
        <f>'PIC data'!AF10</f>
        <v>95.056545469080149</v>
      </c>
      <c r="AG9" s="90">
        <f t="shared" si="7"/>
        <v>11.406378967513756</v>
      </c>
      <c r="AH9" s="90">
        <f t="shared" ref="AH9:AH27" si="10">M9-AG9</f>
        <v>1.7427795102694468</v>
      </c>
      <c r="AI9" s="90">
        <f t="shared" si="8"/>
        <v>102.85525665045765</v>
      </c>
      <c r="AK9" s="148">
        <f t="shared" si="9"/>
        <v>7.7856757044869891</v>
      </c>
    </row>
    <row r="10" spans="1:44">
      <c r="A10">
        <v>2018</v>
      </c>
      <c r="B10" t="s">
        <v>188</v>
      </c>
      <c r="C10">
        <v>4</v>
      </c>
      <c r="D10" s="231" t="s">
        <v>283</v>
      </c>
      <c r="E10">
        <f>'mass filt'!V11</f>
        <v>111.82857142857144</v>
      </c>
      <c r="F10">
        <v>0.5</v>
      </c>
      <c r="G10" s="183" t="s">
        <v>285</v>
      </c>
      <c r="H10" s="97">
        <f t="shared" si="1"/>
        <v>17</v>
      </c>
      <c r="I10" s="90">
        <f t="shared" si="2"/>
        <v>13.156302521008405</v>
      </c>
      <c r="J10" s="90">
        <f t="shared" si="3"/>
        <v>4.8053394957983198</v>
      </c>
      <c r="K10" s="97" t="s">
        <v>2742</v>
      </c>
      <c r="L10">
        <v>1</v>
      </c>
      <c r="M10" s="90">
        <f>'CHN data'!AI7</f>
        <v>14.327220916748047</v>
      </c>
      <c r="N10" s="90">
        <f>'CHN data'!AJ7</f>
        <v>0.5327681303024292</v>
      </c>
      <c r="O10" s="90">
        <f>'CHN data'!AH7</f>
        <v>0.57253855466842651</v>
      </c>
      <c r="R10" s="296">
        <f>pH_Sal!D6</f>
        <v>34.26</v>
      </c>
      <c r="S10" s="90">
        <f>pH_Sal!I6</f>
        <v>8.0690000000000008</v>
      </c>
      <c r="T10" s="67">
        <f>'traps and logs'!G50</f>
        <v>43224</v>
      </c>
      <c r="U10" s="67">
        <f t="shared" si="4"/>
        <v>43241</v>
      </c>
      <c r="V10" s="203">
        <f t="shared" si="5"/>
        <v>43232.5</v>
      </c>
      <c r="W10" s="97">
        <f t="shared" si="0"/>
        <v>68</v>
      </c>
      <c r="X10">
        <f t="shared" si="6"/>
        <v>51</v>
      </c>
      <c r="AB10">
        <f>'BSi_results and calculations'!K8</f>
        <v>0.28834022634973727</v>
      </c>
      <c r="AC10">
        <f>'BSi_results and calculations'!L8</f>
        <v>0.61681609830387008</v>
      </c>
      <c r="AF10" s="90">
        <f>'PIC data'!AF11</f>
        <v>88.614830630948248</v>
      </c>
      <c r="AG10" s="90">
        <f t="shared" si="7"/>
        <v>10.633400733539439</v>
      </c>
      <c r="AH10" s="90">
        <f t="shared" si="10"/>
        <v>3.6938201832086079</v>
      </c>
      <c r="AI10" s="90">
        <f t="shared" si="8"/>
        <v>101.12590090312449</v>
      </c>
      <c r="AK10" s="148">
        <f t="shared" si="9"/>
        <v>7.5260333856363335</v>
      </c>
    </row>
    <row r="11" spans="1:44">
      <c r="A11">
        <v>2018</v>
      </c>
      <c r="B11" t="s">
        <v>188</v>
      </c>
      <c r="C11">
        <v>5</v>
      </c>
      <c r="D11" s="231" t="s">
        <v>283</v>
      </c>
      <c r="E11">
        <f>'mass filt'!V12</f>
        <v>39.985714285714288</v>
      </c>
      <c r="F11">
        <v>0.5</v>
      </c>
      <c r="G11" s="183" t="s">
        <v>285</v>
      </c>
      <c r="H11" s="97">
        <f t="shared" si="1"/>
        <v>17</v>
      </c>
      <c r="I11" s="90">
        <f t="shared" si="2"/>
        <v>4.7042016806722691</v>
      </c>
      <c r="J11" s="90">
        <f t="shared" si="3"/>
        <v>1.7182096638655464</v>
      </c>
      <c r="K11" s="97" t="s">
        <v>2742</v>
      </c>
      <c r="L11" t="s">
        <v>2533</v>
      </c>
      <c r="M11" s="90" t="str">
        <f>'CHN data'!AI8</f>
        <v>NA</v>
      </c>
      <c r="N11" s="90" t="str">
        <f>'CHN data'!AJ8</f>
        <v>NA</v>
      </c>
      <c r="O11" s="90" t="str">
        <f>'CHN data'!AH8</f>
        <v>NA</v>
      </c>
      <c r="Q11" t="s">
        <v>2582</v>
      </c>
      <c r="R11" s="297">
        <f>AVERAGE(pH_Sal!D7,pH_Sal!G7)</f>
        <v>34.555</v>
      </c>
      <c r="S11" s="297">
        <f>AVERAGE(pH_Sal!I7,pH_Sal!L7)</f>
        <v>7.4964999999999993</v>
      </c>
      <c r="T11" s="67">
        <f>'traps and logs'!G51</f>
        <v>43241</v>
      </c>
      <c r="U11" s="67">
        <f t="shared" si="4"/>
        <v>43258</v>
      </c>
      <c r="V11" s="203">
        <f t="shared" si="5"/>
        <v>43249.5</v>
      </c>
      <c r="W11" s="97">
        <f t="shared" si="0"/>
        <v>85</v>
      </c>
      <c r="X11">
        <f t="shared" si="6"/>
        <v>68</v>
      </c>
      <c r="AB11" t="s">
        <v>2622</v>
      </c>
      <c r="AC11" t="s">
        <v>2622</v>
      </c>
      <c r="AF11" s="90" t="str">
        <f>'PIC data'!AF12</f>
        <v>NA</v>
      </c>
      <c r="AG11" s="90" t="s">
        <v>2622</v>
      </c>
      <c r="AH11" s="90" t="s">
        <v>2622</v>
      </c>
      <c r="AI11" s="90" t="s">
        <v>2622</v>
      </c>
      <c r="AK11" s="148" t="s">
        <v>2622</v>
      </c>
    </row>
    <row r="12" spans="1:44">
      <c r="A12">
        <v>2018</v>
      </c>
      <c r="B12" t="s">
        <v>188</v>
      </c>
      <c r="C12">
        <v>6</v>
      </c>
      <c r="D12" s="231" t="s">
        <v>283</v>
      </c>
      <c r="E12">
        <f>'mass filt'!V14</f>
        <v>18.157142857142858</v>
      </c>
      <c r="F12">
        <v>0.5</v>
      </c>
      <c r="G12" s="183" t="s">
        <v>285</v>
      </c>
      <c r="H12" s="97">
        <f t="shared" si="1"/>
        <v>17</v>
      </c>
      <c r="I12" s="90">
        <f t="shared" si="2"/>
        <v>2.1361344537815126</v>
      </c>
      <c r="J12" s="90">
        <f t="shared" si="3"/>
        <v>0.78022310924369753</v>
      </c>
      <c r="K12" s="97" t="s">
        <v>2742</v>
      </c>
      <c r="L12">
        <v>1</v>
      </c>
      <c r="M12" s="90">
        <f>'CHN data'!AI9</f>
        <v>22.348100662231445</v>
      </c>
      <c r="N12" s="90">
        <f>'CHN data'!AJ9</f>
        <v>2.3753461837768555</v>
      </c>
      <c r="O12" s="90">
        <f>'CHN data'!AH9</f>
        <v>2.6412904262542725</v>
      </c>
      <c r="R12" s="296">
        <f>pH_Sal!D8</f>
        <v>34.21</v>
      </c>
      <c r="S12" s="296">
        <f>pH_Sal!I8</f>
        <v>7.88</v>
      </c>
      <c r="T12" s="67">
        <f>'traps and logs'!G52</f>
        <v>43258</v>
      </c>
      <c r="U12" s="67">
        <f t="shared" si="4"/>
        <v>43275</v>
      </c>
      <c r="V12" s="203">
        <f t="shared" si="5"/>
        <v>43266.5</v>
      </c>
      <c r="W12" s="97">
        <f t="shared" si="0"/>
        <v>102</v>
      </c>
      <c r="X12">
        <f t="shared" si="6"/>
        <v>85</v>
      </c>
      <c r="AB12">
        <f>'BSi_results and calculations'!K9</f>
        <v>0.49115051534407933</v>
      </c>
      <c r="AC12">
        <f>'BSi_results and calculations'!L9</f>
        <v>1.0506669443583385</v>
      </c>
      <c r="AF12" s="90">
        <f>'PIC data'!AF13</f>
        <v>52.788837032790425</v>
      </c>
      <c r="AG12" s="90">
        <f t="shared" si="7"/>
        <v>6.3344347038804578</v>
      </c>
      <c r="AH12" s="90">
        <f t="shared" si="10"/>
        <v>16.013665958350987</v>
      </c>
      <c r="AI12" s="90">
        <f t="shared" si="8"/>
        <v>92.885142449400362</v>
      </c>
      <c r="AK12" s="148">
        <f t="shared" si="9"/>
        <v>7.0724475546797807</v>
      </c>
    </row>
    <row r="13" spans="1:44" s="646" customFormat="1">
      <c r="A13" s="646">
        <v>2018</v>
      </c>
      <c r="B13" s="646" t="s">
        <v>188</v>
      </c>
      <c r="C13" s="646">
        <v>7</v>
      </c>
      <c r="D13" s="646" t="s">
        <v>283</v>
      </c>
      <c r="E13" s="646">
        <f>'mass filt'!V15</f>
        <v>24.357142857142854</v>
      </c>
      <c r="F13" s="646">
        <v>0.5</v>
      </c>
      <c r="G13" s="646" t="s">
        <v>285</v>
      </c>
      <c r="H13" s="647">
        <f t="shared" si="1"/>
        <v>17</v>
      </c>
      <c r="I13" s="648">
        <f t="shared" si="2"/>
        <v>2.8655462184873945</v>
      </c>
      <c r="J13" s="648">
        <f t="shared" si="3"/>
        <v>1.0466407563025211</v>
      </c>
      <c r="K13" s="647" t="s">
        <v>2742</v>
      </c>
      <c r="L13" s="646">
        <v>1</v>
      </c>
      <c r="M13" s="648">
        <f>'CHN data'!AI10</f>
        <v>14.52754020690918</v>
      </c>
      <c r="N13" s="648">
        <f>'CHN data'!AJ10</f>
        <v>1.2516330480575562</v>
      </c>
      <c r="O13" s="648">
        <f>'CHN data'!AH10</f>
        <v>1.6864792108535767</v>
      </c>
      <c r="R13" s="648">
        <f>pH_Sal!D9</f>
        <v>34.14</v>
      </c>
      <c r="S13" s="648">
        <f>pH_Sal!I9</f>
        <v>7.944</v>
      </c>
      <c r="T13" s="649">
        <f>'traps and logs'!G53</f>
        <v>43275</v>
      </c>
      <c r="U13" s="649">
        <f t="shared" si="4"/>
        <v>43292</v>
      </c>
      <c r="V13" s="650">
        <f t="shared" si="5"/>
        <v>43283.5</v>
      </c>
      <c r="W13" s="647">
        <f t="shared" si="0"/>
        <v>119</v>
      </c>
      <c r="X13" s="646">
        <f t="shared" si="6"/>
        <v>102</v>
      </c>
      <c r="AB13" s="646">
        <f>'BSi_results and calculations'!K10</f>
        <v>0.87233667623988664</v>
      </c>
      <c r="AC13" s="646">
        <f>'BSi_results and calculations'!L10</f>
        <v>1.8660986427644994</v>
      </c>
      <c r="AF13" s="648">
        <f>'PIC data'!AF14</f>
        <v>62.40103589859973</v>
      </c>
      <c r="AG13" s="648">
        <f t="shared" si="7"/>
        <v>7.4878574632862316</v>
      </c>
      <c r="AH13" s="648">
        <f>M13-AG13</f>
        <v>7.0396827436229481</v>
      </c>
      <c r="AI13" s="648">
        <f t="shared" si="8"/>
        <v>83.659707428038814</v>
      </c>
      <c r="AK13" s="652">
        <f t="shared" si="9"/>
        <v>4.8693077438662282</v>
      </c>
      <c r="AL13" s="653" t="s">
        <v>3375</v>
      </c>
    </row>
    <row r="14" spans="1:44">
      <c r="A14">
        <v>2018</v>
      </c>
      <c r="B14" t="s">
        <v>188</v>
      </c>
      <c r="C14">
        <v>8</v>
      </c>
      <c r="D14" s="231" t="s">
        <v>283</v>
      </c>
      <c r="E14">
        <f>'mass filt'!V16</f>
        <v>31.014285714285712</v>
      </c>
      <c r="F14">
        <v>0.5</v>
      </c>
      <c r="G14" s="183" t="s">
        <v>285</v>
      </c>
      <c r="H14" s="97">
        <f t="shared" si="1"/>
        <v>17</v>
      </c>
      <c r="I14" s="90">
        <f t="shared" si="2"/>
        <v>3.6487394957983192</v>
      </c>
      <c r="J14" s="90">
        <f t="shared" si="3"/>
        <v>1.3327021008403361</v>
      </c>
      <c r="K14" s="97" t="s">
        <v>2742</v>
      </c>
      <c r="L14" t="s">
        <v>2533</v>
      </c>
      <c r="M14" s="90" t="str">
        <f>'CHN data'!AI11</f>
        <v>NA</v>
      </c>
      <c r="N14" s="90" t="str">
        <f>'CHN data'!AJ11</f>
        <v>NA</v>
      </c>
      <c r="O14" s="90" t="str">
        <f>'CHN data'!AH11</f>
        <v>NA</v>
      </c>
      <c r="R14" s="296">
        <f>pH_Sal!D10</f>
        <v>34.42</v>
      </c>
      <c r="S14" s="296">
        <f>pH_Sal!I10</f>
        <v>7.4980000000000002</v>
      </c>
      <c r="T14" s="67">
        <f>'traps and logs'!G54</f>
        <v>43292</v>
      </c>
      <c r="U14" s="67">
        <f t="shared" si="4"/>
        <v>43309</v>
      </c>
      <c r="V14" s="203">
        <f t="shared" si="5"/>
        <v>43300.5</v>
      </c>
      <c r="W14" s="97">
        <f t="shared" si="0"/>
        <v>136</v>
      </c>
      <c r="X14">
        <f t="shared" si="6"/>
        <v>119</v>
      </c>
      <c r="AB14" t="s">
        <v>2622</v>
      </c>
      <c r="AC14" t="s">
        <v>2622</v>
      </c>
      <c r="AF14" s="90" t="str">
        <f>'PIC data'!AF15</f>
        <v>NA</v>
      </c>
      <c r="AG14" s="90" t="s">
        <v>2622</v>
      </c>
      <c r="AH14" s="90" t="s">
        <v>2622</v>
      </c>
      <c r="AI14" s="90" t="s">
        <v>2622</v>
      </c>
      <c r="AK14" s="148" t="s">
        <v>2622</v>
      </c>
    </row>
    <row r="15" spans="1:44">
      <c r="A15">
        <v>2018</v>
      </c>
      <c r="B15" t="s">
        <v>188</v>
      </c>
      <c r="C15">
        <v>9</v>
      </c>
      <c r="D15" s="231">
        <v>2</v>
      </c>
      <c r="E15">
        <f>'mass filt'!V18</f>
        <v>130.57142857142858</v>
      </c>
      <c r="F15">
        <v>0.5</v>
      </c>
      <c r="G15" s="183" t="s">
        <v>285</v>
      </c>
      <c r="H15" s="97">
        <f t="shared" si="1"/>
        <v>17</v>
      </c>
      <c r="I15" s="90">
        <f t="shared" si="2"/>
        <v>15.361344537815128</v>
      </c>
      <c r="J15" s="90">
        <f t="shared" si="3"/>
        <v>5.6107310924369758</v>
      </c>
      <c r="L15">
        <v>1</v>
      </c>
      <c r="M15" s="90">
        <f>'CHN data'!AI12</f>
        <v>17.012327194213867</v>
      </c>
      <c r="N15" s="90">
        <f>'CHN data'!AJ12</f>
        <v>1.4885590672492981</v>
      </c>
      <c r="O15" s="90">
        <f>'CHN data'!AH12</f>
        <v>1.703624963760376</v>
      </c>
      <c r="R15" s="90">
        <f>pH_Sal!D11</f>
        <v>37.67</v>
      </c>
      <c r="S15" s="90">
        <f>pH_Sal!I11</f>
        <v>8.0449999999999999</v>
      </c>
      <c r="T15" s="67">
        <f>'traps and logs'!G55</f>
        <v>43309</v>
      </c>
      <c r="U15" s="67">
        <f t="shared" si="4"/>
        <v>43326</v>
      </c>
      <c r="V15" s="203">
        <f t="shared" si="5"/>
        <v>43317.5</v>
      </c>
      <c r="W15" s="97">
        <f t="shared" si="0"/>
        <v>153</v>
      </c>
      <c r="X15">
        <f t="shared" si="6"/>
        <v>136</v>
      </c>
      <c r="AB15">
        <f>AVERAGE('BSi_results and calculations'!$K$11:$K$13)</f>
        <v>2.7596372216964755</v>
      </c>
      <c r="AC15">
        <f>AVERAGE('BSi_results and calculations'!$L$11:$L$13)</f>
        <v>5.9034033695885091</v>
      </c>
      <c r="AF15" s="90">
        <f>'PIC data'!AF16</f>
        <v>65.562312598881192</v>
      </c>
      <c r="AG15" s="90">
        <f t="shared" si="7"/>
        <v>7.8671971488033208</v>
      </c>
      <c r="AH15" s="90">
        <f t="shared" si="10"/>
        <v>9.1451300454105464</v>
      </c>
      <c r="AI15" s="90">
        <f t="shared" si="8"/>
        <v>95.934376439027645</v>
      </c>
      <c r="AK15" s="148">
        <f t="shared" si="9"/>
        <v>6.2619705122170757</v>
      </c>
    </row>
    <row r="16" spans="1:44">
      <c r="A16">
        <v>2018</v>
      </c>
      <c r="B16" t="s">
        <v>188</v>
      </c>
      <c r="C16">
        <v>10</v>
      </c>
      <c r="D16">
        <v>7</v>
      </c>
      <c r="E16">
        <f>'mass filt'!V19</f>
        <v>135.87142857142857</v>
      </c>
      <c r="F16">
        <v>0.5</v>
      </c>
      <c r="G16" s="183" t="s">
        <v>285</v>
      </c>
      <c r="H16" s="97">
        <f t="shared" si="1"/>
        <v>17</v>
      </c>
      <c r="I16" s="90">
        <f t="shared" si="2"/>
        <v>15.984873949579832</v>
      </c>
      <c r="J16" s="90">
        <f t="shared" si="3"/>
        <v>5.8384752100840345</v>
      </c>
      <c r="L16">
        <v>1</v>
      </c>
      <c r="M16" s="90">
        <f>'CHN data'!AI13</f>
        <v>17.110343933105469</v>
      </c>
      <c r="N16" s="90">
        <f>'CHN data'!AJ13</f>
        <v>1.4357719421386719</v>
      </c>
      <c r="O16" s="90">
        <f>'CHN data'!AH13</f>
        <v>1.6167234182357788</v>
      </c>
      <c r="R16" s="296">
        <f>pH_Sal!D12</f>
        <v>36.22</v>
      </c>
      <c r="S16" s="90">
        <f>pH_Sal!I12</f>
        <v>8.4139999999999997</v>
      </c>
      <c r="T16" s="67">
        <f>'traps and logs'!G56</f>
        <v>43326</v>
      </c>
      <c r="U16" s="67">
        <f t="shared" si="4"/>
        <v>43343</v>
      </c>
      <c r="V16" s="203">
        <f t="shared" si="5"/>
        <v>43334.5</v>
      </c>
      <c r="W16" s="97">
        <f t="shared" si="0"/>
        <v>170</v>
      </c>
      <c r="X16">
        <f t="shared" si="6"/>
        <v>153</v>
      </c>
      <c r="AB16">
        <f>'BSi_results and calculations'!$K$14</f>
        <v>1.7420282981914221</v>
      </c>
      <c r="AC16">
        <f>'BSi_results and calculations'!$L$14</f>
        <v>3.7265389974482943</v>
      </c>
      <c r="AF16" s="90">
        <f>'PIC data'!AF17</f>
        <v>71.277577819822241</v>
      </c>
      <c r="AG16">
        <f t="shared" si="7"/>
        <v>8.5530045352195465</v>
      </c>
      <c r="AH16" s="90">
        <f t="shared" si="10"/>
        <v>8.5573393978859222</v>
      </c>
      <c r="AI16" s="90">
        <f t="shared" si="8"/>
        <v>97.94018278233888</v>
      </c>
      <c r="AK16" s="148">
        <f t="shared" si="9"/>
        <v>6.174448262775404</v>
      </c>
    </row>
    <row r="17" spans="1:44">
      <c r="A17">
        <v>2018</v>
      </c>
      <c r="B17" t="s">
        <v>188</v>
      </c>
      <c r="C17">
        <v>11</v>
      </c>
      <c r="D17">
        <v>15</v>
      </c>
      <c r="E17">
        <f>'mass filt'!V20</f>
        <v>333.31428571428569</v>
      </c>
      <c r="F17">
        <v>0.5</v>
      </c>
      <c r="G17" s="183" t="s">
        <v>285</v>
      </c>
      <c r="H17" s="97">
        <f t="shared" si="1"/>
        <v>17</v>
      </c>
      <c r="I17" s="90">
        <f t="shared" si="2"/>
        <v>39.213445378151256</v>
      </c>
      <c r="J17" s="90">
        <f t="shared" si="3"/>
        <v>14.322710924369748</v>
      </c>
      <c r="L17">
        <v>1</v>
      </c>
      <c r="M17" s="90">
        <f>'CHN data'!AI14</f>
        <v>16.932502746582031</v>
      </c>
      <c r="N17" s="90">
        <f>'CHN data'!AJ14</f>
        <v>1.5480353832244873</v>
      </c>
      <c r="O17" s="90">
        <f>'CHN data'!AH14</f>
        <v>1.6241707801818848</v>
      </c>
      <c r="R17" s="90">
        <f>pH_Sal!D13</f>
        <v>38.04</v>
      </c>
      <c r="S17" s="90">
        <f>pH_Sal!I13</f>
        <v>8.2799999999999994</v>
      </c>
      <c r="T17" s="67">
        <f>'traps and logs'!G57</f>
        <v>43343</v>
      </c>
      <c r="U17" s="67">
        <f t="shared" si="4"/>
        <v>43360</v>
      </c>
      <c r="V17" s="203">
        <f t="shared" si="5"/>
        <v>43351.5</v>
      </c>
      <c r="W17" s="97">
        <f t="shared" si="0"/>
        <v>187</v>
      </c>
      <c r="X17">
        <f t="shared" si="6"/>
        <v>170</v>
      </c>
      <c r="AB17">
        <f>'BSi_results and calculations'!K17</f>
        <v>4.1619051934427338</v>
      </c>
      <c r="AC17">
        <f>'BSi_results and calculations'!L17</f>
        <v>8.9031286249189705</v>
      </c>
      <c r="AF17" s="90">
        <f>'PIC data'!AF18</f>
        <v>60.772920769917285</v>
      </c>
      <c r="AG17">
        <f t="shared" si="7"/>
        <v>7.2924906101268654</v>
      </c>
      <c r="AH17" s="90">
        <f t="shared" si="10"/>
        <v>9.6400121364551659</v>
      </c>
      <c r="AI17" s="90">
        <f t="shared" si="8"/>
        <v>95.563420243778708</v>
      </c>
      <c r="AK17" s="148">
        <f t="shared" si="9"/>
        <v>6.9237442190923195</v>
      </c>
    </row>
    <row r="18" spans="1:44">
      <c r="A18">
        <v>2018</v>
      </c>
      <c r="B18" t="s">
        <v>188</v>
      </c>
      <c r="C18">
        <v>12</v>
      </c>
      <c r="D18">
        <v>20</v>
      </c>
      <c r="E18">
        <f>'mass filt'!V21</f>
        <v>430.51428571428573</v>
      </c>
      <c r="F18">
        <v>0.5</v>
      </c>
      <c r="G18" s="183" t="s">
        <v>285</v>
      </c>
      <c r="H18" s="97">
        <f t="shared" si="1"/>
        <v>17</v>
      </c>
      <c r="I18" s="90">
        <f t="shared" si="2"/>
        <v>50.648739495798324</v>
      </c>
      <c r="J18" s="90">
        <f t="shared" si="3"/>
        <v>18.499452100840337</v>
      </c>
      <c r="L18">
        <v>1</v>
      </c>
      <c r="M18" s="90">
        <f>'CHN data'!AI15</f>
        <v>14.753036499023438</v>
      </c>
      <c r="N18" s="90">
        <f>'CHN data'!AJ15</f>
        <v>1.1379098892211914</v>
      </c>
      <c r="O18" s="90">
        <f>'CHN data'!AH15</f>
        <v>1.2112077474594116</v>
      </c>
      <c r="R18" s="90">
        <f>pH_Sal!D14</f>
        <v>38.29</v>
      </c>
      <c r="S18" s="90">
        <f>pH_Sal!I14</f>
        <v>8.3680000000000003</v>
      </c>
      <c r="T18" s="67">
        <f>'traps and logs'!G58</f>
        <v>43360</v>
      </c>
      <c r="U18" s="67">
        <f t="shared" si="4"/>
        <v>43377</v>
      </c>
      <c r="V18" s="203">
        <f t="shared" si="5"/>
        <v>43368.5</v>
      </c>
      <c r="W18" s="97">
        <f t="shared" si="0"/>
        <v>204</v>
      </c>
      <c r="X18">
        <f t="shared" si="6"/>
        <v>187</v>
      </c>
      <c r="AB18">
        <f>'BSi_results and calculations'!K18</f>
        <v>4.989911490032636</v>
      </c>
      <c r="AC18">
        <f>'BSi_results and calculations'!L18</f>
        <v>10.674395921540091</v>
      </c>
      <c r="AF18" s="90">
        <f>'PIC data'!AF19</f>
        <v>64.764945757710507</v>
      </c>
      <c r="AG18">
        <f t="shared" si="7"/>
        <v>7.7715165376298314</v>
      </c>
      <c r="AH18" s="90">
        <f t="shared" si="10"/>
        <v>6.9815199613936061</v>
      </c>
      <c r="AI18" s="90">
        <f t="shared" si="8"/>
        <v>95.672869145685951</v>
      </c>
      <c r="AK18" s="148">
        <f t="shared" si="9"/>
        <v>6.7239809112285061</v>
      </c>
    </row>
    <row r="19" spans="1:44">
      <c r="A19">
        <v>2018</v>
      </c>
      <c r="B19" t="s">
        <v>188</v>
      </c>
      <c r="C19">
        <v>13</v>
      </c>
      <c r="D19">
        <v>25</v>
      </c>
      <c r="E19">
        <f>'mass filt'!V22</f>
        <v>528.9</v>
      </c>
      <c r="F19">
        <v>0.5</v>
      </c>
      <c r="G19" s="183" t="s">
        <v>285</v>
      </c>
      <c r="H19" s="97">
        <f t="shared" si="1"/>
        <v>17</v>
      </c>
      <c r="I19" s="90">
        <f t="shared" si="2"/>
        <v>62.223529411764702</v>
      </c>
      <c r="J19" s="90">
        <f t="shared" si="3"/>
        <v>22.727144117647057</v>
      </c>
      <c r="L19">
        <v>1</v>
      </c>
      <c r="M19" s="90">
        <f>'CHN data'!AI16</f>
        <v>15.142020225524902</v>
      </c>
      <c r="N19" s="90">
        <f>'CHN data'!AJ16</f>
        <v>1.0633201599121094</v>
      </c>
      <c r="O19" s="90">
        <f>'CHN data'!AH16</f>
        <v>1.163560152053833</v>
      </c>
      <c r="R19" s="90">
        <f>pH_Sal!D15</f>
        <v>39.01</v>
      </c>
      <c r="S19" s="90">
        <f>pH_Sal!I15</f>
        <v>8.4489999999999998</v>
      </c>
      <c r="T19" s="67">
        <f>'traps and logs'!G59</f>
        <v>43377</v>
      </c>
      <c r="U19" s="67">
        <f t="shared" si="4"/>
        <v>43394</v>
      </c>
      <c r="V19" s="203">
        <f t="shared" si="5"/>
        <v>43385.5</v>
      </c>
      <c r="W19" s="97">
        <f t="shared" si="0"/>
        <v>221</v>
      </c>
      <c r="X19">
        <f t="shared" si="6"/>
        <v>204</v>
      </c>
      <c r="AB19">
        <f>'BSi_results and calculations'!K19</f>
        <v>5.2909932683023175</v>
      </c>
      <c r="AC19">
        <f>'BSi_results and calculations'!L19</f>
        <v>11.318468689650635</v>
      </c>
      <c r="AF19" s="90">
        <f>'PIC data'!AF20</f>
        <v>68.129102447720584</v>
      </c>
      <c r="AG19">
        <f t="shared" si="7"/>
        <v>8.1752009543419195</v>
      </c>
      <c r="AH19" s="90">
        <f t="shared" si="10"/>
        <v>6.9668192711829828</v>
      </c>
      <c r="AI19" s="90">
        <f t="shared" si="8"/>
        <v>99.719605089835355</v>
      </c>
      <c r="AK19" s="148">
        <f t="shared" si="9"/>
        <v>6.9845886299223388</v>
      </c>
    </row>
    <row r="20" spans="1:44">
      <c r="A20">
        <v>2018</v>
      </c>
      <c r="B20" t="s">
        <v>188</v>
      </c>
      <c r="C20">
        <v>14</v>
      </c>
      <c r="D20">
        <v>15</v>
      </c>
      <c r="E20">
        <f>'mass filt'!V23</f>
        <v>667.71428571428578</v>
      </c>
      <c r="F20">
        <v>0.5</v>
      </c>
      <c r="G20" s="183" t="s">
        <v>285</v>
      </c>
      <c r="H20" s="97">
        <f t="shared" si="1"/>
        <v>17</v>
      </c>
      <c r="I20" s="90">
        <f t="shared" si="2"/>
        <v>78.554621848739501</v>
      </c>
      <c r="J20" s="90">
        <f t="shared" si="3"/>
        <v>28.692075630252106</v>
      </c>
      <c r="L20">
        <v>1</v>
      </c>
      <c r="M20" s="90">
        <f>'CHN data'!AI17</f>
        <v>14.642641544342041</v>
      </c>
      <c r="N20" s="90">
        <f>'CHN data'!AJ17</f>
        <v>0.81671649217605591</v>
      </c>
      <c r="O20" s="90">
        <f>'CHN data'!AH17</f>
        <v>0.96227487921714783</v>
      </c>
      <c r="R20" s="90">
        <f>pH_Sal!D16</f>
        <v>39.729999999999997</v>
      </c>
      <c r="S20" s="90">
        <f>pH_Sal!I16</f>
        <v>8.4209999999999994</v>
      </c>
      <c r="T20" s="67">
        <f>'traps and logs'!G60</f>
        <v>43394</v>
      </c>
      <c r="U20" s="67">
        <f t="shared" si="4"/>
        <v>43411</v>
      </c>
      <c r="V20" s="203">
        <f t="shared" si="5"/>
        <v>43402.5</v>
      </c>
      <c r="W20" s="97">
        <f t="shared" si="0"/>
        <v>238</v>
      </c>
      <c r="X20">
        <f t="shared" si="6"/>
        <v>221</v>
      </c>
      <c r="AB20">
        <f>AVERAGE('BSi_results and calculations'!$K$20:$K$22)</f>
        <v>3.8862777681241218</v>
      </c>
      <c r="AC20">
        <f>AVERAGE('BSi_results and calculations'!$L$20:$L$22)</f>
        <v>8.313507692651422</v>
      </c>
      <c r="AF20" s="90">
        <f>'PIC data'!AF21</f>
        <v>72.674484388031445</v>
      </c>
      <c r="AG20">
        <f t="shared" si="7"/>
        <v>8.7206273498355689</v>
      </c>
      <c r="AH20" s="90">
        <f t="shared" si="10"/>
        <v>5.9220141945064722</v>
      </c>
      <c r="AI20" s="90">
        <f t="shared" si="8"/>
        <v>98.630909154788768</v>
      </c>
      <c r="AK20" s="148">
        <f t="shared" si="9"/>
        <v>7.1790243020308386</v>
      </c>
    </row>
    <row r="21" spans="1:44">
      <c r="A21">
        <v>2018</v>
      </c>
      <c r="B21" t="s">
        <v>188</v>
      </c>
      <c r="C21">
        <v>15</v>
      </c>
      <c r="D21">
        <v>15</v>
      </c>
      <c r="E21">
        <f>'mass filt'!V24</f>
        <v>417.12857142857149</v>
      </c>
      <c r="F21">
        <v>0.5</v>
      </c>
      <c r="G21" s="183" t="s">
        <v>285</v>
      </c>
      <c r="H21" s="97">
        <f t="shared" si="1"/>
        <v>17</v>
      </c>
      <c r="I21" s="90">
        <f t="shared" si="2"/>
        <v>49.07394957983194</v>
      </c>
      <c r="J21" s="90">
        <f t="shared" si="3"/>
        <v>17.924260084033616</v>
      </c>
      <c r="L21">
        <v>1</v>
      </c>
      <c r="M21" s="90">
        <f>'CHN data'!AI18</f>
        <v>15.936421394348145</v>
      </c>
      <c r="N21" s="90">
        <f>'CHN data'!AJ18</f>
        <v>0.97513198852539063</v>
      </c>
      <c r="O21" s="90">
        <f>'CHN data'!AH18</f>
        <v>1.2388161420822144</v>
      </c>
      <c r="R21" s="90">
        <f>pH_Sal!D17</f>
        <v>37.72</v>
      </c>
      <c r="S21" s="90">
        <f>pH_Sal!I17</f>
        <v>8.266</v>
      </c>
      <c r="T21" s="67">
        <f>'traps and logs'!G61</f>
        <v>43411</v>
      </c>
      <c r="U21" s="67">
        <f t="shared" si="4"/>
        <v>43428</v>
      </c>
      <c r="V21" s="203">
        <f t="shared" si="5"/>
        <v>43419.5</v>
      </c>
      <c r="W21" s="97">
        <f t="shared" si="0"/>
        <v>255</v>
      </c>
      <c r="X21">
        <f t="shared" si="6"/>
        <v>238</v>
      </c>
      <c r="AB21">
        <f>'BSi_results and calculations'!K23</f>
        <v>3.1913938289543204</v>
      </c>
      <c r="AC21">
        <f>'BSi_results and calculations'!L23</f>
        <v>6.8270151364138529</v>
      </c>
      <c r="AF21" s="90">
        <f>'PIC data'!AF22</f>
        <v>69.718063936323162</v>
      </c>
      <c r="AG21">
        <f t="shared" si="7"/>
        <v>8.365869538123782</v>
      </c>
      <c r="AH21" s="90">
        <f t="shared" si="10"/>
        <v>7.5705518562243626</v>
      </c>
      <c r="AI21" s="90">
        <f t="shared" si="8"/>
        <v>97.651264821436129</v>
      </c>
      <c r="AJ21" s="146"/>
      <c r="AK21" s="148">
        <f t="shared" si="9"/>
        <v>7.1287898251316548</v>
      </c>
    </row>
    <row r="22" spans="1:44">
      <c r="A22">
        <v>2018</v>
      </c>
      <c r="B22" t="s">
        <v>188</v>
      </c>
      <c r="C22">
        <v>16</v>
      </c>
      <c r="D22">
        <v>10</v>
      </c>
      <c r="E22">
        <f>'mass filt'!V25</f>
        <v>150.07142857142856</v>
      </c>
      <c r="F22">
        <v>0.5</v>
      </c>
      <c r="G22" s="183" t="s">
        <v>285</v>
      </c>
      <c r="H22" s="97">
        <f t="shared" si="1"/>
        <v>17</v>
      </c>
      <c r="I22" s="90">
        <f t="shared" si="2"/>
        <v>17.655462184873947</v>
      </c>
      <c r="J22" s="90">
        <f t="shared" si="3"/>
        <v>6.4486575630252094</v>
      </c>
      <c r="L22">
        <v>1</v>
      </c>
      <c r="M22" s="90">
        <f>'CHN data'!AI19</f>
        <v>21.282453536987305</v>
      </c>
      <c r="N22" s="90">
        <f>'CHN data'!AJ19</f>
        <v>2.1279659271240234</v>
      </c>
      <c r="O22" s="90">
        <f>'CHN data'!AH19</f>
        <v>2.6349039077758789</v>
      </c>
      <c r="R22" s="90">
        <f>pH_Sal!D18</f>
        <v>38.19</v>
      </c>
      <c r="S22" s="90">
        <f>pH_Sal!I18</f>
        <v>8.3539999999999992</v>
      </c>
      <c r="T22" s="67">
        <f>'traps and logs'!G62</f>
        <v>43428</v>
      </c>
      <c r="U22" s="67">
        <f t="shared" si="4"/>
        <v>43445</v>
      </c>
      <c r="V22" s="203">
        <f t="shared" si="5"/>
        <v>43436.5</v>
      </c>
      <c r="W22" s="97">
        <f t="shared" si="0"/>
        <v>272</v>
      </c>
      <c r="X22">
        <f t="shared" si="6"/>
        <v>255</v>
      </c>
      <c r="AB22">
        <f>'BSi_results and calculations'!K24</f>
        <v>2.4138138849839077</v>
      </c>
      <c r="AC22">
        <f>'BSi_results and calculations'!L24</f>
        <v>5.1636196635344609</v>
      </c>
      <c r="AF22" s="90">
        <f>'PIC data'!AF23</f>
        <v>53.863813456594855</v>
      </c>
      <c r="AG22">
        <f t="shared" si="7"/>
        <v>6.4634272778326052</v>
      </c>
      <c r="AH22" s="90">
        <f t="shared" si="10"/>
        <v>14.8190262591547</v>
      </c>
      <c r="AI22" s="90">
        <f t="shared" si="8"/>
        <v>95.897289053258461</v>
      </c>
      <c r="AK22" s="148">
        <f t="shared" si="9"/>
        <v>6.5606975015840385</v>
      </c>
    </row>
    <row r="23" spans="1:44">
      <c r="A23">
        <v>2018</v>
      </c>
      <c r="B23" t="s">
        <v>188</v>
      </c>
      <c r="C23">
        <v>17</v>
      </c>
      <c r="D23">
        <v>10</v>
      </c>
      <c r="E23">
        <f>'mass filt'!V26</f>
        <v>117.07142857142856</v>
      </c>
      <c r="F23">
        <v>0.5</v>
      </c>
      <c r="G23" s="183" t="s">
        <v>285</v>
      </c>
      <c r="H23" s="97">
        <f t="shared" si="1"/>
        <v>17</v>
      </c>
      <c r="I23" s="90">
        <f t="shared" si="2"/>
        <v>13.773109243697476</v>
      </c>
      <c r="J23" s="90">
        <f t="shared" si="3"/>
        <v>5.0306281512605038</v>
      </c>
      <c r="L23">
        <v>1</v>
      </c>
      <c r="M23" s="90">
        <f>'CHN data'!AI20</f>
        <v>22.321132659912109</v>
      </c>
      <c r="N23" s="90">
        <f>'CHN data'!AJ20</f>
        <v>2.5038745403289795</v>
      </c>
      <c r="O23" s="90">
        <f>'CHN data'!AH20</f>
        <v>2.7832210063934326</v>
      </c>
      <c r="Q23" t="s">
        <v>2582</v>
      </c>
      <c r="R23" s="294">
        <f>AVERAGE(pH_Sal!D19,pH_Sal!G19)</f>
        <v>37.445</v>
      </c>
      <c r="S23" s="294">
        <f>AVERAGE(pH_Sal!I19,pH_Sal!L19)</f>
        <v>8.3795000000000002</v>
      </c>
      <c r="T23" s="67">
        <f>'traps and logs'!G63</f>
        <v>43445</v>
      </c>
      <c r="U23" s="67">
        <f t="shared" si="4"/>
        <v>43462</v>
      </c>
      <c r="V23" s="203">
        <f t="shared" si="5"/>
        <v>43453.5</v>
      </c>
      <c r="W23" s="97">
        <f t="shared" si="0"/>
        <v>289</v>
      </c>
      <c r="X23">
        <f t="shared" si="6"/>
        <v>272</v>
      </c>
      <c r="AB23">
        <f>'BSi_results and calculations'!K25</f>
        <v>3.0719049634190676</v>
      </c>
      <c r="AC23">
        <f>'BSi_results and calculations'!L25</f>
        <v>6.5714050997455251</v>
      </c>
      <c r="AF23" s="90">
        <f>'PIC data'!AF24</f>
        <v>53.121151206821395</v>
      </c>
      <c r="AG23">
        <f t="shared" si="7"/>
        <v>6.3743109836944196</v>
      </c>
      <c r="AH23" s="90">
        <f t="shared" si="10"/>
        <v>15.94682167621769</v>
      </c>
      <c r="AI23" s="90">
        <f t="shared" si="8"/>
        <v>99.198418555217856</v>
      </c>
      <c r="AK23" s="148">
        <f t="shared" si="9"/>
        <v>6.6837711608257599</v>
      </c>
    </row>
    <row r="24" spans="1:44">
      <c r="A24">
        <v>2018</v>
      </c>
      <c r="B24" t="s">
        <v>188</v>
      </c>
      <c r="C24">
        <v>18</v>
      </c>
      <c r="D24">
        <v>15</v>
      </c>
      <c r="E24">
        <f>'mass filt'!V27</f>
        <v>269.42857142857144</v>
      </c>
      <c r="F24">
        <v>0.5</v>
      </c>
      <c r="G24" s="183" t="s">
        <v>285</v>
      </c>
      <c r="H24" s="97">
        <f t="shared" si="1"/>
        <v>17</v>
      </c>
      <c r="I24" s="90">
        <f t="shared" si="2"/>
        <v>31.69747899159664</v>
      </c>
      <c r="J24" s="90">
        <f t="shared" si="3"/>
        <v>11.577504201680673</v>
      </c>
      <c r="L24">
        <v>1</v>
      </c>
      <c r="M24" s="90">
        <f>'CHN data'!AI21</f>
        <v>16.888715744018555</v>
      </c>
      <c r="N24" s="90">
        <f>'CHN data'!AJ21</f>
        <v>1.6678857803344727</v>
      </c>
      <c r="O24" s="90">
        <f>'CHN data'!AH21</f>
        <v>1.7875549793243408</v>
      </c>
      <c r="R24" s="90">
        <f>pH_Sal!D20</f>
        <v>39.44</v>
      </c>
      <c r="S24" s="90">
        <f>pH_Sal!I20</f>
        <v>8.4499999999999993</v>
      </c>
      <c r="T24" s="67">
        <f>'traps and logs'!G64</f>
        <v>43462</v>
      </c>
      <c r="U24" s="67">
        <f t="shared" si="4"/>
        <v>43479</v>
      </c>
      <c r="V24" s="203">
        <f t="shared" si="5"/>
        <v>43470.5</v>
      </c>
      <c r="W24" s="97">
        <f t="shared" si="0"/>
        <v>306</v>
      </c>
      <c r="X24">
        <f t="shared" si="6"/>
        <v>289</v>
      </c>
      <c r="AB24">
        <f>'BSi_results and calculations'!K26</f>
        <v>5.8894588655587841</v>
      </c>
      <c r="AC24">
        <f>'BSi_results and calculations'!L26</f>
        <v>12.59870356822454</v>
      </c>
      <c r="AF24" s="90">
        <f>'PIC data'!AF25</f>
        <v>54.888539067690488</v>
      </c>
      <c r="AG24">
        <f t="shared" si="7"/>
        <v>6.5863899691464391</v>
      </c>
      <c r="AH24" s="90">
        <f t="shared" si="10"/>
        <v>10.302325774872116</v>
      </c>
      <c r="AI24" s="90">
        <f t="shared" si="8"/>
        <v>95.238216733138387</v>
      </c>
      <c r="AK24" s="148">
        <f t="shared" si="9"/>
        <v>6.7231220983495623</v>
      </c>
    </row>
    <row r="25" spans="1:44" s="646" customFormat="1">
      <c r="A25" s="646">
        <v>2018</v>
      </c>
      <c r="B25" s="646" t="s">
        <v>188</v>
      </c>
      <c r="C25" s="646">
        <v>19</v>
      </c>
      <c r="D25" s="646">
        <v>18</v>
      </c>
      <c r="E25" s="646">
        <f>'mass filt'!V28</f>
        <v>315.14285714285717</v>
      </c>
      <c r="F25" s="646">
        <v>0.5</v>
      </c>
      <c r="G25" s="646" t="s">
        <v>285</v>
      </c>
      <c r="H25" s="647">
        <f t="shared" si="1"/>
        <v>17</v>
      </c>
      <c r="I25" s="648">
        <f t="shared" si="2"/>
        <v>37.075630252100844</v>
      </c>
      <c r="J25" s="648">
        <f t="shared" si="3"/>
        <v>13.541873949579834</v>
      </c>
      <c r="L25" s="646">
        <v>1</v>
      </c>
      <c r="M25" s="648">
        <f>'CHN data'!AI22</f>
        <v>18.287374496459961</v>
      </c>
      <c r="N25" s="648">
        <f>'CHN data'!AJ22</f>
        <v>2.1156110763549805</v>
      </c>
      <c r="O25" s="648">
        <f>'CHN data'!AH22</f>
        <v>2.4158401489257813</v>
      </c>
      <c r="R25" s="648">
        <f>pH_Sal!D21</f>
        <v>38.979999999999997</v>
      </c>
      <c r="S25" s="648">
        <f>pH_Sal!I21</f>
        <v>8.3770000000000007</v>
      </c>
      <c r="T25" s="649">
        <f>'traps and logs'!G65</f>
        <v>43479</v>
      </c>
      <c r="U25" s="649">
        <f t="shared" si="4"/>
        <v>43496</v>
      </c>
      <c r="V25" s="650">
        <f t="shared" si="5"/>
        <v>43487.5</v>
      </c>
      <c r="W25" s="647">
        <f t="shared" si="0"/>
        <v>323</v>
      </c>
      <c r="X25" s="646">
        <f t="shared" si="6"/>
        <v>306</v>
      </c>
      <c r="AB25" s="646">
        <f>'BSi_results and calculations'!K27</f>
        <v>4.2840596150028123</v>
      </c>
      <c r="AC25" s="646">
        <f>'BSi_results and calculations'!L27</f>
        <v>9.1644408068892496</v>
      </c>
      <c r="AF25" s="648">
        <f>'PIC data'!AF26</f>
        <v>42.521045153292263</v>
      </c>
      <c r="AG25" s="646">
        <f t="shared" si="7"/>
        <v>5.1023435863338769</v>
      </c>
      <c r="AH25" s="648">
        <f>M25-AG25</f>
        <v>13.185030910126084</v>
      </c>
      <c r="AI25" s="648">
        <f t="shared" si="8"/>
        <v>85.400642451216711</v>
      </c>
      <c r="AK25" s="651">
        <f t="shared" si="9"/>
        <v>6.3666076330151311</v>
      </c>
    </row>
    <row r="26" spans="1:44">
      <c r="A26">
        <v>2018</v>
      </c>
      <c r="B26" t="s">
        <v>188</v>
      </c>
      <c r="C26">
        <v>20</v>
      </c>
      <c r="D26">
        <v>10</v>
      </c>
      <c r="E26">
        <f>'mass filt'!V29</f>
        <v>300.71428571428572</v>
      </c>
      <c r="F26">
        <v>0.5</v>
      </c>
      <c r="G26" s="183" t="s">
        <v>285</v>
      </c>
      <c r="H26" s="97">
        <f t="shared" si="1"/>
        <v>17</v>
      </c>
      <c r="I26" s="90">
        <f t="shared" si="2"/>
        <v>35.378151260504204</v>
      </c>
      <c r="J26" s="90">
        <f t="shared" si="3"/>
        <v>12.92186974789916</v>
      </c>
      <c r="L26">
        <v>1</v>
      </c>
      <c r="M26" s="90">
        <f>'CHN data'!AI23</f>
        <v>15.935337066650391</v>
      </c>
      <c r="N26" s="90">
        <f>'CHN data'!AJ23</f>
        <v>1.5066031217575073</v>
      </c>
      <c r="O26" s="90">
        <f>'CHN data'!AH23</f>
        <v>1.5406123399734497</v>
      </c>
      <c r="R26" s="90">
        <f>pH_Sal!D22</f>
        <v>39.76</v>
      </c>
      <c r="S26" s="90">
        <f>pH_Sal!I22</f>
        <v>8.4849999999999994</v>
      </c>
      <c r="T26" s="67">
        <f>'traps and logs'!G66</f>
        <v>43496</v>
      </c>
      <c r="U26" s="67">
        <f t="shared" si="4"/>
        <v>43513</v>
      </c>
      <c r="V26" s="203">
        <f t="shared" si="5"/>
        <v>43504.5</v>
      </c>
      <c r="W26" s="97">
        <f t="shared" si="0"/>
        <v>340</v>
      </c>
      <c r="X26">
        <f t="shared" si="6"/>
        <v>323</v>
      </c>
      <c r="AB26">
        <f>'BSi_results and calculations'!K28</f>
        <v>6.8323837752053782</v>
      </c>
      <c r="AC26">
        <f>'BSi_results and calculations'!L28</f>
        <v>14.615804238237493</v>
      </c>
      <c r="AF26" s="90">
        <f>'PIC data'!AF27</f>
        <v>58.033841127246092</v>
      </c>
      <c r="AG26">
        <f t="shared" si="7"/>
        <v>6.963812766088525</v>
      </c>
      <c r="AH26" s="90">
        <f t="shared" si="10"/>
        <v>8.9715243005618657</v>
      </c>
      <c r="AI26" s="90">
        <f t="shared" si="8"/>
        <v>97.694737292925822</v>
      </c>
      <c r="AK26" s="148">
        <f t="shared" si="9"/>
        <v>6.7930997770019177</v>
      </c>
    </row>
    <row r="27" spans="1:44">
      <c r="A27">
        <v>2018</v>
      </c>
      <c r="B27" t="s">
        <v>188</v>
      </c>
      <c r="C27">
        <v>21</v>
      </c>
      <c r="D27">
        <v>15</v>
      </c>
      <c r="E27">
        <f>'mass filt'!V30</f>
        <v>392.88571428571436</v>
      </c>
      <c r="F27">
        <v>0.5</v>
      </c>
      <c r="G27" s="183" t="s">
        <v>285</v>
      </c>
      <c r="H27" s="97">
        <f t="shared" si="1"/>
        <v>17</v>
      </c>
      <c r="I27" s="90">
        <f t="shared" si="2"/>
        <v>46.221848739495805</v>
      </c>
      <c r="J27" s="90">
        <f t="shared" si="3"/>
        <v>16.882530252100846</v>
      </c>
      <c r="L27">
        <v>1</v>
      </c>
      <c r="M27" s="90">
        <f>'CHN data'!AI24</f>
        <v>13.513463020324707</v>
      </c>
      <c r="N27" s="90">
        <f>'CHN data'!AJ24</f>
        <v>0.74067139625549316</v>
      </c>
      <c r="O27" s="90">
        <f>'CHN data'!AH24</f>
        <v>0.72829163074493408</v>
      </c>
      <c r="R27" s="90">
        <f>pH_Sal!D23</f>
        <v>39.979999999999997</v>
      </c>
      <c r="S27" s="90">
        <f>pH_Sal!I23</f>
        <v>8.5739999999999998</v>
      </c>
      <c r="T27" s="67">
        <f>'traps and logs'!G67</f>
        <v>43513</v>
      </c>
      <c r="U27" s="67">
        <f>'traps and logs'!G68</f>
        <v>43530</v>
      </c>
      <c r="V27" s="203">
        <f t="shared" si="5"/>
        <v>43521.5</v>
      </c>
      <c r="W27" s="97">
        <f t="shared" si="0"/>
        <v>357</v>
      </c>
      <c r="X27">
        <f t="shared" si="6"/>
        <v>340</v>
      </c>
      <c r="AB27">
        <f>'BSi_results and calculations'!K29</f>
        <v>6.0113129714439664</v>
      </c>
      <c r="AC27">
        <f>'BSi_results and calculations'!L29</f>
        <v>12.859373316271553</v>
      </c>
      <c r="AF27" s="90">
        <f>'PIC data'!AF28</f>
        <v>65.025254990167966</v>
      </c>
      <c r="AG27">
        <f t="shared" si="7"/>
        <v>7.8027525323685447</v>
      </c>
      <c r="AH27" s="90">
        <f t="shared" si="10"/>
        <v>5.7107104879561623</v>
      </c>
      <c r="AI27" s="90">
        <f t="shared" si="8"/>
        <v>95.562722444732955</v>
      </c>
      <c r="AK27" s="148">
        <f t="shared" si="9"/>
        <v>9.1470268148562095</v>
      </c>
    </row>
    <row r="28" spans="1:44">
      <c r="A28" s="83" t="s">
        <v>280</v>
      </c>
      <c r="AH28" s="90"/>
      <c r="AJ28" s="80" t="s">
        <v>2582</v>
      </c>
    </row>
    <row r="30" spans="1:44" s="134" customFormat="1">
      <c r="A30" s="131" t="s">
        <v>185</v>
      </c>
      <c r="B30" s="719" t="s">
        <v>3542</v>
      </c>
      <c r="C30" s="133"/>
      <c r="E30" s="136"/>
      <c r="F30" s="136"/>
      <c r="G30" s="131"/>
      <c r="H30" s="629" t="s">
        <v>3470</v>
      </c>
      <c r="I30" s="138" t="s">
        <v>180</v>
      </c>
      <c r="J30" s="139"/>
      <c r="K30" s="139"/>
      <c r="L30" s="139"/>
      <c r="M30" s="140"/>
      <c r="N30" s="140"/>
      <c r="O30" s="140"/>
      <c r="P30" s="140"/>
      <c r="Q30" s="141"/>
      <c r="R30" s="139"/>
      <c r="S30" s="139"/>
      <c r="T30" s="142"/>
      <c r="U30" s="142"/>
      <c r="V30" s="143"/>
      <c r="W30" s="137">
        <v>0</v>
      </c>
      <c r="X30" s="144"/>
      <c r="Y30" s="144"/>
      <c r="Z30" s="139"/>
      <c r="AA30" s="139"/>
      <c r="AB30" s="89"/>
      <c r="AC30" s="89"/>
      <c r="AD30" s="90"/>
      <c r="AE30" s="90"/>
      <c r="AF30"/>
      <c r="AG30" s="90"/>
      <c r="AH30" s="128"/>
      <c r="AI30" s="90"/>
      <c r="AJ30" s="106"/>
      <c r="AK30" s="135"/>
      <c r="AL30" s="139"/>
      <c r="AM30" s="130"/>
      <c r="AN30" s="6"/>
      <c r="AO30" s="139"/>
      <c r="AP30" s="139"/>
      <c r="AQ30" s="139"/>
      <c r="AR30" s="139"/>
    </row>
    <row r="31" spans="1:44">
      <c r="A31">
        <v>2018</v>
      </c>
      <c r="B31" t="s">
        <v>190</v>
      </c>
      <c r="C31" t="s">
        <v>191</v>
      </c>
      <c r="D31">
        <v>5</v>
      </c>
      <c r="E31" s="97">
        <f>'mass filt'!V33</f>
        <v>478.12857142857138</v>
      </c>
      <c r="F31">
        <v>0.5</v>
      </c>
      <c r="G31" s="183" t="s">
        <v>285</v>
      </c>
      <c r="H31" s="97">
        <f>U31-T31</f>
        <v>17</v>
      </c>
      <c r="I31" s="90">
        <f>E31/F31/H31</f>
        <v>56.250420168067222</v>
      </c>
      <c r="J31" s="90">
        <f>0.001*365.25*E31/F31/H31</f>
        <v>20.545465966386555</v>
      </c>
      <c r="L31">
        <v>1</v>
      </c>
      <c r="M31" s="90">
        <f>'CHN data'!AI25</f>
        <v>15.315581321716309</v>
      </c>
      <c r="N31" s="90">
        <f>'CHN data'!AJ25</f>
        <v>1.0313893556594849</v>
      </c>
      <c r="O31" s="90">
        <f>'CHN data'!AH25</f>
        <v>1.025126576423645</v>
      </c>
      <c r="R31">
        <f>pH_Sal!D24</f>
        <v>38.75</v>
      </c>
      <c r="S31" s="90">
        <f>pH_Sal!I24</f>
        <v>8.5389999999999997</v>
      </c>
      <c r="T31" s="67">
        <f>'traps and logs'!G47</f>
        <v>43173</v>
      </c>
      <c r="U31" s="67">
        <f>T32</f>
        <v>43190</v>
      </c>
      <c r="V31" s="203">
        <f>AVERAGE(T31:U31)</f>
        <v>43181.5</v>
      </c>
      <c r="W31" s="97">
        <f t="shared" ref="W31:W51" si="11">H31+W30</f>
        <v>17</v>
      </c>
      <c r="X31">
        <v>0</v>
      </c>
      <c r="AB31">
        <f>'BSi_results and calculations'!K30</f>
        <v>3.7894980519616905</v>
      </c>
      <c r="AC31">
        <f>'BSi_results and calculations'!L30</f>
        <v>8.1064769648407982</v>
      </c>
      <c r="AF31" s="90">
        <f>'PIC data'!AF29</f>
        <v>76.460712308064089</v>
      </c>
      <c r="AG31">
        <f>AF31*12.01/100.0869</f>
        <v>9.1749585092539565</v>
      </c>
      <c r="AH31" s="90">
        <f>M31-AG31</f>
        <v>6.1406228124623521</v>
      </c>
      <c r="AI31" s="90">
        <f>AF31+(AC31*1.11)+(AH31*2.19)+3.7</f>
        <v>102.60686569832993</v>
      </c>
      <c r="AK31" s="148">
        <f>(AH31/12.01)/(O31/14.01)</f>
        <v>6.9876325114035662</v>
      </c>
    </row>
    <row r="32" spans="1:44">
      <c r="A32">
        <v>2018</v>
      </c>
      <c r="B32" t="s">
        <v>190</v>
      </c>
      <c r="C32">
        <v>2</v>
      </c>
      <c r="D32">
        <v>10</v>
      </c>
      <c r="E32">
        <f>'mass filt'!V34</f>
        <v>930.21428571428589</v>
      </c>
      <c r="F32">
        <v>0.5</v>
      </c>
      <c r="G32" s="183" t="s">
        <v>285</v>
      </c>
      <c r="H32" s="97">
        <f t="shared" ref="H32:H51" si="12">U32-T32</f>
        <v>17</v>
      </c>
      <c r="I32" s="90">
        <f t="shared" ref="I32:I51" si="13">E32/F32/H32</f>
        <v>109.43697478991599</v>
      </c>
      <c r="J32" s="90">
        <f t="shared" ref="J32:J51" si="14">0.001*365.25*E32/F32/H32</f>
        <v>39.971855042016813</v>
      </c>
      <c r="L32">
        <v>1</v>
      </c>
      <c r="M32" s="90">
        <f>'CHN data'!AI26</f>
        <v>17.504707336425781</v>
      </c>
      <c r="N32" s="90">
        <f>'CHN data'!AJ26</f>
        <v>1.5154968500137329</v>
      </c>
      <c r="O32" s="90">
        <f>'CHN data'!AH26</f>
        <v>1.4818569421768188</v>
      </c>
      <c r="R32">
        <f>pH_Sal!D25</f>
        <v>38.14</v>
      </c>
      <c r="S32" s="90">
        <f>pH_Sal!I25</f>
        <v>8.4949999999999992</v>
      </c>
      <c r="T32" s="67">
        <f>'traps and logs'!G48</f>
        <v>43190</v>
      </c>
      <c r="U32" s="67">
        <f t="shared" ref="U32:U50" si="15">T33</f>
        <v>43207</v>
      </c>
      <c r="V32" s="203">
        <f t="shared" ref="V32:V51" si="16">AVERAGE(T32:U32)</f>
        <v>43198.5</v>
      </c>
      <c r="W32" s="97">
        <f t="shared" si="11"/>
        <v>34</v>
      </c>
      <c r="X32">
        <f t="shared" ref="X32:X51" si="17">X31+H32</f>
        <v>17</v>
      </c>
      <c r="AB32">
        <f>'BSi_results and calculations'!K31</f>
        <v>2.8942785566524658</v>
      </c>
      <c r="AC32">
        <f>'BSi_results and calculations'!L31</f>
        <v>6.1914274997951821</v>
      </c>
      <c r="AF32" s="90">
        <f>'PIC data'!AF30</f>
        <v>65.755428283319191</v>
      </c>
      <c r="AG32">
        <f t="shared" ref="AG32:AG51" si="18">AF32*12.01/100.0869</f>
        <v>7.890370205118387</v>
      </c>
      <c r="AH32" s="90">
        <f t="shared" ref="AH32:AH51" si="19">M32-AG32</f>
        <v>9.6143371313073942</v>
      </c>
      <c r="AI32" s="90">
        <f t="shared" ref="AI32:AI51" si="20">AF32+(AC32*1.11)+(AH32*2.19)+3.7</f>
        <v>97.383311125655041</v>
      </c>
      <c r="AK32" s="148">
        <f t="shared" ref="AK32:AK51" si="21">(AH32/12.01)/(O32/14.01)</f>
        <v>7.568471774312548</v>
      </c>
    </row>
    <row r="33" spans="1:37">
      <c r="A33">
        <v>2018</v>
      </c>
      <c r="B33" t="s">
        <v>190</v>
      </c>
      <c r="C33">
        <v>3</v>
      </c>
      <c r="D33">
        <v>10</v>
      </c>
      <c r="E33">
        <f>'mass filt'!V36</f>
        <v>1151.6285714285714</v>
      </c>
      <c r="F33">
        <v>0.5</v>
      </c>
      <c r="G33" s="183" t="s">
        <v>285</v>
      </c>
      <c r="H33" s="97">
        <f t="shared" si="12"/>
        <v>17</v>
      </c>
      <c r="I33" s="90">
        <f t="shared" si="13"/>
        <v>135.48571428571427</v>
      </c>
      <c r="J33" s="90">
        <f t="shared" si="14"/>
        <v>49.486157142857145</v>
      </c>
      <c r="L33">
        <v>1</v>
      </c>
      <c r="M33" s="90">
        <f>'CHN data'!AI27</f>
        <v>16.713186264038086</v>
      </c>
      <c r="N33" s="90">
        <f>'CHN data'!AJ27</f>
        <v>1.3582385182380676</v>
      </c>
      <c r="O33" s="90">
        <f>'CHN data'!AH27</f>
        <v>1.443390429019928</v>
      </c>
      <c r="R33">
        <f>pH_Sal!D26</f>
        <v>38.549999999999997</v>
      </c>
      <c r="S33" s="90">
        <f>pH_Sal!I26</f>
        <v>8.423</v>
      </c>
      <c r="T33" s="67">
        <f>'traps and logs'!G49</f>
        <v>43207</v>
      </c>
      <c r="U33" s="67">
        <f t="shared" si="15"/>
        <v>43224</v>
      </c>
      <c r="V33" s="203">
        <f t="shared" si="16"/>
        <v>43215.5</v>
      </c>
      <c r="W33" s="97">
        <f t="shared" si="11"/>
        <v>51</v>
      </c>
      <c r="X33">
        <f t="shared" si="17"/>
        <v>34</v>
      </c>
      <c r="AB33">
        <f>AVERAGE('BSi_results and calculations'!K32:K34)</f>
        <v>4.1143394714809558</v>
      </c>
      <c r="AC33">
        <f>AVERAGE('BSi_results and calculations'!L32:L34)</f>
        <v>8.8013762492449512</v>
      </c>
      <c r="AF33" s="90">
        <f>'PIC data'!AF31</f>
        <v>66.076046730741837</v>
      </c>
      <c r="AG33">
        <f t="shared" si="18"/>
        <v>7.9288430477535972</v>
      </c>
      <c r="AH33" s="90">
        <f t="shared" si="19"/>
        <v>8.7843432162844888</v>
      </c>
      <c r="AI33" s="90">
        <f t="shared" si="20"/>
        <v>98.783286011066764</v>
      </c>
      <c r="AK33" s="148">
        <f t="shared" si="21"/>
        <v>7.0993829397548316</v>
      </c>
    </row>
    <row r="34" spans="1:37">
      <c r="A34">
        <v>2018</v>
      </c>
      <c r="B34" t="s">
        <v>190</v>
      </c>
      <c r="C34">
        <v>4</v>
      </c>
      <c r="D34">
        <v>5</v>
      </c>
      <c r="E34">
        <f>'mass filt'!V37</f>
        <v>488.38571428571424</v>
      </c>
      <c r="F34">
        <v>0.5</v>
      </c>
      <c r="G34" s="183" t="s">
        <v>285</v>
      </c>
      <c r="H34" s="97">
        <f t="shared" si="12"/>
        <v>17</v>
      </c>
      <c r="I34" s="90">
        <f t="shared" si="13"/>
        <v>57.457142857142856</v>
      </c>
      <c r="J34" s="90">
        <f t="shared" si="14"/>
        <v>20.986221428571429</v>
      </c>
      <c r="L34">
        <v>1</v>
      </c>
      <c r="M34" s="90">
        <f>'CHN data'!AI28</f>
        <v>15.659294128417969</v>
      </c>
      <c r="N34" s="90">
        <f>'CHN data'!AJ28</f>
        <v>1.133435845375061</v>
      </c>
      <c r="O34" s="90">
        <f>'CHN data'!AH28</f>
        <v>1.2726815938949585</v>
      </c>
      <c r="R34">
        <f>pH_Sal!D27</f>
        <v>39.76</v>
      </c>
      <c r="S34" s="90">
        <f>pH_Sal!I27</f>
        <v>8.6419999999999995</v>
      </c>
      <c r="T34" s="67">
        <f>'traps and logs'!G50</f>
        <v>43224</v>
      </c>
      <c r="U34" s="67">
        <f t="shared" si="15"/>
        <v>43241</v>
      </c>
      <c r="V34" s="203">
        <f t="shared" si="16"/>
        <v>43232.5</v>
      </c>
      <c r="W34" s="97">
        <f t="shared" si="11"/>
        <v>68</v>
      </c>
      <c r="X34">
        <f t="shared" si="17"/>
        <v>51</v>
      </c>
      <c r="AB34">
        <f>'BSi_results and calculations'!K35</f>
        <v>4.1572859777582041</v>
      </c>
      <c r="AC34">
        <f>'BSi_results and calculations'!L35</f>
        <v>8.8932472197753807</v>
      </c>
      <c r="AF34" s="90">
        <f>'PIC data'!AF32</f>
        <v>69.214721987207426</v>
      </c>
      <c r="AG34">
        <f t="shared" si="18"/>
        <v>8.3054706566629726</v>
      </c>
      <c r="AH34" s="90">
        <f t="shared" si="19"/>
        <v>7.3538234717549962</v>
      </c>
      <c r="AI34" s="90">
        <f t="shared" si="20"/>
        <v>98.891099804301547</v>
      </c>
      <c r="AK34" s="148">
        <f t="shared" si="21"/>
        <v>6.7404449347389024</v>
      </c>
    </row>
    <row r="35" spans="1:37">
      <c r="A35">
        <v>2018</v>
      </c>
      <c r="B35" t="s">
        <v>190</v>
      </c>
      <c r="C35">
        <v>5</v>
      </c>
      <c r="D35">
        <v>8</v>
      </c>
      <c r="E35">
        <f>'mass filt'!V38</f>
        <v>279.21428571428572</v>
      </c>
      <c r="F35">
        <v>0.5</v>
      </c>
      <c r="G35" s="183" t="s">
        <v>285</v>
      </c>
      <c r="H35" s="97">
        <f t="shared" si="12"/>
        <v>17</v>
      </c>
      <c r="I35" s="90">
        <f t="shared" si="13"/>
        <v>32.84873949579832</v>
      </c>
      <c r="J35" s="90">
        <f t="shared" si="14"/>
        <v>11.998002100840338</v>
      </c>
      <c r="L35">
        <v>1</v>
      </c>
      <c r="M35" s="90">
        <f>'CHN data'!AI29</f>
        <v>15.882658958435059</v>
      </c>
      <c r="N35" s="90">
        <f>'CHN data'!AJ29</f>
        <v>1.167426586151123</v>
      </c>
      <c r="O35" s="90">
        <f>'CHN data'!AH29</f>
        <v>1.1502739191055298</v>
      </c>
      <c r="Q35" t="s">
        <v>2582</v>
      </c>
      <c r="R35" s="295">
        <f>AVERAGE(pH_Sal!D28,pH_Sal!G28)</f>
        <v>39.465000000000003</v>
      </c>
      <c r="S35" s="294">
        <f>AVERAGE(pH_Sal!I28,pH_Sal!L28)</f>
        <v>8.4845000000000006</v>
      </c>
      <c r="T35" s="67">
        <f>'traps and logs'!G51</f>
        <v>43241</v>
      </c>
      <c r="U35" s="67">
        <f t="shared" si="15"/>
        <v>43258</v>
      </c>
      <c r="V35" s="203">
        <f t="shared" si="16"/>
        <v>43249.5</v>
      </c>
      <c r="W35" s="97">
        <f t="shared" si="11"/>
        <v>85</v>
      </c>
      <c r="X35">
        <f t="shared" si="17"/>
        <v>68</v>
      </c>
      <c r="AB35">
        <f>'BSi_results and calculations'!K36</f>
        <v>3.976697124404676</v>
      </c>
      <c r="AC35">
        <f>'BSi_results and calculations'!L36</f>
        <v>8.5069323675855131</v>
      </c>
      <c r="AF35" s="90">
        <f>'PIC data'!AF33</f>
        <v>70.751824067911755</v>
      </c>
      <c r="AG35">
        <f t="shared" si="18"/>
        <v>8.4899163332625971</v>
      </c>
      <c r="AH35" s="90">
        <f t="shared" si="19"/>
        <v>7.3927426251724615</v>
      </c>
      <c r="AI35" s="90">
        <f t="shared" si="20"/>
        <v>100.08462534505937</v>
      </c>
      <c r="AK35" s="148">
        <f t="shared" si="21"/>
        <v>7.4972059593080056</v>
      </c>
    </row>
    <row r="36" spans="1:37">
      <c r="A36">
        <v>2018</v>
      </c>
      <c r="B36" t="s">
        <v>190</v>
      </c>
      <c r="C36">
        <v>6</v>
      </c>
      <c r="D36">
        <v>2</v>
      </c>
      <c r="E36">
        <f>'mass filt'!V39</f>
        <v>272.29999999999995</v>
      </c>
      <c r="F36">
        <v>0.5</v>
      </c>
      <c r="G36" s="183" t="s">
        <v>286</v>
      </c>
      <c r="H36" s="97">
        <f t="shared" si="12"/>
        <v>17</v>
      </c>
      <c r="I36" s="90">
        <f t="shared" si="13"/>
        <v>32.035294117647055</v>
      </c>
      <c r="J36" s="90">
        <f t="shared" si="14"/>
        <v>11.700891176470588</v>
      </c>
      <c r="L36">
        <v>1</v>
      </c>
      <c r="M36" s="90">
        <f>'CHN data'!AI30</f>
        <v>13.839174270629883</v>
      </c>
      <c r="N36" s="90">
        <f>'CHN data'!AJ30</f>
        <v>0.73124468326568604</v>
      </c>
      <c r="O36" s="90">
        <f>'CHN data'!AH30</f>
        <v>0.83555901050567627</v>
      </c>
      <c r="R36">
        <f>pH_Sal!D29</f>
        <v>38.39</v>
      </c>
      <c r="S36" s="90">
        <f>pH_Sal!I29</f>
        <v>8.6669999999999998</v>
      </c>
      <c r="T36" s="67">
        <f>'traps and logs'!G52</f>
        <v>43258</v>
      </c>
      <c r="U36" s="67">
        <f t="shared" si="15"/>
        <v>43275</v>
      </c>
      <c r="V36" s="203">
        <f t="shared" si="16"/>
        <v>43266.5</v>
      </c>
      <c r="W36" s="97">
        <f t="shared" si="11"/>
        <v>102</v>
      </c>
      <c r="X36">
        <f t="shared" si="17"/>
        <v>85</v>
      </c>
      <c r="AB36">
        <f>'BSi_results and calculations'!K37</f>
        <v>3.9159988171518298</v>
      </c>
      <c r="AC36">
        <f>'BSi_results and calculations'!L37</f>
        <v>8.3770868252991626</v>
      </c>
      <c r="AF36" s="90">
        <f>'PIC data'!AF34</f>
        <v>77.291264097712428</v>
      </c>
      <c r="AG36">
        <f t="shared" si="18"/>
        <v>9.2746211723365022</v>
      </c>
      <c r="AH36" s="90">
        <f t="shared" si="19"/>
        <v>4.5645530982933806</v>
      </c>
      <c r="AI36" s="90">
        <f t="shared" si="20"/>
        <v>100.28620175905701</v>
      </c>
      <c r="AK36" s="148">
        <f t="shared" si="21"/>
        <v>6.3725942072520381</v>
      </c>
    </row>
    <row r="37" spans="1:37">
      <c r="A37">
        <v>2018</v>
      </c>
      <c r="B37" t="s">
        <v>190</v>
      </c>
      <c r="C37">
        <v>7</v>
      </c>
      <c r="D37">
        <v>1</v>
      </c>
      <c r="E37">
        <f>'mass filt'!V40</f>
        <v>103.95714285714286</v>
      </c>
      <c r="F37">
        <v>0.5</v>
      </c>
      <c r="G37" t="s">
        <v>284</v>
      </c>
      <c r="H37" s="97">
        <f t="shared" si="12"/>
        <v>17</v>
      </c>
      <c r="I37" s="90">
        <f t="shared" si="13"/>
        <v>12.230252100840335</v>
      </c>
      <c r="J37" s="90">
        <f t="shared" si="14"/>
        <v>4.4670995798319328</v>
      </c>
      <c r="L37">
        <v>1</v>
      </c>
      <c r="M37" s="90">
        <f>'CHN data'!AI31</f>
        <v>13.684504508972168</v>
      </c>
      <c r="N37" s="90">
        <f>'CHN data'!AJ31</f>
        <v>0.73887020349502563</v>
      </c>
      <c r="O37" s="90">
        <f>'CHN data'!AH31</f>
        <v>0.79686939716339111</v>
      </c>
      <c r="R37">
        <f>pH_Sal!D30</f>
        <v>37.01</v>
      </c>
      <c r="S37" s="90">
        <f>pH_Sal!I30</f>
        <v>8.5950000000000006</v>
      </c>
      <c r="T37" s="67">
        <f>'traps and logs'!G53</f>
        <v>43275</v>
      </c>
      <c r="U37" s="67">
        <f t="shared" si="15"/>
        <v>43292</v>
      </c>
      <c r="V37" s="203">
        <f t="shared" si="16"/>
        <v>43283.5</v>
      </c>
      <c r="W37" s="97">
        <f t="shared" si="11"/>
        <v>119</v>
      </c>
      <c r="X37">
        <f t="shared" si="17"/>
        <v>102</v>
      </c>
      <c r="AB37">
        <f>'BSi_results and calculations'!K38</f>
        <v>3.7302617346461475</v>
      </c>
      <c r="AC37">
        <f>'BSi_results and calculations'!L38</f>
        <v>7.9797589047663582</v>
      </c>
      <c r="AF37" s="90">
        <f>'PIC data'!AF35</f>
        <v>72.003198413578801</v>
      </c>
      <c r="AG37">
        <f t="shared" si="18"/>
        <v>8.6400759035106631</v>
      </c>
      <c r="AH37" s="90">
        <f t="shared" si="19"/>
        <v>5.0444286054615048</v>
      </c>
      <c r="AI37" s="90">
        <f t="shared" si="20"/>
        <v>95.608029443830162</v>
      </c>
      <c r="AK37" s="148">
        <f t="shared" si="21"/>
        <v>7.3844806885473551</v>
      </c>
    </row>
    <row r="38" spans="1:37">
      <c r="A38">
        <v>2018</v>
      </c>
      <c r="B38" t="s">
        <v>190</v>
      </c>
      <c r="C38">
        <v>8</v>
      </c>
      <c r="D38">
        <v>1</v>
      </c>
      <c r="E38">
        <f>'mass filt'!V41</f>
        <v>180.85714285714286</v>
      </c>
      <c r="F38">
        <v>0.5</v>
      </c>
      <c r="G38" t="s">
        <v>284</v>
      </c>
      <c r="H38" s="97">
        <f t="shared" si="12"/>
        <v>17</v>
      </c>
      <c r="I38" s="90">
        <f t="shared" si="13"/>
        <v>21.277310924369747</v>
      </c>
      <c r="J38" s="90">
        <f t="shared" si="14"/>
        <v>7.7715378151260515</v>
      </c>
      <c r="L38">
        <v>1</v>
      </c>
      <c r="M38" s="90">
        <f>'CHN data'!AI32</f>
        <v>13.781223297119141</v>
      </c>
      <c r="N38" s="90">
        <f>'CHN data'!AJ32</f>
        <v>0.80259227752685547</v>
      </c>
      <c r="O38" s="90">
        <f>'CHN data'!AH32</f>
        <v>0.99969804286956787</v>
      </c>
      <c r="R38">
        <f>pH_Sal!D31</f>
        <v>39.08</v>
      </c>
      <c r="S38" s="90">
        <f>pH_Sal!I31</f>
        <v>8.65</v>
      </c>
      <c r="T38" s="67">
        <f>'traps and logs'!G54</f>
        <v>43292</v>
      </c>
      <c r="U38" s="67">
        <f t="shared" si="15"/>
        <v>43309</v>
      </c>
      <c r="V38" s="203">
        <f t="shared" si="16"/>
        <v>43300.5</v>
      </c>
      <c r="W38" s="97">
        <f t="shared" si="11"/>
        <v>136</v>
      </c>
      <c r="X38">
        <f t="shared" si="17"/>
        <v>119</v>
      </c>
      <c r="AB38">
        <f>'BSi_results and calculations'!K39</f>
        <v>4.2819351401976178</v>
      </c>
      <c r="AC38">
        <f>'BSi_results and calculations'!L39</f>
        <v>9.1598961400667456</v>
      </c>
      <c r="AF38" s="90">
        <f>'PIC data'!AF36</f>
        <v>69.064882638943757</v>
      </c>
      <c r="AG38">
        <f t="shared" si="18"/>
        <v>8.2874905756269257</v>
      </c>
      <c r="AH38" s="90">
        <f t="shared" si="19"/>
        <v>5.4937327214922149</v>
      </c>
      <c r="AI38" s="90">
        <f t="shared" si="20"/>
        <v>94.963642014485799</v>
      </c>
      <c r="AK38" s="148">
        <f t="shared" si="21"/>
        <v>6.4105281633153881</v>
      </c>
    </row>
    <row r="39" spans="1:37">
      <c r="A39">
        <v>2018</v>
      </c>
      <c r="B39" t="s">
        <v>190</v>
      </c>
      <c r="C39">
        <v>9</v>
      </c>
      <c r="D39">
        <v>1</v>
      </c>
      <c r="E39">
        <f>'mass filt'!V42</f>
        <v>341.75714285714287</v>
      </c>
      <c r="F39">
        <v>0.5</v>
      </c>
      <c r="G39" t="s">
        <v>284</v>
      </c>
      <c r="H39" s="97">
        <f t="shared" si="12"/>
        <v>17</v>
      </c>
      <c r="I39" s="90">
        <f t="shared" si="13"/>
        <v>40.206722689075633</v>
      </c>
      <c r="J39" s="90">
        <f t="shared" si="14"/>
        <v>14.685505462184876</v>
      </c>
      <c r="L39">
        <v>1</v>
      </c>
      <c r="M39" s="90">
        <f>'CHN data'!AI33</f>
        <v>13.291887283325195</v>
      </c>
      <c r="N39" s="90">
        <f>'CHN data'!AJ33</f>
        <v>0.6710125207901001</v>
      </c>
      <c r="O39" s="90">
        <f>'CHN data'!AH33</f>
        <v>0.69631367921829224</v>
      </c>
      <c r="R39">
        <f>pH_Sal!D32</f>
        <v>39.520000000000003</v>
      </c>
      <c r="S39" s="90">
        <f>pH_Sal!I32</f>
        <v>8.6980000000000004</v>
      </c>
      <c r="T39" s="67">
        <f>'traps and logs'!G55</f>
        <v>43309</v>
      </c>
      <c r="U39" s="67">
        <f t="shared" si="15"/>
        <v>43326</v>
      </c>
      <c r="V39" s="203">
        <f t="shared" si="16"/>
        <v>43317.5</v>
      </c>
      <c r="W39" s="97">
        <f t="shared" si="11"/>
        <v>153</v>
      </c>
      <c r="X39">
        <f t="shared" si="17"/>
        <v>136</v>
      </c>
      <c r="AB39">
        <f>'BSi_results and calculations'!K40</f>
        <v>4.515026126421235</v>
      </c>
      <c r="AC39">
        <f>'BSi_results and calculations'!L40</f>
        <v>9.6585233156515482</v>
      </c>
      <c r="AF39" s="90">
        <f>'PIC data'!AF37</f>
        <v>70.955305839225673</v>
      </c>
      <c r="AG39">
        <f t="shared" si="18"/>
        <v>8.5143332756744421</v>
      </c>
      <c r="AH39" s="90">
        <f t="shared" si="19"/>
        <v>4.7775540076507532</v>
      </c>
      <c r="AI39" s="90">
        <f t="shared" si="20"/>
        <v>95.83910999635404</v>
      </c>
      <c r="AK39" s="148">
        <f t="shared" si="21"/>
        <v>8.0037922255268654</v>
      </c>
    </row>
    <row r="40" spans="1:37">
      <c r="A40">
        <v>2018</v>
      </c>
      <c r="B40" t="s">
        <v>190</v>
      </c>
      <c r="C40">
        <v>10</v>
      </c>
      <c r="D40">
        <v>2</v>
      </c>
      <c r="E40">
        <f>'mass filt'!V43</f>
        <v>297.91428571428577</v>
      </c>
      <c r="F40">
        <v>0.5</v>
      </c>
      <c r="G40" t="s">
        <v>284</v>
      </c>
      <c r="H40" s="97">
        <f t="shared" si="12"/>
        <v>17</v>
      </c>
      <c r="I40" s="90">
        <f t="shared" si="13"/>
        <v>35.048739495798323</v>
      </c>
      <c r="J40" s="90">
        <f t="shared" si="14"/>
        <v>12.80155210084034</v>
      </c>
      <c r="L40">
        <v>1</v>
      </c>
      <c r="M40" s="90">
        <f>'CHN data'!AI34</f>
        <v>13.503268241882324</v>
      </c>
      <c r="N40" s="90">
        <f>'CHN data'!AJ34</f>
        <v>0.74462848901748657</v>
      </c>
      <c r="O40" s="90">
        <f>'CHN data'!AH34</f>
        <v>0.88421434164047241</v>
      </c>
      <c r="R40">
        <f>pH_Sal!D33</f>
        <v>40.21</v>
      </c>
      <c r="S40" s="90">
        <f>pH_Sal!I33</f>
        <v>8.7279999999999998</v>
      </c>
      <c r="T40" s="67">
        <f>'traps and logs'!G56</f>
        <v>43326</v>
      </c>
      <c r="U40" s="67">
        <f t="shared" si="15"/>
        <v>43343</v>
      </c>
      <c r="V40" s="203">
        <f t="shared" si="16"/>
        <v>43334.5</v>
      </c>
      <c r="W40" s="97">
        <f t="shared" si="11"/>
        <v>170</v>
      </c>
      <c r="X40">
        <f t="shared" si="17"/>
        <v>153</v>
      </c>
      <c r="AB40">
        <f>'BSi_results and calculations'!K41</f>
        <v>4.7751875154016767</v>
      </c>
      <c r="AC40">
        <f>'BSi_results and calculations'!L41</f>
        <v>10.215059373459832</v>
      </c>
      <c r="AF40" s="90">
        <f>'PIC data'!AF38</f>
        <v>69.040640282371555</v>
      </c>
      <c r="AG40">
        <f t="shared" si="18"/>
        <v>8.2845815965054594</v>
      </c>
      <c r="AH40" s="90">
        <f t="shared" si="19"/>
        <v>5.2186866453768648</v>
      </c>
      <c r="AI40" s="90">
        <f t="shared" si="20"/>
        <v>95.508279940287295</v>
      </c>
      <c r="AK40" s="148">
        <f t="shared" si="21"/>
        <v>6.8849183418211162</v>
      </c>
    </row>
    <row r="41" spans="1:37">
      <c r="A41">
        <v>2018</v>
      </c>
      <c r="B41" t="s">
        <v>190</v>
      </c>
      <c r="C41">
        <v>11</v>
      </c>
      <c r="D41">
        <v>2</v>
      </c>
      <c r="E41">
        <f>'mass filt'!V44</f>
        <v>399.8428571428571</v>
      </c>
      <c r="F41">
        <v>0.5</v>
      </c>
      <c r="G41" t="s">
        <v>284</v>
      </c>
      <c r="H41" s="97">
        <f t="shared" si="12"/>
        <v>17</v>
      </c>
      <c r="I41" s="90">
        <f t="shared" si="13"/>
        <v>47.040336134453774</v>
      </c>
      <c r="J41" s="90">
        <f t="shared" si="14"/>
        <v>17.181482773109245</v>
      </c>
      <c r="L41">
        <v>1</v>
      </c>
      <c r="M41" s="90">
        <f>'CHN data'!AI35</f>
        <v>13.014858245849609</v>
      </c>
      <c r="N41" s="90">
        <f>'CHN data'!AJ35</f>
        <v>0.72309362888336182</v>
      </c>
      <c r="O41" s="90">
        <f>'CHN data'!AH35</f>
        <v>0.7449190616607666</v>
      </c>
      <c r="R41">
        <f>pH_Sal!D34</f>
        <v>40.299999999999997</v>
      </c>
      <c r="S41" s="90">
        <f>pH_Sal!I34</f>
        <v>8.6869999999999994</v>
      </c>
      <c r="T41" s="67">
        <f>'traps and logs'!G57</f>
        <v>43343</v>
      </c>
      <c r="U41" s="67">
        <f t="shared" si="15"/>
        <v>43360</v>
      </c>
      <c r="V41" s="203">
        <f t="shared" si="16"/>
        <v>43351.5</v>
      </c>
      <c r="W41" s="97">
        <f t="shared" si="11"/>
        <v>187</v>
      </c>
      <c r="X41">
        <f t="shared" si="17"/>
        <v>170</v>
      </c>
      <c r="AB41">
        <f>'BSi_results and calculations'!K42</f>
        <v>5.7540897631468635</v>
      </c>
      <c r="AC41">
        <f>'BSi_results and calculations'!L42</f>
        <v>12.309122601192419</v>
      </c>
      <c r="AF41" s="90">
        <f>'PIC data'!AF39</f>
        <v>67.776995108616362</v>
      </c>
      <c r="AG41">
        <f t="shared" si="18"/>
        <v>8.1329495793603606</v>
      </c>
      <c r="AH41" s="90">
        <f t="shared" si="19"/>
        <v>4.8819086664892488</v>
      </c>
      <c r="AI41" s="90">
        <f t="shared" si="20"/>
        <v>95.831501175551409</v>
      </c>
      <c r="AK41" s="148">
        <f t="shared" si="21"/>
        <v>7.6449683270320996</v>
      </c>
    </row>
    <row r="42" spans="1:37">
      <c r="A42">
        <v>2018</v>
      </c>
      <c r="B42" t="s">
        <v>190</v>
      </c>
      <c r="C42">
        <v>12</v>
      </c>
      <c r="D42">
        <v>6</v>
      </c>
      <c r="E42">
        <f>'mass filt'!V45</f>
        <v>716.05714285714294</v>
      </c>
      <c r="F42">
        <v>0.5</v>
      </c>
      <c r="G42" t="s">
        <v>284</v>
      </c>
      <c r="H42" s="97">
        <f t="shared" si="12"/>
        <v>17</v>
      </c>
      <c r="I42" s="90">
        <f t="shared" si="13"/>
        <v>84.242016806722702</v>
      </c>
      <c r="J42" s="90">
        <f t="shared" si="14"/>
        <v>30.769396638655468</v>
      </c>
      <c r="L42">
        <v>1</v>
      </c>
      <c r="M42" s="90">
        <f>'CHN data'!AI36</f>
        <v>12.492358207702637</v>
      </c>
      <c r="N42" s="90">
        <f>'CHN data'!AJ36</f>
        <v>0.70072638988494873</v>
      </c>
      <c r="O42" s="90">
        <f>'CHN data'!AH36</f>
        <v>0.71064901351928711</v>
      </c>
      <c r="R42">
        <f>pH_Sal!D35</f>
        <v>40.049999999999997</v>
      </c>
      <c r="S42" s="90">
        <f>pH_Sal!I35</f>
        <v>8.6370000000000005</v>
      </c>
      <c r="T42" s="67">
        <f>'traps and logs'!G58</f>
        <v>43360</v>
      </c>
      <c r="U42" s="67">
        <f t="shared" si="15"/>
        <v>43377</v>
      </c>
      <c r="V42" s="203">
        <f t="shared" si="16"/>
        <v>43368.5</v>
      </c>
      <c r="W42" s="97">
        <f t="shared" si="11"/>
        <v>204</v>
      </c>
      <c r="X42">
        <f t="shared" si="17"/>
        <v>187</v>
      </c>
      <c r="AB42">
        <f>'BSi_results and calculations'!K43</f>
        <v>7.7138576097263618</v>
      </c>
      <c r="AC42">
        <f>'BSi_results and calculations'!L43</f>
        <v>16.501449048360879</v>
      </c>
      <c r="AF42" s="90">
        <f>'PIC data'!AF40</f>
        <v>66.445680366956879</v>
      </c>
      <c r="AG42">
        <f t="shared" si="18"/>
        <v>7.9731975034410301</v>
      </c>
      <c r="AH42" s="90">
        <f t="shared" si="19"/>
        <v>4.5191607042616067</v>
      </c>
      <c r="AI42" s="90">
        <f t="shared" si="20"/>
        <v>98.359250752970382</v>
      </c>
      <c r="AK42" s="148">
        <f t="shared" si="21"/>
        <v>7.4181866379743706</v>
      </c>
    </row>
    <row r="43" spans="1:37">
      <c r="A43">
        <v>2018</v>
      </c>
      <c r="B43" t="s">
        <v>190</v>
      </c>
      <c r="C43">
        <v>13</v>
      </c>
      <c r="D43">
        <v>5</v>
      </c>
      <c r="E43">
        <f>'mass filt'!V46</f>
        <v>592.9571428571428</v>
      </c>
      <c r="F43">
        <v>0.5</v>
      </c>
      <c r="G43" t="s">
        <v>284</v>
      </c>
      <c r="H43" s="97">
        <f t="shared" si="12"/>
        <v>17</v>
      </c>
      <c r="I43" s="90">
        <f t="shared" si="13"/>
        <v>69.759663865546216</v>
      </c>
      <c r="J43" s="90">
        <f t="shared" si="14"/>
        <v>25.479717226890756</v>
      </c>
      <c r="L43">
        <v>1</v>
      </c>
      <c r="M43" s="90">
        <f>'CHN data'!AI37</f>
        <v>12.407177925109863</v>
      </c>
      <c r="N43" s="90">
        <f>'CHN data'!AJ37</f>
        <v>0.65353751182556152</v>
      </c>
      <c r="O43" s="90">
        <f>'CHN data'!AH37</f>
        <v>0.67137563228607178</v>
      </c>
      <c r="R43">
        <f>pH_Sal!D36</f>
        <v>39.909999999999997</v>
      </c>
      <c r="S43" s="90">
        <f>pH_Sal!I36</f>
        <v>8.5920000000000005</v>
      </c>
      <c r="T43" s="67">
        <f>'traps and logs'!G59</f>
        <v>43377</v>
      </c>
      <c r="U43" s="67">
        <f t="shared" si="15"/>
        <v>43394</v>
      </c>
      <c r="V43" s="203">
        <f t="shared" si="16"/>
        <v>43385.5</v>
      </c>
      <c r="W43" s="97">
        <f t="shared" si="11"/>
        <v>221</v>
      </c>
      <c r="X43">
        <f t="shared" si="17"/>
        <v>204</v>
      </c>
      <c r="AB43">
        <f>'BSi_results and calculations'!K44</f>
        <v>7.4446572151482302</v>
      </c>
      <c r="AC43">
        <f>'BSi_results and calculations'!L44</f>
        <v>15.925576790966794</v>
      </c>
      <c r="AF43" s="90">
        <f>'PIC data'!AF41</f>
        <v>67.590204655428948</v>
      </c>
      <c r="AG43">
        <f t="shared" si="18"/>
        <v>8.110535523746881</v>
      </c>
      <c r="AH43" s="90">
        <f t="shared" si="19"/>
        <v>4.2966424013629823</v>
      </c>
      <c r="AI43" s="90">
        <f t="shared" si="20"/>
        <v>98.377241752387022</v>
      </c>
      <c r="AK43" s="148">
        <f t="shared" si="21"/>
        <v>7.4654976561832855</v>
      </c>
    </row>
    <row r="44" spans="1:37">
      <c r="A44">
        <v>2018</v>
      </c>
      <c r="B44" t="s">
        <v>190</v>
      </c>
      <c r="C44">
        <v>14</v>
      </c>
      <c r="D44">
        <v>4</v>
      </c>
      <c r="E44">
        <f>'mass filt'!V47</f>
        <v>459.25714285714287</v>
      </c>
      <c r="F44">
        <v>0.5</v>
      </c>
      <c r="G44" t="s">
        <v>284</v>
      </c>
      <c r="H44" s="97">
        <f t="shared" si="12"/>
        <v>17</v>
      </c>
      <c r="I44" s="90">
        <f t="shared" si="13"/>
        <v>54.030252100840336</v>
      </c>
      <c r="J44" s="90">
        <f t="shared" si="14"/>
        <v>19.734549579831935</v>
      </c>
      <c r="L44">
        <v>1</v>
      </c>
      <c r="M44" s="90">
        <f>'CHN data'!AI38</f>
        <v>15.202922821044922</v>
      </c>
      <c r="N44" s="90">
        <f>'CHN data'!AJ38</f>
        <v>1.0885491371154785</v>
      </c>
      <c r="O44" s="90">
        <f>'CHN data'!AH38</f>
        <v>1.17836594581604</v>
      </c>
      <c r="R44">
        <f>pH_Sal!D37</f>
        <v>40.22</v>
      </c>
      <c r="S44" s="90">
        <f>pH_Sal!I37</f>
        <v>8.2270000000000003</v>
      </c>
      <c r="T44" s="67">
        <f>'traps and logs'!G60</f>
        <v>43394</v>
      </c>
      <c r="U44" s="67">
        <f t="shared" si="15"/>
        <v>43411</v>
      </c>
      <c r="V44" s="203">
        <f t="shared" si="16"/>
        <v>43402.5</v>
      </c>
      <c r="W44" s="97">
        <f t="shared" si="11"/>
        <v>238</v>
      </c>
      <c r="X44">
        <f t="shared" si="17"/>
        <v>221</v>
      </c>
      <c r="AB44">
        <f>'BSi_results and calculations'!K45</f>
        <v>5.0217392437140722</v>
      </c>
      <c r="AC44">
        <f>'BSi_results and calculations'!L45</f>
        <v>10.742481707183291</v>
      </c>
      <c r="AF44" s="90">
        <f>'PIC data'!AF42</f>
        <v>66.632919837869395</v>
      </c>
      <c r="AG44">
        <f t="shared" si="18"/>
        <v>7.9956654392613959</v>
      </c>
      <c r="AH44" s="90">
        <f t="shared" si="19"/>
        <v>7.2072573817835259</v>
      </c>
      <c r="AI44" s="90">
        <f t="shared" si="20"/>
        <v>98.040968198948775</v>
      </c>
      <c r="AK44" s="148">
        <f t="shared" si="21"/>
        <v>7.1348521236336628</v>
      </c>
    </row>
    <row r="45" spans="1:37">
      <c r="A45">
        <v>2018</v>
      </c>
      <c r="B45" t="s">
        <v>190</v>
      </c>
      <c r="C45">
        <v>15</v>
      </c>
      <c r="D45">
        <v>3</v>
      </c>
      <c r="E45">
        <f>'mass filt'!V48</f>
        <v>426.5</v>
      </c>
      <c r="F45">
        <v>0.5</v>
      </c>
      <c r="G45" t="s">
        <v>284</v>
      </c>
      <c r="H45" s="97">
        <f t="shared" si="12"/>
        <v>17</v>
      </c>
      <c r="I45" s="90">
        <f t="shared" si="13"/>
        <v>50.176470588235297</v>
      </c>
      <c r="J45" s="90">
        <f t="shared" si="14"/>
        <v>18.326955882352944</v>
      </c>
      <c r="L45">
        <v>1</v>
      </c>
      <c r="M45" s="90">
        <f>'CHN data'!AI39</f>
        <v>13.092334747314453</v>
      </c>
      <c r="N45" s="90">
        <f>'CHN data'!AJ39</f>
        <v>0.4758339524269104</v>
      </c>
      <c r="O45" s="90">
        <f>'CHN data'!AH39</f>
        <v>0.600413978099823</v>
      </c>
      <c r="R45">
        <f>pH_Sal!D38</f>
        <v>40.03</v>
      </c>
      <c r="S45" s="90">
        <f>pH_Sal!I38</f>
        <v>8.5150000000000006</v>
      </c>
      <c r="T45" s="67">
        <f>'traps and logs'!G61</f>
        <v>43411</v>
      </c>
      <c r="U45" s="67">
        <f t="shared" si="15"/>
        <v>43428</v>
      </c>
      <c r="V45" s="203">
        <f t="shared" si="16"/>
        <v>43419.5</v>
      </c>
      <c r="W45" s="97">
        <f t="shared" si="11"/>
        <v>255</v>
      </c>
      <c r="X45">
        <f t="shared" si="17"/>
        <v>238</v>
      </c>
      <c r="AB45">
        <f>'BSi_results and calculations'!K46</f>
        <v>4.1466224682896895</v>
      </c>
      <c r="AC45">
        <f>'BSi_results and calculations'!L46</f>
        <v>8.8704358889116222</v>
      </c>
      <c r="AF45" s="90">
        <f>'PIC data'!AF43</f>
        <v>78.515368335862746</v>
      </c>
      <c r="AG45">
        <f t="shared" si="18"/>
        <v>9.4215084462972829</v>
      </c>
      <c r="AH45" s="90">
        <f t="shared" si="19"/>
        <v>3.6708263010171702</v>
      </c>
      <c r="AI45" s="90">
        <f t="shared" si="20"/>
        <v>100.10066177178226</v>
      </c>
      <c r="AK45" s="148">
        <f t="shared" si="21"/>
        <v>7.1319480029364737</v>
      </c>
    </row>
    <row r="46" spans="1:37">
      <c r="A46">
        <v>2018</v>
      </c>
      <c r="B46" t="s">
        <v>190</v>
      </c>
      <c r="C46">
        <v>16</v>
      </c>
      <c r="D46">
        <v>3</v>
      </c>
      <c r="E46">
        <f>'mass filt'!V49</f>
        <v>392.8142857142858</v>
      </c>
      <c r="F46">
        <v>0.5</v>
      </c>
      <c r="G46" t="s">
        <v>284</v>
      </c>
      <c r="H46" s="97">
        <f t="shared" si="12"/>
        <v>17</v>
      </c>
      <c r="I46" s="90">
        <f t="shared" si="13"/>
        <v>46.21344537815127</v>
      </c>
      <c r="J46" s="90">
        <f t="shared" si="14"/>
        <v>16.879460924369752</v>
      </c>
      <c r="L46">
        <v>1</v>
      </c>
      <c r="M46" s="90">
        <f>'CHN data'!AI40</f>
        <v>13.344470024108887</v>
      </c>
      <c r="N46" s="90">
        <f>'CHN data'!AJ40</f>
        <v>0.57203418016433716</v>
      </c>
      <c r="O46" s="90">
        <f>'CHN data'!AH40</f>
        <v>0.58693116903305054</v>
      </c>
      <c r="R46">
        <f>pH_Sal!D39</f>
        <v>39.75</v>
      </c>
      <c r="S46" s="90">
        <f>pH_Sal!I39</f>
        <v>8.6809999999999992</v>
      </c>
      <c r="T46" s="67">
        <f>'traps and logs'!G62</f>
        <v>43428</v>
      </c>
      <c r="U46" s="67">
        <f t="shared" si="15"/>
        <v>43445</v>
      </c>
      <c r="V46" s="203">
        <f t="shared" si="16"/>
        <v>43436.5</v>
      </c>
      <c r="W46" s="97">
        <f t="shared" si="11"/>
        <v>272</v>
      </c>
      <c r="X46">
        <f t="shared" si="17"/>
        <v>255</v>
      </c>
      <c r="AB46">
        <f>'BSi_results and calculations'!K47</f>
        <v>4.0806182274664495</v>
      </c>
      <c r="AC46">
        <f>'BSi_results and calculations'!L47</f>
        <v>8.7292399177094673</v>
      </c>
      <c r="AF46" s="90">
        <f>'PIC data'!AF44</f>
        <v>76.947655061320717</v>
      </c>
      <c r="AG46">
        <f t="shared" si="18"/>
        <v>9.2333895573392901</v>
      </c>
      <c r="AH46" s="90">
        <f t="shared" si="19"/>
        <v>4.1110804667695966</v>
      </c>
      <c r="AI46" s="90">
        <f t="shared" si="20"/>
        <v>99.340377592203652</v>
      </c>
      <c r="AK46" s="148">
        <f t="shared" si="21"/>
        <v>8.1707878020695652</v>
      </c>
    </row>
    <row r="47" spans="1:37">
      <c r="A47">
        <v>2018</v>
      </c>
      <c r="B47" t="s">
        <v>190</v>
      </c>
      <c r="C47">
        <v>17</v>
      </c>
      <c r="D47">
        <v>2</v>
      </c>
      <c r="E47">
        <f>'mass filt'!V50</f>
        <v>258.54285714285714</v>
      </c>
      <c r="F47">
        <v>0.5</v>
      </c>
      <c r="G47" t="s">
        <v>284</v>
      </c>
      <c r="H47" s="97">
        <f t="shared" si="12"/>
        <v>17</v>
      </c>
      <c r="I47" s="90">
        <f t="shared" si="13"/>
        <v>30.416806722689074</v>
      </c>
      <c r="J47" s="90">
        <f t="shared" si="14"/>
        <v>11.109738655462184</v>
      </c>
      <c r="L47">
        <v>1</v>
      </c>
      <c r="M47" s="90">
        <f>'CHN data'!AI41</f>
        <v>13.119449901580799</v>
      </c>
      <c r="N47" s="90">
        <f>'CHN data'!AJ41</f>
        <v>0.45461909969647724</v>
      </c>
      <c r="O47" s="90">
        <f>'CHN data'!AH41</f>
        <v>0.56543075044949853</v>
      </c>
      <c r="Q47" t="s">
        <v>2582</v>
      </c>
      <c r="R47" s="295">
        <f>AVERAGE(pH_Sal!D40,pH_Sal!G40)</f>
        <v>39.9</v>
      </c>
      <c r="S47" s="294">
        <f>AVERAGE(pH_Sal!I40,pH_Sal!L40)</f>
        <v>8.6840000000000011</v>
      </c>
      <c r="T47" s="67">
        <f>'traps and logs'!G63</f>
        <v>43445</v>
      </c>
      <c r="U47" s="67">
        <f t="shared" si="15"/>
        <v>43462</v>
      </c>
      <c r="V47" s="203">
        <f t="shared" si="16"/>
        <v>43453.5</v>
      </c>
      <c r="W47" s="97">
        <f t="shared" si="11"/>
        <v>289</v>
      </c>
      <c r="X47">
        <f t="shared" si="17"/>
        <v>272</v>
      </c>
      <c r="AB47">
        <f>AVERAGE('BSi_results and calculations'!K48:K50)</f>
        <v>4.1918138793433686</v>
      </c>
      <c r="AC47">
        <f>AVERAGE('BSi_results and calculations'!L48:L50)</f>
        <v>8.9671091495102555</v>
      </c>
      <c r="AF47" s="90">
        <f>'PIC data'!AF45</f>
        <v>77.17781049289664</v>
      </c>
      <c r="AG47">
        <f t="shared" si="18"/>
        <v>9.2610072249184316</v>
      </c>
      <c r="AH47" s="90">
        <f t="shared" si="19"/>
        <v>3.8584426766623672</v>
      </c>
      <c r="AI47" s="90">
        <f t="shared" si="20"/>
        <v>99.281291110743609</v>
      </c>
      <c r="AK47" s="148">
        <f t="shared" si="21"/>
        <v>7.9602692353023548</v>
      </c>
    </row>
    <row r="48" spans="1:37">
      <c r="A48">
        <v>2018</v>
      </c>
      <c r="B48" t="s">
        <v>190</v>
      </c>
      <c r="C48">
        <v>18</v>
      </c>
      <c r="D48">
        <v>4</v>
      </c>
      <c r="E48">
        <f>'mass filt'!V51</f>
        <v>451.49999999999989</v>
      </c>
      <c r="F48">
        <v>0.5</v>
      </c>
      <c r="G48" t="s">
        <v>284</v>
      </c>
      <c r="H48" s="97">
        <f t="shared" si="12"/>
        <v>17</v>
      </c>
      <c r="I48" s="90">
        <f t="shared" si="13"/>
        <v>53.117647058823515</v>
      </c>
      <c r="J48" s="90">
        <f t="shared" si="14"/>
        <v>19.40122058823529</v>
      </c>
      <c r="K48" s="642" t="s">
        <v>3478</v>
      </c>
      <c r="L48">
        <v>1</v>
      </c>
      <c r="M48" s="90">
        <f>'CHN data'!AI42</f>
        <v>13.106645584106445</v>
      </c>
      <c r="N48" s="90">
        <f>'CHN data'!AJ42</f>
        <v>0.57958483695983887</v>
      </c>
      <c r="O48" s="90">
        <f>'CHN data'!AH42</f>
        <v>0.62611663341522217</v>
      </c>
      <c r="R48">
        <f>pH_Sal!D41</f>
        <v>40.17</v>
      </c>
      <c r="S48" s="90">
        <f>pH_Sal!I41</f>
        <v>8.6980000000000004</v>
      </c>
      <c r="T48" s="67">
        <f>'traps and logs'!G64</f>
        <v>43462</v>
      </c>
      <c r="U48" s="67">
        <f t="shared" si="15"/>
        <v>43479</v>
      </c>
      <c r="V48" s="203">
        <f t="shared" si="16"/>
        <v>43470.5</v>
      </c>
      <c r="W48" s="97">
        <f t="shared" si="11"/>
        <v>306</v>
      </c>
      <c r="X48">
        <f t="shared" si="17"/>
        <v>289</v>
      </c>
      <c r="AB48">
        <f>'BSi_results and calculations'!K53</f>
        <v>4.8736200989290257</v>
      </c>
      <c r="AC48">
        <f>'BSi_results and calculations'!L53</f>
        <v>10.425625907605736</v>
      </c>
      <c r="AF48" s="90">
        <f>'PIC data'!AF46</f>
        <v>74.998076386991769</v>
      </c>
      <c r="AG48">
        <f t="shared" si="18"/>
        <v>8.9994484533717323</v>
      </c>
      <c r="AH48" s="90">
        <f t="shared" si="19"/>
        <v>4.107197130734713</v>
      </c>
      <c r="AI48" s="90">
        <f t="shared" si="20"/>
        <v>99.26528286074317</v>
      </c>
      <c r="AK48" s="148">
        <f t="shared" si="21"/>
        <v>7.6521845309420158</v>
      </c>
    </row>
    <row r="49" spans="1:44">
      <c r="A49">
        <v>2018</v>
      </c>
      <c r="B49" t="s">
        <v>190</v>
      </c>
      <c r="C49">
        <v>19</v>
      </c>
      <c r="D49">
        <v>5</v>
      </c>
      <c r="E49" s="232">
        <f>'mass filt'!V52</f>
        <v>492.02857142857147</v>
      </c>
      <c r="F49">
        <v>0.5</v>
      </c>
      <c r="G49" t="s">
        <v>284</v>
      </c>
      <c r="H49" s="97">
        <f t="shared" si="12"/>
        <v>17</v>
      </c>
      <c r="I49" s="296">
        <f t="shared" si="13"/>
        <v>57.885714285714293</v>
      </c>
      <c r="J49" s="296">
        <f t="shared" si="14"/>
        <v>21.142757142857146</v>
      </c>
      <c r="K49" s="643">
        <f>'mass filt'!AA53/main!F49/main!H49*365.25*0.001</f>
        <v>22.73414746543779</v>
      </c>
      <c r="L49">
        <v>1</v>
      </c>
      <c r="M49" s="90">
        <f>'CHN data'!AI43</f>
        <v>13.113008499145508</v>
      </c>
      <c r="N49" s="90">
        <f>'CHN data'!AJ43</f>
        <v>0.7400403618812561</v>
      </c>
      <c r="O49" s="90">
        <f>'CHN data'!AH43</f>
        <v>0.84665894508361816</v>
      </c>
      <c r="R49">
        <f>pH_Sal!D42</f>
        <v>39.96</v>
      </c>
      <c r="S49" s="90">
        <f>pH_Sal!I42</f>
        <v>8.6910000000000007</v>
      </c>
      <c r="T49" s="67">
        <f>'traps and logs'!G65</f>
        <v>43479</v>
      </c>
      <c r="U49" s="67">
        <f t="shared" si="15"/>
        <v>43496</v>
      </c>
      <c r="V49" s="203">
        <f t="shared" si="16"/>
        <v>43487.5</v>
      </c>
      <c r="W49" s="97">
        <f t="shared" si="11"/>
        <v>323</v>
      </c>
      <c r="X49">
        <f t="shared" si="17"/>
        <v>306</v>
      </c>
      <c r="AB49">
        <f>'BSi_results and calculations'!K54</f>
        <v>6.1389455013610688</v>
      </c>
      <c r="AC49">
        <f>'BSi_results and calculations'!L54</f>
        <v>13.132404242676632</v>
      </c>
      <c r="AF49" s="90">
        <f>'PIC data'!AF47</f>
        <v>68.215712572762769</v>
      </c>
      <c r="AG49">
        <f t="shared" si="18"/>
        <v>8.1855937989774965</v>
      </c>
      <c r="AH49" s="90">
        <f t="shared" si="19"/>
        <v>4.9274147001680113</v>
      </c>
      <c r="AI49" s="90">
        <f t="shared" si="20"/>
        <v>97.283719475501769</v>
      </c>
      <c r="AK49" s="645">
        <f>(AH49/12.01)/(O49/14.01)</f>
        <v>6.7889989512088986</v>
      </c>
      <c r="AL49" t="s">
        <v>3480</v>
      </c>
    </row>
    <row r="50" spans="1:44">
      <c r="A50">
        <v>2018</v>
      </c>
      <c r="B50" t="s">
        <v>190</v>
      </c>
      <c r="C50">
        <v>20</v>
      </c>
      <c r="D50">
        <v>10</v>
      </c>
      <c r="E50">
        <f>'mass filt'!V53</f>
        <v>607.7285714285714</v>
      </c>
      <c r="F50">
        <v>0.5</v>
      </c>
      <c r="G50" t="s">
        <v>284</v>
      </c>
      <c r="H50" s="97">
        <f t="shared" si="12"/>
        <v>17</v>
      </c>
      <c r="I50" s="90">
        <f t="shared" si="13"/>
        <v>71.497478991596637</v>
      </c>
      <c r="J50" s="90">
        <f t="shared" si="14"/>
        <v>26.114454201680672</v>
      </c>
      <c r="K50" s="644">
        <f>'mass filt'!AA52/main!F49/main!H49*365.25*0.001</f>
        <v>22.023705357142859</v>
      </c>
      <c r="L50">
        <v>1</v>
      </c>
      <c r="M50" s="90">
        <f>'CHN data'!AI44</f>
        <v>12.189061164855957</v>
      </c>
      <c r="N50" s="90">
        <f>'CHN data'!AJ44</f>
        <v>0.61984997987747192</v>
      </c>
      <c r="O50" s="90">
        <f>'CHN data'!AH44</f>
        <v>0.64705199003219604</v>
      </c>
      <c r="R50">
        <f>pH_Sal!D43</f>
        <v>39.869999999999997</v>
      </c>
      <c r="S50" s="90">
        <f>pH_Sal!I43</f>
        <v>8.6620000000000008</v>
      </c>
      <c r="T50" s="67">
        <f>'traps and logs'!G66</f>
        <v>43496</v>
      </c>
      <c r="U50" s="67">
        <f t="shared" si="15"/>
        <v>43513</v>
      </c>
      <c r="V50" s="203">
        <f t="shared" si="16"/>
        <v>43504.5</v>
      </c>
      <c r="W50" s="97">
        <f t="shared" si="11"/>
        <v>340</v>
      </c>
      <c r="X50">
        <f t="shared" si="17"/>
        <v>323</v>
      </c>
      <c r="AB50">
        <f>'BSi_results and calculations'!K55</f>
        <v>8.0667512564647978</v>
      </c>
      <c r="AC50">
        <f>'BSi_results and calculations'!L55</f>
        <v>17.256357529404408</v>
      </c>
      <c r="AF50" s="90">
        <f>'PIC data'!AF48</f>
        <v>66.631008322156049</v>
      </c>
      <c r="AG50">
        <f t="shared" si="18"/>
        <v>7.9954360655499785</v>
      </c>
      <c r="AH50" s="90">
        <f t="shared" si="19"/>
        <v>4.1936250993059785</v>
      </c>
      <c r="AI50" s="90">
        <f t="shared" si="20"/>
        <v>98.669604147275038</v>
      </c>
      <c r="AK50" s="148">
        <f t="shared" si="21"/>
        <v>7.5604135807576061</v>
      </c>
    </row>
    <row r="51" spans="1:44">
      <c r="A51">
        <v>2018</v>
      </c>
      <c r="B51" t="s">
        <v>190</v>
      </c>
      <c r="C51">
        <v>21</v>
      </c>
      <c r="D51">
        <v>10</v>
      </c>
      <c r="E51">
        <f>'mass filt'!V54</f>
        <v>602.38571428571436</v>
      </c>
      <c r="F51">
        <v>0.5</v>
      </c>
      <c r="G51" t="s">
        <v>284</v>
      </c>
      <c r="H51" s="97">
        <f t="shared" si="12"/>
        <v>17</v>
      </c>
      <c r="I51" s="90">
        <f t="shared" si="13"/>
        <v>70.868907563025218</v>
      </c>
      <c r="J51" s="90">
        <f t="shared" si="14"/>
        <v>25.884868487394964</v>
      </c>
      <c r="L51">
        <v>1</v>
      </c>
      <c r="M51" s="90">
        <f>'CHN data'!AI45</f>
        <v>15.38349723815918</v>
      </c>
      <c r="N51" s="90">
        <f>'CHN data'!AJ45</f>
        <v>1.1978820562362671</v>
      </c>
      <c r="O51" s="90">
        <f>'CHN data'!AH45</f>
        <v>1.2290290594100952</v>
      </c>
      <c r="R51">
        <f>pH_Sal!D44</f>
        <v>40.14</v>
      </c>
      <c r="S51" s="90">
        <f>pH_Sal!I44</f>
        <v>8.6809999999999992</v>
      </c>
      <c r="T51" s="67">
        <f>'traps and logs'!G67</f>
        <v>43513</v>
      </c>
      <c r="U51" s="67">
        <f>'traps and logs'!G68</f>
        <v>43530</v>
      </c>
      <c r="V51" s="203">
        <f t="shared" si="16"/>
        <v>43521.5</v>
      </c>
      <c r="W51" s="97">
        <f t="shared" si="11"/>
        <v>357</v>
      </c>
      <c r="X51">
        <f t="shared" si="17"/>
        <v>340</v>
      </c>
      <c r="AB51">
        <f>'BSi_results and calculations'!K56</f>
        <v>8.194419891678379</v>
      </c>
      <c r="AC51">
        <f>'BSi_results and calculations'!L56</f>
        <v>17.52946569209519</v>
      </c>
      <c r="AF51" s="90">
        <f>'PIC data'!AF49</f>
        <v>67.106526977103215</v>
      </c>
      <c r="AG51">
        <f t="shared" si="18"/>
        <v>8.0524962706908649</v>
      </c>
      <c r="AH51" s="90">
        <f t="shared" si="19"/>
        <v>7.3310009674683148</v>
      </c>
      <c r="AI51" s="90">
        <f t="shared" si="20"/>
        <v>106.31912601408449</v>
      </c>
      <c r="AK51" s="148">
        <f t="shared" si="21"/>
        <v>6.9581895153571169</v>
      </c>
    </row>
    <row r="52" spans="1:44">
      <c r="A52" s="83" t="s">
        <v>280</v>
      </c>
      <c r="AJ52" s="80" t="s">
        <v>2582</v>
      </c>
    </row>
    <row r="54" spans="1:44" s="134" customFormat="1">
      <c r="A54" s="131" t="s">
        <v>185</v>
      </c>
      <c r="B54" s="719" t="s">
        <v>3543</v>
      </c>
      <c r="C54" s="133"/>
      <c r="E54" s="136"/>
      <c r="F54" s="136"/>
      <c r="G54" s="131"/>
      <c r="H54" s="629" t="s">
        <v>3472</v>
      </c>
      <c r="I54" s="180" t="s">
        <v>282</v>
      </c>
      <c r="J54" s="139"/>
      <c r="K54" s="139"/>
      <c r="L54" s="139"/>
      <c r="M54" s="140"/>
      <c r="N54" s="140"/>
      <c r="O54" s="140"/>
      <c r="P54" s="140"/>
      <c r="Q54" s="141"/>
      <c r="R54" s="139"/>
      <c r="S54" s="139"/>
      <c r="T54" s="142"/>
      <c r="U54" s="142"/>
      <c r="V54" s="143"/>
      <c r="W54" s="137">
        <v>0</v>
      </c>
      <c r="X54" s="144"/>
      <c r="Y54" s="144"/>
      <c r="Z54" s="139"/>
      <c r="AA54" s="139"/>
      <c r="AB54" s="89"/>
      <c r="AC54" s="89"/>
      <c r="AD54" s="90"/>
      <c r="AE54" s="90"/>
      <c r="AF54"/>
      <c r="AG54" s="90"/>
      <c r="AH54" s="128"/>
      <c r="AI54" s="90"/>
      <c r="AJ54" s="106"/>
      <c r="AK54" s="135"/>
      <c r="AL54" s="139"/>
      <c r="AM54" s="130"/>
      <c r="AN54" s="6"/>
      <c r="AO54" s="139"/>
      <c r="AP54" s="139"/>
      <c r="AQ54" s="139"/>
      <c r="AR54" s="139"/>
    </row>
    <row r="55" spans="1:44">
      <c r="A55">
        <v>2018</v>
      </c>
      <c r="B55" t="s">
        <v>194</v>
      </c>
      <c r="C55" t="s">
        <v>193</v>
      </c>
      <c r="D55">
        <v>4</v>
      </c>
      <c r="E55" s="97">
        <f>'mass filt'!V57</f>
        <v>429.47142857142859</v>
      </c>
      <c r="F55">
        <v>0.5</v>
      </c>
      <c r="G55" t="s">
        <v>284</v>
      </c>
      <c r="H55" s="97">
        <f>U55-T55</f>
        <v>17</v>
      </c>
      <c r="I55" s="90">
        <f t="shared" ref="I55:I75" si="22">E55/F55/H55</f>
        <v>50.526050420168069</v>
      </c>
      <c r="J55" s="90">
        <f t="shared" ref="J55:J75" si="23">0.001*365.25*E55/F55/H55</f>
        <v>18.454639915966389</v>
      </c>
      <c r="L55">
        <v>1</v>
      </c>
      <c r="M55" s="90">
        <f>'CHN data'!AI46</f>
        <v>13.80047607421875</v>
      </c>
      <c r="N55" s="90">
        <f>'CHN data'!AJ46</f>
        <v>0.62576937675476074</v>
      </c>
      <c r="O55" s="90">
        <f>'CHN data'!AH46</f>
        <v>0.69819456338882446</v>
      </c>
      <c r="R55">
        <f>pH_Sal!D45</f>
        <v>39.130000000000003</v>
      </c>
      <c r="S55" s="90">
        <f>pH_Sal!I45</f>
        <v>8.6329999999999991</v>
      </c>
      <c r="T55" s="67">
        <f>'traps and logs'!G47</f>
        <v>43173</v>
      </c>
      <c r="U55" s="67">
        <f>T56</f>
        <v>43190</v>
      </c>
      <c r="V55" s="203">
        <f>AVERAGE(T55:U55)</f>
        <v>43181.5</v>
      </c>
      <c r="W55" s="97">
        <f t="shared" ref="W55:W75" si="24">H55+W54</f>
        <v>17</v>
      </c>
      <c r="X55">
        <v>0</v>
      </c>
      <c r="AB55">
        <f>'BSi_results and calculations'!K57</f>
        <v>3.4230651777853867</v>
      </c>
      <c r="AC55">
        <f>'BSi_results and calculations'!L57</f>
        <v>7.3226054301574903</v>
      </c>
      <c r="AF55" s="90">
        <f>'PIC data'!AF50</f>
        <v>71.080591169762215</v>
      </c>
      <c r="AG55">
        <f>AF55*12.01/100.0869</f>
        <v>8.5293669795831839</v>
      </c>
      <c r="AH55" s="90">
        <f>M55-AG55</f>
        <v>5.2711090946355661</v>
      </c>
      <c r="AI55" s="90">
        <f>AF55+(AC55*1.11)+(AH55*2.19)+3.7</f>
        <v>94.452412114488922</v>
      </c>
      <c r="AK55" s="148">
        <f>(AH55/12.01)/(O55/14.01)</f>
        <v>8.8068514288032844</v>
      </c>
    </row>
    <row r="56" spans="1:44">
      <c r="A56">
        <v>2018</v>
      </c>
      <c r="B56" t="s">
        <v>194</v>
      </c>
      <c r="C56">
        <v>2</v>
      </c>
      <c r="D56">
        <v>5</v>
      </c>
      <c r="E56" s="97">
        <f>'mass filt'!V58</f>
        <v>529.78571428571433</v>
      </c>
      <c r="F56">
        <v>0.5</v>
      </c>
      <c r="G56" t="s">
        <v>284</v>
      </c>
      <c r="H56" s="97">
        <f t="shared" ref="H56:H75" si="25">U56-T56</f>
        <v>17</v>
      </c>
      <c r="I56" s="90">
        <f t="shared" si="22"/>
        <v>62.327731092436977</v>
      </c>
      <c r="J56" s="90">
        <f t="shared" si="23"/>
        <v>22.765203781512611</v>
      </c>
      <c r="L56">
        <v>1</v>
      </c>
      <c r="M56" s="90">
        <f>'CHN data'!AI47</f>
        <v>15.48238468170166</v>
      </c>
      <c r="N56" s="90">
        <f>'CHN data'!AJ47</f>
        <v>0.94766432046890259</v>
      </c>
      <c r="O56" s="90">
        <f>'CHN data'!AH47</f>
        <v>1.0298765897750854</v>
      </c>
      <c r="R56">
        <f>pH_Sal!D46</f>
        <v>38.5</v>
      </c>
      <c r="S56" s="90">
        <f>pH_Sal!I46</f>
        <v>8.6050000000000004</v>
      </c>
      <c r="T56" s="67">
        <f>'traps and logs'!G48</f>
        <v>43190</v>
      </c>
      <c r="U56" s="67">
        <f t="shared" ref="U56:U74" si="26">T57</f>
        <v>43207</v>
      </c>
      <c r="V56" s="203">
        <f t="shared" ref="V56:V75" si="27">AVERAGE(T56:U56)</f>
        <v>43198.5</v>
      </c>
      <c r="W56" s="97">
        <f t="shared" si="24"/>
        <v>34</v>
      </c>
      <c r="X56">
        <f t="shared" ref="X56:X75" si="28">X55+H56</f>
        <v>17</v>
      </c>
      <c r="AB56">
        <f>'BSi_results and calculations'!K58</f>
        <v>2.599755406638391</v>
      </c>
      <c r="AC56">
        <f>'BSi_results and calculations'!L58</f>
        <v>5.5613849193627951</v>
      </c>
      <c r="AF56" s="90">
        <f>'PIC data'!AF51</f>
        <v>72.101436974036943</v>
      </c>
      <c r="AG56">
        <f t="shared" ref="AG56:AG75" si="29">AF56*12.01/100.0869</f>
        <v>8.6518641106696652</v>
      </c>
      <c r="AH56" s="90">
        <f t="shared" ref="AH56:AH75" si="30">M56-AG56</f>
        <v>6.8305205710319949</v>
      </c>
      <c r="AI56" s="90">
        <f t="shared" ref="AI56:AI75" si="31">AF56+(AC56*1.11)+(AH56*2.19)+3.7</f>
        <v>96.933414285089725</v>
      </c>
      <c r="AK56" s="148">
        <f t="shared" ref="AK56:AK75" si="32">(AH56/12.01)/(O56/14.01)</f>
        <v>7.7368423088855032</v>
      </c>
    </row>
    <row r="57" spans="1:44">
      <c r="A57">
        <v>2018</v>
      </c>
      <c r="B57" t="s">
        <v>194</v>
      </c>
      <c r="C57">
        <v>3</v>
      </c>
      <c r="D57">
        <v>9</v>
      </c>
      <c r="E57">
        <f>'mass filt'!V59</f>
        <v>805.89999999999964</v>
      </c>
      <c r="F57">
        <v>0.5</v>
      </c>
      <c r="G57" t="s">
        <v>284</v>
      </c>
      <c r="H57" s="97">
        <f t="shared" si="25"/>
        <v>17</v>
      </c>
      <c r="I57" s="90">
        <f t="shared" si="22"/>
        <v>94.811764705882311</v>
      </c>
      <c r="J57" s="90">
        <f t="shared" si="23"/>
        <v>34.62999705882352</v>
      </c>
      <c r="L57">
        <v>1</v>
      </c>
      <c r="M57" s="90">
        <f>'CHN data'!AI48</f>
        <v>15.915286064147949</v>
      </c>
      <c r="N57" s="90">
        <f>'CHN data'!AJ48</f>
        <v>1.137463390827179</v>
      </c>
      <c r="O57" s="90">
        <f>'CHN data'!AH48</f>
        <v>1.1960781216621399</v>
      </c>
      <c r="R57">
        <f>pH_Sal!D47</f>
        <v>39.47</v>
      </c>
      <c r="S57" s="90">
        <f>pH_Sal!I47</f>
        <v>8.548</v>
      </c>
      <c r="T57" s="67">
        <f>'traps and logs'!G49</f>
        <v>43207</v>
      </c>
      <c r="U57" s="67">
        <f t="shared" si="26"/>
        <v>43224</v>
      </c>
      <c r="V57" s="203">
        <f t="shared" si="27"/>
        <v>43215.5</v>
      </c>
      <c r="W57" s="97">
        <f t="shared" si="24"/>
        <v>51</v>
      </c>
      <c r="X57">
        <f t="shared" si="28"/>
        <v>34</v>
      </c>
      <c r="AB57">
        <f>AVERAGE('BSi_results and calculations'!K59:K61)</f>
        <v>3.5089683834913665</v>
      </c>
      <c r="AC57">
        <f>AVERAGE('BSi_results and calculations'!L59:L61)</f>
        <v>7.5063691763615594</v>
      </c>
      <c r="AF57" s="90">
        <f>'PIC data'!AF52</f>
        <v>66.044303764239771</v>
      </c>
      <c r="AG57">
        <f t="shared" si="29"/>
        <v>7.9250340275152853</v>
      </c>
      <c r="AH57" s="90">
        <f t="shared" si="30"/>
        <v>7.9902520366326639</v>
      </c>
      <c r="AI57" s="90">
        <f t="shared" si="31"/>
        <v>95.575025510226638</v>
      </c>
      <c r="AK57" s="148">
        <f t="shared" si="32"/>
        <v>7.7928453897746506</v>
      </c>
    </row>
    <row r="58" spans="1:44">
      <c r="A58">
        <v>2018</v>
      </c>
      <c r="B58" t="s">
        <v>194</v>
      </c>
      <c r="C58">
        <v>4</v>
      </c>
      <c r="D58">
        <v>5</v>
      </c>
      <c r="E58">
        <f>'mass filt'!V61</f>
        <v>574.41428571428571</v>
      </c>
      <c r="F58">
        <v>0.5</v>
      </c>
      <c r="G58" t="s">
        <v>284</v>
      </c>
      <c r="H58" s="97">
        <f t="shared" si="25"/>
        <v>17</v>
      </c>
      <c r="I58" s="90">
        <f t="shared" si="22"/>
        <v>67.5781512605042</v>
      </c>
      <c r="J58" s="90">
        <f t="shared" si="23"/>
        <v>24.68291974789916</v>
      </c>
      <c r="L58">
        <v>1</v>
      </c>
      <c r="M58" s="90">
        <f>'CHN data'!AI49</f>
        <v>14.182465553283691</v>
      </c>
      <c r="N58" s="90">
        <f>'CHN data'!AJ49</f>
        <v>0.74583691358566284</v>
      </c>
      <c r="O58" s="90">
        <f>'CHN data'!AH49</f>
        <v>0.86751490831375122</v>
      </c>
      <c r="R58">
        <f>pH_Sal!D48</f>
        <v>40.06</v>
      </c>
      <c r="S58" s="90">
        <f>pH_Sal!I48</f>
        <v>8.5380000000000003</v>
      </c>
      <c r="T58" s="67">
        <f>'traps and logs'!G50</f>
        <v>43224</v>
      </c>
      <c r="U58" s="67">
        <f t="shared" si="26"/>
        <v>43241</v>
      </c>
      <c r="V58" s="203">
        <f t="shared" si="27"/>
        <v>43232.5</v>
      </c>
      <c r="W58" s="97">
        <f t="shared" si="24"/>
        <v>68</v>
      </c>
      <c r="X58">
        <f t="shared" si="28"/>
        <v>51</v>
      </c>
      <c r="AB58">
        <f>'BSi_results and calculations'!K62</f>
        <v>3.8465130903490761</v>
      </c>
      <c r="AC58">
        <f>'BSi_results and calculations'!L62</f>
        <v>8.2284432751540049</v>
      </c>
      <c r="AF58" s="90">
        <f>'PIC data'!AF53</f>
        <v>71.023502723267811</v>
      </c>
      <c r="AG58">
        <f t="shared" si="29"/>
        <v>8.5225166101302605</v>
      </c>
      <c r="AH58" s="90">
        <f t="shared" si="30"/>
        <v>5.6599489431534309</v>
      </c>
      <c r="AI58" s="90">
        <f t="shared" si="31"/>
        <v>96.252362944194786</v>
      </c>
      <c r="AK58" s="148">
        <f t="shared" si="32"/>
        <v>7.6108067472493346</v>
      </c>
    </row>
    <row r="59" spans="1:44">
      <c r="A59">
        <v>2018</v>
      </c>
      <c r="B59" t="s">
        <v>194</v>
      </c>
      <c r="C59">
        <v>5</v>
      </c>
      <c r="D59">
        <v>4</v>
      </c>
      <c r="E59">
        <f>'mass filt'!V62</f>
        <v>363.95714285714286</v>
      </c>
      <c r="F59">
        <v>0.5</v>
      </c>
      <c r="G59" t="s">
        <v>284</v>
      </c>
      <c r="H59" s="97">
        <f t="shared" si="25"/>
        <v>17</v>
      </c>
      <c r="I59" s="90">
        <f t="shared" si="22"/>
        <v>42.818487394957984</v>
      </c>
      <c r="J59" s="90">
        <f t="shared" si="23"/>
        <v>15.639452521008403</v>
      </c>
      <c r="L59">
        <v>1</v>
      </c>
      <c r="M59" s="90">
        <f>'CHN data'!AI50</f>
        <v>13.104650497436523</v>
      </c>
      <c r="N59" s="90">
        <f>'CHN data'!AJ50</f>
        <v>0.55114752054214478</v>
      </c>
      <c r="O59" s="90">
        <f>'CHN data'!AH50</f>
        <v>0.61714720726013184</v>
      </c>
      <c r="Q59" t="s">
        <v>2582</v>
      </c>
      <c r="R59" s="294">
        <f>AVERAGE(pH_Sal!D49,pH_Sal!G49)</f>
        <v>40.07</v>
      </c>
      <c r="S59" s="294">
        <f>AVERAGE(pH_Sal!I49,pH_Sal!L49)</f>
        <v>8.6754999999999995</v>
      </c>
      <c r="T59" s="67">
        <f>'traps and logs'!G51</f>
        <v>43241</v>
      </c>
      <c r="U59" s="67">
        <f t="shared" si="26"/>
        <v>43258</v>
      </c>
      <c r="V59" s="203">
        <f t="shared" si="27"/>
        <v>43249.5</v>
      </c>
      <c r="W59" s="97">
        <f t="shared" si="24"/>
        <v>85</v>
      </c>
      <c r="X59">
        <f t="shared" si="28"/>
        <v>68</v>
      </c>
      <c r="AB59">
        <f>'BSi_results and calculations'!K65</f>
        <v>3.9341420051180456</v>
      </c>
      <c r="AC59">
        <f>'BSi_results and calculations'!L65</f>
        <v>8.4158986503219424</v>
      </c>
      <c r="AF59" s="90">
        <f>'PIC data'!AF54</f>
        <v>74.407085546384209</v>
      </c>
      <c r="AG59">
        <f t="shared" si="29"/>
        <v>8.9285320797434462</v>
      </c>
      <c r="AH59" s="90">
        <f t="shared" si="30"/>
        <v>4.1761184176930772</v>
      </c>
      <c r="AI59" s="90">
        <f t="shared" si="31"/>
        <v>96.59443238298941</v>
      </c>
      <c r="AK59" s="148">
        <f t="shared" si="32"/>
        <v>7.8936736052012053</v>
      </c>
    </row>
    <row r="60" spans="1:44">
      <c r="A60">
        <v>2018</v>
      </c>
      <c r="B60" t="s">
        <v>194</v>
      </c>
      <c r="C60">
        <v>6</v>
      </c>
      <c r="D60">
        <v>3</v>
      </c>
      <c r="E60">
        <f>'mass filt'!V63</f>
        <v>260.57142857142856</v>
      </c>
      <c r="F60">
        <v>0.5</v>
      </c>
      <c r="G60" t="s">
        <v>284</v>
      </c>
      <c r="H60" s="97">
        <f t="shared" si="25"/>
        <v>17</v>
      </c>
      <c r="I60" s="90">
        <f t="shared" si="22"/>
        <v>30.655462184873947</v>
      </c>
      <c r="J60" s="90">
        <f t="shared" si="23"/>
        <v>11.19690756302521</v>
      </c>
      <c r="L60">
        <v>1</v>
      </c>
      <c r="M60" s="90">
        <f>'CHN data'!AI51</f>
        <v>14.073051452636719</v>
      </c>
      <c r="N60" s="90">
        <f>'CHN data'!AJ51</f>
        <v>0.67366105318069458</v>
      </c>
      <c r="O60" s="90">
        <f>'CHN data'!AH51</f>
        <v>0.82868802547454834</v>
      </c>
      <c r="R60">
        <f>pH_Sal!D50</f>
        <v>40.1</v>
      </c>
      <c r="S60" s="90">
        <f>pH_Sal!I50</f>
        <v>8.6750000000000007</v>
      </c>
      <c r="T60" s="67">
        <f>'traps and logs'!G52</f>
        <v>43258</v>
      </c>
      <c r="U60" s="67">
        <f t="shared" si="26"/>
        <v>43275</v>
      </c>
      <c r="V60" s="203">
        <f t="shared" si="27"/>
        <v>43266.5</v>
      </c>
      <c r="W60" s="97">
        <f t="shared" si="24"/>
        <v>102</v>
      </c>
      <c r="X60">
        <f t="shared" si="28"/>
        <v>85</v>
      </c>
      <c r="AB60">
        <f>'BSi_results and calculations'!K66</f>
        <v>3.4782095955131229</v>
      </c>
      <c r="AC60">
        <f>'BSi_results and calculations'!L66</f>
        <v>7.4405701172795853</v>
      </c>
      <c r="AF60" s="90">
        <f>'PIC data'!AF55</f>
        <v>73.184713315188958</v>
      </c>
      <c r="AG60">
        <f t="shared" si="29"/>
        <v>8.7818526392107188</v>
      </c>
      <c r="AH60" s="90">
        <f t="shared" si="30"/>
        <v>5.291198813426</v>
      </c>
      <c r="AI60" s="90">
        <f t="shared" si="31"/>
        <v>96.731471546772241</v>
      </c>
      <c r="AK60" s="148">
        <f t="shared" si="32"/>
        <v>7.4483168765097281</v>
      </c>
    </row>
    <row r="61" spans="1:44">
      <c r="A61">
        <v>2018</v>
      </c>
      <c r="B61" t="s">
        <v>194</v>
      </c>
      <c r="C61">
        <v>7</v>
      </c>
      <c r="D61">
        <v>4</v>
      </c>
      <c r="E61">
        <f>'mass filt'!V64</f>
        <v>308.97142857142859</v>
      </c>
      <c r="F61">
        <v>0.5</v>
      </c>
      <c r="G61" t="s">
        <v>284</v>
      </c>
      <c r="H61" s="97">
        <f t="shared" si="25"/>
        <v>17</v>
      </c>
      <c r="I61" s="90">
        <f t="shared" si="22"/>
        <v>36.349579831932772</v>
      </c>
      <c r="J61" s="90">
        <f t="shared" si="23"/>
        <v>13.276684033613448</v>
      </c>
      <c r="L61">
        <v>1</v>
      </c>
      <c r="M61" s="90">
        <f>'CHN data'!AI52</f>
        <v>13.875494956970215</v>
      </c>
      <c r="N61" s="90">
        <f>'CHN data'!AJ52</f>
        <v>0.59710395336151123</v>
      </c>
      <c r="O61" s="90">
        <f>'CHN data'!AH52</f>
        <v>0.75137102603912354</v>
      </c>
      <c r="R61">
        <f>pH_Sal!D51</f>
        <v>40.200000000000003</v>
      </c>
      <c r="S61" s="90">
        <f>pH_Sal!I51</f>
        <v>8.6389999999999993</v>
      </c>
      <c r="T61" s="67">
        <f>'traps and logs'!G53</f>
        <v>43275</v>
      </c>
      <c r="U61" s="67">
        <f t="shared" si="26"/>
        <v>43292</v>
      </c>
      <c r="V61" s="203">
        <f t="shared" si="27"/>
        <v>43283.5</v>
      </c>
      <c r="W61" s="97">
        <f t="shared" si="24"/>
        <v>119</v>
      </c>
      <c r="X61">
        <f t="shared" si="28"/>
        <v>102</v>
      </c>
      <c r="AB61">
        <f>'BSi_results and calculations'!K67</f>
        <v>3.4248683597168843</v>
      </c>
      <c r="AC61">
        <f>'BSi_results and calculations'!L67</f>
        <v>7.3264627887286426</v>
      </c>
      <c r="AF61" s="90">
        <f>'PIC data'!AF56</f>
        <v>74.531284306016786</v>
      </c>
      <c r="AG61">
        <f t="shared" si="29"/>
        <v>8.9434353997901983</v>
      </c>
      <c r="AH61" s="90">
        <f t="shared" si="30"/>
        <v>4.9320595571800165</v>
      </c>
      <c r="AI61" s="90">
        <f t="shared" si="31"/>
        <v>97.164868431729815</v>
      </c>
      <c r="AK61" s="148">
        <f t="shared" si="32"/>
        <v>7.6571824652315001</v>
      </c>
    </row>
    <row r="62" spans="1:44">
      <c r="A62">
        <v>2018</v>
      </c>
      <c r="B62" t="s">
        <v>194</v>
      </c>
      <c r="C62">
        <v>8</v>
      </c>
      <c r="D62">
        <v>3</v>
      </c>
      <c r="E62">
        <f>'mass filt'!V65</f>
        <v>245.39999999999998</v>
      </c>
      <c r="F62">
        <v>0.5</v>
      </c>
      <c r="G62" t="s">
        <v>322</v>
      </c>
      <c r="H62" s="97">
        <f t="shared" si="25"/>
        <v>17</v>
      </c>
      <c r="I62" s="90">
        <f t="shared" si="22"/>
        <v>28.870588235294115</v>
      </c>
      <c r="J62" s="90">
        <f t="shared" si="23"/>
        <v>10.544982352941176</v>
      </c>
      <c r="L62">
        <v>1</v>
      </c>
      <c r="M62" s="90">
        <f>'CHN data'!AI53</f>
        <v>13.573327493667591</v>
      </c>
      <c r="N62" s="90">
        <f>'CHN data'!AJ53</f>
        <v>0.5440935343503952</v>
      </c>
      <c r="O62" s="90">
        <f>'CHN data'!AH53</f>
        <v>0.69269953668117523</v>
      </c>
      <c r="R62">
        <f>pH_Sal!D52</f>
        <v>39.96</v>
      </c>
      <c r="S62" s="90">
        <f>pH_Sal!I52</f>
        <v>8.6780000000000008</v>
      </c>
      <c r="T62" s="67">
        <f>'traps and logs'!G54</f>
        <v>43292</v>
      </c>
      <c r="U62" s="67">
        <f t="shared" si="26"/>
        <v>43309</v>
      </c>
      <c r="V62" s="203">
        <f t="shared" si="27"/>
        <v>43300.5</v>
      </c>
      <c r="W62" s="97">
        <f t="shared" si="24"/>
        <v>136</v>
      </c>
      <c r="X62">
        <f t="shared" si="28"/>
        <v>119</v>
      </c>
      <c r="AB62">
        <f>AVERAGE('BSi_results and calculations'!K68:K70)</f>
        <v>3.6072370145516657</v>
      </c>
      <c r="AC62">
        <f>AVERAGE('BSi_results and calculations'!L68:L70)</f>
        <v>7.7165849841370457</v>
      </c>
      <c r="AF62" s="90">
        <f>'PIC data'!AF57</f>
        <v>74.080943714550642</v>
      </c>
      <c r="AG62">
        <f t="shared" si="29"/>
        <v>8.8893964545984847</v>
      </c>
      <c r="AH62" s="90">
        <f t="shared" si="30"/>
        <v>4.6839310390691065</v>
      </c>
      <c r="AI62" s="90">
        <f t="shared" si="31"/>
        <v>96.604162022504113</v>
      </c>
      <c r="AK62" s="148">
        <f t="shared" si="32"/>
        <v>7.8878877761610982</v>
      </c>
    </row>
    <row r="63" spans="1:44">
      <c r="A63">
        <v>2018</v>
      </c>
      <c r="B63" t="s">
        <v>194</v>
      </c>
      <c r="C63">
        <v>9</v>
      </c>
      <c r="D63">
        <v>4</v>
      </c>
      <c r="E63">
        <f>'mass filt'!V66</f>
        <v>262.42857142857139</v>
      </c>
      <c r="F63">
        <v>0.5</v>
      </c>
      <c r="G63" t="s">
        <v>322</v>
      </c>
      <c r="H63" s="97">
        <f t="shared" si="25"/>
        <v>17</v>
      </c>
      <c r="I63" s="90">
        <f t="shared" si="22"/>
        <v>30.87394957983193</v>
      </c>
      <c r="J63" s="90">
        <f t="shared" si="23"/>
        <v>11.276710084033612</v>
      </c>
      <c r="L63">
        <v>1</v>
      </c>
      <c r="M63" s="90">
        <f>'CHN data'!AI54</f>
        <v>13.004121780395508</v>
      </c>
      <c r="N63" s="90">
        <f>'CHN data'!AJ54</f>
        <v>0.49162545800209045</v>
      </c>
      <c r="O63" s="90">
        <f>'CHN data'!AH54</f>
        <v>0.60184335708618164</v>
      </c>
      <c r="R63">
        <f>pH_Sal!D53</f>
        <v>40.159999999999997</v>
      </c>
      <c r="S63" s="90">
        <f>pH_Sal!I53</f>
        <v>8.6489999999999991</v>
      </c>
      <c r="T63" s="67">
        <f>'traps and logs'!G55</f>
        <v>43309</v>
      </c>
      <c r="U63" s="67">
        <f t="shared" si="26"/>
        <v>43326</v>
      </c>
      <c r="V63" s="203">
        <f t="shared" si="27"/>
        <v>43317.5</v>
      </c>
      <c r="W63" s="97">
        <f t="shared" si="24"/>
        <v>153</v>
      </c>
      <c r="X63">
        <f t="shared" si="28"/>
        <v>136</v>
      </c>
      <c r="AB63">
        <f>'BSi_results and calculations'!K71</f>
        <v>4.0467582150447088</v>
      </c>
      <c r="AC63">
        <f>'BSi_results and calculations'!L71</f>
        <v>8.6568067334295691</v>
      </c>
      <c r="AF63" s="90">
        <f>'PIC data'!AF58</f>
        <v>74.925903760565873</v>
      </c>
      <c r="AG63">
        <f t="shared" si="29"/>
        <v>8.9907880468312644</v>
      </c>
      <c r="AH63" s="90">
        <f t="shared" si="30"/>
        <v>4.0133337335642434</v>
      </c>
      <c r="AI63" s="90">
        <f t="shared" si="31"/>
        <v>97.024160111178389</v>
      </c>
      <c r="AK63" s="148">
        <f t="shared" si="32"/>
        <v>7.7788774947703647</v>
      </c>
    </row>
    <row r="64" spans="1:44">
      <c r="A64">
        <v>2018</v>
      </c>
      <c r="B64" t="s">
        <v>194</v>
      </c>
      <c r="C64">
        <v>10</v>
      </c>
      <c r="D64">
        <v>3</v>
      </c>
      <c r="E64">
        <f>'mass filt'!V67</f>
        <v>214.08571428571429</v>
      </c>
      <c r="F64">
        <v>0.5</v>
      </c>
      <c r="G64" t="s">
        <v>322</v>
      </c>
      <c r="H64" s="97">
        <f t="shared" si="25"/>
        <v>17</v>
      </c>
      <c r="I64" s="90">
        <f t="shared" si="22"/>
        <v>25.186554621848739</v>
      </c>
      <c r="J64" s="90">
        <f t="shared" si="23"/>
        <v>9.1993890756302523</v>
      </c>
      <c r="L64">
        <v>1</v>
      </c>
      <c r="M64" s="90">
        <f>'CHN data'!AI55</f>
        <v>13.893876075744629</v>
      </c>
      <c r="N64" s="90">
        <f>'CHN data'!AJ55</f>
        <v>0.81112563610076904</v>
      </c>
      <c r="O64" s="90">
        <f>'CHN data'!AH55</f>
        <v>0.91538608074188232</v>
      </c>
      <c r="R64">
        <f>pH_Sal!D54</f>
        <v>40.08</v>
      </c>
      <c r="S64" s="90">
        <f>pH_Sal!I54</f>
        <v>8.6920000000000002</v>
      </c>
      <c r="T64" s="67">
        <f>'traps and logs'!G56</f>
        <v>43326</v>
      </c>
      <c r="U64" s="67">
        <f t="shared" si="26"/>
        <v>43343</v>
      </c>
      <c r="V64" s="203">
        <f t="shared" si="27"/>
        <v>43334.5</v>
      </c>
      <c r="W64" s="97">
        <f t="shared" si="24"/>
        <v>170</v>
      </c>
      <c r="X64">
        <f t="shared" si="28"/>
        <v>153</v>
      </c>
      <c r="AB64">
        <f>'BSi_results and calculations'!K72</f>
        <v>3.8651785512901471</v>
      </c>
      <c r="AC64">
        <f>'BSi_results and calculations'!L72</f>
        <v>8.2683723441447121</v>
      </c>
      <c r="AF64" s="90">
        <f>'PIC data'!AF59</f>
        <v>70.428110758985014</v>
      </c>
      <c r="AG64">
        <f t="shared" si="29"/>
        <v>8.4510721204814025</v>
      </c>
      <c r="AH64" s="90">
        <f t="shared" si="30"/>
        <v>5.4428039552632264</v>
      </c>
      <c r="AI64" s="90">
        <f t="shared" si="31"/>
        <v>95.225744723012113</v>
      </c>
      <c r="AK64" s="148">
        <f t="shared" si="32"/>
        <v>6.936070763821534</v>
      </c>
    </row>
    <row r="65" spans="1:38">
      <c r="A65">
        <v>2018</v>
      </c>
      <c r="B65" t="s">
        <v>194</v>
      </c>
      <c r="C65">
        <v>11</v>
      </c>
      <c r="D65">
        <v>3</v>
      </c>
      <c r="E65">
        <f>'mass filt'!V68</f>
        <v>266.89999999999998</v>
      </c>
      <c r="F65">
        <v>0.5</v>
      </c>
      <c r="G65" t="s">
        <v>322</v>
      </c>
      <c r="H65" s="97">
        <f t="shared" si="25"/>
        <v>17</v>
      </c>
      <c r="I65" s="90">
        <f t="shared" si="22"/>
        <v>31.4</v>
      </c>
      <c r="J65" s="90">
        <f t="shared" si="23"/>
        <v>11.46885</v>
      </c>
      <c r="L65">
        <v>1</v>
      </c>
      <c r="M65" s="90">
        <f>'CHN data'!AI56</f>
        <v>12.262346267700195</v>
      </c>
      <c r="N65" s="90">
        <f>'CHN data'!AJ56</f>
        <v>0.4369749128818512</v>
      </c>
      <c r="O65" s="90">
        <f>'CHN data'!AH56</f>
        <v>0.4686332643032074</v>
      </c>
      <c r="R65">
        <f>pH_Sal!D55</f>
        <v>40.119999999999997</v>
      </c>
      <c r="S65" s="90">
        <f>pH_Sal!I55</f>
        <v>8.7289999999999992</v>
      </c>
      <c r="T65" s="67">
        <f>'traps and logs'!G57</f>
        <v>43343</v>
      </c>
      <c r="U65" s="67">
        <f t="shared" si="26"/>
        <v>43360</v>
      </c>
      <c r="V65" s="203">
        <f t="shared" si="27"/>
        <v>43351.5</v>
      </c>
      <c r="W65" s="97">
        <f t="shared" si="24"/>
        <v>187</v>
      </c>
      <c r="X65">
        <f t="shared" si="28"/>
        <v>170</v>
      </c>
      <c r="AB65">
        <f>'BSi_results and calculations'!K73</f>
        <v>4.2728849205456028</v>
      </c>
      <c r="AC65">
        <f>'BSi_results and calculations'!L73</f>
        <v>9.1405359514270295</v>
      </c>
      <c r="AF65" s="90">
        <f>'PIC data'!AF60</f>
        <v>75.002610374996266</v>
      </c>
      <c r="AG65">
        <f t="shared" si="29"/>
        <v>8.9999925125436508</v>
      </c>
      <c r="AH65" s="90">
        <f t="shared" si="30"/>
        <v>3.2623537551565445</v>
      </c>
      <c r="AI65" s="90">
        <f t="shared" si="31"/>
        <v>95.993160004873104</v>
      </c>
      <c r="AK65" s="148">
        <f t="shared" si="32"/>
        <v>8.1206925403791743</v>
      </c>
    </row>
    <row r="66" spans="1:38">
      <c r="A66">
        <v>2018</v>
      </c>
      <c r="B66" t="s">
        <v>194</v>
      </c>
      <c r="C66">
        <v>12</v>
      </c>
      <c r="D66">
        <v>4</v>
      </c>
      <c r="E66">
        <f>'mass filt'!V69</f>
        <v>436.71428571428572</v>
      </c>
      <c r="F66">
        <v>0.5</v>
      </c>
      <c r="G66" t="s">
        <v>322</v>
      </c>
      <c r="H66" s="97">
        <f t="shared" si="25"/>
        <v>17</v>
      </c>
      <c r="I66" s="90">
        <f t="shared" si="22"/>
        <v>51.378151260504204</v>
      </c>
      <c r="J66" s="90">
        <f t="shared" si="23"/>
        <v>18.76586974789916</v>
      </c>
      <c r="L66">
        <v>1</v>
      </c>
      <c r="M66" s="90">
        <f>'CHN data'!AI57</f>
        <v>11.851734161376953</v>
      </c>
      <c r="N66" s="90">
        <f>'CHN data'!AJ57</f>
        <v>0.45800557732582092</v>
      </c>
      <c r="O66" s="90">
        <f>'CHN data'!AH57</f>
        <v>0.43507429957389832</v>
      </c>
      <c r="R66">
        <f>pH_Sal!D56</f>
        <v>39.770000000000003</v>
      </c>
      <c r="S66" s="90">
        <f>pH_Sal!I56</f>
        <v>8.7430000000000003</v>
      </c>
      <c r="T66" s="67">
        <f>'traps and logs'!G58</f>
        <v>43360</v>
      </c>
      <c r="U66" s="67">
        <f t="shared" si="26"/>
        <v>43377</v>
      </c>
      <c r="V66" s="203">
        <f t="shared" si="27"/>
        <v>43368.5</v>
      </c>
      <c r="W66" s="97">
        <f t="shared" si="24"/>
        <v>204</v>
      </c>
      <c r="X66">
        <f t="shared" si="28"/>
        <v>187</v>
      </c>
      <c r="AB66">
        <f>'BSi_results and calculations'!K74</f>
        <v>5.57542301392668</v>
      </c>
      <c r="AC66">
        <f>'BSi_results and calculations'!L74</f>
        <v>11.926919505405989</v>
      </c>
      <c r="AF66" s="90">
        <f>'PIC data'!AF61</f>
        <v>73.719778465474207</v>
      </c>
      <c r="AG66">
        <f t="shared" si="29"/>
        <v>8.8460581691544569</v>
      </c>
      <c r="AH66" s="90">
        <f t="shared" si="30"/>
        <v>3.0056759922224963</v>
      </c>
      <c r="AI66" s="90">
        <f t="shared" si="31"/>
        <v>97.241089539442115</v>
      </c>
      <c r="AK66" s="148">
        <f t="shared" si="32"/>
        <v>8.0588646282962006</v>
      </c>
    </row>
    <row r="67" spans="1:38">
      <c r="A67">
        <v>2018</v>
      </c>
      <c r="B67" t="s">
        <v>194</v>
      </c>
      <c r="C67">
        <v>13</v>
      </c>
      <c r="D67">
        <v>5</v>
      </c>
      <c r="E67">
        <f>'mass filt'!V70</f>
        <v>509.91428571428571</v>
      </c>
      <c r="F67">
        <v>0.5</v>
      </c>
      <c r="G67" t="s">
        <v>322</v>
      </c>
      <c r="H67" s="97">
        <f t="shared" si="25"/>
        <v>17</v>
      </c>
      <c r="I67" s="90">
        <f t="shared" si="22"/>
        <v>59.989915966386555</v>
      </c>
      <c r="J67" s="90">
        <f t="shared" si="23"/>
        <v>21.911316806722688</v>
      </c>
      <c r="L67">
        <v>1</v>
      </c>
      <c r="M67" s="90">
        <f>'CHN data'!AI58</f>
        <v>12.109560966491699</v>
      </c>
      <c r="N67" s="90">
        <f>'CHN data'!AJ58</f>
        <v>0.47568148374557495</v>
      </c>
      <c r="O67" s="90">
        <f>'CHN data'!AH58</f>
        <v>0.5326191782951355</v>
      </c>
      <c r="R67">
        <f>pH_Sal!D57</f>
        <v>39.6</v>
      </c>
      <c r="S67" s="90">
        <f>pH_Sal!I57</f>
        <v>8.6579999999999995</v>
      </c>
      <c r="T67" s="67">
        <f>'traps and logs'!G59</f>
        <v>43377</v>
      </c>
      <c r="U67" s="67">
        <f t="shared" si="26"/>
        <v>43394</v>
      </c>
      <c r="V67" s="203">
        <f t="shared" si="27"/>
        <v>43385.5</v>
      </c>
      <c r="W67" s="97">
        <f t="shared" si="24"/>
        <v>221</v>
      </c>
      <c r="X67">
        <f t="shared" si="28"/>
        <v>204</v>
      </c>
      <c r="AB67">
        <f>'BSi_results and calculations'!K75</f>
        <v>5.9850283969520008</v>
      </c>
      <c r="AC67">
        <f>'BSi_results and calculations'!L75</f>
        <v>12.803145474291414</v>
      </c>
      <c r="AF67" s="90">
        <f>'PIC data'!AF62</f>
        <v>71.766218858351621</v>
      </c>
      <c r="AG67">
        <f t="shared" si="29"/>
        <v>8.6116393702752596</v>
      </c>
      <c r="AH67" s="90">
        <f t="shared" si="30"/>
        <v>3.4979215962164396</v>
      </c>
      <c r="AI67" s="90">
        <f t="shared" si="31"/>
        <v>97.338158630529094</v>
      </c>
      <c r="AK67" s="148">
        <f t="shared" si="32"/>
        <v>7.6610517932366928</v>
      </c>
    </row>
    <row r="68" spans="1:38">
      <c r="A68">
        <v>2018</v>
      </c>
      <c r="B68" t="s">
        <v>194</v>
      </c>
      <c r="C68">
        <v>14</v>
      </c>
      <c r="D68">
        <v>3</v>
      </c>
      <c r="E68">
        <f>'mass filt'!V71</f>
        <v>355.54285714285709</v>
      </c>
      <c r="F68">
        <v>0.5</v>
      </c>
      <c r="G68" t="s">
        <v>322</v>
      </c>
      <c r="H68" s="97">
        <f t="shared" si="25"/>
        <v>17</v>
      </c>
      <c r="I68" s="90">
        <f t="shared" si="22"/>
        <v>41.828571428571422</v>
      </c>
      <c r="J68" s="90">
        <f t="shared" si="23"/>
        <v>15.277885714285715</v>
      </c>
      <c r="L68">
        <v>1</v>
      </c>
      <c r="M68" s="90">
        <f>'CHN data'!AI59</f>
        <v>12.245630264282227</v>
      </c>
      <c r="N68" s="90">
        <f>'CHN data'!AJ59</f>
        <v>0.43018424510955811</v>
      </c>
      <c r="O68" s="90">
        <f>'CHN data'!AH59</f>
        <v>0.50001806020736694</v>
      </c>
      <c r="R68">
        <f>pH_Sal!D58</f>
        <v>40.17</v>
      </c>
      <c r="S68" s="90">
        <f>pH_Sal!I58</f>
        <v>8.7270000000000003</v>
      </c>
      <c r="T68" s="67">
        <f>'traps and logs'!G60</f>
        <v>43394</v>
      </c>
      <c r="U68" s="67">
        <f t="shared" si="26"/>
        <v>43411</v>
      </c>
      <c r="V68" s="203">
        <f t="shared" si="27"/>
        <v>43402.5</v>
      </c>
      <c r="W68" s="97">
        <f t="shared" si="24"/>
        <v>238</v>
      </c>
      <c r="X68">
        <f t="shared" si="28"/>
        <v>221</v>
      </c>
      <c r="AB68">
        <f>'BSi_results and calculations'!K76</f>
        <v>5.2572202210734718</v>
      </c>
      <c r="AC68">
        <f>'BSi_results and calculations'!L76</f>
        <v>11.246221540915093</v>
      </c>
      <c r="AF68" s="90">
        <f>'PIC data'!AF63</f>
        <v>74.196587883549412</v>
      </c>
      <c r="AG68">
        <f t="shared" si="29"/>
        <v>8.9032732603510389</v>
      </c>
      <c r="AH68" s="90">
        <f t="shared" si="30"/>
        <v>3.3423570039311876</v>
      </c>
      <c r="AI68" s="90">
        <f t="shared" si="31"/>
        <v>97.699655632574462</v>
      </c>
      <c r="AK68" s="148">
        <f t="shared" si="32"/>
        <v>7.7976236963193717</v>
      </c>
    </row>
    <row r="69" spans="1:38">
      <c r="A69">
        <v>2018</v>
      </c>
      <c r="B69" t="s">
        <v>194</v>
      </c>
      <c r="C69">
        <v>15</v>
      </c>
      <c r="D69">
        <v>3</v>
      </c>
      <c r="E69">
        <f>'mass filt'!V72</f>
        <v>640.47142857142853</v>
      </c>
      <c r="F69">
        <v>0.5</v>
      </c>
      <c r="G69" t="s">
        <v>322</v>
      </c>
      <c r="H69" s="97">
        <f t="shared" si="25"/>
        <v>17</v>
      </c>
      <c r="I69" s="90">
        <f t="shared" si="22"/>
        <v>75.349579831932772</v>
      </c>
      <c r="J69" s="90">
        <f t="shared" si="23"/>
        <v>27.521434033613446</v>
      </c>
      <c r="L69">
        <v>1</v>
      </c>
      <c r="M69" s="90">
        <f>'CHN data'!AI60</f>
        <v>12.559001922607422</v>
      </c>
      <c r="N69" s="90">
        <f>'CHN data'!AJ60</f>
        <v>0.33929729461669922</v>
      </c>
      <c r="O69" s="90">
        <f>'CHN data'!AH60</f>
        <v>0.3702196478843689</v>
      </c>
      <c r="R69">
        <f>pH_Sal!D59</f>
        <v>40.26</v>
      </c>
      <c r="S69" s="90">
        <f>pH_Sal!I59</f>
        <v>8.6950000000000003</v>
      </c>
      <c r="T69" s="67">
        <f>'traps and logs'!G61</f>
        <v>43411</v>
      </c>
      <c r="U69" s="67">
        <f t="shared" si="26"/>
        <v>43428</v>
      </c>
      <c r="V69" s="203">
        <f t="shared" si="27"/>
        <v>43419.5</v>
      </c>
      <c r="W69" s="97">
        <f t="shared" si="24"/>
        <v>255</v>
      </c>
      <c r="X69">
        <f t="shared" si="28"/>
        <v>238</v>
      </c>
      <c r="AB69">
        <f>'BSi_results and calculations'!K77</f>
        <v>4.1483969163449652</v>
      </c>
      <c r="AC69">
        <f>'BSi_results and calculations'!L77</f>
        <v>8.8742317801056956</v>
      </c>
      <c r="AF69" s="90">
        <f>'PIC data'!AF64</f>
        <v>78.183310486830635</v>
      </c>
      <c r="AG69">
        <f t="shared" si="29"/>
        <v>9.3816629243870668</v>
      </c>
      <c r="AH69" s="90">
        <f t="shared" si="30"/>
        <v>3.177338998220355</v>
      </c>
      <c r="AI69" s="90">
        <f t="shared" si="31"/>
        <v>98.692080168850538</v>
      </c>
      <c r="AK69" s="148">
        <f t="shared" si="32"/>
        <v>10.011501522036102</v>
      </c>
    </row>
    <row r="70" spans="1:38">
      <c r="A70">
        <v>2018</v>
      </c>
      <c r="B70" t="s">
        <v>194</v>
      </c>
      <c r="C70">
        <v>16</v>
      </c>
      <c r="D70">
        <v>4</v>
      </c>
      <c r="E70">
        <f>'mass filt'!V73</f>
        <v>345.07142857142856</v>
      </c>
      <c r="F70">
        <v>0.5</v>
      </c>
      <c r="G70" t="s">
        <v>322</v>
      </c>
      <c r="H70" s="97">
        <f t="shared" si="25"/>
        <v>17</v>
      </c>
      <c r="I70" s="90">
        <f t="shared" si="22"/>
        <v>40.596638655462186</v>
      </c>
      <c r="J70" s="90">
        <f t="shared" si="23"/>
        <v>14.827922268907562</v>
      </c>
      <c r="L70">
        <v>1</v>
      </c>
      <c r="M70" s="90">
        <f>'CHN data'!AI61</f>
        <v>12.772340774536133</v>
      </c>
      <c r="N70" s="90">
        <f>'CHN data'!AJ61</f>
        <v>0.42962762713432312</v>
      </c>
      <c r="O70" s="90">
        <f>'CHN data'!AH61</f>
        <v>0.52661579847335815</v>
      </c>
      <c r="R70">
        <f>pH_Sal!D60</f>
        <v>40.07</v>
      </c>
      <c r="S70" s="90">
        <f>pH_Sal!I60</f>
        <v>8.4930000000000003</v>
      </c>
      <c r="T70" s="67">
        <f>'traps and logs'!G62</f>
        <v>43428</v>
      </c>
      <c r="U70" s="67">
        <f t="shared" si="26"/>
        <v>43445</v>
      </c>
      <c r="V70" s="203">
        <f t="shared" si="27"/>
        <v>43436.5</v>
      </c>
      <c r="W70" s="97">
        <f t="shared" si="24"/>
        <v>272</v>
      </c>
      <c r="X70">
        <f t="shared" si="28"/>
        <v>255</v>
      </c>
      <c r="AB70">
        <f>'BSi_results and calculations'!K78</f>
        <v>3.8515566720413403</v>
      </c>
      <c r="AC70">
        <f>'BSi_results and calculations'!L78</f>
        <v>8.239232482127596</v>
      </c>
      <c r="AF70" s="90">
        <f>'PIC data'!AF65</f>
        <v>78.511001225444204</v>
      </c>
      <c r="AG70">
        <f t="shared" si="29"/>
        <v>9.4209844117220634</v>
      </c>
      <c r="AH70" s="90">
        <f t="shared" si="30"/>
        <v>3.3513563628140695</v>
      </c>
      <c r="AI70" s="90">
        <f t="shared" si="31"/>
        <v>98.696019715168646</v>
      </c>
      <c r="AK70" s="148">
        <f t="shared" si="32"/>
        <v>7.4237246382538808</v>
      </c>
    </row>
    <row r="71" spans="1:38">
      <c r="A71">
        <v>2018</v>
      </c>
      <c r="B71" t="s">
        <v>194</v>
      </c>
      <c r="C71">
        <v>17</v>
      </c>
      <c r="D71">
        <v>3</v>
      </c>
      <c r="E71">
        <f>'mass filt'!V74</f>
        <v>385.62857142857138</v>
      </c>
      <c r="F71">
        <v>0.5</v>
      </c>
      <c r="G71" t="s">
        <v>322</v>
      </c>
      <c r="H71" s="97">
        <f t="shared" si="25"/>
        <v>17</v>
      </c>
      <c r="I71" s="90">
        <f t="shared" si="22"/>
        <v>45.368067226890751</v>
      </c>
      <c r="J71" s="90">
        <f t="shared" si="23"/>
        <v>16.570686554621847</v>
      </c>
      <c r="L71">
        <v>1</v>
      </c>
      <c r="M71" s="90">
        <f>'CHN data'!AI62</f>
        <v>12.438674926757813</v>
      </c>
      <c r="N71" s="90">
        <f>'CHN data'!AJ62</f>
        <v>0.32343754172325134</v>
      </c>
      <c r="O71" s="90">
        <f>'CHN data'!AH62</f>
        <v>0.37589496374130249</v>
      </c>
      <c r="Q71" t="s">
        <v>2582</v>
      </c>
      <c r="R71" s="294">
        <f>AVERAGE(pH_Sal!D61,pH_Sal!G61)</f>
        <v>39.97</v>
      </c>
      <c r="S71" s="294">
        <f>AVERAGE(pH_Sal!I61,pH_Sal!L61)</f>
        <v>8.7195</v>
      </c>
      <c r="T71" s="67">
        <f>'traps and logs'!G63</f>
        <v>43445</v>
      </c>
      <c r="U71" s="67">
        <f t="shared" si="26"/>
        <v>43462</v>
      </c>
      <c r="V71" s="203">
        <f t="shared" si="27"/>
        <v>43453.5</v>
      </c>
      <c r="W71" s="97">
        <f t="shared" si="24"/>
        <v>289</v>
      </c>
      <c r="X71">
        <f t="shared" si="28"/>
        <v>272</v>
      </c>
      <c r="AB71">
        <f>'BSi_results and calculations'!K79</f>
        <v>3.8105430751459139</v>
      </c>
      <c r="AC71">
        <f>'BSi_results and calculations'!L79</f>
        <v>8.1514963825389106</v>
      </c>
      <c r="AF71" s="90">
        <f>'PIC data'!AF66</f>
        <v>79.722816754527287</v>
      </c>
      <c r="AG71">
        <f t="shared" si="29"/>
        <v>9.5663970931447828</v>
      </c>
      <c r="AH71" s="90">
        <f t="shared" si="30"/>
        <v>2.8722778336130297</v>
      </c>
      <c r="AI71" s="90">
        <f t="shared" si="31"/>
        <v>98.761266194758022</v>
      </c>
      <c r="AK71" s="148">
        <f t="shared" si="32"/>
        <v>8.9136395370108641</v>
      </c>
    </row>
    <row r="72" spans="1:38">
      <c r="A72">
        <v>2018</v>
      </c>
      <c r="B72" t="s">
        <v>194</v>
      </c>
      <c r="C72">
        <v>18</v>
      </c>
      <c r="D72">
        <v>3</v>
      </c>
      <c r="E72">
        <f>'mass filt'!V75</f>
        <v>420.85714285714289</v>
      </c>
      <c r="F72">
        <v>0.5</v>
      </c>
      <c r="G72" t="s">
        <v>322</v>
      </c>
      <c r="H72" s="97">
        <f t="shared" si="25"/>
        <v>17</v>
      </c>
      <c r="I72" s="90">
        <f t="shared" si="22"/>
        <v>49.512605042016808</v>
      </c>
      <c r="J72" s="90">
        <f t="shared" si="23"/>
        <v>18.08447899159664</v>
      </c>
      <c r="L72">
        <v>1</v>
      </c>
      <c r="M72" s="90">
        <f>'CHN data'!AI63</f>
        <v>12.267759323120117</v>
      </c>
      <c r="N72" s="90">
        <f>'CHN data'!AJ63</f>
        <v>0.34961962699890137</v>
      </c>
      <c r="O72" s="90">
        <f>'CHN data'!AH63</f>
        <v>0.36883670091629028</v>
      </c>
      <c r="R72">
        <f>pH_Sal!D62</f>
        <v>40.17</v>
      </c>
      <c r="S72" s="90">
        <f>pH_Sal!I62</f>
        <v>8.7110000000000003</v>
      </c>
      <c r="T72" s="67">
        <f>'traps and logs'!G64</f>
        <v>43462</v>
      </c>
      <c r="U72" s="67">
        <f t="shared" si="26"/>
        <v>43479</v>
      </c>
      <c r="V72" s="203">
        <f t="shared" si="27"/>
        <v>43470.5</v>
      </c>
      <c r="W72" s="97">
        <f t="shared" si="24"/>
        <v>306</v>
      </c>
      <c r="X72">
        <f t="shared" si="28"/>
        <v>289</v>
      </c>
      <c r="AB72">
        <f>'BSi_results and calculations'!K80</f>
        <v>4.0419267949207569</v>
      </c>
      <c r="AC72">
        <f>'BSi_results and calculations'!L80</f>
        <v>8.646471381516136</v>
      </c>
      <c r="AF72" s="90">
        <f>'PIC data'!AF67</f>
        <v>78.874750676926311</v>
      </c>
      <c r="AG72">
        <f t="shared" si="29"/>
        <v>9.4646327904039893</v>
      </c>
      <c r="AH72" s="90">
        <f t="shared" si="30"/>
        <v>2.8031265327161279</v>
      </c>
      <c r="AI72" s="90">
        <f t="shared" si="31"/>
        <v>98.311181017057535</v>
      </c>
      <c r="AK72" s="148">
        <f t="shared" si="32"/>
        <v>8.8655095360133487</v>
      </c>
    </row>
    <row r="73" spans="1:38">
      <c r="A73">
        <v>2018</v>
      </c>
      <c r="B73" t="s">
        <v>194</v>
      </c>
      <c r="C73">
        <v>19</v>
      </c>
      <c r="D73">
        <v>5</v>
      </c>
      <c r="E73">
        <f>'mass filt'!V76</f>
        <v>512.69999999999993</v>
      </c>
      <c r="F73">
        <v>0.5</v>
      </c>
      <c r="G73" t="s">
        <v>322</v>
      </c>
      <c r="H73" s="97">
        <f t="shared" si="25"/>
        <v>17</v>
      </c>
      <c r="I73" s="90">
        <f t="shared" si="22"/>
        <v>60.317647058823525</v>
      </c>
      <c r="J73" s="90">
        <f t="shared" si="23"/>
        <v>22.031020588235293</v>
      </c>
      <c r="L73">
        <v>1</v>
      </c>
      <c r="M73" s="90">
        <f>'CHN data'!AI64</f>
        <v>12.174908638000488</v>
      </c>
      <c r="N73" s="90">
        <f>'CHN data'!AJ64</f>
        <v>0.42274323105812073</v>
      </c>
      <c r="O73" s="90">
        <f>'CHN data'!AH64</f>
        <v>0.39902999997138977</v>
      </c>
      <c r="R73">
        <f>pH_Sal!D63</f>
        <v>40</v>
      </c>
      <c r="S73" s="90">
        <f>pH_Sal!I63</f>
        <v>8.6980000000000004</v>
      </c>
      <c r="T73" s="67">
        <f>'traps and logs'!G65</f>
        <v>43479</v>
      </c>
      <c r="U73" s="67">
        <f t="shared" si="26"/>
        <v>43496</v>
      </c>
      <c r="V73" s="203">
        <f t="shared" si="27"/>
        <v>43487.5</v>
      </c>
      <c r="W73" s="97">
        <f t="shared" si="24"/>
        <v>323</v>
      </c>
      <c r="X73">
        <f t="shared" si="28"/>
        <v>306</v>
      </c>
      <c r="AB73">
        <f>'BSi_results and calculations'!K81</f>
        <v>5.1240978987708639</v>
      </c>
      <c r="AC73">
        <f>'BSi_results and calculations'!L81</f>
        <v>10.961446875654724</v>
      </c>
      <c r="AF73" s="90">
        <f>'PIC data'!AF68</f>
        <v>81.595685163621795</v>
      </c>
      <c r="AG73">
        <f t="shared" si="29"/>
        <v>9.7911332933190831</v>
      </c>
      <c r="AH73" s="90">
        <f t="shared" si="30"/>
        <v>2.3837753446814052</v>
      </c>
      <c r="AI73" s="90">
        <f t="shared" si="31"/>
        <v>102.68335920045082</v>
      </c>
      <c r="AK73" s="148">
        <f t="shared" si="32"/>
        <v>6.9687502980282998</v>
      </c>
    </row>
    <row r="74" spans="1:38">
      <c r="A74">
        <v>2018</v>
      </c>
      <c r="B74" t="s">
        <v>194</v>
      </c>
      <c r="C74">
        <v>20</v>
      </c>
      <c r="D74">
        <v>17</v>
      </c>
      <c r="E74">
        <f>'mass filt'!V77</f>
        <v>829.62857142857149</v>
      </c>
      <c r="F74">
        <v>0.5</v>
      </c>
      <c r="G74" t="s">
        <v>322</v>
      </c>
      <c r="H74" s="97">
        <f t="shared" si="25"/>
        <v>17</v>
      </c>
      <c r="I74" s="90">
        <f t="shared" si="22"/>
        <v>97.603361344537817</v>
      </c>
      <c r="J74" s="90">
        <f>0.001*365.25*E74/F74/H74</f>
        <v>35.649627731092444</v>
      </c>
      <c r="L74">
        <v>1</v>
      </c>
      <c r="M74" s="90">
        <f>'CHN data'!AI65</f>
        <v>11.52426815032959</v>
      </c>
      <c r="N74" s="90">
        <f>'CHN data'!AJ65</f>
        <v>0.48177030682563782</v>
      </c>
      <c r="O74" s="90">
        <f>'CHN data'!AH65</f>
        <v>0.44593289494514465</v>
      </c>
      <c r="R74">
        <f>pH_Sal!D64</f>
        <v>39.83</v>
      </c>
      <c r="S74" s="90">
        <f>pH_Sal!I64</f>
        <v>8.6229999999999993</v>
      </c>
      <c r="T74" s="67">
        <f>'traps and logs'!G66</f>
        <v>43496</v>
      </c>
      <c r="U74" s="67">
        <f t="shared" si="26"/>
        <v>43513</v>
      </c>
      <c r="V74" s="203">
        <f t="shared" si="27"/>
        <v>43504.5</v>
      </c>
      <c r="W74" s="97">
        <f t="shared" si="24"/>
        <v>340</v>
      </c>
      <c r="X74">
        <f t="shared" si="28"/>
        <v>323</v>
      </c>
      <c r="AB74">
        <f>'BSi_results and calculations'!K82</f>
        <v>7.6781566565481354</v>
      </c>
      <c r="AC74">
        <f>'BSi_results and calculations'!L82</f>
        <v>16.425077732003469</v>
      </c>
      <c r="AF74" s="90">
        <f>'PIC data'!AF69</f>
        <v>75.42864664184728</v>
      </c>
      <c r="AG74">
        <f t="shared" si="29"/>
        <v>9.0511150427137395</v>
      </c>
      <c r="AH74" s="90">
        <f t="shared" si="30"/>
        <v>2.4731531076158504</v>
      </c>
      <c r="AI74" s="90">
        <f t="shared" si="31"/>
        <v>102.77668823004986</v>
      </c>
      <c r="AK74" s="148">
        <f t="shared" si="32"/>
        <v>6.4695879524484257</v>
      </c>
    </row>
    <row r="75" spans="1:38">
      <c r="A75">
        <v>2018</v>
      </c>
      <c r="B75" t="s">
        <v>194</v>
      </c>
      <c r="C75">
        <v>21</v>
      </c>
      <c r="D75">
        <v>15</v>
      </c>
      <c r="E75">
        <f>'mass filt'!V78</f>
        <v>760.5</v>
      </c>
      <c r="F75">
        <v>0.5</v>
      </c>
      <c r="G75" t="s">
        <v>322</v>
      </c>
      <c r="H75" s="97">
        <f t="shared" si="25"/>
        <v>17</v>
      </c>
      <c r="I75" s="90">
        <f t="shared" si="22"/>
        <v>89.470588235294116</v>
      </c>
      <c r="J75" s="90">
        <f t="shared" si="23"/>
        <v>32.679132352941174</v>
      </c>
      <c r="L75">
        <v>1</v>
      </c>
      <c r="M75" s="90">
        <f>'CHN data'!AI66</f>
        <v>11.310412406921387</v>
      </c>
      <c r="N75" s="90">
        <f>'CHN data'!AJ66</f>
        <v>0.50830024480819702</v>
      </c>
      <c r="O75" s="90">
        <f>'CHN data'!AH66</f>
        <v>0.49323287606239319</v>
      </c>
      <c r="R75">
        <f>pH_Sal!D65</f>
        <v>39.880000000000003</v>
      </c>
      <c r="S75" s="90">
        <f>pH_Sal!I65</f>
        <v>8.6319999999999997</v>
      </c>
      <c r="T75" s="67">
        <f>'traps and logs'!G67</f>
        <v>43513</v>
      </c>
      <c r="U75" s="67">
        <f>'traps and logs'!G68</f>
        <v>43530</v>
      </c>
      <c r="V75" s="203">
        <f t="shared" si="27"/>
        <v>43521.5</v>
      </c>
      <c r="W75" s="97">
        <f t="shared" si="24"/>
        <v>357</v>
      </c>
      <c r="X75">
        <f t="shared" si="28"/>
        <v>340</v>
      </c>
      <c r="AB75">
        <f>'BSi_results and calculations'!K83</f>
        <v>8.9164435077159077</v>
      </c>
      <c r="AC75">
        <f>'BSi_results and calculations'!L83</f>
        <v>19.074015321418614</v>
      </c>
      <c r="AF75" s="90">
        <f>'PIC data'!AF70</f>
        <v>72.726973129339044</v>
      </c>
      <c r="AG75">
        <f t="shared" si="29"/>
        <v>8.7269257743357205</v>
      </c>
      <c r="AH75" s="90">
        <f t="shared" si="30"/>
        <v>2.5834866325856662</v>
      </c>
      <c r="AI75" s="90">
        <f t="shared" si="31"/>
        <v>103.25696586147632</v>
      </c>
      <c r="AK75" s="645">
        <f t="shared" si="32"/>
        <v>6.1101142390459939</v>
      </c>
      <c r="AL75" t="s">
        <v>3479</v>
      </c>
    </row>
    <row r="76" spans="1:38">
      <c r="A76" s="83" t="s">
        <v>280</v>
      </c>
      <c r="AJ76" s="80" t="s">
        <v>2582</v>
      </c>
    </row>
    <row r="79" spans="1:38">
      <c r="A79" s="150"/>
      <c r="B79" s="150" t="s">
        <v>195</v>
      </c>
      <c r="C79" s="106"/>
      <c r="D79" s="151" t="s">
        <v>196</v>
      </c>
      <c r="E79" s="152"/>
      <c r="F79" s="153"/>
      <c r="G79" s="98"/>
      <c r="H79" s="153"/>
      <c r="I79" s="153"/>
      <c r="J79" s="153"/>
      <c r="K79" s="153"/>
    </row>
    <row r="80" spans="1:38">
      <c r="A80" s="154" t="s">
        <v>188</v>
      </c>
      <c r="B80" s="106"/>
      <c r="C80" s="106"/>
      <c r="D80" s="151">
        <f>COUNT(F7:F27)</f>
        <v>21</v>
      </c>
      <c r="E80" s="152"/>
      <c r="F80" s="155"/>
      <c r="G80" s="98"/>
      <c r="H80" s="155"/>
      <c r="I80" s="153"/>
      <c r="J80" s="153"/>
      <c r="K80" s="153"/>
    </row>
    <row r="81" spans="1:11">
      <c r="A81" s="154" t="s">
        <v>190</v>
      </c>
      <c r="B81" s="106"/>
      <c r="C81" s="106"/>
      <c r="D81" s="151">
        <f>COUNT(F31:F51)</f>
        <v>21</v>
      </c>
      <c r="E81" s="152"/>
      <c r="F81" s="155"/>
      <c r="G81" s="98"/>
      <c r="H81" s="155"/>
      <c r="I81" s="153"/>
      <c r="J81" s="153"/>
      <c r="K81" s="153"/>
    </row>
    <row r="82" spans="1:11">
      <c r="A82" s="154" t="s">
        <v>194</v>
      </c>
      <c r="B82" s="106"/>
      <c r="C82" s="106"/>
      <c r="D82" s="151">
        <f>COUNT(F55:F75)</f>
        <v>21</v>
      </c>
      <c r="E82" s="152"/>
      <c r="F82" s="155"/>
      <c r="G82" s="98"/>
      <c r="H82" s="155"/>
      <c r="I82" s="153"/>
      <c r="J82" s="153"/>
      <c r="K82" s="153"/>
    </row>
    <row r="83" spans="1:11">
      <c r="A83" s="150" t="s">
        <v>197</v>
      </c>
      <c r="B83" s="106"/>
      <c r="C83" s="106"/>
      <c r="D83" s="130">
        <f>SUM(D80:D82)</f>
        <v>63</v>
      </c>
      <c r="E83" s="152"/>
      <c r="F83" s="153"/>
      <c r="G83" s="98"/>
      <c r="H83" s="153"/>
      <c r="I83" s="153"/>
      <c r="J83" s="155"/>
      <c r="K83" s="155"/>
    </row>
    <row r="84" spans="1:11">
      <c r="A84" s="150" t="s">
        <v>198</v>
      </c>
      <c r="B84" s="106"/>
      <c r="C84" s="106"/>
      <c r="D84" s="130">
        <f>SUM(D80:D82)</f>
        <v>63</v>
      </c>
      <c r="E84" s="152"/>
      <c r="F84" s="153"/>
      <c r="G84" s="98"/>
      <c r="H84" s="153"/>
      <c r="I84" s="153"/>
      <c r="J84" s="155"/>
      <c r="K84" s="155"/>
    </row>
    <row r="85" spans="1:11">
      <c r="A85" s="106"/>
      <c r="B85" s="106"/>
      <c r="C85" s="106"/>
      <c r="D85" s="130" t="s">
        <v>153</v>
      </c>
      <c r="E85" s="93" t="s">
        <v>199</v>
      </c>
      <c r="F85" s="154" t="s">
        <v>69</v>
      </c>
      <c r="G85" s="98"/>
      <c r="H85" s="154"/>
      <c r="I85" s="153"/>
      <c r="J85" s="153"/>
      <c r="K85" s="153"/>
    </row>
    <row r="86" spans="1:11">
      <c r="A86" s="106" t="s">
        <v>200</v>
      </c>
      <c r="B86" s="106"/>
      <c r="C86" s="154"/>
      <c r="D86" s="130">
        <f>F86-E86</f>
        <v>63</v>
      </c>
      <c r="E86" s="93">
        <v>0</v>
      </c>
      <c r="F86" s="156">
        <f>COUNT(F7:F75)</f>
        <v>63</v>
      </c>
      <c r="G86" s="98"/>
      <c r="H86" s="130"/>
      <c r="I86" s="153"/>
      <c r="J86" s="153"/>
      <c r="K86" s="153"/>
    </row>
    <row r="87" spans="1:11">
      <c r="A87" s="155"/>
      <c r="B87" s="155"/>
      <c r="C87" s="153"/>
      <c r="D87" s="157"/>
      <c r="E87" s="152"/>
      <c r="F87" s="157"/>
      <c r="G87" s="98"/>
      <c r="H87" s="157"/>
      <c r="I87" s="153"/>
      <c r="J87" s="153"/>
      <c r="K87" s="153"/>
    </row>
    <row r="88" spans="1:11">
      <c r="A88" s="155"/>
      <c r="B88" s="155"/>
      <c r="C88" s="155"/>
      <c r="D88" s="157"/>
      <c r="E88" s="93" t="s">
        <v>201</v>
      </c>
      <c r="F88" s="154" t="s">
        <v>113</v>
      </c>
      <c r="G88" s="98"/>
      <c r="H88" s="106" t="s">
        <v>202</v>
      </c>
      <c r="I88" s="154" t="s">
        <v>203</v>
      </c>
      <c r="J88" s="106" t="s">
        <v>202</v>
      </c>
      <c r="K88" s="106"/>
    </row>
    <row r="89" spans="1:11">
      <c r="A89" s="155"/>
      <c r="B89" s="155"/>
      <c r="C89" s="155"/>
      <c r="D89" s="157"/>
      <c r="E89" s="93" t="s">
        <v>204</v>
      </c>
      <c r="F89" s="154" t="s">
        <v>166</v>
      </c>
      <c r="G89" s="98"/>
      <c r="H89" s="106" t="s">
        <v>167</v>
      </c>
      <c r="I89" s="154" t="s">
        <v>169</v>
      </c>
      <c r="J89" s="154" t="s">
        <v>205</v>
      </c>
      <c r="K89" s="154"/>
    </row>
    <row r="90" spans="1:11">
      <c r="A90" s="154" t="s">
        <v>188</v>
      </c>
      <c r="B90" s="155"/>
      <c r="C90" s="155"/>
      <c r="D90" s="157"/>
      <c r="E90" s="93">
        <f>SUM(E7:E27)</f>
        <v>5038.0428571428565</v>
      </c>
      <c r="F90" s="150">
        <v>0.5</v>
      </c>
      <c r="G90" s="98"/>
      <c r="H90" s="154">
        <f>SUM(H7:H27)</f>
        <v>357</v>
      </c>
      <c r="I90" s="154">
        <f>0.001*365.25*E90/F90/H90</f>
        <v>10.308936434573829</v>
      </c>
      <c r="J90" s="154">
        <f>100*H90/365</f>
        <v>97.808219178082197</v>
      </c>
      <c r="K90" s="154"/>
    </row>
    <row r="91" spans="1:11">
      <c r="A91" s="106" t="s">
        <v>190</v>
      </c>
      <c r="B91" s="155"/>
      <c r="C91" s="155"/>
      <c r="D91" s="157"/>
      <c r="E91" s="93">
        <f>SUM(E31:E51)</f>
        <v>9923.9714285714272</v>
      </c>
      <c r="F91" s="150">
        <v>0.5</v>
      </c>
      <c r="G91" s="98"/>
      <c r="H91" s="154">
        <f>SUM(H31:H51)</f>
        <v>357</v>
      </c>
      <c r="I91" s="154">
        <f>0.001*365.25*E91/F91/H91</f>
        <v>20.306613805522208</v>
      </c>
      <c r="J91" s="154">
        <f>100*H91/365</f>
        <v>97.808219178082197</v>
      </c>
      <c r="K91" s="154"/>
    </row>
    <row r="92" spans="1:11">
      <c r="A92" s="154" t="s">
        <v>194</v>
      </c>
      <c r="B92" s="155"/>
      <c r="C92" s="155"/>
      <c r="D92" s="157"/>
      <c r="E92" s="93">
        <f>SUM(E55:E75)</f>
        <v>9458.9142857142851</v>
      </c>
      <c r="F92" s="150">
        <v>0.5</v>
      </c>
      <c r="G92" s="98"/>
      <c r="H92" s="154">
        <f>SUM(H55:H75)</f>
        <v>357</v>
      </c>
      <c r="I92" s="154">
        <f>0.001*365.25*E92/F92/H92</f>
        <v>19.355005282112845</v>
      </c>
      <c r="J92" s="154">
        <f>100*H92/365</f>
        <v>97.808219178082197</v>
      </c>
      <c r="K92" s="154"/>
    </row>
    <row r="93" spans="1:11">
      <c r="A93" s="155"/>
      <c r="B93" s="155"/>
      <c r="C93" s="155"/>
      <c r="D93" s="157"/>
      <c r="E93" s="152"/>
      <c r="F93" s="153"/>
      <c r="G93" s="98"/>
      <c r="H93" s="153"/>
      <c r="I93" s="153"/>
      <c r="J93" s="153"/>
      <c r="K93" s="153"/>
    </row>
    <row r="94" spans="1:11">
      <c r="A94" s="155"/>
      <c r="B94" s="155"/>
      <c r="C94" s="155"/>
      <c r="D94" s="157"/>
      <c r="E94" s="152"/>
      <c r="F94" s="154"/>
      <c r="G94" s="150"/>
      <c r="H94" s="154"/>
      <c r="I94" s="154"/>
      <c r="J94" s="158"/>
      <c r="K94" s="158"/>
    </row>
    <row r="95" spans="1:11">
      <c r="A95" s="106"/>
      <c r="B95" s="106"/>
      <c r="C95" s="106"/>
      <c r="D95" s="130"/>
      <c r="E95" s="93" t="s">
        <v>147</v>
      </c>
      <c r="F95" s="154" t="s">
        <v>147</v>
      </c>
      <c r="G95" s="150"/>
      <c r="H95" s="154"/>
      <c r="I95" s="154"/>
      <c r="J95" s="158"/>
      <c r="K95" s="158"/>
    </row>
    <row r="96" spans="1:11">
      <c r="A96" s="51" t="s">
        <v>281</v>
      </c>
      <c r="B96" s="109"/>
      <c r="C96" s="109"/>
      <c r="D96" s="162"/>
      <c r="E96" s="181">
        <v>0.13988425925925926</v>
      </c>
      <c r="F96" s="182">
        <v>43546</v>
      </c>
      <c r="G96" s="149"/>
      <c r="H96" s="160"/>
      <c r="I96" s="159"/>
      <c r="J96" s="158"/>
      <c r="K96" s="158"/>
    </row>
    <row r="97" spans="1:11">
      <c r="A97" s="109"/>
      <c r="B97" s="109"/>
      <c r="C97" s="109"/>
      <c r="D97" s="162"/>
      <c r="E97" s="163"/>
      <c r="F97" s="163"/>
      <c r="G97" s="150"/>
      <c r="H97" s="154"/>
      <c r="I97" s="161"/>
      <c r="J97" s="158"/>
      <c r="K97" s="158"/>
    </row>
    <row r="98" spans="1:11">
      <c r="A98" s="109"/>
      <c r="B98" s="109"/>
      <c r="C98" s="109"/>
      <c r="D98" s="162"/>
      <c r="E98" s="163"/>
      <c r="F98" s="161"/>
      <c r="G98" s="149"/>
      <c r="H98" s="161"/>
      <c r="I98" s="161"/>
      <c r="J98" s="158"/>
      <c r="K98" s="158"/>
    </row>
    <row r="99" spans="1:11">
      <c r="A99" s="109"/>
      <c r="B99" s="109"/>
      <c r="C99" s="109"/>
      <c r="D99" s="162"/>
      <c r="E99" s="163"/>
      <c r="F99" s="161"/>
      <c r="G99" s="149"/>
      <c r="H99" s="161"/>
      <c r="I99" s="161"/>
      <c r="J99" s="158"/>
      <c r="K99" s="158"/>
    </row>
    <row r="100" spans="1:11">
      <c r="A100" s="106"/>
      <c r="B100" s="155"/>
      <c r="C100" s="155"/>
      <c r="D100" s="157"/>
      <c r="E100" s="152"/>
      <c r="F100" s="153"/>
      <c r="G100" s="98"/>
      <c r="H100" s="153"/>
      <c r="I100" s="153"/>
      <c r="J100" s="158"/>
      <c r="K100" s="158"/>
    </row>
  </sheetData>
  <conditionalFormatting sqref="AI7:AI75">
    <cfRule type="cellIs" dxfId="1" priority="1" operator="lessThan">
      <formula>90</formula>
    </cfRule>
    <cfRule type="cellIs" dxfId="0" priority="2" operator="greaterThan">
      <formula>110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A8" sqref="A8"/>
    </sheetView>
  </sheetViews>
  <sheetFormatPr defaultColWidth="11" defaultRowHeight="15.5"/>
  <sheetData>
    <row r="1" spans="1:1">
      <c r="A1" t="s">
        <v>91</v>
      </c>
    </row>
    <row r="3" spans="1:1">
      <c r="A3" t="s">
        <v>89</v>
      </c>
    </row>
    <row r="5" spans="1:1">
      <c r="A5" t="s">
        <v>274</v>
      </c>
    </row>
    <row r="7" spans="1:1">
      <c r="A7" t="s">
        <v>275</v>
      </c>
    </row>
    <row r="8" spans="1:1">
      <c r="A8" t="s">
        <v>2457</v>
      </c>
    </row>
    <row r="24" spans="9:9">
      <c r="I24"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0703-BDBC-49B8-8BC6-7805BBFFB85B}">
  <dimension ref="A1:J64"/>
  <sheetViews>
    <sheetView workbookViewId="0">
      <pane xSplit="4425" ySplit="600" topLeftCell="G1" activePane="bottomRight"/>
      <selection pane="topRight" activeCell="E1" sqref="E1"/>
      <selection pane="bottomLeft" activeCell="A2" sqref="A2"/>
      <selection pane="bottomRight" activeCell="J64" sqref="J2:J64"/>
    </sheetView>
  </sheetViews>
  <sheetFormatPr defaultColWidth="8.83203125" defaultRowHeight="15.5"/>
  <cols>
    <col min="1" max="1" width="4.83203125" bestFit="1" customWidth="1"/>
    <col min="2" max="2" width="14.5" bestFit="1" customWidth="1"/>
    <col min="3" max="3" width="8.6640625" bestFit="1" customWidth="1"/>
    <col min="4" max="4" width="4.83203125" bestFit="1" customWidth="1"/>
    <col min="5" max="5" width="28.1640625" bestFit="1" customWidth="1"/>
    <col min="6" max="8" width="37.33203125" bestFit="1" customWidth="1"/>
    <col min="9" max="9" width="67.33203125" bestFit="1" customWidth="1"/>
    <col min="10" max="10" width="25.6640625" bestFit="1" customWidth="1"/>
  </cols>
  <sheetData>
    <row r="1" spans="1:10" s="1" customFormat="1" ht="13">
      <c r="A1" s="1" t="s">
        <v>2613</v>
      </c>
      <c r="B1" s="1" t="s">
        <v>2614</v>
      </c>
      <c r="C1" s="1" t="s">
        <v>2615</v>
      </c>
      <c r="D1" s="1" t="s">
        <v>2616</v>
      </c>
      <c r="E1" s="1" t="s">
        <v>2617</v>
      </c>
      <c r="F1" s="1" t="s">
        <v>2618</v>
      </c>
      <c r="G1" s="1" t="s">
        <v>2619</v>
      </c>
      <c r="H1" s="1" t="s">
        <v>2620</v>
      </c>
      <c r="I1" s="1" t="s">
        <v>3374</v>
      </c>
      <c r="J1" s="1" t="s">
        <v>3373</v>
      </c>
    </row>
    <row r="2" spans="1:10" s="1" customFormat="1">
      <c r="A2">
        <v>20</v>
      </c>
      <c r="B2">
        <v>2018</v>
      </c>
      <c r="C2" t="str">
        <f>main!B7</f>
        <v>47_1000</v>
      </c>
      <c r="D2">
        <v>1</v>
      </c>
      <c r="E2" s="1" t="s">
        <v>2621</v>
      </c>
      <c r="F2" s="1" t="s">
        <v>2621</v>
      </c>
      <c r="G2" s="1" t="s">
        <v>2621</v>
      </c>
      <c r="H2" s="1" t="s">
        <v>2621</v>
      </c>
      <c r="I2" s="1">
        <v>15.095000000000001</v>
      </c>
      <c r="J2" s="51">
        <f>I2-'mass filt'!X6/1000</f>
        <v>7.024000000000008E-2</v>
      </c>
    </row>
    <row r="3" spans="1:10">
      <c r="A3">
        <v>20</v>
      </c>
      <c r="B3">
        <v>2018</v>
      </c>
      <c r="C3" t="str">
        <f>main!B8</f>
        <v>47_1000</v>
      </c>
      <c r="D3">
        <f>main!C8</f>
        <v>2</v>
      </c>
      <c r="E3" s="1" t="s">
        <v>2621</v>
      </c>
      <c r="F3" s="1" t="s">
        <v>2621</v>
      </c>
      <c r="G3" s="1" t="s">
        <v>2621</v>
      </c>
      <c r="H3" s="1" t="s">
        <v>2621</v>
      </c>
      <c r="I3">
        <v>14.860200000000001</v>
      </c>
      <c r="J3" s="51">
        <f>I3-'mass filt'!X8/1000</f>
        <v>0.1370900000000006</v>
      </c>
    </row>
    <row r="4" spans="1:10">
      <c r="A4">
        <v>20</v>
      </c>
      <c r="B4">
        <v>2018</v>
      </c>
      <c r="C4" t="str">
        <f>main!B9</f>
        <v>47_1000</v>
      </c>
      <c r="D4">
        <f>main!C9</f>
        <v>3</v>
      </c>
      <c r="E4" s="1" t="s">
        <v>2621</v>
      </c>
      <c r="F4" s="1" t="s">
        <v>2621</v>
      </c>
      <c r="G4" s="1" t="s">
        <v>2621</v>
      </c>
      <c r="H4" s="1" t="s">
        <v>2621</v>
      </c>
      <c r="I4">
        <v>14.982699999999999</v>
      </c>
      <c r="J4" s="51">
        <f>I4-'mass filt'!X10/1000</f>
        <v>0.11664999999999992</v>
      </c>
    </row>
    <row r="5" spans="1:10">
      <c r="A5">
        <v>20</v>
      </c>
      <c r="B5">
        <v>2018</v>
      </c>
      <c r="C5" t="str">
        <f>main!B10</f>
        <v>47_1000</v>
      </c>
      <c r="D5">
        <f>main!C10</f>
        <v>4</v>
      </c>
      <c r="E5" s="1" t="s">
        <v>2621</v>
      </c>
      <c r="F5" s="1" t="s">
        <v>2621</v>
      </c>
      <c r="G5" s="1" t="s">
        <v>2621</v>
      </c>
      <c r="H5" s="1" t="s">
        <v>2621</v>
      </c>
      <c r="I5">
        <v>14.989800000000001</v>
      </c>
      <c r="J5" s="51">
        <f>I5-'mass filt'!X11/1000</f>
        <v>5.7190000000000296E-2</v>
      </c>
    </row>
    <row r="6" spans="1:10">
      <c r="A6">
        <v>20</v>
      </c>
      <c r="B6">
        <v>2018</v>
      </c>
      <c r="C6" t="str">
        <f>main!B11</f>
        <v>47_1000</v>
      </c>
      <c r="D6">
        <f>main!C11</f>
        <v>5</v>
      </c>
      <c r="E6" s="1" t="s">
        <v>2621</v>
      </c>
      <c r="F6" s="1" t="s">
        <v>2621</v>
      </c>
      <c r="G6" s="1" t="s">
        <v>2621</v>
      </c>
      <c r="H6" s="1" t="s">
        <v>2621</v>
      </c>
      <c r="J6" s="51" t="s">
        <v>2622</v>
      </c>
    </row>
    <row r="7" spans="1:10">
      <c r="A7">
        <v>20</v>
      </c>
      <c r="B7">
        <v>2018</v>
      </c>
      <c r="C7" t="str">
        <f>main!B12</f>
        <v>47_1000</v>
      </c>
      <c r="D7">
        <f>main!C12</f>
        <v>6</v>
      </c>
      <c r="E7" s="1" t="s">
        <v>2621</v>
      </c>
      <c r="F7" s="1" t="s">
        <v>2621</v>
      </c>
      <c r="G7" s="1" t="s">
        <v>2621</v>
      </c>
      <c r="H7" s="1" t="s">
        <v>2621</v>
      </c>
      <c r="I7">
        <v>14.8599</v>
      </c>
      <c r="J7" s="51">
        <f>I7-'mass filt'!X14/1000</f>
        <v>1.0899999999995913E-3</v>
      </c>
    </row>
    <row r="8" spans="1:10">
      <c r="A8">
        <v>20</v>
      </c>
      <c r="B8">
        <v>2018</v>
      </c>
      <c r="C8" t="str">
        <f>main!B13</f>
        <v>47_1000</v>
      </c>
      <c r="D8">
        <f>main!C13</f>
        <v>7</v>
      </c>
      <c r="E8" s="1" t="s">
        <v>2621</v>
      </c>
      <c r="F8" s="1" t="s">
        <v>2621</v>
      </c>
      <c r="G8" s="1" t="s">
        <v>2621</v>
      </c>
      <c r="H8" s="1" t="s">
        <v>2621</v>
      </c>
      <c r="I8">
        <v>14.821</v>
      </c>
      <c r="J8" s="51">
        <f>I8-'mass filt'!X15/1000</f>
        <v>1.3799999999992707E-3</v>
      </c>
    </row>
    <row r="9" spans="1:10">
      <c r="A9">
        <v>20</v>
      </c>
      <c r="B9">
        <v>2018</v>
      </c>
      <c r="C9" t="str">
        <f>main!B14</f>
        <v>47_1000</v>
      </c>
      <c r="D9">
        <f>main!C14</f>
        <v>8</v>
      </c>
      <c r="E9" s="1" t="s">
        <v>2621</v>
      </c>
      <c r="F9" s="1" t="s">
        <v>2621</v>
      </c>
      <c r="G9" s="1" t="s">
        <v>2621</v>
      </c>
      <c r="H9" s="1" t="s">
        <v>2621</v>
      </c>
      <c r="J9" s="51" t="s">
        <v>2622</v>
      </c>
    </row>
    <row r="10" spans="1:10">
      <c r="A10">
        <v>20</v>
      </c>
      <c r="B10">
        <v>2018</v>
      </c>
      <c r="C10" t="str">
        <f>main!B15</f>
        <v>47_1000</v>
      </c>
      <c r="D10">
        <f>main!C15</f>
        <v>9</v>
      </c>
      <c r="E10" s="1" t="s">
        <v>2621</v>
      </c>
      <c r="F10" s="1" t="s">
        <v>2621</v>
      </c>
      <c r="G10" s="1" t="s">
        <v>2621</v>
      </c>
      <c r="H10" s="1" t="s">
        <v>2621</v>
      </c>
      <c r="I10">
        <v>16.600899999999999</v>
      </c>
      <c r="J10" s="51">
        <f>I10-'mass filt'!X18/1000</f>
        <v>2.0642599999999991</v>
      </c>
    </row>
    <row r="11" spans="1:10">
      <c r="A11">
        <v>20</v>
      </c>
      <c r="B11">
        <v>2018</v>
      </c>
      <c r="C11" t="str">
        <f>main!B16</f>
        <v>47_1000</v>
      </c>
      <c r="D11">
        <f>main!C16</f>
        <v>10</v>
      </c>
      <c r="E11" s="1" t="s">
        <v>2621</v>
      </c>
      <c r="F11" s="1" t="s">
        <v>2621</v>
      </c>
      <c r="G11" s="1" t="s">
        <v>2621</v>
      </c>
      <c r="H11" s="1" t="s">
        <v>2621</v>
      </c>
      <c r="I11">
        <v>15.0036</v>
      </c>
      <c r="J11" s="51">
        <f>I11-'mass filt'!X19/1000</f>
        <v>7.552000000000092E-2</v>
      </c>
    </row>
    <row r="12" spans="1:10">
      <c r="A12">
        <v>20</v>
      </c>
      <c r="B12">
        <v>2018</v>
      </c>
      <c r="C12" t="str">
        <f>main!B17</f>
        <v>47_1000</v>
      </c>
      <c r="D12">
        <f>main!C17</f>
        <v>11</v>
      </c>
      <c r="E12" s="1" t="s">
        <v>2621</v>
      </c>
      <c r="F12" s="1" t="s">
        <v>2621</v>
      </c>
      <c r="G12" s="1" t="s">
        <v>2621</v>
      </c>
      <c r="H12" s="1" t="s">
        <v>2621</v>
      </c>
      <c r="I12">
        <v>14.9954</v>
      </c>
      <c r="J12" s="51">
        <f>I12-'mass filt'!X20/1000</f>
        <v>0.21659000000000006</v>
      </c>
    </row>
    <row r="13" spans="1:10">
      <c r="A13">
        <v>20</v>
      </c>
      <c r="B13">
        <v>2018</v>
      </c>
      <c r="C13" t="str">
        <f>main!B18</f>
        <v>47_1000</v>
      </c>
      <c r="D13">
        <f>main!C18</f>
        <v>12</v>
      </c>
      <c r="E13" s="1" t="s">
        <v>2621</v>
      </c>
      <c r="F13" s="1" t="s">
        <v>2621</v>
      </c>
      <c r="G13" s="1" t="s">
        <v>2621</v>
      </c>
      <c r="H13" s="1" t="s">
        <v>2621</v>
      </c>
      <c r="I13">
        <v>15.335100000000001</v>
      </c>
      <c r="J13" s="51">
        <f>I13-'mass filt'!X21/1000</f>
        <v>0.28879000000000055</v>
      </c>
    </row>
    <row r="14" spans="1:10">
      <c r="A14">
        <v>20</v>
      </c>
      <c r="B14">
        <v>2018</v>
      </c>
      <c r="C14" t="str">
        <f>main!B19</f>
        <v>47_1000</v>
      </c>
      <c r="D14">
        <f>main!C19</f>
        <v>13</v>
      </c>
      <c r="E14" s="1" t="s">
        <v>2621</v>
      </c>
      <c r="F14" s="1" t="s">
        <v>2621</v>
      </c>
      <c r="G14" s="1" t="s">
        <v>2621</v>
      </c>
      <c r="H14" s="1" t="s">
        <v>2621</v>
      </c>
      <c r="I14">
        <v>15.3066</v>
      </c>
      <c r="J14" s="51">
        <f>I14-'mass filt'!X22/1000</f>
        <v>0.35696000000000083</v>
      </c>
    </row>
    <row r="15" spans="1:10">
      <c r="A15">
        <v>20</v>
      </c>
      <c r="B15">
        <v>2018</v>
      </c>
      <c r="C15" t="str">
        <f>main!B20</f>
        <v>47_1000</v>
      </c>
      <c r="D15">
        <f>main!C20</f>
        <v>14</v>
      </c>
      <c r="E15" s="1" t="s">
        <v>2621</v>
      </c>
      <c r="F15" s="1" t="s">
        <v>2621</v>
      </c>
      <c r="G15" s="1" t="s">
        <v>2621</v>
      </c>
      <c r="H15" s="1" t="s">
        <v>2621</v>
      </c>
      <c r="I15">
        <v>15.473100000000001</v>
      </c>
      <c r="J15" s="51">
        <f>I15-'mass filt'!X23/1000</f>
        <v>0.44103000000000137</v>
      </c>
    </row>
    <row r="16" spans="1:10">
      <c r="A16">
        <v>20</v>
      </c>
      <c r="B16">
        <v>2018</v>
      </c>
      <c r="C16" t="str">
        <f>main!B21</f>
        <v>47_1000</v>
      </c>
      <c r="D16">
        <f>main!C21</f>
        <v>15</v>
      </c>
      <c r="E16" s="1" t="s">
        <v>2621</v>
      </c>
      <c r="F16" s="1" t="s">
        <v>2621</v>
      </c>
      <c r="G16" s="1" t="s">
        <v>2621</v>
      </c>
      <c r="H16" s="1" t="s">
        <v>2621</v>
      </c>
      <c r="I16">
        <v>15.32</v>
      </c>
      <c r="J16" s="51">
        <f>I16-'mass filt'!X24/1000</f>
        <v>0.27636000000000038</v>
      </c>
    </row>
    <row r="17" spans="1:10">
      <c r="A17">
        <v>20</v>
      </c>
      <c r="B17">
        <v>2018</v>
      </c>
      <c r="C17" t="str">
        <f>main!B22</f>
        <v>47_1000</v>
      </c>
      <c r="D17">
        <f>main!C22</f>
        <v>16</v>
      </c>
      <c r="E17" s="1" t="s">
        <v>2621</v>
      </c>
      <c r="F17" s="1" t="s">
        <v>2621</v>
      </c>
      <c r="G17" s="1" t="s">
        <v>2621</v>
      </c>
      <c r="H17" s="1" t="s">
        <v>2621</v>
      </c>
      <c r="I17">
        <v>14.8339</v>
      </c>
      <c r="J17" s="51">
        <f>I17-'mass filt'!X25/1000</f>
        <v>8.6500000000000909E-2</v>
      </c>
    </row>
    <row r="18" spans="1:10">
      <c r="A18">
        <v>20</v>
      </c>
      <c r="B18">
        <v>2018</v>
      </c>
      <c r="C18" t="str">
        <f>main!B23</f>
        <v>47_1000</v>
      </c>
      <c r="D18">
        <f>main!C23</f>
        <v>17</v>
      </c>
      <c r="E18" s="1" t="s">
        <v>2621</v>
      </c>
      <c r="F18" s="1" t="s">
        <v>2621</v>
      </c>
      <c r="G18" s="1" t="s">
        <v>2621</v>
      </c>
      <c r="H18" s="1" t="s">
        <v>2621</v>
      </c>
      <c r="I18">
        <v>14.9823</v>
      </c>
      <c r="J18" s="51">
        <f>I18-'mass filt'!X26/1000</f>
        <v>6.4570000000001571E-2</v>
      </c>
    </row>
    <row r="19" spans="1:10">
      <c r="A19">
        <v>20</v>
      </c>
      <c r="B19">
        <v>2018</v>
      </c>
      <c r="C19" t="str">
        <f>main!B24</f>
        <v>47_1000</v>
      </c>
      <c r="D19">
        <f>main!C24</f>
        <v>18</v>
      </c>
      <c r="E19" s="1" t="s">
        <v>2621</v>
      </c>
      <c r="F19" s="1" t="s">
        <v>2621</v>
      </c>
      <c r="G19" s="1" t="s">
        <v>2621</v>
      </c>
      <c r="H19" s="1" t="s">
        <v>2621</v>
      </c>
      <c r="I19">
        <v>14.988899999999999</v>
      </c>
      <c r="J19" s="51">
        <f>I19-'mass filt'!X27/1000</f>
        <v>0.17422999999999966</v>
      </c>
    </row>
    <row r="20" spans="1:10">
      <c r="A20">
        <v>20</v>
      </c>
      <c r="B20">
        <v>2018</v>
      </c>
      <c r="C20" t="str">
        <f>main!B25</f>
        <v>47_1000</v>
      </c>
      <c r="D20">
        <f>main!C25</f>
        <v>19</v>
      </c>
      <c r="E20" s="1" t="s">
        <v>2621</v>
      </c>
      <c r="F20" s="1" t="s">
        <v>2621</v>
      </c>
      <c r="G20" s="1" t="s">
        <v>2621</v>
      </c>
      <c r="H20" s="1" t="s">
        <v>2621</v>
      </c>
      <c r="I20">
        <v>15.346500000000001</v>
      </c>
      <c r="J20" s="51">
        <f>I20-'mass filt'!X28/1000</f>
        <v>0.20216000000000101</v>
      </c>
    </row>
    <row r="21" spans="1:10">
      <c r="A21">
        <v>20</v>
      </c>
      <c r="B21">
        <v>2018</v>
      </c>
      <c r="C21" t="str">
        <f>main!B26</f>
        <v>47_1000</v>
      </c>
      <c r="D21">
        <f>main!C26</f>
        <v>20</v>
      </c>
      <c r="E21" s="1" t="s">
        <v>2621</v>
      </c>
      <c r="F21" s="1" t="s">
        <v>2621</v>
      </c>
      <c r="G21" s="1" t="s">
        <v>2621</v>
      </c>
      <c r="H21" s="1" t="s">
        <v>2621</v>
      </c>
      <c r="I21">
        <v>14.9832</v>
      </c>
      <c r="J21" s="51">
        <f>I21-'mass filt'!X29/1000</f>
        <v>0.19618999999999964</v>
      </c>
    </row>
    <row r="22" spans="1:10">
      <c r="A22">
        <v>20</v>
      </c>
      <c r="B22">
        <v>2018</v>
      </c>
      <c r="C22" t="str">
        <f>main!B27</f>
        <v>47_1000</v>
      </c>
      <c r="D22">
        <f>main!C27</f>
        <v>21</v>
      </c>
      <c r="E22" s="1" t="s">
        <v>2621</v>
      </c>
      <c r="F22" s="1" t="s">
        <v>2621</v>
      </c>
      <c r="G22" s="1" t="s">
        <v>2621</v>
      </c>
      <c r="H22" s="1" t="s">
        <v>2621</v>
      </c>
      <c r="I22">
        <v>15.048</v>
      </c>
      <c r="J22" s="51">
        <f>I22-'mass filt'!X30/1000</f>
        <v>0.25626000000000104</v>
      </c>
    </row>
    <row r="23" spans="1:10">
      <c r="A23">
        <v>20</v>
      </c>
      <c r="B23">
        <v>2018</v>
      </c>
      <c r="C23" t="str">
        <f>main!B31</f>
        <v>47_2000</v>
      </c>
      <c r="D23">
        <v>1</v>
      </c>
      <c r="E23" s="1" t="s">
        <v>2621</v>
      </c>
      <c r="F23" s="1" t="s">
        <v>2621</v>
      </c>
      <c r="G23" s="1" t="s">
        <v>2621</v>
      </c>
      <c r="H23" s="1" t="s">
        <v>2621</v>
      </c>
      <c r="I23">
        <v>15.1309</v>
      </c>
      <c r="J23" s="51">
        <f>I23-'mass filt'!X33/1000</f>
        <v>0.32410999999999923</v>
      </c>
    </row>
    <row r="24" spans="1:10">
      <c r="A24">
        <v>20</v>
      </c>
      <c r="B24">
        <v>2018</v>
      </c>
      <c r="C24" t="str">
        <f>main!B32</f>
        <v>47_2000</v>
      </c>
      <c r="D24">
        <f>main!C32</f>
        <v>2</v>
      </c>
      <c r="E24" s="1" t="s">
        <v>2621</v>
      </c>
      <c r="F24" s="1" t="s">
        <v>2621</v>
      </c>
      <c r="G24" s="1" t="s">
        <v>2621</v>
      </c>
      <c r="H24" s="1" t="s">
        <v>2621</v>
      </c>
      <c r="I24">
        <v>15.4625</v>
      </c>
      <c r="J24" s="51">
        <f>I24-'mass filt'!X35/1000</f>
        <v>0.63945000000000185</v>
      </c>
    </row>
    <row r="25" spans="1:10">
      <c r="A25">
        <v>20</v>
      </c>
      <c r="B25">
        <v>2018</v>
      </c>
      <c r="C25" t="str">
        <f>main!B33</f>
        <v>47_2000</v>
      </c>
      <c r="D25">
        <f>main!C33</f>
        <v>3</v>
      </c>
      <c r="E25" s="1" t="s">
        <v>2621</v>
      </c>
      <c r="F25" s="1" t="s">
        <v>2621</v>
      </c>
      <c r="G25" s="1" t="s">
        <v>2621</v>
      </c>
      <c r="H25" s="1" t="s">
        <v>2621</v>
      </c>
      <c r="I25">
        <v>15.760300000000001</v>
      </c>
      <c r="J25" s="51">
        <f>I25-'mass filt'!X36/1000</f>
        <v>0.78777000000000008</v>
      </c>
    </row>
    <row r="26" spans="1:10">
      <c r="A26">
        <v>20</v>
      </c>
      <c r="B26">
        <v>2018</v>
      </c>
      <c r="C26" t="str">
        <f>main!B34</f>
        <v>47_2000</v>
      </c>
      <c r="D26">
        <f>main!C34</f>
        <v>4</v>
      </c>
      <c r="E26" s="1" t="s">
        <v>2621</v>
      </c>
      <c r="F26" s="1" t="s">
        <v>2621</v>
      </c>
      <c r="G26" s="1" t="s">
        <v>2621</v>
      </c>
      <c r="H26" s="1" t="s">
        <v>2621</v>
      </c>
      <c r="I26">
        <v>15.328799999999999</v>
      </c>
      <c r="J26" s="51">
        <f>I26-'mass filt'!X37/1000</f>
        <v>0.33030999999999899</v>
      </c>
    </row>
    <row r="27" spans="1:10">
      <c r="A27">
        <v>20</v>
      </c>
      <c r="B27">
        <v>2018</v>
      </c>
      <c r="C27" t="str">
        <f>main!B35</f>
        <v>47_2000</v>
      </c>
      <c r="D27">
        <f>main!C35</f>
        <v>5</v>
      </c>
      <c r="E27" s="1" t="s">
        <v>2621</v>
      </c>
      <c r="F27" s="1" t="s">
        <v>2621</v>
      </c>
      <c r="G27" s="1" t="s">
        <v>2621</v>
      </c>
      <c r="H27" s="1" t="s">
        <v>2621</v>
      </c>
      <c r="I27">
        <v>15.107200000000001</v>
      </c>
      <c r="J27" s="51">
        <f>I27-'mass filt'!X38/1000</f>
        <v>0.18564000000000114</v>
      </c>
    </row>
    <row r="28" spans="1:10">
      <c r="A28">
        <v>20</v>
      </c>
      <c r="B28">
        <v>2018</v>
      </c>
      <c r="C28" t="str">
        <f>main!B36</f>
        <v>47_2000</v>
      </c>
      <c r="D28">
        <f>main!C36</f>
        <v>6</v>
      </c>
      <c r="E28" s="1" t="s">
        <v>2621</v>
      </c>
      <c r="F28" s="1" t="s">
        <v>2621</v>
      </c>
      <c r="G28" s="1" t="s">
        <v>2621</v>
      </c>
      <c r="H28" s="1" t="s">
        <v>2621</v>
      </c>
      <c r="I28">
        <v>14.91</v>
      </c>
      <c r="J28" s="51">
        <f>I28-'mass filt'!X39/1000</f>
        <v>0.17945999999999884</v>
      </c>
    </row>
    <row r="29" spans="1:10">
      <c r="A29">
        <v>20</v>
      </c>
      <c r="B29">
        <v>2018</v>
      </c>
      <c r="C29" t="str">
        <f>main!B37</f>
        <v>47_2000</v>
      </c>
      <c r="D29">
        <f>main!C37</f>
        <v>7</v>
      </c>
      <c r="E29" s="1" t="s">
        <v>2621</v>
      </c>
      <c r="F29" s="1" t="s">
        <v>2621</v>
      </c>
      <c r="G29" s="1" t="s">
        <v>2621</v>
      </c>
      <c r="H29" s="1" t="s">
        <v>2621</v>
      </c>
      <c r="I29">
        <v>14.990399999999999</v>
      </c>
      <c r="J29" s="51">
        <f>I29-'mass filt'!X40/1000</f>
        <v>5.9889999999999333E-2</v>
      </c>
    </row>
    <row r="30" spans="1:10">
      <c r="A30">
        <v>20</v>
      </c>
      <c r="B30">
        <v>2018</v>
      </c>
      <c r="C30" t="str">
        <f>main!B38</f>
        <v>47_2000</v>
      </c>
      <c r="D30">
        <f>main!C38</f>
        <v>8</v>
      </c>
      <c r="E30" s="1" t="s">
        <v>2621</v>
      </c>
      <c r="F30" s="1" t="s">
        <v>2621</v>
      </c>
      <c r="G30" s="1" t="s">
        <v>2621</v>
      </c>
      <c r="H30" s="1" t="s">
        <v>2621</v>
      </c>
      <c r="I30">
        <v>14.8207</v>
      </c>
      <c r="J30" s="51">
        <f>I30-'mass filt'!X41/1000</f>
        <v>0.11516999999999911</v>
      </c>
    </row>
    <row r="31" spans="1:10">
      <c r="A31">
        <v>20</v>
      </c>
      <c r="B31">
        <v>2018</v>
      </c>
      <c r="C31" t="str">
        <f>main!B39</f>
        <v>47_2000</v>
      </c>
      <c r="D31">
        <f>main!C39</f>
        <v>9</v>
      </c>
      <c r="E31" s="1" t="s">
        <v>2621</v>
      </c>
      <c r="F31" s="1" t="s">
        <v>2621</v>
      </c>
      <c r="G31" s="1" t="s">
        <v>2621</v>
      </c>
      <c r="H31" s="1" t="s">
        <v>2621</v>
      </c>
      <c r="I31">
        <v>15.012700000000001</v>
      </c>
      <c r="J31" s="51">
        <f>I31-'mass filt'!X42/1000</f>
        <v>0.2292500000000004</v>
      </c>
    </row>
    <row r="32" spans="1:10">
      <c r="A32">
        <v>20</v>
      </c>
      <c r="B32">
        <v>2018</v>
      </c>
      <c r="C32" t="str">
        <f>main!B40</f>
        <v>47_2000</v>
      </c>
      <c r="D32">
        <f>main!C40</f>
        <v>10</v>
      </c>
      <c r="E32" s="1" t="s">
        <v>2621</v>
      </c>
      <c r="F32" s="1" t="s">
        <v>2621</v>
      </c>
      <c r="G32" s="1" t="s">
        <v>2621</v>
      </c>
      <c r="H32" s="1" t="s">
        <v>2621</v>
      </c>
      <c r="I32">
        <v>15.2883</v>
      </c>
      <c r="J32" s="51">
        <f>I32-'mass filt'!X43/1000</f>
        <v>0.19809000000000054</v>
      </c>
    </row>
    <row r="33" spans="1:10">
      <c r="A33">
        <v>20</v>
      </c>
      <c r="B33">
        <v>2018</v>
      </c>
      <c r="C33" t="str">
        <f>main!B41</f>
        <v>47_2000</v>
      </c>
      <c r="D33">
        <f>main!C41</f>
        <v>11</v>
      </c>
      <c r="E33" s="1" t="s">
        <v>2621</v>
      </c>
      <c r="F33" s="1" t="s">
        <v>2621</v>
      </c>
      <c r="G33" s="1" t="s">
        <v>2621</v>
      </c>
      <c r="H33" s="1" t="s">
        <v>2621</v>
      </c>
      <c r="I33">
        <v>15.185700000000001</v>
      </c>
      <c r="J33" s="51">
        <f>I33-'mass filt'!X44/1000</f>
        <v>0.26924999999999955</v>
      </c>
    </row>
    <row r="34" spans="1:10">
      <c r="A34">
        <v>20</v>
      </c>
      <c r="B34">
        <v>2018</v>
      </c>
      <c r="C34" t="str">
        <f>main!B42</f>
        <v>47_2000</v>
      </c>
      <c r="D34">
        <f>main!C42</f>
        <v>12</v>
      </c>
      <c r="E34" s="1" t="s">
        <v>2621</v>
      </c>
      <c r="F34" s="1" t="s">
        <v>2621</v>
      </c>
      <c r="G34" s="1" t="s">
        <v>2621</v>
      </c>
      <c r="H34" s="1" t="s">
        <v>2621</v>
      </c>
      <c r="I34">
        <v>15.302</v>
      </c>
      <c r="J34" s="51">
        <f>I34-'mass filt'!X45/1000</f>
        <v>0.49160999999999966</v>
      </c>
    </row>
    <row r="35" spans="1:10">
      <c r="A35">
        <v>20</v>
      </c>
      <c r="B35">
        <v>2018</v>
      </c>
      <c r="C35" t="str">
        <f>main!B43</f>
        <v>47_2000</v>
      </c>
      <c r="D35">
        <f>main!C43</f>
        <v>13</v>
      </c>
      <c r="E35" s="1" t="s">
        <v>2621</v>
      </c>
      <c r="F35" s="1" t="s">
        <v>2621</v>
      </c>
      <c r="G35" s="1" t="s">
        <v>2621</v>
      </c>
      <c r="H35" s="1" t="s">
        <v>2621</v>
      </c>
      <c r="I35">
        <v>15.405099999999999</v>
      </c>
      <c r="J35" s="51">
        <f>I35-'mass filt'!X46/1000</f>
        <v>0.40439999999999898</v>
      </c>
    </row>
    <row r="36" spans="1:10">
      <c r="A36">
        <v>20</v>
      </c>
      <c r="B36">
        <v>2018</v>
      </c>
      <c r="C36" t="str">
        <f>main!B44</f>
        <v>47_2000</v>
      </c>
      <c r="D36">
        <f>main!C44</f>
        <v>14</v>
      </c>
      <c r="E36" s="1" t="s">
        <v>2621</v>
      </c>
      <c r="F36" s="1" t="s">
        <v>2621</v>
      </c>
      <c r="G36" s="1" t="s">
        <v>2621</v>
      </c>
      <c r="H36" s="1" t="s">
        <v>2621</v>
      </c>
      <c r="I36">
        <v>15.2372</v>
      </c>
      <c r="J36" s="51">
        <f>I36-'mass filt'!X47/1000</f>
        <v>0.30674999999999919</v>
      </c>
    </row>
    <row r="37" spans="1:10">
      <c r="A37">
        <v>20</v>
      </c>
      <c r="B37">
        <v>2018</v>
      </c>
      <c r="C37" t="str">
        <f>main!B45</f>
        <v>47_2000</v>
      </c>
      <c r="D37">
        <f>main!C45</f>
        <v>15</v>
      </c>
      <c r="E37" s="1" t="s">
        <v>2621</v>
      </c>
      <c r="F37" s="1" t="s">
        <v>2621</v>
      </c>
      <c r="G37" s="1" t="s">
        <v>2621</v>
      </c>
      <c r="H37" s="1" t="s">
        <v>2621</v>
      </c>
      <c r="I37">
        <v>15.301500000000001</v>
      </c>
      <c r="J37" s="51">
        <f>I37-'mass filt'!X48/1000</f>
        <v>0.28784000000000098</v>
      </c>
    </row>
    <row r="38" spans="1:10">
      <c r="A38">
        <v>20</v>
      </c>
      <c r="B38">
        <v>2018</v>
      </c>
      <c r="C38" t="str">
        <f>main!B46</f>
        <v>47_2000</v>
      </c>
      <c r="D38">
        <f>main!C46</f>
        <v>16</v>
      </c>
      <c r="E38" s="1" t="s">
        <v>2621</v>
      </c>
      <c r="F38" s="1" t="s">
        <v>2621</v>
      </c>
      <c r="G38" s="1" t="s">
        <v>2621</v>
      </c>
      <c r="H38" s="1" t="s">
        <v>2621</v>
      </c>
      <c r="I38">
        <v>15.066000000000001</v>
      </c>
      <c r="J38" s="51">
        <f>I38-'mass filt'!X49/1000</f>
        <v>0.26524999999999999</v>
      </c>
    </row>
    <row r="39" spans="1:10">
      <c r="A39">
        <v>20</v>
      </c>
      <c r="B39">
        <v>2018</v>
      </c>
      <c r="C39" t="str">
        <f>main!B47</f>
        <v>47_2000</v>
      </c>
      <c r="D39">
        <f>main!C47</f>
        <v>17</v>
      </c>
      <c r="E39" s="1" t="s">
        <v>2621</v>
      </c>
      <c r="F39" s="1" t="s">
        <v>2621</v>
      </c>
      <c r="G39" s="1" t="s">
        <v>2621</v>
      </c>
      <c r="H39" s="1" t="s">
        <v>2621</v>
      </c>
      <c r="I39">
        <v>14.9733</v>
      </c>
      <c r="J39" s="51">
        <f>I39-'mass filt'!X50/1000</f>
        <v>0.15308000000000099</v>
      </c>
    </row>
    <row r="40" spans="1:10">
      <c r="A40">
        <v>20</v>
      </c>
      <c r="B40">
        <v>2018</v>
      </c>
      <c r="C40" t="str">
        <f>main!B48</f>
        <v>47_2000</v>
      </c>
      <c r="D40">
        <f>main!C48</f>
        <v>18</v>
      </c>
      <c r="E40" s="1" t="s">
        <v>2621</v>
      </c>
      <c r="F40" s="1" t="s">
        <v>2621</v>
      </c>
      <c r="G40" s="1" t="s">
        <v>2621</v>
      </c>
      <c r="H40" s="1" t="s">
        <v>2621</v>
      </c>
      <c r="I40">
        <v>15.3157</v>
      </c>
      <c r="J40" s="51">
        <f>I40-'mass filt'!X51/1000</f>
        <v>0.30578000000000038</v>
      </c>
    </row>
    <row r="41" spans="1:10">
      <c r="A41">
        <v>20</v>
      </c>
      <c r="B41">
        <v>2018</v>
      </c>
      <c r="C41" t="str">
        <f>main!B49</f>
        <v>47_2000</v>
      </c>
      <c r="D41">
        <f>main!C49</f>
        <v>19</v>
      </c>
      <c r="E41" s="1" t="s">
        <v>2621</v>
      </c>
      <c r="F41" s="1" t="s">
        <v>2621</v>
      </c>
      <c r="G41" s="1" t="s">
        <v>2621</v>
      </c>
      <c r="H41" s="1" t="s">
        <v>2621</v>
      </c>
      <c r="I41">
        <v>15.246499999999999</v>
      </c>
      <c r="J41" s="51">
        <f>I41-'mass filt'!X52/1000</f>
        <v>0.33450999999999986</v>
      </c>
    </row>
    <row r="42" spans="1:10">
      <c r="A42">
        <v>20</v>
      </c>
      <c r="B42">
        <v>2018</v>
      </c>
      <c r="C42" t="str">
        <f>main!B50</f>
        <v>47_2000</v>
      </c>
      <c r="D42">
        <f>main!C50</f>
        <v>20</v>
      </c>
      <c r="E42" s="1" t="s">
        <v>2621</v>
      </c>
      <c r="F42" s="1" t="s">
        <v>2621</v>
      </c>
      <c r="G42" s="1" t="s">
        <v>2621</v>
      </c>
      <c r="H42" s="1" t="s">
        <v>2621</v>
      </c>
      <c r="I42">
        <v>15.301</v>
      </c>
      <c r="J42" s="51">
        <f>I42-'mass filt'!X53/1000</f>
        <v>0.41545000000000165</v>
      </c>
    </row>
    <row r="43" spans="1:10">
      <c r="A43">
        <v>20</v>
      </c>
      <c r="B43">
        <v>2018</v>
      </c>
      <c r="C43" t="str">
        <f>main!B51</f>
        <v>47_2000</v>
      </c>
      <c r="D43">
        <f>main!C51</f>
        <v>21</v>
      </c>
      <c r="E43" s="1" t="s">
        <v>2621</v>
      </c>
      <c r="F43" s="1" t="s">
        <v>2621</v>
      </c>
      <c r="G43" s="1" t="s">
        <v>2621</v>
      </c>
      <c r="H43" s="1" t="s">
        <v>2621</v>
      </c>
      <c r="I43">
        <v>15.446999999999999</v>
      </c>
      <c r="J43" s="51">
        <f>I43-'mass filt'!X54/1000</f>
        <v>0.41284999999999883</v>
      </c>
    </row>
    <row r="44" spans="1:10">
      <c r="A44">
        <v>20</v>
      </c>
      <c r="B44">
        <v>2018</v>
      </c>
      <c r="C44" t="str">
        <f>main!B55</f>
        <v>47_3800</v>
      </c>
      <c r="D44">
        <v>1</v>
      </c>
      <c r="E44" s="1" t="s">
        <v>2621</v>
      </c>
      <c r="F44" s="1" t="s">
        <v>2621</v>
      </c>
      <c r="G44" s="1" t="s">
        <v>2621</v>
      </c>
      <c r="H44" s="1" t="s">
        <v>2621</v>
      </c>
      <c r="I44">
        <v>15.3347</v>
      </c>
      <c r="J44" s="51">
        <f>I44-'mass filt'!X57/1000</f>
        <v>0.29098000000000113</v>
      </c>
    </row>
    <row r="45" spans="1:10">
      <c r="A45">
        <v>20</v>
      </c>
      <c r="B45">
        <v>2018</v>
      </c>
      <c r="C45" t="str">
        <f>main!B56</f>
        <v>47_3800</v>
      </c>
      <c r="D45">
        <f>main!C56</f>
        <v>2</v>
      </c>
      <c r="E45" s="1" t="s">
        <v>2621</v>
      </c>
      <c r="F45" s="1" t="s">
        <v>2621</v>
      </c>
      <c r="G45" s="1" t="s">
        <v>2621</v>
      </c>
      <c r="H45" s="1" t="s">
        <v>2621</v>
      </c>
      <c r="I45">
        <v>15.331099999999999</v>
      </c>
      <c r="J45" s="51">
        <f>I45-'mass filt'!X58/1000</f>
        <v>0.35938999999999943</v>
      </c>
    </row>
    <row r="46" spans="1:10">
      <c r="A46">
        <v>20</v>
      </c>
      <c r="B46">
        <v>2018</v>
      </c>
      <c r="C46" t="str">
        <f>main!B57</f>
        <v>47_3800</v>
      </c>
      <c r="D46">
        <f>main!C57</f>
        <v>3</v>
      </c>
      <c r="E46" s="1" t="s">
        <v>2621</v>
      </c>
      <c r="F46" s="1" t="s">
        <v>2621</v>
      </c>
      <c r="G46" s="1" t="s">
        <v>2621</v>
      </c>
      <c r="H46" s="1" t="s">
        <v>2621</v>
      </c>
      <c r="I46">
        <v>15.4619</v>
      </c>
      <c r="J46" s="51">
        <f>I46-'mass filt'!X59/1000</f>
        <v>0.53899000000000008</v>
      </c>
    </row>
    <row r="47" spans="1:10">
      <c r="A47">
        <v>20</v>
      </c>
      <c r="B47">
        <v>2018</v>
      </c>
      <c r="C47" t="str">
        <f>main!B58</f>
        <v>47_3800</v>
      </c>
      <c r="D47">
        <f>main!C58</f>
        <v>4</v>
      </c>
      <c r="E47" s="1" t="s">
        <v>2621</v>
      </c>
      <c r="F47" s="1" t="s">
        <v>2621</v>
      </c>
      <c r="G47" s="1" t="s">
        <v>2621</v>
      </c>
      <c r="H47" s="1" t="s">
        <v>2621</v>
      </c>
      <c r="I47">
        <v>15.3599</v>
      </c>
      <c r="J47" s="51">
        <f>I47-'mass filt'!X61/1000</f>
        <v>0.39069999999999894</v>
      </c>
    </row>
    <row r="48" spans="1:10">
      <c r="A48">
        <v>20</v>
      </c>
      <c r="B48">
        <v>2018</v>
      </c>
      <c r="C48" t="str">
        <f>main!B59</f>
        <v>47_3800</v>
      </c>
      <c r="D48">
        <f>main!C59</f>
        <v>5</v>
      </c>
      <c r="E48" s="1" t="s">
        <v>2621</v>
      </c>
      <c r="F48" s="1" t="s">
        <v>2621</v>
      </c>
      <c r="G48" s="1" t="s">
        <v>2621</v>
      </c>
      <c r="H48" s="1" t="s">
        <v>2621</v>
      </c>
      <c r="I48">
        <v>15.2651</v>
      </c>
      <c r="J48" s="51">
        <f>I48-'mass filt'!X62/1000</f>
        <v>0.24322000000000088</v>
      </c>
    </row>
    <row r="49" spans="1:10">
      <c r="A49">
        <v>20</v>
      </c>
      <c r="B49">
        <v>2018</v>
      </c>
      <c r="C49" t="str">
        <f>main!B60</f>
        <v>47_3800</v>
      </c>
      <c r="D49">
        <f>main!C60</f>
        <v>6</v>
      </c>
      <c r="E49" s="1" t="s">
        <v>2621</v>
      </c>
      <c r="F49" s="1" t="s">
        <v>2621</v>
      </c>
      <c r="G49" s="1" t="s">
        <v>2621</v>
      </c>
      <c r="H49" s="1" t="s">
        <v>2621</v>
      </c>
      <c r="I49">
        <v>15.2012</v>
      </c>
      <c r="J49" s="51">
        <f>I49-'mass filt'!X63/1000</f>
        <v>0.17202999999999946</v>
      </c>
    </row>
    <row r="50" spans="1:10">
      <c r="A50">
        <v>20</v>
      </c>
      <c r="B50">
        <v>2018</v>
      </c>
      <c r="C50" t="str">
        <f>main!B61</f>
        <v>47_3800</v>
      </c>
      <c r="D50">
        <f>main!C61</f>
        <v>7</v>
      </c>
      <c r="E50" s="1" t="s">
        <v>2621</v>
      </c>
      <c r="F50" s="1" t="s">
        <v>2621</v>
      </c>
      <c r="G50" s="1" t="s">
        <v>2621</v>
      </c>
      <c r="H50" s="1" t="s">
        <v>2621</v>
      </c>
      <c r="I50">
        <v>15.2318</v>
      </c>
      <c r="J50" s="51">
        <f>I50-'mass filt'!X64/1000</f>
        <v>0.20406000000000013</v>
      </c>
    </row>
    <row r="51" spans="1:10">
      <c r="A51">
        <v>20</v>
      </c>
      <c r="B51">
        <v>2018</v>
      </c>
      <c r="C51" t="str">
        <f>main!B62</f>
        <v>47_3800</v>
      </c>
      <c r="D51">
        <f>main!C62</f>
        <v>8</v>
      </c>
      <c r="E51" s="1" t="s">
        <v>2621</v>
      </c>
      <c r="F51" s="1" t="s">
        <v>2621</v>
      </c>
      <c r="G51" s="1" t="s">
        <v>2621</v>
      </c>
      <c r="H51" s="1" t="s">
        <v>2621</v>
      </c>
      <c r="I51">
        <v>15.1691</v>
      </c>
      <c r="J51" s="51">
        <f>I51-'mass filt'!X65/1000</f>
        <v>0.13114999999999988</v>
      </c>
    </row>
    <row r="52" spans="1:10">
      <c r="A52">
        <v>20</v>
      </c>
      <c r="B52">
        <v>2018</v>
      </c>
      <c r="C52" t="str">
        <f>main!B63</f>
        <v>47_3800</v>
      </c>
      <c r="D52">
        <f>main!C63</f>
        <v>9</v>
      </c>
      <c r="E52" s="1" t="s">
        <v>2621</v>
      </c>
      <c r="F52" s="1" t="s">
        <v>2621</v>
      </c>
      <c r="G52" s="1" t="s">
        <v>2621</v>
      </c>
      <c r="H52" s="1" t="s">
        <v>2621</v>
      </c>
      <c r="I52">
        <v>14.9678</v>
      </c>
      <c r="J52" s="51">
        <f>I52-'mass filt'!X66/1000</f>
        <v>0.1652199999999997</v>
      </c>
    </row>
    <row r="53" spans="1:10">
      <c r="A53">
        <v>20</v>
      </c>
      <c r="B53">
        <v>2018</v>
      </c>
      <c r="C53" t="str">
        <f>main!B64</f>
        <v>47_3800</v>
      </c>
      <c r="D53">
        <f>main!C64</f>
        <v>10</v>
      </c>
      <c r="E53" s="1" t="s">
        <v>2621</v>
      </c>
      <c r="F53" s="1" t="s">
        <v>2621</v>
      </c>
      <c r="G53" s="1" t="s">
        <v>2621</v>
      </c>
      <c r="H53" s="1" t="s">
        <v>2621</v>
      </c>
      <c r="I53">
        <v>14.6122</v>
      </c>
      <c r="J53" s="51">
        <f>I53-'mass filt'!X67/1000</f>
        <v>0.1388399999999983</v>
      </c>
    </row>
    <row r="54" spans="1:10">
      <c r="A54">
        <v>20</v>
      </c>
      <c r="B54">
        <v>2018</v>
      </c>
      <c r="C54" t="str">
        <f>main!B65</f>
        <v>47_3800</v>
      </c>
      <c r="D54">
        <f>main!C65</f>
        <v>11</v>
      </c>
      <c r="E54" s="1" t="s">
        <v>2621</v>
      </c>
      <c r="F54" s="1" t="s">
        <v>2621</v>
      </c>
      <c r="G54" s="1" t="s">
        <v>2621</v>
      </c>
      <c r="H54" s="1" t="s">
        <v>2621</v>
      </c>
      <c r="I54">
        <v>15.193</v>
      </c>
      <c r="J54" s="51">
        <f>I54-'mass filt'!X68/1000</f>
        <v>0.17501000000000033</v>
      </c>
    </row>
    <row r="55" spans="1:10">
      <c r="A55">
        <v>20</v>
      </c>
      <c r="B55">
        <v>2018</v>
      </c>
      <c r="C55" t="str">
        <f>main!B66</f>
        <v>47_3800</v>
      </c>
      <c r="D55">
        <f>main!C66</f>
        <v>12</v>
      </c>
      <c r="E55" s="1" t="s">
        <v>2621</v>
      </c>
      <c r="F55" s="1" t="s">
        <v>2621</v>
      </c>
      <c r="G55" s="1" t="s">
        <v>2621</v>
      </c>
      <c r="H55" s="1" t="s">
        <v>2621</v>
      </c>
      <c r="I55">
        <v>14.7658</v>
      </c>
      <c r="J55" s="51">
        <f>I55-'mass filt'!X69/1000</f>
        <v>0.29162999999999961</v>
      </c>
    </row>
    <row r="56" spans="1:10">
      <c r="A56">
        <v>20</v>
      </c>
      <c r="B56">
        <v>2018</v>
      </c>
      <c r="C56" t="str">
        <f>main!B67</f>
        <v>47_3800</v>
      </c>
      <c r="D56">
        <f>main!C67</f>
        <v>13</v>
      </c>
      <c r="E56" s="1" t="s">
        <v>2621</v>
      </c>
      <c r="F56" s="1" t="s">
        <v>2621</v>
      </c>
      <c r="G56" s="1" t="s">
        <v>2621</v>
      </c>
      <c r="H56" s="1" t="s">
        <v>2621</v>
      </c>
      <c r="I56">
        <v>15.4115</v>
      </c>
      <c r="J56" s="51">
        <f>I56-'mass filt'!X70/1000</f>
        <v>0.34452000000000105</v>
      </c>
    </row>
    <row r="57" spans="1:10">
      <c r="A57">
        <v>20</v>
      </c>
      <c r="B57">
        <v>2018</v>
      </c>
      <c r="C57" t="str">
        <f>main!B68</f>
        <v>47_3800</v>
      </c>
      <c r="D57">
        <f>main!C68</f>
        <v>14</v>
      </c>
      <c r="E57" s="1" t="s">
        <v>2621</v>
      </c>
      <c r="F57" s="1" t="s">
        <v>2621</v>
      </c>
      <c r="G57" s="1" t="s">
        <v>2621</v>
      </c>
      <c r="H57" s="1" t="s">
        <v>2621</v>
      </c>
      <c r="I57">
        <v>14.663600000000001</v>
      </c>
      <c r="J57" s="51">
        <f>I57-'mass filt'!X71/1000</f>
        <v>0.23499999999999943</v>
      </c>
    </row>
    <row r="58" spans="1:10">
      <c r="A58">
        <v>20</v>
      </c>
      <c r="B58">
        <v>2018</v>
      </c>
      <c r="C58" t="str">
        <f>main!B69</f>
        <v>47_3800</v>
      </c>
      <c r="D58">
        <f>main!C69</f>
        <v>15</v>
      </c>
      <c r="E58" s="1" t="s">
        <v>2621</v>
      </c>
      <c r="F58" s="1" t="s">
        <v>2621</v>
      </c>
      <c r="G58" s="1" t="s">
        <v>2621</v>
      </c>
      <c r="H58" s="1" t="s">
        <v>2621</v>
      </c>
      <c r="I58">
        <v>14.9308</v>
      </c>
      <c r="J58" s="51">
        <f>I58-'mass filt'!X72/1000</f>
        <v>0.42884999999999884</v>
      </c>
    </row>
    <row r="59" spans="1:10">
      <c r="A59">
        <v>20</v>
      </c>
      <c r="B59">
        <v>2018</v>
      </c>
      <c r="C59" t="str">
        <f>main!B70</f>
        <v>47_3800</v>
      </c>
      <c r="D59">
        <f>main!C70</f>
        <v>16</v>
      </c>
      <c r="E59" s="1" t="s">
        <v>2621</v>
      </c>
      <c r="F59" s="1" t="s">
        <v>2621</v>
      </c>
      <c r="G59" s="1" t="s">
        <v>2621</v>
      </c>
      <c r="H59" s="1" t="s">
        <v>2621</v>
      </c>
      <c r="I59">
        <v>14.9084</v>
      </c>
      <c r="J59" s="51">
        <f>I59-'mass filt'!X73/1000</f>
        <v>0.22753999999999941</v>
      </c>
    </row>
    <row r="60" spans="1:10">
      <c r="A60">
        <v>20</v>
      </c>
      <c r="B60">
        <v>2018</v>
      </c>
      <c r="C60" t="str">
        <f>main!B71</f>
        <v>47_3800</v>
      </c>
      <c r="D60">
        <f>main!C71</f>
        <v>17</v>
      </c>
      <c r="E60" s="1" t="s">
        <v>2621</v>
      </c>
      <c r="F60" s="1" t="s">
        <v>2621</v>
      </c>
      <c r="G60" s="1" t="s">
        <v>2621</v>
      </c>
      <c r="H60" s="1" t="s">
        <v>2621</v>
      </c>
      <c r="I60">
        <v>14.8965</v>
      </c>
      <c r="J60" s="51">
        <f>I60-'mass filt'!X74/1000</f>
        <v>0.25660000000000061</v>
      </c>
    </row>
    <row r="61" spans="1:10">
      <c r="A61">
        <v>20</v>
      </c>
      <c r="B61">
        <v>2018</v>
      </c>
      <c r="C61" t="str">
        <f>main!B72</f>
        <v>47_3800</v>
      </c>
      <c r="D61">
        <f>main!C72</f>
        <v>18</v>
      </c>
      <c r="E61" s="1" t="s">
        <v>2621</v>
      </c>
      <c r="F61" s="1" t="s">
        <v>2621</v>
      </c>
      <c r="G61" s="1" t="s">
        <v>2621</v>
      </c>
      <c r="H61" s="1" t="s">
        <v>2621</v>
      </c>
      <c r="I61">
        <v>14.815200000000001</v>
      </c>
      <c r="J61" s="51">
        <f>I61-'mass filt'!X75/1000</f>
        <v>0.2813200000000009</v>
      </c>
    </row>
    <row r="62" spans="1:10">
      <c r="A62">
        <v>20</v>
      </c>
      <c r="B62">
        <v>2018</v>
      </c>
      <c r="C62" t="str">
        <f>main!B73</f>
        <v>47_3800</v>
      </c>
      <c r="D62">
        <f>main!C73</f>
        <v>19</v>
      </c>
      <c r="E62" s="1" t="s">
        <v>2621</v>
      </c>
      <c r="F62" s="1" t="s">
        <v>2621</v>
      </c>
      <c r="G62" s="1" t="s">
        <v>2621</v>
      </c>
      <c r="H62" s="1" t="s">
        <v>2621</v>
      </c>
      <c r="I62">
        <v>15.1577</v>
      </c>
      <c r="J62" s="51">
        <f>I62-'mass filt'!X76/1000</f>
        <v>0.34303000000000061</v>
      </c>
    </row>
    <row r="63" spans="1:10">
      <c r="A63">
        <v>20</v>
      </c>
      <c r="B63">
        <v>2018</v>
      </c>
      <c r="C63" t="str">
        <f>main!B74</f>
        <v>47_3800</v>
      </c>
      <c r="D63">
        <f>main!C74</f>
        <v>20</v>
      </c>
      <c r="E63" s="1" t="s">
        <v>2621</v>
      </c>
      <c r="F63" s="1" t="s">
        <v>2621</v>
      </c>
      <c r="G63" s="1" t="s">
        <v>2621</v>
      </c>
      <c r="H63" s="1" t="s">
        <v>2621</v>
      </c>
      <c r="I63">
        <v>15.512600000000001</v>
      </c>
      <c r="J63" s="51">
        <f>I63-'mass filt'!X77/1000</f>
        <v>0.56967000000000034</v>
      </c>
    </row>
    <row r="64" spans="1:10">
      <c r="A64">
        <v>20</v>
      </c>
      <c r="B64">
        <v>2018</v>
      </c>
      <c r="C64" t="str">
        <f>main!B75</f>
        <v>47_3800</v>
      </c>
      <c r="D64">
        <f>main!C75</f>
        <v>21</v>
      </c>
      <c r="E64" s="1" t="s">
        <v>2621</v>
      </c>
      <c r="F64" s="1" t="s">
        <v>2621</v>
      </c>
      <c r="G64" s="1" t="s">
        <v>2621</v>
      </c>
      <c r="H64" s="1" t="s">
        <v>2621</v>
      </c>
      <c r="I64">
        <v>15.4194</v>
      </c>
      <c r="J64" s="51">
        <f>I64-'mass filt'!X78/1000</f>
        <v>0.52146999999999899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807-50E8-4C76-8FDB-4357582E0A72}">
  <dimension ref="Q1:AA45"/>
  <sheetViews>
    <sheetView topLeftCell="A7" zoomScaleNormal="100" workbookViewId="0">
      <selection activeCell="Q22" sqref="Q22"/>
    </sheetView>
  </sheetViews>
  <sheetFormatPr defaultColWidth="8.83203125" defaultRowHeight="15.5"/>
  <sheetData>
    <row r="1" spans="17:27">
      <c r="Q1" t="s">
        <v>323</v>
      </c>
      <c r="R1" t="s">
        <v>2580</v>
      </c>
      <c r="S1" t="s">
        <v>204</v>
      </c>
      <c r="U1" t="s">
        <v>1336</v>
      </c>
      <c r="V1" t="s">
        <v>2580</v>
      </c>
      <c r="W1" t="s">
        <v>204</v>
      </c>
      <c r="Y1" t="s">
        <v>2581</v>
      </c>
      <c r="Z1" t="s">
        <v>2580</v>
      </c>
      <c r="AA1" t="s">
        <v>204</v>
      </c>
    </row>
    <row r="2" spans="17:27">
      <c r="R2">
        <v>1</v>
      </c>
      <c r="S2">
        <v>156.17142857142858</v>
      </c>
      <c r="V2">
        <v>5</v>
      </c>
      <c r="W2" s="97">
        <v>478.12857142857138</v>
      </c>
      <c r="Z2">
        <v>4</v>
      </c>
      <c r="AA2">
        <v>429.47142857142859</v>
      </c>
    </row>
    <row r="3" spans="17:27">
      <c r="R3">
        <v>2</v>
      </c>
      <c r="S3">
        <v>245.78571428571428</v>
      </c>
      <c r="V3">
        <v>10</v>
      </c>
      <c r="W3">
        <v>930.21428571428589</v>
      </c>
      <c r="Z3">
        <v>5</v>
      </c>
      <c r="AA3">
        <v>376.71428571428544</v>
      </c>
    </row>
    <row r="4" spans="17:27">
      <c r="R4">
        <v>1</v>
      </c>
      <c r="S4">
        <v>221.41428571428571</v>
      </c>
      <c r="V4">
        <v>10</v>
      </c>
      <c r="W4">
        <v>1151.6285714285714</v>
      </c>
      <c r="Z4">
        <v>9</v>
      </c>
      <c r="AA4">
        <v>958.97142857142853</v>
      </c>
    </row>
    <row r="5" spans="17:27">
      <c r="R5">
        <v>1</v>
      </c>
      <c r="S5">
        <v>111.82857142857144</v>
      </c>
      <c r="V5">
        <v>5</v>
      </c>
      <c r="W5">
        <v>488.38571428571424</v>
      </c>
      <c r="Z5">
        <v>5</v>
      </c>
      <c r="AA5">
        <v>574.41428571428571</v>
      </c>
    </row>
    <row r="6" spans="17:27">
      <c r="R6">
        <v>1</v>
      </c>
      <c r="S6">
        <v>39.985714285714288</v>
      </c>
      <c r="V6">
        <v>8</v>
      </c>
      <c r="W6">
        <v>279.21428571428572</v>
      </c>
      <c r="Z6">
        <v>4</v>
      </c>
      <c r="AA6">
        <v>363.95714285714286</v>
      </c>
    </row>
    <row r="7" spans="17:27">
      <c r="R7">
        <v>1</v>
      </c>
      <c r="S7">
        <v>18.157142857142858</v>
      </c>
      <c r="V7">
        <v>2</v>
      </c>
      <c r="W7">
        <v>272.29999999999995</v>
      </c>
      <c r="Z7">
        <v>3</v>
      </c>
      <c r="AA7">
        <v>260.57142857142856</v>
      </c>
    </row>
    <row r="8" spans="17:27">
      <c r="R8">
        <v>1</v>
      </c>
      <c r="S8">
        <v>24.357142857142854</v>
      </c>
      <c r="V8">
        <v>1</v>
      </c>
      <c r="W8">
        <v>103.95714285714286</v>
      </c>
      <c r="Z8">
        <v>4</v>
      </c>
      <c r="AA8">
        <v>308.97142857142859</v>
      </c>
    </row>
    <row r="9" spans="17:27">
      <c r="R9">
        <v>1</v>
      </c>
      <c r="S9">
        <v>31.014285714285712</v>
      </c>
      <c r="V9">
        <v>1</v>
      </c>
      <c r="W9">
        <v>180.85714285714286</v>
      </c>
      <c r="Z9">
        <v>3</v>
      </c>
      <c r="AA9">
        <v>245.39999999999998</v>
      </c>
    </row>
    <row r="10" spans="17:27">
      <c r="R10">
        <v>2</v>
      </c>
      <c r="S10">
        <v>130.57142857142858</v>
      </c>
      <c r="V10">
        <v>1</v>
      </c>
      <c r="W10">
        <v>341.75714285714287</v>
      </c>
      <c r="Z10">
        <v>4</v>
      </c>
      <c r="AA10">
        <v>262.42857142857139</v>
      </c>
    </row>
    <row r="11" spans="17:27">
      <c r="R11">
        <v>7</v>
      </c>
      <c r="S11">
        <v>135.87142857142857</v>
      </c>
      <c r="V11">
        <v>2</v>
      </c>
      <c r="W11">
        <v>297.91428571428577</v>
      </c>
      <c r="Z11">
        <v>3</v>
      </c>
      <c r="AA11">
        <v>214.08571428571429</v>
      </c>
    </row>
    <row r="12" spans="17:27">
      <c r="R12">
        <v>15</v>
      </c>
      <c r="S12">
        <v>333.31428571428569</v>
      </c>
      <c r="V12">
        <v>2</v>
      </c>
      <c r="W12">
        <v>399.8428571428571</v>
      </c>
      <c r="Z12">
        <v>3</v>
      </c>
      <c r="AA12">
        <v>266.89999999999998</v>
      </c>
    </row>
    <row r="13" spans="17:27">
      <c r="R13">
        <v>20</v>
      </c>
      <c r="S13">
        <v>430.51428571428573</v>
      </c>
      <c r="V13">
        <v>6</v>
      </c>
      <c r="W13">
        <v>716.05714285714294</v>
      </c>
      <c r="Z13">
        <v>4</v>
      </c>
      <c r="AA13">
        <v>436.71428571428572</v>
      </c>
    </row>
    <row r="14" spans="17:27">
      <c r="R14">
        <v>25</v>
      </c>
      <c r="S14">
        <v>528.9</v>
      </c>
      <c r="V14">
        <v>5</v>
      </c>
      <c r="W14">
        <v>592.9571428571428</v>
      </c>
      <c r="Z14">
        <v>5</v>
      </c>
      <c r="AA14">
        <v>509.91428571428571</v>
      </c>
    </row>
    <row r="15" spans="17:27">
      <c r="R15">
        <v>15</v>
      </c>
      <c r="S15">
        <v>667.71428571428578</v>
      </c>
      <c r="V15">
        <v>4</v>
      </c>
      <c r="W15">
        <v>459.25714285714287</v>
      </c>
      <c r="Z15">
        <v>3</v>
      </c>
      <c r="AA15">
        <v>355.54285714285709</v>
      </c>
    </row>
    <row r="16" spans="17:27">
      <c r="R16">
        <v>15</v>
      </c>
      <c r="S16">
        <v>417.12857142857149</v>
      </c>
      <c r="V16">
        <v>3</v>
      </c>
      <c r="W16">
        <v>426.5</v>
      </c>
      <c r="Z16">
        <v>3</v>
      </c>
      <c r="AA16">
        <v>640.47142857142853</v>
      </c>
    </row>
    <row r="17" spans="18:27">
      <c r="R17">
        <v>10</v>
      </c>
      <c r="S17">
        <v>150.07142857142856</v>
      </c>
      <c r="V17">
        <v>3</v>
      </c>
      <c r="W17">
        <v>392.8142857142858</v>
      </c>
      <c r="Z17">
        <v>4</v>
      </c>
      <c r="AA17">
        <v>345.07142857142856</v>
      </c>
    </row>
    <row r="18" spans="18:27">
      <c r="R18">
        <v>10</v>
      </c>
      <c r="S18">
        <v>117.07142857142856</v>
      </c>
      <c r="V18">
        <v>2</v>
      </c>
      <c r="W18">
        <v>258.54285714285714</v>
      </c>
      <c r="Z18">
        <v>3</v>
      </c>
      <c r="AA18">
        <v>385.62857142857138</v>
      </c>
    </row>
    <row r="19" spans="18:27">
      <c r="R19">
        <v>15</v>
      </c>
      <c r="S19">
        <v>269.42857142857144</v>
      </c>
      <c r="V19">
        <v>4</v>
      </c>
      <c r="W19">
        <v>451.49999999999989</v>
      </c>
      <c r="Z19">
        <v>3</v>
      </c>
      <c r="AA19">
        <v>420.85714285714289</v>
      </c>
    </row>
    <row r="20" spans="18:27">
      <c r="R20">
        <v>18</v>
      </c>
      <c r="S20">
        <v>315.14285714285717</v>
      </c>
      <c r="V20">
        <v>5</v>
      </c>
      <c r="W20">
        <v>492.02857142857147</v>
      </c>
      <c r="Z20">
        <v>5</v>
      </c>
      <c r="AA20">
        <v>512.69999999999993</v>
      </c>
    </row>
    <row r="21" spans="18:27">
      <c r="R21">
        <v>10</v>
      </c>
      <c r="S21">
        <v>300.71428571428572</v>
      </c>
      <c r="V21">
        <v>10</v>
      </c>
      <c r="W21">
        <v>607.7285714285714</v>
      </c>
      <c r="Z21">
        <v>17</v>
      </c>
      <c r="AA21">
        <v>829.62857142857149</v>
      </c>
    </row>
    <row r="22" spans="18:27">
      <c r="R22">
        <v>15</v>
      </c>
      <c r="S22">
        <v>392.88571428571436</v>
      </c>
      <c r="V22">
        <v>10</v>
      </c>
      <c r="W22">
        <v>602.38571428571436</v>
      </c>
      <c r="Z22">
        <v>15</v>
      </c>
      <c r="AA22">
        <v>760.5</v>
      </c>
    </row>
    <row r="45" spans="18:18">
      <c r="R45" s="8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B3B4-E801-4FF4-BB03-3A695AE676A8}">
  <dimension ref="A1:AH30"/>
  <sheetViews>
    <sheetView zoomScale="125" zoomScaleNormal="125" workbookViewId="0">
      <selection activeCell="I22" sqref="I22"/>
    </sheetView>
  </sheetViews>
  <sheetFormatPr defaultColWidth="8.83203125" defaultRowHeight="15.5"/>
  <cols>
    <col min="1" max="1" width="12" customWidth="1"/>
    <col min="2" max="2" width="1.1640625" customWidth="1"/>
    <col min="3" max="3" width="12" customWidth="1"/>
    <col min="4" max="4" width="1.1640625" customWidth="1"/>
    <col min="5" max="5" width="12" customWidth="1"/>
    <col min="6" max="6" width="1.1640625" customWidth="1"/>
    <col min="7" max="7" width="12" customWidth="1"/>
    <col min="8" max="8" width="1.1640625" customWidth="1"/>
    <col min="9" max="9" width="12" customWidth="1"/>
    <col min="10" max="10" width="1.1640625" customWidth="1"/>
    <col min="11" max="11" width="12" customWidth="1"/>
    <col min="12" max="12" width="1.1640625" customWidth="1"/>
    <col min="13" max="13" width="12" customWidth="1"/>
    <col min="14" max="14" width="4.1640625" customWidth="1"/>
    <col min="15" max="17" width="18.6640625" bestFit="1" customWidth="1"/>
    <col min="18" max="18" width="9.6640625" bestFit="1" customWidth="1"/>
    <col min="24" max="31" width="11.6640625" bestFit="1" customWidth="1"/>
    <col min="33" max="33" width="12.6640625" bestFit="1" customWidth="1"/>
  </cols>
  <sheetData>
    <row r="1" spans="1:34" ht="16">
      <c r="A1" s="169" t="str">
        <f>CONCATENATE(Q1,N1,AH1)</f>
        <v>saz20_2018-47-3800-1_Bsi</v>
      </c>
      <c r="B1" s="169"/>
      <c r="C1" s="169" t="str">
        <f>CONCATENATE(P1,N1,AH1)</f>
        <v>saz20_2018-47-2000-1_Bsi</v>
      </c>
      <c r="D1" s="169"/>
      <c r="E1" s="169" t="str">
        <f>CONCATENATE(O1,N1,AH1)</f>
        <v>saz20_2018-47-1000-1_Bsi</v>
      </c>
      <c r="F1" s="169"/>
      <c r="G1" s="169" t="str">
        <f>CONCATENATE(Q1,N1,AA1)</f>
        <v>saz20_2018-47-3800-1- &lt;1mm_4/10</v>
      </c>
      <c r="H1" s="169"/>
      <c r="I1" s="169" t="str">
        <f>CONCATENATE(Q1,N1,AB1)</f>
        <v>saz20_2018-47-3800-1- &lt;1mm_5/10</v>
      </c>
      <c r="J1" s="169"/>
      <c r="K1" s="169" t="str">
        <f>CONCATENATE(Q1,N1,AC1)</f>
        <v>saz20_2018-47-3800-1- &lt;1mm_6/10</v>
      </c>
      <c r="L1" s="169"/>
      <c r="M1" s="169" t="str">
        <f>CONCATENATE(Q1,N1,AG1)</f>
        <v>saz20_2018-47-3800-1- &lt;1mm_10/10</v>
      </c>
      <c r="N1" s="170">
        <v>1</v>
      </c>
      <c r="O1" t="s">
        <v>268</v>
      </c>
      <c r="P1" t="s">
        <v>269</v>
      </c>
      <c r="Q1" t="s">
        <v>270</v>
      </c>
      <c r="R1" s="111" t="s">
        <v>251</v>
      </c>
      <c r="S1" s="111" t="s">
        <v>252</v>
      </c>
      <c r="T1" s="111" t="s">
        <v>253</v>
      </c>
      <c r="U1" s="111" t="s">
        <v>271</v>
      </c>
      <c r="V1" s="111" t="s">
        <v>254</v>
      </c>
      <c r="W1" s="111" t="s">
        <v>255</v>
      </c>
      <c r="X1" s="111" t="s">
        <v>256</v>
      </c>
      <c r="Y1" s="111" t="s">
        <v>257</v>
      </c>
      <c r="Z1" s="111" t="s">
        <v>258</v>
      </c>
      <c r="AA1" s="111" t="s">
        <v>259</v>
      </c>
      <c r="AB1" s="111" t="s">
        <v>260</v>
      </c>
      <c r="AC1" s="111" t="s">
        <v>261</v>
      </c>
      <c r="AD1" s="111" t="s">
        <v>262</v>
      </c>
      <c r="AE1" s="111" t="s">
        <v>263</v>
      </c>
      <c r="AF1" s="111" t="s">
        <v>264</v>
      </c>
      <c r="AG1" s="111" t="s">
        <v>265</v>
      </c>
      <c r="AH1" s="111" t="s">
        <v>3079</v>
      </c>
    </row>
    <row r="2" spans="1:34" ht="16">
      <c r="A2" s="169" t="str">
        <f t="shared" ref="A2:A21" si="0">CONCATENATE(Q2,N2,AH2)</f>
        <v>saz20_2018-47-3800-2_Bsi</v>
      </c>
      <c r="B2" s="169"/>
      <c r="C2" s="169" t="str">
        <f t="shared" ref="C2:C21" si="1">CONCATENATE(P2,N2,AH2)</f>
        <v>saz20_2018-47-2000-2_Bsi</v>
      </c>
      <c r="D2" s="169"/>
      <c r="E2" s="169" t="str">
        <f t="shared" ref="E2:E21" si="2">CONCATENATE(O2,N2,AH2)</f>
        <v>saz20_2018-47-1000-2_Bsi</v>
      </c>
      <c r="F2" s="169"/>
      <c r="G2" s="169" t="str">
        <f t="shared" ref="G2:G21" si="3">CONCATENATE(Q2,N2,AA2)</f>
        <v>saz20_2018-47-3800-2- &lt;1mm_4/10</v>
      </c>
      <c r="H2" s="169"/>
      <c r="I2" s="169" t="str">
        <f t="shared" ref="I2:I21" si="4">CONCATENATE(Q2,N2,AB2)</f>
        <v>saz20_2018-47-3800-2- &lt;1mm_5/10</v>
      </c>
      <c r="J2" s="169"/>
      <c r="K2" s="169" t="str">
        <f t="shared" ref="K2:K21" si="5">CONCATENATE(Q2,N2,AC2)</f>
        <v>saz20_2018-47-3800-2- &lt;1mm_6/10</v>
      </c>
      <c r="L2" s="169"/>
      <c r="M2" s="169" t="str">
        <f t="shared" ref="M2:M21" si="6">CONCATENATE(Q2,N2,AG2)</f>
        <v>saz20_2018-47-3800-2- &lt;1mm_10/10</v>
      </c>
      <c r="N2" s="170">
        <v>2</v>
      </c>
      <c r="O2" t="s">
        <v>268</v>
      </c>
      <c r="P2" t="s">
        <v>269</v>
      </c>
      <c r="Q2" t="s">
        <v>270</v>
      </c>
      <c r="R2" s="111" t="s">
        <v>251</v>
      </c>
      <c r="S2" s="111" t="s">
        <v>252</v>
      </c>
      <c r="T2" s="111" t="s">
        <v>253</v>
      </c>
      <c r="U2" s="111" t="s">
        <v>271</v>
      </c>
      <c r="V2" s="111" t="s">
        <v>254</v>
      </c>
      <c r="W2" s="111" t="s">
        <v>255</v>
      </c>
      <c r="X2" s="111" t="s">
        <v>256</v>
      </c>
      <c r="Y2" s="111" t="s">
        <v>257</v>
      </c>
      <c r="Z2" s="111" t="s">
        <v>258</v>
      </c>
      <c r="AA2" s="111" t="s">
        <v>259</v>
      </c>
      <c r="AB2" s="111" t="s">
        <v>260</v>
      </c>
      <c r="AC2" s="111" t="s">
        <v>261</v>
      </c>
      <c r="AD2" s="111" t="s">
        <v>262</v>
      </c>
      <c r="AE2" s="111" t="s">
        <v>263</v>
      </c>
      <c r="AF2" s="111" t="s">
        <v>264</v>
      </c>
      <c r="AG2" s="111" t="s">
        <v>265</v>
      </c>
      <c r="AH2" s="111" t="s">
        <v>3079</v>
      </c>
    </row>
    <row r="3" spans="1:34" ht="16">
      <c r="A3" s="169" t="str">
        <f t="shared" si="0"/>
        <v>saz20_2018-47-3800-3_Bsi</v>
      </c>
      <c r="B3" s="169"/>
      <c r="C3" s="169" t="str">
        <f t="shared" si="1"/>
        <v>saz20_2018-47-2000-3_Bsi</v>
      </c>
      <c r="D3" s="169"/>
      <c r="E3" s="169" t="str">
        <f t="shared" si="2"/>
        <v>saz20_2018-47-1000-3_Bsi</v>
      </c>
      <c r="F3" s="169"/>
      <c r="G3" s="169" t="str">
        <f t="shared" si="3"/>
        <v>saz20_2018-47-3800-3- &lt;1mm_4/10</v>
      </c>
      <c r="H3" s="169"/>
      <c r="I3" s="169" t="str">
        <f t="shared" si="4"/>
        <v>saz20_2018-47-3800-3- &lt;1mm_5/10</v>
      </c>
      <c r="J3" s="169"/>
      <c r="K3" s="169" t="str">
        <f t="shared" si="5"/>
        <v>saz20_2018-47-3800-3- &lt;1mm_6/10</v>
      </c>
      <c r="L3" s="169"/>
      <c r="M3" s="169" t="str">
        <f t="shared" si="6"/>
        <v>saz20_2018-47-3800-3- &lt;1mm_10/10</v>
      </c>
      <c r="N3" s="170">
        <v>3</v>
      </c>
      <c r="O3" t="s">
        <v>268</v>
      </c>
      <c r="P3" t="s">
        <v>269</v>
      </c>
      <c r="Q3" t="s">
        <v>270</v>
      </c>
      <c r="R3" s="111" t="s">
        <v>251</v>
      </c>
      <c r="S3" s="111" t="s">
        <v>252</v>
      </c>
      <c r="T3" s="111" t="s">
        <v>253</v>
      </c>
      <c r="U3" s="111" t="s">
        <v>271</v>
      </c>
      <c r="V3" s="111" t="s">
        <v>254</v>
      </c>
      <c r="W3" s="111" t="s">
        <v>255</v>
      </c>
      <c r="X3" s="111" t="s">
        <v>256</v>
      </c>
      <c r="Y3" s="111" t="s">
        <v>257</v>
      </c>
      <c r="Z3" s="111" t="s">
        <v>258</v>
      </c>
      <c r="AA3" s="111" t="s">
        <v>259</v>
      </c>
      <c r="AB3" s="111" t="s">
        <v>260</v>
      </c>
      <c r="AC3" s="111" t="s">
        <v>261</v>
      </c>
      <c r="AD3" s="111" t="s">
        <v>262</v>
      </c>
      <c r="AE3" s="111" t="s">
        <v>263</v>
      </c>
      <c r="AF3" s="111" t="s">
        <v>264</v>
      </c>
      <c r="AG3" s="111" t="s">
        <v>265</v>
      </c>
      <c r="AH3" s="111" t="s">
        <v>3079</v>
      </c>
    </row>
    <row r="4" spans="1:34" ht="16">
      <c r="A4" s="169" t="str">
        <f t="shared" si="0"/>
        <v>saz20_2018-47-3800-4_Bsi</v>
      </c>
      <c r="B4" s="169"/>
      <c r="C4" s="169" t="str">
        <f t="shared" si="1"/>
        <v>saz20_2018-47-2000-4_Bsi</v>
      </c>
      <c r="D4" s="169"/>
      <c r="E4" s="169" t="str">
        <f t="shared" si="2"/>
        <v>saz20_2018-47-1000-4_Bsi</v>
      </c>
      <c r="F4" s="169"/>
      <c r="G4" s="169" t="str">
        <f t="shared" si="3"/>
        <v>saz20_2018-47-3800-4- &lt;1mm_4/10</v>
      </c>
      <c r="H4" s="169"/>
      <c r="I4" s="169" t="str">
        <f t="shared" si="4"/>
        <v>saz20_2018-47-3800-4- &lt;1mm_5/10</v>
      </c>
      <c r="J4" s="169"/>
      <c r="K4" s="169" t="str">
        <f t="shared" si="5"/>
        <v>saz20_2018-47-3800-4- &lt;1mm_6/10</v>
      </c>
      <c r="L4" s="169"/>
      <c r="M4" s="169" t="str">
        <f t="shared" si="6"/>
        <v>saz20_2018-47-3800-4- &lt;1mm_10/10</v>
      </c>
      <c r="N4" s="170">
        <v>4</v>
      </c>
      <c r="O4" t="s">
        <v>268</v>
      </c>
      <c r="P4" t="s">
        <v>269</v>
      </c>
      <c r="Q4" t="s">
        <v>270</v>
      </c>
      <c r="R4" s="111" t="s">
        <v>251</v>
      </c>
      <c r="S4" s="111" t="s">
        <v>252</v>
      </c>
      <c r="T4" s="111" t="s">
        <v>253</v>
      </c>
      <c r="U4" s="111" t="s">
        <v>271</v>
      </c>
      <c r="V4" s="111" t="s">
        <v>254</v>
      </c>
      <c r="W4" s="111" t="s">
        <v>255</v>
      </c>
      <c r="X4" s="111" t="s">
        <v>256</v>
      </c>
      <c r="Y4" s="111" t="s">
        <v>257</v>
      </c>
      <c r="Z4" s="111" t="s">
        <v>258</v>
      </c>
      <c r="AA4" s="111" t="s">
        <v>259</v>
      </c>
      <c r="AB4" s="111" t="s">
        <v>260</v>
      </c>
      <c r="AC4" s="111" t="s">
        <v>261</v>
      </c>
      <c r="AD4" s="111" t="s">
        <v>262</v>
      </c>
      <c r="AE4" s="111" t="s">
        <v>263</v>
      </c>
      <c r="AF4" s="111" t="s">
        <v>264</v>
      </c>
      <c r="AG4" s="111" t="s">
        <v>265</v>
      </c>
      <c r="AH4" s="111" t="s">
        <v>3079</v>
      </c>
    </row>
    <row r="5" spans="1:34" ht="16">
      <c r="A5" s="169" t="str">
        <f t="shared" si="0"/>
        <v>saz20_2018-47-3800-5_Bsi</v>
      </c>
      <c r="B5" s="169"/>
      <c r="C5" s="169" t="str">
        <f t="shared" si="1"/>
        <v>saz20_2018-47-2000-5_Bsi</v>
      </c>
      <c r="D5" s="169"/>
      <c r="E5" s="169" t="str">
        <f t="shared" si="2"/>
        <v>saz20_2018-47-1000-5_Bsi</v>
      </c>
      <c r="F5" s="169"/>
      <c r="G5" s="169" t="str">
        <f t="shared" si="3"/>
        <v>saz20_2018-47-3800-5- &lt;1mm_4/10</v>
      </c>
      <c r="H5" s="169"/>
      <c r="I5" s="169" t="str">
        <f t="shared" si="4"/>
        <v>saz20_2018-47-3800-5- &lt;1mm_5/10</v>
      </c>
      <c r="J5" s="169"/>
      <c r="K5" s="169" t="str">
        <f t="shared" si="5"/>
        <v>saz20_2018-47-3800-5- &lt;1mm_6/10</v>
      </c>
      <c r="L5" s="169"/>
      <c r="M5" s="169" t="str">
        <f t="shared" si="6"/>
        <v>saz20_2018-47-3800-5- &lt;1mm_10/10</v>
      </c>
      <c r="N5" s="170">
        <v>5</v>
      </c>
      <c r="O5" t="s">
        <v>268</v>
      </c>
      <c r="P5" t="s">
        <v>269</v>
      </c>
      <c r="Q5" t="s">
        <v>270</v>
      </c>
      <c r="R5" s="111" t="s">
        <v>251</v>
      </c>
      <c r="S5" s="111" t="s">
        <v>252</v>
      </c>
      <c r="T5" s="111" t="s">
        <v>253</v>
      </c>
      <c r="U5" s="111" t="s">
        <v>271</v>
      </c>
      <c r="V5" s="111" t="s">
        <v>254</v>
      </c>
      <c r="W5" s="111" t="s">
        <v>255</v>
      </c>
      <c r="X5" s="111" t="s">
        <v>256</v>
      </c>
      <c r="Y5" s="111" t="s">
        <v>257</v>
      </c>
      <c r="Z5" s="111" t="s">
        <v>258</v>
      </c>
      <c r="AA5" s="111" t="s">
        <v>259</v>
      </c>
      <c r="AB5" s="111" t="s">
        <v>260</v>
      </c>
      <c r="AC5" s="111" t="s">
        <v>261</v>
      </c>
      <c r="AD5" s="111" t="s">
        <v>262</v>
      </c>
      <c r="AE5" s="111" t="s">
        <v>263</v>
      </c>
      <c r="AF5" s="111" t="s">
        <v>264</v>
      </c>
      <c r="AG5" s="111" t="s">
        <v>265</v>
      </c>
      <c r="AH5" s="111" t="s">
        <v>3079</v>
      </c>
    </row>
    <row r="6" spans="1:34" ht="16">
      <c r="A6" s="169" t="str">
        <f t="shared" si="0"/>
        <v>saz20_2018-47-3800-6_Bsi</v>
      </c>
      <c r="B6" s="169"/>
      <c r="C6" s="169" t="str">
        <f t="shared" si="1"/>
        <v>saz20_2018-47-2000-6_Bsi</v>
      </c>
      <c r="D6" s="169"/>
      <c r="E6" s="169" t="str">
        <f t="shared" si="2"/>
        <v>saz20_2018-47-1000-6_Bsi</v>
      </c>
      <c r="F6" s="169"/>
      <c r="G6" s="169" t="str">
        <f t="shared" si="3"/>
        <v>saz20_2018-47-3800-6- &lt;1mm_4/10</v>
      </c>
      <c r="H6" s="169"/>
      <c r="I6" s="169" t="str">
        <f t="shared" si="4"/>
        <v>saz20_2018-47-3800-6- &lt;1mm_5/10</v>
      </c>
      <c r="J6" s="169"/>
      <c r="K6" s="169" t="str">
        <f t="shared" si="5"/>
        <v>saz20_2018-47-3800-6- &lt;1mm_6/10</v>
      </c>
      <c r="L6" s="169"/>
      <c r="M6" s="169" t="str">
        <f t="shared" si="6"/>
        <v>saz20_2018-47-3800-6- &lt;1mm_10/10</v>
      </c>
      <c r="N6" s="170">
        <v>6</v>
      </c>
      <c r="O6" t="s">
        <v>268</v>
      </c>
      <c r="P6" t="s">
        <v>269</v>
      </c>
      <c r="Q6" t="s">
        <v>270</v>
      </c>
      <c r="R6" s="111" t="s">
        <v>251</v>
      </c>
      <c r="S6" s="111" t="s">
        <v>252</v>
      </c>
      <c r="T6" s="111" t="s">
        <v>253</v>
      </c>
      <c r="U6" s="111" t="s">
        <v>271</v>
      </c>
      <c r="V6" s="111" t="s">
        <v>254</v>
      </c>
      <c r="W6" s="111" t="s">
        <v>255</v>
      </c>
      <c r="X6" s="111" t="s">
        <v>256</v>
      </c>
      <c r="Y6" s="111" t="s">
        <v>257</v>
      </c>
      <c r="Z6" s="111" t="s">
        <v>258</v>
      </c>
      <c r="AA6" s="111" t="s">
        <v>259</v>
      </c>
      <c r="AB6" s="111" t="s">
        <v>260</v>
      </c>
      <c r="AC6" s="111" t="s">
        <v>261</v>
      </c>
      <c r="AD6" s="111" t="s">
        <v>262</v>
      </c>
      <c r="AE6" s="111" t="s">
        <v>263</v>
      </c>
      <c r="AF6" s="111" t="s">
        <v>264</v>
      </c>
      <c r="AG6" s="111" t="s">
        <v>265</v>
      </c>
      <c r="AH6" s="111" t="s">
        <v>3079</v>
      </c>
    </row>
    <row r="7" spans="1:34" ht="16">
      <c r="A7" s="169" t="str">
        <f t="shared" si="0"/>
        <v>saz20_2018-47-3800-7_Bsi</v>
      </c>
      <c r="B7" s="169"/>
      <c r="C7" s="169" t="str">
        <f t="shared" si="1"/>
        <v>saz20_2018-47-2000-7_Bsi</v>
      </c>
      <c r="D7" s="169"/>
      <c r="E7" s="169" t="str">
        <f t="shared" si="2"/>
        <v>saz20_2018-47-1000-7_Bsi</v>
      </c>
      <c r="F7" s="169"/>
      <c r="G7" s="169" t="str">
        <f t="shared" si="3"/>
        <v>saz20_2018-47-3800-7- &lt;1mm_4/10</v>
      </c>
      <c r="H7" s="169"/>
      <c r="I7" s="169" t="str">
        <f t="shared" si="4"/>
        <v>saz20_2018-47-3800-7- &lt;1mm_5/10</v>
      </c>
      <c r="J7" s="169"/>
      <c r="K7" s="169" t="str">
        <f t="shared" si="5"/>
        <v>saz20_2018-47-3800-7- &lt;1mm_6/10</v>
      </c>
      <c r="L7" s="169"/>
      <c r="M7" s="169" t="str">
        <f t="shared" si="6"/>
        <v>saz20_2018-47-3800-7- &lt;1mm_10/10</v>
      </c>
      <c r="N7" s="170">
        <v>7</v>
      </c>
      <c r="O7" t="s">
        <v>268</v>
      </c>
      <c r="P7" t="s">
        <v>269</v>
      </c>
      <c r="Q7" t="s">
        <v>270</v>
      </c>
      <c r="R7" s="111" t="s">
        <v>251</v>
      </c>
      <c r="S7" s="111" t="s">
        <v>252</v>
      </c>
      <c r="T7" s="111" t="s">
        <v>253</v>
      </c>
      <c r="U7" s="111" t="s">
        <v>271</v>
      </c>
      <c r="V7" s="111" t="s">
        <v>254</v>
      </c>
      <c r="W7" s="111" t="s">
        <v>255</v>
      </c>
      <c r="X7" s="111" t="s">
        <v>256</v>
      </c>
      <c r="Y7" s="111" t="s">
        <v>257</v>
      </c>
      <c r="Z7" s="111" t="s">
        <v>258</v>
      </c>
      <c r="AA7" s="111" t="s">
        <v>259</v>
      </c>
      <c r="AB7" s="111" t="s">
        <v>260</v>
      </c>
      <c r="AC7" s="111" t="s">
        <v>261</v>
      </c>
      <c r="AD7" s="111" t="s">
        <v>262</v>
      </c>
      <c r="AE7" s="111" t="s">
        <v>263</v>
      </c>
      <c r="AF7" s="111" t="s">
        <v>264</v>
      </c>
      <c r="AG7" s="111" t="s">
        <v>265</v>
      </c>
      <c r="AH7" s="111" t="s">
        <v>3079</v>
      </c>
    </row>
    <row r="8" spans="1:34" ht="16">
      <c r="A8" s="169" t="str">
        <f t="shared" si="0"/>
        <v>saz20_2018-47-3800-8_Bsi</v>
      </c>
      <c r="B8" s="169"/>
      <c r="C8" s="169" t="str">
        <f t="shared" si="1"/>
        <v>saz20_2018-47-2000-8_Bsi</v>
      </c>
      <c r="D8" s="169"/>
      <c r="E8" s="169" t="str">
        <f t="shared" si="2"/>
        <v>saz20_2018-47-1000-8_Bsi</v>
      </c>
      <c r="F8" s="169"/>
      <c r="G8" s="169" t="str">
        <f t="shared" si="3"/>
        <v>saz20_2018-47-3800-8- &lt;1mm_4/10</v>
      </c>
      <c r="H8" s="169"/>
      <c r="I8" s="169" t="str">
        <f t="shared" si="4"/>
        <v>saz20_2018-47-3800-8- &lt;1mm_5/10</v>
      </c>
      <c r="J8" s="169"/>
      <c r="K8" s="169" t="str">
        <f t="shared" si="5"/>
        <v>saz20_2018-47-3800-8- &lt;1mm_6/10</v>
      </c>
      <c r="L8" s="169"/>
      <c r="M8" s="169" t="str">
        <f t="shared" si="6"/>
        <v>saz20_2018-47-3800-8- &lt;1mm_10/10</v>
      </c>
      <c r="N8" s="170">
        <v>8</v>
      </c>
      <c r="O8" t="s">
        <v>268</v>
      </c>
      <c r="P8" t="s">
        <v>269</v>
      </c>
      <c r="Q8" t="s">
        <v>270</v>
      </c>
      <c r="R8" s="111" t="s">
        <v>251</v>
      </c>
      <c r="S8" s="111" t="s">
        <v>252</v>
      </c>
      <c r="T8" s="111" t="s">
        <v>253</v>
      </c>
      <c r="U8" s="111" t="s">
        <v>271</v>
      </c>
      <c r="V8" s="111" t="s">
        <v>254</v>
      </c>
      <c r="W8" s="111" t="s">
        <v>255</v>
      </c>
      <c r="X8" s="111" t="s">
        <v>256</v>
      </c>
      <c r="Y8" s="111" t="s">
        <v>257</v>
      </c>
      <c r="Z8" s="111" t="s">
        <v>258</v>
      </c>
      <c r="AA8" s="111" t="s">
        <v>259</v>
      </c>
      <c r="AB8" s="111" t="s">
        <v>260</v>
      </c>
      <c r="AC8" s="111" t="s">
        <v>261</v>
      </c>
      <c r="AD8" s="111" t="s">
        <v>262</v>
      </c>
      <c r="AE8" s="111" t="s">
        <v>263</v>
      </c>
      <c r="AF8" s="111" t="s">
        <v>264</v>
      </c>
      <c r="AG8" s="111" t="s">
        <v>265</v>
      </c>
      <c r="AH8" s="111" t="s">
        <v>3079</v>
      </c>
    </row>
    <row r="9" spans="1:34" ht="16">
      <c r="A9" s="169" t="str">
        <f t="shared" si="0"/>
        <v>saz20_2018-47-3800-9_Bsi</v>
      </c>
      <c r="B9" s="169"/>
      <c r="C9" s="169" t="str">
        <f t="shared" si="1"/>
        <v>saz20_2018-47-2000-9_Bsi</v>
      </c>
      <c r="D9" s="169"/>
      <c r="E9" s="169" t="str">
        <f t="shared" si="2"/>
        <v>saz20_2018-47-1000-9_Bsi</v>
      </c>
      <c r="F9" s="169"/>
      <c r="G9" s="169" t="str">
        <f t="shared" si="3"/>
        <v>saz20_2018-47-3800-9- &lt;1mm_4/10</v>
      </c>
      <c r="H9" s="169"/>
      <c r="I9" s="169" t="str">
        <f t="shared" si="4"/>
        <v>saz20_2018-47-3800-9- &lt;1mm_5/10</v>
      </c>
      <c r="J9" s="169"/>
      <c r="K9" s="169" t="str">
        <f t="shared" si="5"/>
        <v>saz20_2018-47-3800-9- &lt;1mm_6/10</v>
      </c>
      <c r="L9" s="169"/>
      <c r="M9" s="169" t="str">
        <f t="shared" si="6"/>
        <v>saz20_2018-47-3800-9- &lt;1mm_10/10</v>
      </c>
      <c r="N9" s="170">
        <v>9</v>
      </c>
      <c r="O9" t="s">
        <v>268</v>
      </c>
      <c r="P9" t="s">
        <v>269</v>
      </c>
      <c r="Q9" t="s">
        <v>270</v>
      </c>
      <c r="R9" s="111" t="s">
        <v>251</v>
      </c>
      <c r="S9" s="111" t="s">
        <v>252</v>
      </c>
      <c r="T9" s="111" t="s">
        <v>253</v>
      </c>
      <c r="U9" s="111" t="s">
        <v>271</v>
      </c>
      <c r="V9" s="111" t="s">
        <v>254</v>
      </c>
      <c r="W9" s="111" t="s">
        <v>255</v>
      </c>
      <c r="X9" s="111" t="s">
        <v>256</v>
      </c>
      <c r="Y9" s="111" t="s">
        <v>257</v>
      </c>
      <c r="Z9" s="111" t="s">
        <v>258</v>
      </c>
      <c r="AA9" s="111" t="s">
        <v>259</v>
      </c>
      <c r="AB9" s="111" t="s">
        <v>260</v>
      </c>
      <c r="AC9" s="111" t="s">
        <v>261</v>
      </c>
      <c r="AD9" s="111" t="s">
        <v>262</v>
      </c>
      <c r="AE9" s="111" t="s">
        <v>263</v>
      </c>
      <c r="AF9" s="111" t="s">
        <v>264</v>
      </c>
      <c r="AG9" s="111" t="s">
        <v>265</v>
      </c>
      <c r="AH9" s="111" t="s">
        <v>3079</v>
      </c>
    </row>
    <row r="10" spans="1:34" ht="16">
      <c r="A10" s="169" t="str">
        <f t="shared" si="0"/>
        <v>saz20_2018-47-3800-10_Bsi</v>
      </c>
      <c r="B10" s="169"/>
      <c r="C10" s="169" t="str">
        <f t="shared" si="1"/>
        <v>saz20_2018-47-2000-10_Bsi</v>
      </c>
      <c r="D10" s="169"/>
      <c r="E10" s="169" t="str">
        <f t="shared" si="2"/>
        <v>saz20_2018-47-1000-10_Bsi</v>
      </c>
      <c r="F10" s="169"/>
      <c r="G10" s="169" t="str">
        <f t="shared" si="3"/>
        <v>saz20_2018-47-3800-10- &lt;1mm_4/10</v>
      </c>
      <c r="H10" s="169"/>
      <c r="I10" s="169" t="str">
        <f t="shared" si="4"/>
        <v>saz20_2018-47-3800-10- &lt;1mm_5/10</v>
      </c>
      <c r="J10" s="169"/>
      <c r="K10" s="169" t="str">
        <f t="shared" si="5"/>
        <v>saz20_2018-47-3800-10- &lt;1mm_6/10</v>
      </c>
      <c r="L10" s="169"/>
      <c r="M10" s="169" t="str">
        <f t="shared" si="6"/>
        <v>saz20_2018-47-3800-10- &lt;1mm_10/10</v>
      </c>
      <c r="N10" s="170">
        <v>10</v>
      </c>
      <c r="O10" t="s">
        <v>268</v>
      </c>
      <c r="P10" t="s">
        <v>269</v>
      </c>
      <c r="Q10" t="s">
        <v>270</v>
      </c>
      <c r="R10" s="111" t="s">
        <v>251</v>
      </c>
      <c r="S10" s="111" t="s">
        <v>252</v>
      </c>
      <c r="T10" s="111" t="s">
        <v>253</v>
      </c>
      <c r="U10" s="111" t="s">
        <v>271</v>
      </c>
      <c r="V10" s="111" t="s">
        <v>254</v>
      </c>
      <c r="W10" s="111" t="s">
        <v>255</v>
      </c>
      <c r="X10" s="111" t="s">
        <v>256</v>
      </c>
      <c r="Y10" s="111" t="s">
        <v>257</v>
      </c>
      <c r="Z10" s="111" t="s">
        <v>258</v>
      </c>
      <c r="AA10" s="111" t="s">
        <v>259</v>
      </c>
      <c r="AB10" s="111" t="s">
        <v>260</v>
      </c>
      <c r="AC10" s="111" t="s">
        <v>261</v>
      </c>
      <c r="AD10" s="111" t="s">
        <v>262</v>
      </c>
      <c r="AE10" s="111" t="s">
        <v>263</v>
      </c>
      <c r="AF10" s="111" t="s">
        <v>264</v>
      </c>
      <c r="AG10" s="111" t="s">
        <v>265</v>
      </c>
      <c r="AH10" s="111" t="s">
        <v>3079</v>
      </c>
    </row>
    <row r="11" spans="1:34" ht="16">
      <c r="A11" s="169" t="str">
        <f t="shared" si="0"/>
        <v>saz20_2018-47-3800-11_Bsi</v>
      </c>
      <c r="B11" s="169"/>
      <c r="C11" s="169" t="str">
        <f t="shared" si="1"/>
        <v>saz20_2018-47-2000-11_Bsi</v>
      </c>
      <c r="D11" s="169"/>
      <c r="E11" s="169" t="str">
        <f t="shared" si="2"/>
        <v>saz20_2018-47-1000-11_Bsi</v>
      </c>
      <c r="F11" s="169"/>
      <c r="G11" s="169" t="str">
        <f t="shared" si="3"/>
        <v>saz20_2018-47-3800-11- &lt;1mm_4/10</v>
      </c>
      <c r="H11" s="169"/>
      <c r="I11" s="169" t="str">
        <f t="shared" si="4"/>
        <v>saz20_2018-47-3800-11- &lt;1mm_5/10</v>
      </c>
      <c r="J11" s="169"/>
      <c r="K11" s="169" t="str">
        <f t="shared" si="5"/>
        <v>saz20_2018-47-3800-11- &lt;1mm_6/10</v>
      </c>
      <c r="L11" s="169"/>
      <c r="M11" s="169" t="str">
        <f t="shared" si="6"/>
        <v>saz20_2018-47-3800-11- &lt;1mm_10/10</v>
      </c>
      <c r="N11" s="170">
        <v>11</v>
      </c>
      <c r="O11" t="s">
        <v>268</v>
      </c>
      <c r="P11" t="s">
        <v>269</v>
      </c>
      <c r="Q11" t="s">
        <v>270</v>
      </c>
      <c r="R11" s="111" t="s">
        <v>251</v>
      </c>
      <c r="S11" s="111" t="s">
        <v>252</v>
      </c>
      <c r="T11" s="111" t="s">
        <v>253</v>
      </c>
      <c r="U11" s="111" t="s">
        <v>271</v>
      </c>
      <c r="V11" s="111" t="s">
        <v>254</v>
      </c>
      <c r="W11" s="111" t="s">
        <v>255</v>
      </c>
      <c r="X11" s="111" t="s">
        <v>256</v>
      </c>
      <c r="Y11" s="111" t="s">
        <v>257</v>
      </c>
      <c r="Z11" s="111" t="s">
        <v>258</v>
      </c>
      <c r="AA11" s="111" t="s">
        <v>259</v>
      </c>
      <c r="AB11" s="111" t="s">
        <v>260</v>
      </c>
      <c r="AC11" s="111" t="s">
        <v>261</v>
      </c>
      <c r="AD11" s="111" t="s">
        <v>262</v>
      </c>
      <c r="AE11" s="111" t="s">
        <v>263</v>
      </c>
      <c r="AF11" s="111" t="s">
        <v>264</v>
      </c>
      <c r="AG11" s="111" t="s">
        <v>265</v>
      </c>
      <c r="AH11" s="111" t="s">
        <v>3079</v>
      </c>
    </row>
    <row r="12" spans="1:34" ht="16">
      <c r="A12" s="169" t="str">
        <f t="shared" si="0"/>
        <v>saz20_2018-47-3800-12_Bsi</v>
      </c>
      <c r="B12" s="169"/>
      <c r="C12" s="169" t="str">
        <f t="shared" si="1"/>
        <v>saz20_2018-47-2000-12_Bsi</v>
      </c>
      <c r="D12" s="169"/>
      <c r="E12" s="169" t="str">
        <f t="shared" si="2"/>
        <v>saz20_2018-47-1000-12_Bsi</v>
      </c>
      <c r="F12" s="169"/>
      <c r="G12" s="169" t="str">
        <f t="shared" si="3"/>
        <v>saz20_2018-47-3800-12- &lt;1mm_4/10</v>
      </c>
      <c r="H12" s="169"/>
      <c r="I12" s="169" t="str">
        <f t="shared" si="4"/>
        <v>saz20_2018-47-3800-12- &lt;1mm_5/10</v>
      </c>
      <c r="J12" s="169"/>
      <c r="K12" s="169" t="str">
        <f t="shared" si="5"/>
        <v>saz20_2018-47-3800-12- &lt;1mm_6/10</v>
      </c>
      <c r="L12" s="169"/>
      <c r="M12" s="169" t="str">
        <f t="shared" si="6"/>
        <v>saz20_2018-47-3800-12- &lt;1mm_10/10</v>
      </c>
      <c r="N12" s="170">
        <v>12</v>
      </c>
      <c r="O12" t="s">
        <v>268</v>
      </c>
      <c r="P12" t="s">
        <v>269</v>
      </c>
      <c r="Q12" t="s">
        <v>270</v>
      </c>
      <c r="R12" s="111" t="s">
        <v>251</v>
      </c>
      <c r="S12" s="111" t="s">
        <v>252</v>
      </c>
      <c r="T12" s="111" t="s">
        <v>253</v>
      </c>
      <c r="U12" s="111" t="s">
        <v>271</v>
      </c>
      <c r="V12" s="111" t="s">
        <v>254</v>
      </c>
      <c r="W12" s="111" t="s">
        <v>255</v>
      </c>
      <c r="X12" s="111" t="s">
        <v>256</v>
      </c>
      <c r="Y12" s="111" t="s">
        <v>257</v>
      </c>
      <c r="Z12" s="111" t="s">
        <v>258</v>
      </c>
      <c r="AA12" s="111" t="s">
        <v>259</v>
      </c>
      <c r="AB12" s="111" t="s">
        <v>260</v>
      </c>
      <c r="AC12" s="111" t="s">
        <v>261</v>
      </c>
      <c r="AD12" s="111" t="s">
        <v>262</v>
      </c>
      <c r="AE12" s="111" t="s">
        <v>263</v>
      </c>
      <c r="AF12" s="111" t="s">
        <v>264</v>
      </c>
      <c r="AG12" s="111" t="s">
        <v>265</v>
      </c>
      <c r="AH12" s="111" t="s">
        <v>3079</v>
      </c>
    </row>
    <row r="13" spans="1:34" ht="16">
      <c r="A13" s="169" t="str">
        <f t="shared" si="0"/>
        <v>saz20_2018-47-3800-13_Bsi</v>
      </c>
      <c r="B13" s="169"/>
      <c r="C13" s="169" t="str">
        <f t="shared" si="1"/>
        <v>saz20_2018-47-2000-13_Bsi</v>
      </c>
      <c r="D13" s="169"/>
      <c r="E13" s="169" t="str">
        <f t="shared" si="2"/>
        <v>saz20_2018-47-1000-13_Bsi</v>
      </c>
      <c r="F13" s="169"/>
      <c r="G13" s="169" t="str">
        <f t="shared" si="3"/>
        <v>saz20_2018-47-3800-13- &lt;1mm_4/10</v>
      </c>
      <c r="H13" s="169"/>
      <c r="I13" s="169" t="str">
        <f t="shared" si="4"/>
        <v>saz20_2018-47-3800-13- &lt;1mm_5/10</v>
      </c>
      <c r="J13" s="169"/>
      <c r="K13" s="169" t="str">
        <f t="shared" si="5"/>
        <v>saz20_2018-47-3800-13- &lt;1mm_6/10</v>
      </c>
      <c r="L13" s="169"/>
      <c r="M13" s="169" t="str">
        <f t="shared" si="6"/>
        <v>saz20_2018-47-3800-13- &lt;1mm_10/10</v>
      </c>
      <c r="N13" s="170">
        <v>13</v>
      </c>
      <c r="O13" t="s">
        <v>268</v>
      </c>
      <c r="P13" t="s">
        <v>269</v>
      </c>
      <c r="Q13" t="s">
        <v>270</v>
      </c>
      <c r="R13" s="111" t="s">
        <v>251</v>
      </c>
      <c r="S13" s="111" t="s">
        <v>252</v>
      </c>
      <c r="T13" s="111" t="s">
        <v>253</v>
      </c>
      <c r="U13" s="111" t="s">
        <v>271</v>
      </c>
      <c r="V13" s="111" t="s">
        <v>254</v>
      </c>
      <c r="W13" s="111" t="s">
        <v>255</v>
      </c>
      <c r="X13" s="111" t="s">
        <v>256</v>
      </c>
      <c r="Y13" s="111" t="s">
        <v>257</v>
      </c>
      <c r="Z13" s="111" t="s">
        <v>258</v>
      </c>
      <c r="AA13" s="111" t="s">
        <v>259</v>
      </c>
      <c r="AB13" s="111" t="s">
        <v>260</v>
      </c>
      <c r="AC13" s="111" t="s">
        <v>261</v>
      </c>
      <c r="AD13" s="111" t="s">
        <v>262</v>
      </c>
      <c r="AE13" s="111" t="s">
        <v>263</v>
      </c>
      <c r="AF13" s="111" t="s">
        <v>264</v>
      </c>
      <c r="AG13" s="111" t="s">
        <v>265</v>
      </c>
      <c r="AH13" s="111" t="s">
        <v>3079</v>
      </c>
    </row>
    <row r="14" spans="1:34" ht="16">
      <c r="A14" s="169" t="str">
        <f t="shared" si="0"/>
        <v>saz20_2018-47-3800-14_Bsi</v>
      </c>
      <c r="B14" s="169"/>
      <c r="C14" s="169" t="str">
        <f t="shared" si="1"/>
        <v>saz20_2018-47-2000-14_Bsi</v>
      </c>
      <c r="D14" s="169"/>
      <c r="E14" s="169" t="str">
        <f t="shared" si="2"/>
        <v>saz20_2018-47-1000-14_Bsi</v>
      </c>
      <c r="F14" s="169"/>
      <c r="G14" s="169" t="str">
        <f t="shared" si="3"/>
        <v>saz20_2018-47-3800-14- &lt;1mm_4/10</v>
      </c>
      <c r="H14" s="169"/>
      <c r="I14" s="169" t="str">
        <f t="shared" si="4"/>
        <v>saz20_2018-47-3800-14- &lt;1mm_5/10</v>
      </c>
      <c r="J14" s="169"/>
      <c r="K14" s="169" t="str">
        <f t="shared" si="5"/>
        <v>saz20_2018-47-3800-14- &lt;1mm_6/10</v>
      </c>
      <c r="L14" s="169"/>
      <c r="M14" s="169" t="str">
        <f t="shared" si="6"/>
        <v>saz20_2018-47-3800-14- &lt;1mm_10/10</v>
      </c>
      <c r="N14" s="170">
        <v>14</v>
      </c>
      <c r="O14" t="s">
        <v>268</v>
      </c>
      <c r="P14" t="s">
        <v>269</v>
      </c>
      <c r="Q14" t="s">
        <v>270</v>
      </c>
      <c r="R14" s="111" t="s">
        <v>251</v>
      </c>
      <c r="S14" s="111" t="s">
        <v>252</v>
      </c>
      <c r="T14" s="111" t="s">
        <v>253</v>
      </c>
      <c r="U14" s="111" t="s">
        <v>271</v>
      </c>
      <c r="V14" s="111" t="s">
        <v>254</v>
      </c>
      <c r="W14" s="111" t="s">
        <v>255</v>
      </c>
      <c r="X14" s="111" t="s">
        <v>256</v>
      </c>
      <c r="Y14" s="111" t="s">
        <v>257</v>
      </c>
      <c r="Z14" s="111" t="s">
        <v>258</v>
      </c>
      <c r="AA14" s="111" t="s">
        <v>259</v>
      </c>
      <c r="AB14" s="111" t="s">
        <v>260</v>
      </c>
      <c r="AC14" s="111" t="s">
        <v>261</v>
      </c>
      <c r="AD14" s="111" t="s">
        <v>262</v>
      </c>
      <c r="AE14" s="111" t="s">
        <v>263</v>
      </c>
      <c r="AF14" s="111" t="s">
        <v>264</v>
      </c>
      <c r="AG14" s="111" t="s">
        <v>265</v>
      </c>
      <c r="AH14" s="111" t="s">
        <v>3079</v>
      </c>
    </row>
    <row r="15" spans="1:34" ht="16">
      <c r="A15" s="169" t="str">
        <f t="shared" si="0"/>
        <v>saz20_2018-47-3800-15_Bsi</v>
      </c>
      <c r="B15" s="169"/>
      <c r="C15" s="169" t="str">
        <f t="shared" si="1"/>
        <v>saz20_2018-47-2000-15_Bsi</v>
      </c>
      <c r="D15" s="169"/>
      <c r="E15" s="169" t="str">
        <f t="shared" si="2"/>
        <v>saz20_2018-47-1000-15_Bsi</v>
      </c>
      <c r="F15" s="169"/>
      <c r="G15" s="169" t="str">
        <f t="shared" si="3"/>
        <v>saz20_2018-47-3800-15- &lt;1mm_4/10</v>
      </c>
      <c r="H15" s="169"/>
      <c r="I15" s="169" t="str">
        <f t="shared" si="4"/>
        <v>saz20_2018-47-3800-15- &lt;1mm_5/10</v>
      </c>
      <c r="J15" s="169"/>
      <c r="K15" s="169" t="str">
        <f t="shared" si="5"/>
        <v>saz20_2018-47-3800-15- &lt;1mm_6/10</v>
      </c>
      <c r="L15" s="169"/>
      <c r="M15" s="169" t="str">
        <f t="shared" si="6"/>
        <v>saz20_2018-47-3800-15- &lt;1mm_10/10</v>
      </c>
      <c r="N15" s="170">
        <v>15</v>
      </c>
      <c r="O15" t="s">
        <v>268</v>
      </c>
      <c r="P15" t="s">
        <v>269</v>
      </c>
      <c r="Q15" t="s">
        <v>270</v>
      </c>
      <c r="R15" s="111" t="s">
        <v>251</v>
      </c>
      <c r="S15" s="111" t="s">
        <v>252</v>
      </c>
      <c r="T15" s="111" t="s">
        <v>253</v>
      </c>
      <c r="U15" s="111" t="s">
        <v>271</v>
      </c>
      <c r="V15" s="111" t="s">
        <v>254</v>
      </c>
      <c r="W15" s="111" t="s">
        <v>255</v>
      </c>
      <c r="X15" s="111" t="s">
        <v>256</v>
      </c>
      <c r="Y15" s="111" t="s">
        <v>257</v>
      </c>
      <c r="Z15" s="111" t="s">
        <v>258</v>
      </c>
      <c r="AA15" s="111" t="s">
        <v>259</v>
      </c>
      <c r="AB15" s="111" t="s">
        <v>260</v>
      </c>
      <c r="AC15" s="111" t="s">
        <v>261</v>
      </c>
      <c r="AD15" s="111" t="s">
        <v>262</v>
      </c>
      <c r="AE15" s="111" t="s">
        <v>263</v>
      </c>
      <c r="AF15" s="111" t="s">
        <v>264</v>
      </c>
      <c r="AG15" s="111" t="s">
        <v>265</v>
      </c>
      <c r="AH15" s="111" t="s">
        <v>3079</v>
      </c>
    </row>
    <row r="16" spans="1:34" ht="16">
      <c r="A16" s="169" t="str">
        <f t="shared" si="0"/>
        <v>saz20_2018-47-3800-16_Bsi</v>
      </c>
      <c r="B16" s="169"/>
      <c r="C16" s="169" t="str">
        <f t="shared" si="1"/>
        <v>saz20_2018-47-2000-16_Bsi</v>
      </c>
      <c r="D16" s="169"/>
      <c r="E16" s="169" t="str">
        <f t="shared" si="2"/>
        <v>saz20_2018-47-1000-16_Bsi</v>
      </c>
      <c r="F16" s="169"/>
      <c r="G16" s="169" t="str">
        <f t="shared" si="3"/>
        <v>saz20_2018-47-3800-16- &lt;1mm_4/10</v>
      </c>
      <c r="H16" s="169"/>
      <c r="I16" s="169" t="str">
        <f t="shared" si="4"/>
        <v>saz20_2018-47-3800-16- &lt;1mm_5/10</v>
      </c>
      <c r="J16" s="169"/>
      <c r="K16" s="169" t="str">
        <f t="shared" si="5"/>
        <v>saz20_2018-47-3800-16- &lt;1mm_6/10</v>
      </c>
      <c r="L16" s="169"/>
      <c r="M16" s="169" t="str">
        <f t="shared" si="6"/>
        <v>saz20_2018-47-3800-16- &lt;1mm_10/10</v>
      </c>
      <c r="N16" s="170">
        <v>16</v>
      </c>
      <c r="O16" t="s">
        <v>268</v>
      </c>
      <c r="P16" t="s">
        <v>269</v>
      </c>
      <c r="Q16" t="s">
        <v>270</v>
      </c>
      <c r="R16" s="111" t="s">
        <v>251</v>
      </c>
      <c r="S16" s="111" t="s">
        <v>252</v>
      </c>
      <c r="T16" s="111" t="s">
        <v>253</v>
      </c>
      <c r="U16" s="111" t="s">
        <v>271</v>
      </c>
      <c r="V16" s="111" t="s">
        <v>254</v>
      </c>
      <c r="W16" s="111" t="s">
        <v>255</v>
      </c>
      <c r="X16" s="111" t="s">
        <v>256</v>
      </c>
      <c r="Y16" s="111" t="s">
        <v>257</v>
      </c>
      <c r="Z16" s="111" t="s">
        <v>258</v>
      </c>
      <c r="AA16" s="111" t="s">
        <v>259</v>
      </c>
      <c r="AB16" s="111" t="s">
        <v>260</v>
      </c>
      <c r="AC16" s="111" t="s">
        <v>261</v>
      </c>
      <c r="AD16" s="111" t="s">
        <v>262</v>
      </c>
      <c r="AE16" s="111" t="s">
        <v>263</v>
      </c>
      <c r="AF16" s="111" t="s">
        <v>264</v>
      </c>
      <c r="AG16" s="111" t="s">
        <v>265</v>
      </c>
      <c r="AH16" s="111" t="s">
        <v>3079</v>
      </c>
    </row>
    <row r="17" spans="1:34" ht="16">
      <c r="A17" s="169" t="str">
        <f t="shared" si="0"/>
        <v>saz20_2018-47-3800-17_Bsi</v>
      </c>
      <c r="B17" s="169"/>
      <c r="C17" s="169" t="str">
        <f t="shared" si="1"/>
        <v>saz20_2018-47-2000-17_Bsi</v>
      </c>
      <c r="D17" s="169"/>
      <c r="E17" s="169" t="str">
        <f t="shared" si="2"/>
        <v>saz20_2018-47-1000-17_Bsi</v>
      </c>
      <c r="F17" s="169"/>
      <c r="G17" s="169" t="str">
        <f t="shared" si="3"/>
        <v>saz20_2018-47-3800-17- &lt;1mm_4/10</v>
      </c>
      <c r="H17" s="169"/>
      <c r="I17" s="169" t="str">
        <f t="shared" si="4"/>
        <v>saz20_2018-47-3800-17- &lt;1mm_5/10</v>
      </c>
      <c r="J17" s="169"/>
      <c r="K17" s="169" t="str">
        <f t="shared" si="5"/>
        <v>saz20_2018-47-3800-17- &lt;1mm_6/10</v>
      </c>
      <c r="L17" s="169"/>
      <c r="M17" s="169" t="str">
        <f t="shared" si="6"/>
        <v>saz20_2018-47-3800-17- &lt;1mm_10/10</v>
      </c>
      <c r="N17" s="170">
        <v>17</v>
      </c>
      <c r="O17" t="s">
        <v>268</v>
      </c>
      <c r="P17" t="s">
        <v>269</v>
      </c>
      <c r="Q17" t="s">
        <v>270</v>
      </c>
      <c r="R17" s="111" t="s">
        <v>251</v>
      </c>
      <c r="S17" s="111" t="s">
        <v>252</v>
      </c>
      <c r="T17" s="111" t="s">
        <v>253</v>
      </c>
      <c r="U17" s="111" t="s">
        <v>271</v>
      </c>
      <c r="V17" s="111" t="s">
        <v>254</v>
      </c>
      <c r="W17" s="111" t="s">
        <v>255</v>
      </c>
      <c r="X17" s="111" t="s">
        <v>256</v>
      </c>
      <c r="Y17" s="111" t="s">
        <v>257</v>
      </c>
      <c r="Z17" s="111" t="s">
        <v>258</v>
      </c>
      <c r="AA17" s="111" t="s">
        <v>259</v>
      </c>
      <c r="AB17" s="111" t="s">
        <v>260</v>
      </c>
      <c r="AC17" s="111" t="s">
        <v>261</v>
      </c>
      <c r="AD17" s="111" t="s">
        <v>262</v>
      </c>
      <c r="AE17" s="111" t="s">
        <v>263</v>
      </c>
      <c r="AF17" s="111" t="s">
        <v>264</v>
      </c>
      <c r="AG17" s="111" t="s">
        <v>265</v>
      </c>
      <c r="AH17" s="111" t="s">
        <v>3079</v>
      </c>
    </row>
    <row r="18" spans="1:34" ht="16">
      <c r="A18" s="169" t="str">
        <f t="shared" si="0"/>
        <v>saz20_2018-47-3800-18_Bsi</v>
      </c>
      <c r="B18" s="169"/>
      <c r="C18" s="169" t="str">
        <f t="shared" si="1"/>
        <v>saz20_2018-47-2000-18_Bsi</v>
      </c>
      <c r="D18" s="169"/>
      <c r="E18" s="169" t="str">
        <f t="shared" si="2"/>
        <v>saz20_2018-47-1000-18_Bsi</v>
      </c>
      <c r="F18" s="169"/>
      <c r="G18" s="169" t="str">
        <f t="shared" si="3"/>
        <v>saz20_2018-47-3800-18- &lt;1mm_4/10</v>
      </c>
      <c r="H18" s="169"/>
      <c r="I18" s="169" t="str">
        <f t="shared" si="4"/>
        <v>saz20_2018-47-3800-18- &lt;1mm_5/10</v>
      </c>
      <c r="J18" s="169"/>
      <c r="K18" s="169" t="str">
        <f t="shared" si="5"/>
        <v>saz20_2018-47-3800-18- &lt;1mm_6/10</v>
      </c>
      <c r="L18" s="169"/>
      <c r="M18" s="169" t="str">
        <f t="shared" si="6"/>
        <v>saz20_2018-47-3800-18- &lt;1mm_10/10</v>
      </c>
      <c r="N18" s="170">
        <v>18</v>
      </c>
      <c r="O18" t="s">
        <v>268</v>
      </c>
      <c r="P18" t="s">
        <v>269</v>
      </c>
      <c r="Q18" t="s">
        <v>270</v>
      </c>
      <c r="R18" s="111" t="s">
        <v>251</v>
      </c>
      <c r="S18" s="111" t="s">
        <v>252</v>
      </c>
      <c r="T18" s="111" t="s">
        <v>253</v>
      </c>
      <c r="U18" s="111" t="s">
        <v>271</v>
      </c>
      <c r="V18" s="111" t="s">
        <v>254</v>
      </c>
      <c r="W18" s="111" t="s">
        <v>255</v>
      </c>
      <c r="X18" s="111" t="s">
        <v>256</v>
      </c>
      <c r="Y18" s="111" t="s">
        <v>257</v>
      </c>
      <c r="Z18" s="111" t="s">
        <v>258</v>
      </c>
      <c r="AA18" s="111" t="s">
        <v>259</v>
      </c>
      <c r="AB18" s="111" t="s">
        <v>260</v>
      </c>
      <c r="AC18" s="111" t="s">
        <v>261</v>
      </c>
      <c r="AD18" s="111" t="s">
        <v>262</v>
      </c>
      <c r="AE18" s="111" t="s">
        <v>263</v>
      </c>
      <c r="AF18" s="111" t="s">
        <v>264</v>
      </c>
      <c r="AG18" s="111" t="s">
        <v>265</v>
      </c>
      <c r="AH18" s="111" t="s">
        <v>3079</v>
      </c>
    </row>
    <row r="19" spans="1:34" ht="16">
      <c r="A19" s="169" t="str">
        <f t="shared" si="0"/>
        <v>saz20_2018-47-3800-19_Bsi</v>
      </c>
      <c r="B19" s="169"/>
      <c r="C19" s="169" t="str">
        <f t="shared" si="1"/>
        <v>saz20_2018-47-2000-19_Bsi</v>
      </c>
      <c r="D19" s="169"/>
      <c r="E19" s="169" t="str">
        <f t="shared" si="2"/>
        <v>saz20_2018-47-1000-19_Bsi</v>
      </c>
      <c r="F19" s="169"/>
      <c r="G19" s="169" t="str">
        <f t="shared" si="3"/>
        <v>saz20_2018-47-3800-19- &lt;1mm_4/10</v>
      </c>
      <c r="H19" s="169"/>
      <c r="I19" s="169" t="str">
        <f t="shared" si="4"/>
        <v>saz20_2018-47-3800-19- &lt;1mm_5/10</v>
      </c>
      <c r="J19" s="169"/>
      <c r="K19" s="169" t="str">
        <f t="shared" si="5"/>
        <v>saz20_2018-47-3800-19- &lt;1mm_6/10</v>
      </c>
      <c r="L19" s="169"/>
      <c r="M19" s="169" t="str">
        <f t="shared" si="6"/>
        <v>saz20_2018-47-3800-19- &lt;1mm_10/10</v>
      </c>
      <c r="N19" s="170">
        <v>19</v>
      </c>
      <c r="O19" t="s">
        <v>268</v>
      </c>
      <c r="P19" t="s">
        <v>269</v>
      </c>
      <c r="Q19" t="s">
        <v>270</v>
      </c>
      <c r="R19" s="111" t="s">
        <v>251</v>
      </c>
      <c r="S19" s="111" t="s">
        <v>252</v>
      </c>
      <c r="T19" s="111" t="s">
        <v>253</v>
      </c>
      <c r="U19" s="111" t="s">
        <v>271</v>
      </c>
      <c r="V19" s="111" t="s">
        <v>254</v>
      </c>
      <c r="W19" s="111" t="s">
        <v>255</v>
      </c>
      <c r="X19" s="111" t="s">
        <v>256</v>
      </c>
      <c r="Y19" s="111" t="s">
        <v>257</v>
      </c>
      <c r="Z19" s="111" t="s">
        <v>258</v>
      </c>
      <c r="AA19" s="111" t="s">
        <v>259</v>
      </c>
      <c r="AB19" s="111" t="s">
        <v>260</v>
      </c>
      <c r="AC19" s="111" t="s">
        <v>261</v>
      </c>
      <c r="AD19" s="111" t="s">
        <v>262</v>
      </c>
      <c r="AE19" s="111" t="s">
        <v>263</v>
      </c>
      <c r="AF19" s="111" t="s">
        <v>264</v>
      </c>
      <c r="AG19" s="111" t="s">
        <v>265</v>
      </c>
      <c r="AH19" s="111" t="s">
        <v>3079</v>
      </c>
    </row>
    <row r="20" spans="1:34" ht="16">
      <c r="A20" s="169" t="str">
        <f t="shared" si="0"/>
        <v>saz20_2018-47-3800-20_Bsi</v>
      </c>
      <c r="B20" s="169"/>
      <c r="C20" s="169" t="str">
        <f t="shared" si="1"/>
        <v>saz20_2018-47-2000-20_Bsi</v>
      </c>
      <c r="D20" s="169"/>
      <c r="E20" s="169" t="str">
        <f t="shared" si="2"/>
        <v>saz20_2018-47-1000-20_Bsi</v>
      </c>
      <c r="F20" s="169"/>
      <c r="G20" s="169" t="str">
        <f t="shared" si="3"/>
        <v>saz20_2018-47-3800-20- &lt;1mm_4/10</v>
      </c>
      <c r="H20" s="169"/>
      <c r="I20" s="169" t="str">
        <f t="shared" si="4"/>
        <v>saz20_2018-47-3800-20- &lt;1mm_5/10</v>
      </c>
      <c r="J20" s="169"/>
      <c r="K20" s="169" t="str">
        <f t="shared" si="5"/>
        <v>saz20_2018-47-3800-20- &lt;1mm_6/10</v>
      </c>
      <c r="L20" s="169"/>
      <c r="M20" s="169" t="str">
        <f t="shared" si="6"/>
        <v>saz20_2018-47-3800-20- &lt;1mm_10/10</v>
      </c>
      <c r="N20" s="170">
        <v>20</v>
      </c>
      <c r="O20" t="s">
        <v>268</v>
      </c>
      <c r="P20" t="s">
        <v>269</v>
      </c>
      <c r="Q20" t="s">
        <v>270</v>
      </c>
      <c r="R20" s="111" t="s">
        <v>251</v>
      </c>
      <c r="S20" s="111" t="s">
        <v>252</v>
      </c>
      <c r="T20" s="111" t="s">
        <v>253</v>
      </c>
      <c r="U20" s="111" t="s">
        <v>271</v>
      </c>
      <c r="V20" s="111" t="s">
        <v>254</v>
      </c>
      <c r="W20" s="111" t="s">
        <v>255</v>
      </c>
      <c r="X20" s="111" t="s">
        <v>256</v>
      </c>
      <c r="Y20" s="111" t="s">
        <v>257</v>
      </c>
      <c r="Z20" s="111" t="s">
        <v>258</v>
      </c>
      <c r="AA20" s="111" t="s">
        <v>259</v>
      </c>
      <c r="AB20" s="111" t="s">
        <v>260</v>
      </c>
      <c r="AC20" s="111" t="s">
        <v>261</v>
      </c>
      <c r="AD20" s="111" t="s">
        <v>262</v>
      </c>
      <c r="AE20" s="111" t="s">
        <v>263</v>
      </c>
      <c r="AF20" s="111" t="s">
        <v>264</v>
      </c>
      <c r="AG20" s="111" t="s">
        <v>265</v>
      </c>
      <c r="AH20" s="111" t="s">
        <v>3079</v>
      </c>
    </row>
    <row r="21" spans="1:34" ht="16">
      <c r="A21" s="169" t="str">
        <f t="shared" si="0"/>
        <v>saz20_2018-47-3800-21_Bsi</v>
      </c>
      <c r="B21" s="169"/>
      <c r="C21" s="169" t="str">
        <f t="shared" si="1"/>
        <v>saz20_2018-47-2000-21_Bsi</v>
      </c>
      <c r="D21" s="169"/>
      <c r="E21" s="169" t="str">
        <f t="shared" si="2"/>
        <v>saz20_2018-47-1000-21_Bsi</v>
      </c>
      <c r="F21" s="169"/>
      <c r="G21" s="169" t="str">
        <f t="shared" si="3"/>
        <v>saz20_2018-47-3800-21- &lt;1mm_4/10</v>
      </c>
      <c r="H21" s="169"/>
      <c r="I21" s="169" t="str">
        <f t="shared" si="4"/>
        <v>saz20_2018-47-3800-21- &lt;1mm_5/10</v>
      </c>
      <c r="J21" s="169"/>
      <c r="K21" s="169" t="str">
        <f t="shared" si="5"/>
        <v>saz20_2018-47-3800-21- &lt;1mm_6/10</v>
      </c>
      <c r="L21" s="169"/>
      <c r="M21" s="169" t="str">
        <f t="shared" si="6"/>
        <v>saz20_2018-47-3800-21- &lt;1mm_10/10</v>
      </c>
      <c r="N21" s="170">
        <v>21</v>
      </c>
      <c r="O21" t="s">
        <v>268</v>
      </c>
      <c r="P21" t="s">
        <v>269</v>
      </c>
      <c r="Q21" t="s">
        <v>270</v>
      </c>
      <c r="R21" s="111" t="s">
        <v>251</v>
      </c>
      <c r="S21" s="111" t="s">
        <v>252</v>
      </c>
      <c r="T21" s="111" t="s">
        <v>253</v>
      </c>
      <c r="U21" s="111" t="s">
        <v>271</v>
      </c>
      <c r="V21" s="111" t="s">
        <v>254</v>
      </c>
      <c r="W21" s="111" t="s">
        <v>255</v>
      </c>
      <c r="X21" s="111" t="s">
        <v>256</v>
      </c>
      <c r="Y21" s="111" t="s">
        <v>257</v>
      </c>
      <c r="Z21" s="111" t="s">
        <v>258</v>
      </c>
      <c r="AA21" s="111" t="s">
        <v>259</v>
      </c>
      <c r="AB21" s="111" t="s">
        <v>260</v>
      </c>
      <c r="AC21" s="111" t="s">
        <v>261</v>
      </c>
      <c r="AD21" s="111" t="s">
        <v>262</v>
      </c>
      <c r="AE21" s="111" t="s">
        <v>263</v>
      </c>
      <c r="AF21" s="111" t="s">
        <v>264</v>
      </c>
      <c r="AG21" s="111" t="s">
        <v>265</v>
      </c>
      <c r="AH21" s="111" t="s">
        <v>3079</v>
      </c>
    </row>
    <row r="22" spans="1:34" ht="16">
      <c r="A22" s="169" t="str">
        <f>CONCATENATE(Q1,N1,AE1)</f>
        <v>saz20_2018-47-3800-1- &lt;1mm_8/10</v>
      </c>
      <c r="B22" s="169"/>
      <c r="C22" s="169" t="str">
        <f>CONCATENATE(Q7,N7,AE7)</f>
        <v>saz20_2018-47-3800-7- &lt;1mm_8/10</v>
      </c>
      <c r="D22" s="169"/>
      <c r="E22" s="169" t="str">
        <f>CONCATENATE(Q13,N13,AE13)</f>
        <v>saz20_2018-47-3800-13- &lt;1mm_8/10</v>
      </c>
      <c r="F22" s="169"/>
      <c r="G22" s="169" t="str">
        <f>CONCATENATE(Q19,N19,AE19)</f>
        <v>saz20_2018-47-3800-19- &lt;1mm_8/10</v>
      </c>
      <c r="H22" s="169"/>
      <c r="I22" s="169" t="str">
        <f>CONCATENATE(Q4,N4,AF4)</f>
        <v>saz20_2018-47-3800-4- &lt;1mm_9/10</v>
      </c>
      <c r="J22" s="169"/>
      <c r="K22" s="169" t="str">
        <f>CONCATENATE(Q10,N10,AF10)</f>
        <v>saz20_2018-47-3800-10- &lt;1mm_9/10</v>
      </c>
      <c r="L22" s="169"/>
      <c r="M22" s="169" t="str">
        <f>CONCATENATE(Q16,N16,AF16)</f>
        <v>saz20_2018-47-3800-16- &lt;1mm_9/10</v>
      </c>
      <c r="N22" s="170"/>
    </row>
    <row r="23" spans="1:34" ht="16">
      <c r="A23" s="169" t="str">
        <f t="shared" ref="A23:A27" si="7">CONCATENATE(Q2,N2,AE2)</f>
        <v>saz20_2018-47-3800-2- &lt;1mm_8/10</v>
      </c>
      <c r="B23" s="169"/>
      <c r="C23" s="169" t="str">
        <f t="shared" ref="C23:C27" si="8">CONCATENATE(Q8,N8,AE8)</f>
        <v>saz20_2018-47-3800-8- &lt;1mm_8/10</v>
      </c>
      <c r="D23" s="169"/>
      <c r="E23" s="169" t="str">
        <f t="shared" ref="E23:E27" si="9">CONCATENATE(Q14,N14,AE14)</f>
        <v>saz20_2018-47-3800-14- &lt;1mm_8/10</v>
      </c>
      <c r="F23" s="169"/>
      <c r="G23" s="169" t="str">
        <f t="shared" ref="G23:G24" si="10">CONCATENATE(Q20,N20,AE20)</f>
        <v>saz20_2018-47-3800-20- &lt;1mm_8/10</v>
      </c>
      <c r="H23" s="169"/>
      <c r="I23" s="169" t="str">
        <f t="shared" ref="I23:I27" si="11">CONCATENATE(Q5,N5,AF5)</f>
        <v>saz20_2018-47-3800-5- &lt;1mm_9/10</v>
      </c>
      <c r="J23" s="169"/>
      <c r="K23" s="169" t="str">
        <f t="shared" ref="K23:K27" si="12">CONCATENATE(Q11,N11,AF11)</f>
        <v>saz20_2018-47-3800-11- &lt;1mm_9/10</v>
      </c>
      <c r="L23" s="169"/>
      <c r="M23" s="169" t="str">
        <f t="shared" ref="M23:M27" si="13">CONCATENATE(Q17,N17,AF17)</f>
        <v>saz20_2018-47-3800-17- &lt;1mm_9/10</v>
      </c>
      <c r="N23" s="170"/>
    </row>
    <row r="24" spans="1:34" ht="16">
      <c r="A24" s="169" t="str">
        <f t="shared" si="7"/>
        <v>saz20_2018-47-3800-3- &lt;1mm_8/10</v>
      </c>
      <c r="B24" s="169"/>
      <c r="C24" s="169" t="str">
        <f t="shared" si="8"/>
        <v>saz20_2018-47-3800-9- &lt;1mm_8/10</v>
      </c>
      <c r="D24" s="169"/>
      <c r="E24" s="169" t="str">
        <f t="shared" si="9"/>
        <v>saz20_2018-47-3800-15- &lt;1mm_8/10</v>
      </c>
      <c r="F24" s="169"/>
      <c r="G24" s="169" t="str">
        <f t="shared" si="10"/>
        <v>saz20_2018-47-3800-21- &lt;1mm_8/10</v>
      </c>
      <c r="H24" s="169"/>
      <c r="I24" s="169" t="str">
        <f t="shared" si="11"/>
        <v>saz20_2018-47-3800-6- &lt;1mm_9/10</v>
      </c>
      <c r="J24" s="169"/>
      <c r="K24" s="169" t="str">
        <f t="shared" si="12"/>
        <v>saz20_2018-47-3800-12- &lt;1mm_9/10</v>
      </c>
      <c r="L24" s="169"/>
      <c r="M24" s="169" t="str">
        <f t="shared" si="13"/>
        <v>saz20_2018-47-3800-18- &lt;1mm_9/10</v>
      </c>
      <c r="N24" s="170"/>
    </row>
    <row r="25" spans="1:34" ht="16">
      <c r="A25" s="169" t="str">
        <f t="shared" si="7"/>
        <v>saz20_2018-47-3800-4- &lt;1mm_8/10</v>
      </c>
      <c r="B25" s="169"/>
      <c r="C25" s="169" t="str">
        <f t="shared" si="8"/>
        <v>saz20_2018-47-3800-10- &lt;1mm_8/10</v>
      </c>
      <c r="D25" s="169"/>
      <c r="E25" s="169" t="str">
        <f t="shared" si="9"/>
        <v>saz20_2018-47-3800-16- &lt;1mm_8/10</v>
      </c>
      <c r="F25" s="169"/>
      <c r="G25" s="169" t="str">
        <f>CONCATENATE(Q1,N1,AF1)</f>
        <v>saz20_2018-47-3800-1- &lt;1mm_9/10</v>
      </c>
      <c r="H25" s="169"/>
      <c r="I25" s="169" t="str">
        <f t="shared" si="11"/>
        <v>saz20_2018-47-3800-7- &lt;1mm_9/10</v>
      </c>
      <c r="J25" s="169"/>
      <c r="K25" s="169" t="str">
        <f t="shared" si="12"/>
        <v>saz20_2018-47-3800-13- &lt;1mm_9/10</v>
      </c>
      <c r="L25" s="169"/>
      <c r="M25" s="169" t="str">
        <f t="shared" si="13"/>
        <v>saz20_2018-47-3800-19- &lt;1mm_9/10</v>
      </c>
      <c r="N25" s="170"/>
    </row>
    <row r="26" spans="1:34" ht="16">
      <c r="A26" s="169" t="str">
        <f t="shared" si="7"/>
        <v>saz20_2018-47-3800-5- &lt;1mm_8/10</v>
      </c>
      <c r="B26" s="169"/>
      <c r="C26" s="169" t="str">
        <f t="shared" si="8"/>
        <v>saz20_2018-47-3800-11- &lt;1mm_8/10</v>
      </c>
      <c r="D26" s="169"/>
      <c r="E26" s="169" t="str">
        <f t="shared" si="9"/>
        <v>saz20_2018-47-3800-17- &lt;1mm_8/10</v>
      </c>
      <c r="F26" s="169"/>
      <c r="G26" s="169" t="str">
        <f t="shared" ref="G26:G27" si="14">CONCATENATE(Q2,N2,AF2)</f>
        <v>saz20_2018-47-3800-2- &lt;1mm_9/10</v>
      </c>
      <c r="H26" s="169"/>
      <c r="I26" s="169" t="str">
        <f t="shared" si="11"/>
        <v>saz20_2018-47-3800-8- &lt;1mm_9/10</v>
      </c>
      <c r="J26" s="169"/>
      <c r="K26" s="169" t="str">
        <f t="shared" si="12"/>
        <v>saz20_2018-47-3800-14- &lt;1mm_9/10</v>
      </c>
      <c r="L26" s="169"/>
      <c r="M26" s="169" t="str">
        <f t="shared" si="13"/>
        <v>saz20_2018-47-3800-20- &lt;1mm_9/10</v>
      </c>
      <c r="N26" s="170"/>
    </row>
    <row r="27" spans="1:34" ht="16">
      <c r="A27" s="169" t="str">
        <f t="shared" si="7"/>
        <v>saz20_2018-47-3800-6- &lt;1mm_8/10</v>
      </c>
      <c r="B27" s="169"/>
      <c r="C27" s="169" t="str">
        <f t="shared" si="8"/>
        <v>saz20_2018-47-3800-12- &lt;1mm_8/10</v>
      </c>
      <c r="D27" s="169"/>
      <c r="E27" s="169" t="str">
        <f t="shared" si="9"/>
        <v>saz20_2018-47-3800-18- &lt;1mm_8/10</v>
      </c>
      <c r="F27" s="169"/>
      <c r="G27" s="169" t="str">
        <f t="shared" si="14"/>
        <v>saz20_2018-47-3800-3- &lt;1mm_9/10</v>
      </c>
      <c r="H27" s="169"/>
      <c r="I27" s="169" t="str">
        <f t="shared" si="11"/>
        <v>saz20_2018-47-3800-9- &lt;1mm_9/10</v>
      </c>
      <c r="J27" s="169"/>
      <c r="K27" s="169" t="str">
        <f t="shared" si="12"/>
        <v>saz20_2018-47-3800-15- &lt;1mm_9/10</v>
      </c>
      <c r="L27" s="169"/>
      <c r="M27" s="169" t="str">
        <f t="shared" si="13"/>
        <v>saz20_2018-47-3800-21- &lt;1mm_9/10</v>
      </c>
      <c r="N27" s="170"/>
    </row>
    <row r="28" spans="1:34">
      <c r="A28" s="171"/>
      <c r="B28" s="170"/>
      <c r="C28" s="172"/>
      <c r="D28" s="170"/>
      <c r="E28" s="173"/>
      <c r="F28" s="170"/>
      <c r="G28" s="170"/>
      <c r="H28" s="170"/>
      <c r="I28" s="174"/>
      <c r="J28" s="174"/>
      <c r="K28" s="174"/>
      <c r="L28" s="174"/>
      <c r="M28" s="174"/>
      <c r="N28" s="170"/>
    </row>
    <row r="29" spans="1:34" ht="18.5">
      <c r="A29" s="175" t="s">
        <v>266</v>
      </c>
      <c r="C29" s="176"/>
      <c r="E29" s="5"/>
      <c r="I29" s="177"/>
      <c r="J29" s="177"/>
      <c r="K29" s="177"/>
      <c r="L29" s="177"/>
      <c r="M29" s="177"/>
    </row>
    <row r="30" spans="1:34">
      <c r="A30" s="178" t="s">
        <v>267</v>
      </c>
      <c r="C30" s="176"/>
      <c r="E30" s="5"/>
      <c r="I30" s="177"/>
      <c r="J30" s="177"/>
      <c r="K30" s="177"/>
      <c r="L30" s="177"/>
      <c r="M30" s="17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88"/>
  <sheetViews>
    <sheetView topLeftCell="A394" workbookViewId="0">
      <selection activeCell="E552" sqref="E552"/>
    </sheetView>
  </sheetViews>
  <sheetFormatPr defaultColWidth="11" defaultRowHeight="15.5"/>
  <sheetData>
    <row r="1" spans="1:15">
      <c r="A1" t="s">
        <v>42</v>
      </c>
      <c r="B1" t="s">
        <v>43</v>
      </c>
    </row>
    <row r="2" spans="1:15" s="21" customFormat="1">
      <c r="A2" s="21">
        <v>1000</v>
      </c>
      <c r="B2" s="21" t="s">
        <v>53</v>
      </c>
      <c r="H2" t="s">
        <v>83</v>
      </c>
      <c r="J2" s="21" t="s">
        <v>85</v>
      </c>
      <c r="O2" s="21" t="s">
        <v>90</v>
      </c>
    </row>
    <row r="3" spans="1:15" s="21" customFormat="1">
      <c r="A3" s="21">
        <v>2000</v>
      </c>
      <c r="B3" s="21" t="s">
        <v>54</v>
      </c>
      <c r="H3" t="s">
        <v>83</v>
      </c>
      <c r="J3" s="21" t="s">
        <v>86</v>
      </c>
      <c r="O3" s="21" t="s">
        <v>88</v>
      </c>
    </row>
    <row r="4" spans="1:15" s="21" customFormat="1">
      <c r="A4" s="21">
        <v>3800</v>
      </c>
      <c r="B4" s="21" t="s">
        <v>55</v>
      </c>
      <c r="H4" s="21" t="s">
        <v>84</v>
      </c>
      <c r="J4" s="21" t="s">
        <v>87</v>
      </c>
    </row>
    <row r="7" spans="1:15">
      <c r="A7" s="21" t="s">
        <v>44</v>
      </c>
      <c r="B7" s="21" t="s">
        <v>107</v>
      </c>
    </row>
    <row r="8" spans="1:15" s="8" customFormat="1">
      <c r="A8" s="21" t="s">
        <v>272</v>
      </c>
      <c r="B8" s="21" t="s">
        <v>273</v>
      </c>
    </row>
    <row r="9" spans="1:15" s="8" customFormat="1"/>
    <row r="10" spans="1:15" s="8" customFormat="1">
      <c r="A10" s="50" t="s">
        <v>56</v>
      </c>
      <c r="B10" s="50" t="s">
        <v>57</v>
      </c>
      <c r="C10" s="50" t="s">
        <v>58</v>
      </c>
      <c r="D10" s="50"/>
      <c r="E10" s="21" t="s">
        <v>327</v>
      </c>
    </row>
    <row r="11" spans="1:15" s="8" customFormat="1">
      <c r="A11" s="50" t="s">
        <v>59</v>
      </c>
      <c r="B11" s="50" t="s">
        <v>60</v>
      </c>
      <c r="C11" s="51"/>
      <c r="D11" s="50"/>
    </row>
    <row r="12" spans="1:15" s="8" customFormat="1">
      <c r="A12" s="50"/>
      <c r="B12" s="52"/>
      <c r="C12" s="52"/>
      <c r="D12" s="52"/>
    </row>
    <row r="13" spans="1:15" s="8" customFormat="1">
      <c r="A13" s="53" t="s">
        <v>61</v>
      </c>
      <c r="B13" s="54" t="s">
        <v>62</v>
      </c>
      <c r="C13" s="55"/>
      <c r="D13" s="55"/>
      <c r="F13" s="64" t="s">
        <v>56</v>
      </c>
      <c r="G13" s="64" t="s">
        <v>71</v>
      </c>
      <c r="H13" s="65"/>
      <c r="I13" s="65"/>
    </row>
    <row r="14" spans="1:15" s="8" customFormat="1">
      <c r="A14" s="56" t="s">
        <v>63</v>
      </c>
      <c r="B14" s="57">
        <v>43167</v>
      </c>
      <c r="C14" s="56">
        <v>6</v>
      </c>
      <c r="D14" s="56"/>
      <c r="F14" s="64">
        <v>1</v>
      </c>
      <c r="G14" s="66">
        <v>43173</v>
      </c>
      <c r="H14" s="65">
        <v>17</v>
      </c>
      <c r="I14" s="65" t="s">
        <v>64</v>
      </c>
    </row>
    <row r="15" spans="1:15" s="8" customFormat="1">
      <c r="A15" s="56">
        <v>1</v>
      </c>
      <c r="B15" s="58">
        <v>43173</v>
      </c>
      <c r="C15" s="56">
        <v>17</v>
      </c>
      <c r="D15" s="56" t="s">
        <v>64</v>
      </c>
      <c r="F15" s="64">
        <v>2</v>
      </c>
      <c r="G15" s="66">
        <v>43190</v>
      </c>
      <c r="H15" s="65">
        <v>17</v>
      </c>
      <c r="I15" s="66"/>
    </row>
    <row r="16" spans="1:15" s="8" customFormat="1">
      <c r="A16" s="56">
        <v>2</v>
      </c>
      <c r="B16" s="57">
        <v>43190</v>
      </c>
      <c r="C16" s="56">
        <v>17</v>
      </c>
      <c r="D16" s="56"/>
      <c r="F16" s="64">
        <v>3</v>
      </c>
      <c r="G16" s="66">
        <v>43207</v>
      </c>
      <c r="H16" s="65">
        <v>17</v>
      </c>
      <c r="I16" s="66"/>
    </row>
    <row r="17" spans="1:9" s="8" customFormat="1">
      <c r="A17" s="56">
        <v>3</v>
      </c>
      <c r="B17" s="57">
        <v>43207</v>
      </c>
      <c r="C17" s="56">
        <v>17</v>
      </c>
      <c r="D17" s="56"/>
      <c r="F17" s="64">
        <v>4</v>
      </c>
      <c r="G17" s="66">
        <v>43224</v>
      </c>
      <c r="H17" s="65">
        <v>17</v>
      </c>
      <c r="I17" s="66"/>
    </row>
    <row r="18" spans="1:9" s="8" customFormat="1">
      <c r="A18" s="56">
        <v>4</v>
      </c>
      <c r="B18" s="57">
        <v>43224</v>
      </c>
      <c r="C18" s="56">
        <v>17</v>
      </c>
      <c r="D18" s="56"/>
      <c r="F18" s="64">
        <v>5</v>
      </c>
      <c r="G18" s="66">
        <v>43241</v>
      </c>
      <c r="H18" s="65">
        <v>17</v>
      </c>
      <c r="I18" s="66"/>
    </row>
    <row r="19" spans="1:9" s="8" customFormat="1">
      <c r="A19" s="56">
        <v>5</v>
      </c>
      <c r="B19" s="57">
        <v>43241</v>
      </c>
      <c r="C19" s="56">
        <v>17</v>
      </c>
      <c r="D19" s="56"/>
      <c r="F19" s="64">
        <v>6</v>
      </c>
      <c r="G19" s="66">
        <v>43258</v>
      </c>
      <c r="H19" s="65">
        <v>17</v>
      </c>
      <c r="I19" s="66"/>
    </row>
    <row r="20" spans="1:9" s="8" customFormat="1">
      <c r="A20" s="56">
        <v>6</v>
      </c>
      <c r="B20" s="57">
        <v>43258</v>
      </c>
      <c r="C20" s="56">
        <v>17</v>
      </c>
      <c r="D20" s="56"/>
      <c r="F20" s="64">
        <v>7</v>
      </c>
      <c r="G20" s="66">
        <v>43275</v>
      </c>
      <c r="H20" s="65">
        <v>17</v>
      </c>
      <c r="I20" s="66"/>
    </row>
    <row r="21" spans="1:9" s="8" customFormat="1">
      <c r="A21" s="56">
        <v>7</v>
      </c>
      <c r="B21" s="57">
        <v>43275</v>
      </c>
      <c r="C21" s="56">
        <v>17</v>
      </c>
      <c r="D21" s="56"/>
      <c r="F21" s="64">
        <v>8</v>
      </c>
      <c r="G21" s="66">
        <v>43292</v>
      </c>
      <c r="H21" s="65">
        <v>17</v>
      </c>
      <c r="I21" s="66"/>
    </row>
    <row r="22" spans="1:9" s="8" customFormat="1">
      <c r="A22" s="56">
        <v>8</v>
      </c>
      <c r="B22" s="57">
        <v>43292</v>
      </c>
      <c r="C22" s="56">
        <v>17</v>
      </c>
      <c r="D22" s="56"/>
      <c r="F22" s="64">
        <v>9</v>
      </c>
      <c r="G22" s="66">
        <v>43309</v>
      </c>
      <c r="H22" s="65">
        <v>17</v>
      </c>
      <c r="I22" s="66"/>
    </row>
    <row r="23" spans="1:9" s="8" customFormat="1">
      <c r="A23" s="56">
        <v>9</v>
      </c>
      <c r="B23" s="57">
        <v>43309</v>
      </c>
      <c r="C23" s="56">
        <v>17</v>
      </c>
      <c r="D23" s="56"/>
      <c r="F23" s="64">
        <v>10</v>
      </c>
      <c r="G23" s="66">
        <v>43326</v>
      </c>
      <c r="H23" s="65">
        <v>17</v>
      </c>
      <c r="I23" s="66"/>
    </row>
    <row r="24" spans="1:9" s="8" customFormat="1">
      <c r="A24" s="56">
        <v>10</v>
      </c>
      <c r="B24" s="57">
        <v>43326</v>
      </c>
      <c r="C24" s="56">
        <v>17</v>
      </c>
      <c r="D24" s="56"/>
      <c r="F24" s="64">
        <v>11</v>
      </c>
      <c r="G24" s="66">
        <v>43343</v>
      </c>
      <c r="H24" s="65">
        <v>17</v>
      </c>
      <c r="I24" s="66"/>
    </row>
    <row r="25" spans="1:9" s="8" customFormat="1">
      <c r="A25" s="56">
        <v>11</v>
      </c>
      <c r="B25" s="57">
        <v>43343</v>
      </c>
      <c r="C25" s="56">
        <v>17</v>
      </c>
      <c r="D25" s="56"/>
      <c r="F25" s="64">
        <v>12</v>
      </c>
      <c r="G25" s="66">
        <v>43360</v>
      </c>
      <c r="H25" s="65">
        <v>17</v>
      </c>
      <c r="I25" s="66"/>
    </row>
    <row r="26" spans="1:9" s="8" customFormat="1">
      <c r="A26" s="56">
        <v>12</v>
      </c>
      <c r="B26" s="57">
        <v>43360</v>
      </c>
      <c r="C26" s="56">
        <v>17</v>
      </c>
      <c r="D26" s="56"/>
      <c r="F26" s="64">
        <v>13</v>
      </c>
      <c r="G26" s="66">
        <v>43377</v>
      </c>
      <c r="H26" s="65">
        <v>17</v>
      </c>
      <c r="I26" s="66"/>
    </row>
    <row r="27" spans="1:9" s="8" customFormat="1">
      <c r="A27" s="56">
        <v>13</v>
      </c>
      <c r="B27" s="57">
        <v>43377</v>
      </c>
      <c r="C27" s="56">
        <v>17</v>
      </c>
      <c r="D27" s="56"/>
      <c r="F27" s="64">
        <v>14</v>
      </c>
      <c r="G27" s="66">
        <v>43394</v>
      </c>
      <c r="H27" s="65">
        <v>17</v>
      </c>
      <c r="I27" s="66"/>
    </row>
    <row r="28" spans="1:9" s="8" customFormat="1">
      <c r="A28" s="56">
        <v>14</v>
      </c>
      <c r="B28" s="57">
        <v>43394</v>
      </c>
      <c r="C28" s="56">
        <v>17</v>
      </c>
      <c r="D28" s="56"/>
      <c r="F28" s="64">
        <v>15</v>
      </c>
      <c r="G28" s="66">
        <v>43411</v>
      </c>
      <c r="H28" s="65">
        <v>17</v>
      </c>
      <c r="I28" s="66"/>
    </row>
    <row r="29" spans="1:9" s="8" customFormat="1">
      <c r="A29" s="56">
        <v>15</v>
      </c>
      <c r="B29" s="57">
        <v>43411</v>
      </c>
      <c r="C29" s="56">
        <v>17</v>
      </c>
      <c r="D29" s="56"/>
      <c r="F29" s="64">
        <v>16</v>
      </c>
      <c r="G29" s="66">
        <v>43428</v>
      </c>
      <c r="H29" s="65">
        <v>17</v>
      </c>
      <c r="I29" s="66"/>
    </row>
    <row r="30" spans="1:9" s="8" customFormat="1">
      <c r="A30" s="56">
        <v>16</v>
      </c>
      <c r="B30" s="57">
        <v>43428</v>
      </c>
      <c r="C30" s="56">
        <v>17</v>
      </c>
      <c r="D30" s="56"/>
      <c r="F30" s="64">
        <v>17</v>
      </c>
      <c r="G30" s="66">
        <v>43445</v>
      </c>
      <c r="H30" s="65">
        <v>17</v>
      </c>
      <c r="I30" s="66"/>
    </row>
    <row r="31" spans="1:9" s="8" customFormat="1">
      <c r="A31" s="56">
        <v>17</v>
      </c>
      <c r="B31" s="57">
        <v>43445</v>
      </c>
      <c r="C31" s="56">
        <v>17</v>
      </c>
      <c r="D31" s="56"/>
      <c r="F31" s="64">
        <v>18</v>
      </c>
      <c r="G31" s="66">
        <v>43462</v>
      </c>
      <c r="H31" s="65">
        <v>17</v>
      </c>
      <c r="I31" s="66"/>
    </row>
    <row r="32" spans="1:9" s="8" customFormat="1">
      <c r="A32" s="56">
        <v>18</v>
      </c>
      <c r="B32" s="57">
        <v>43462</v>
      </c>
      <c r="C32" s="56">
        <v>17</v>
      </c>
      <c r="D32" s="56"/>
      <c r="F32" s="64">
        <v>19</v>
      </c>
      <c r="G32" s="66">
        <v>43479</v>
      </c>
      <c r="H32" s="65">
        <v>17</v>
      </c>
      <c r="I32" s="66"/>
    </row>
    <row r="33" spans="1:28" s="8" customFormat="1">
      <c r="A33" s="56">
        <v>19</v>
      </c>
      <c r="B33" s="57">
        <v>43479</v>
      </c>
      <c r="C33" s="56">
        <v>17</v>
      </c>
      <c r="D33" s="56"/>
      <c r="F33" s="64">
        <v>20</v>
      </c>
      <c r="G33" s="66">
        <v>43496</v>
      </c>
      <c r="H33" s="65">
        <v>17</v>
      </c>
      <c r="I33" s="66"/>
    </row>
    <row r="34" spans="1:28">
      <c r="A34" s="56">
        <v>20</v>
      </c>
      <c r="B34" s="57">
        <v>43496</v>
      </c>
      <c r="C34" s="56">
        <v>17</v>
      </c>
      <c r="D34" s="56"/>
      <c r="F34" s="64">
        <v>21</v>
      </c>
      <c r="G34" s="66">
        <v>43513</v>
      </c>
      <c r="H34" s="65">
        <v>17</v>
      </c>
      <c r="I34" s="65"/>
    </row>
    <row r="35" spans="1:28">
      <c r="A35" s="56">
        <v>21</v>
      </c>
      <c r="B35" s="57">
        <v>43513</v>
      </c>
      <c r="C35" s="56">
        <v>17</v>
      </c>
      <c r="D35" s="56"/>
      <c r="F35" s="64" t="s">
        <v>65</v>
      </c>
      <c r="G35" s="66">
        <v>43530</v>
      </c>
      <c r="H35" s="65"/>
      <c r="I35" s="65" t="s">
        <v>66</v>
      </c>
    </row>
    <row r="36" spans="1:28">
      <c r="A36" s="56" t="s">
        <v>65</v>
      </c>
      <c r="B36" s="58">
        <v>43530</v>
      </c>
      <c r="C36" s="56"/>
      <c r="D36" s="56" t="s">
        <v>66</v>
      </c>
      <c r="F36" s="65"/>
      <c r="G36" s="66"/>
      <c r="H36" s="65"/>
      <c r="I36" s="65"/>
    </row>
    <row r="37" spans="1:28">
      <c r="A37" s="56" t="s">
        <v>67</v>
      </c>
      <c r="B37" s="59">
        <v>43546</v>
      </c>
      <c r="C37" s="60">
        <v>16</v>
      </c>
      <c r="D37" s="56" t="s">
        <v>68</v>
      </c>
    </row>
    <row r="38" spans="1:28">
      <c r="A38" s="56"/>
      <c r="B38" s="61"/>
      <c r="C38" s="60"/>
      <c r="D38" s="60"/>
    </row>
    <row r="39" spans="1:28">
      <c r="A39" s="56" t="s">
        <v>69</v>
      </c>
      <c r="B39" s="56">
        <v>357</v>
      </c>
      <c r="C39" s="56">
        <v>357</v>
      </c>
      <c r="D39" s="62">
        <v>98</v>
      </c>
    </row>
    <row r="40" spans="1:28">
      <c r="A40" s="56" t="s">
        <v>70</v>
      </c>
      <c r="B40" s="56"/>
      <c r="C40" s="56">
        <v>379</v>
      </c>
      <c r="D40" s="62"/>
    </row>
    <row r="41" spans="1:28">
      <c r="A41" s="63"/>
      <c r="B41" s="56"/>
      <c r="C41" s="56"/>
      <c r="D41" s="62"/>
    </row>
    <row r="43" spans="1:28">
      <c r="A43" s="186"/>
      <c r="B43" s="187"/>
      <c r="C43" s="187"/>
      <c r="D43" s="187"/>
      <c r="E43" s="188"/>
      <c r="F43" s="187"/>
      <c r="G43" s="187"/>
      <c r="H43" s="189"/>
      <c r="K43" s="186"/>
      <c r="L43" s="187"/>
      <c r="M43" s="187"/>
      <c r="N43" s="187"/>
      <c r="O43" s="188"/>
      <c r="P43" s="187"/>
      <c r="Q43" s="187"/>
      <c r="R43" s="189"/>
      <c r="U43" s="186"/>
      <c r="V43" s="187"/>
      <c r="W43" s="187"/>
      <c r="X43" s="187"/>
      <c r="Y43" s="188"/>
      <c r="Z43" s="187"/>
      <c r="AA43" s="187"/>
      <c r="AB43" s="189"/>
    </row>
    <row r="44" spans="1:28">
      <c r="A44" s="190" t="s">
        <v>350</v>
      </c>
      <c r="B44" s="191"/>
      <c r="C44" s="191"/>
      <c r="D44" s="191"/>
      <c r="E44" s="191"/>
      <c r="F44" s="191"/>
      <c r="G44" s="191"/>
      <c r="H44" s="192"/>
      <c r="K44" s="190" t="s">
        <v>350</v>
      </c>
      <c r="L44" s="191"/>
      <c r="M44" s="191"/>
      <c r="N44" s="191"/>
      <c r="O44" s="191"/>
      <c r="P44" s="191"/>
      <c r="Q44" s="191"/>
      <c r="R44" s="192"/>
      <c r="U44" s="190" t="s">
        <v>350</v>
      </c>
      <c r="V44" s="191"/>
      <c r="W44" s="191"/>
      <c r="X44" s="191"/>
      <c r="Y44" s="191"/>
      <c r="Z44" s="191"/>
      <c r="AA44" s="191"/>
      <c r="AB44" s="192"/>
    </row>
    <row r="45" spans="1:28">
      <c r="A45" s="190" t="s">
        <v>323</v>
      </c>
      <c r="B45" s="193" t="s">
        <v>351</v>
      </c>
      <c r="C45" s="193"/>
      <c r="D45" s="193"/>
      <c r="E45" s="194"/>
      <c r="F45" s="191"/>
      <c r="G45" s="194"/>
      <c r="H45" s="195"/>
      <c r="K45" s="190" t="s">
        <v>1336</v>
      </c>
      <c r="L45" s="193" t="s">
        <v>1337</v>
      </c>
      <c r="M45" s="193"/>
      <c r="N45" s="193"/>
      <c r="O45" s="194"/>
      <c r="P45" s="191"/>
      <c r="Q45" s="194"/>
      <c r="R45" s="195"/>
      <c r="U45" s="190" t="s">
        <v>2001</v>
      </c>
      <c r="V45" s="193" t="s">
        <v>1337</v>
      </c>
      <c r="W45" s="193"/>
      <c r="X45" s="193"/>
      <c r="Y45" s="194"/>
      <c r="Z45" s="191"/>
      <c r="AA45" s="194"/>
      <c r="AB45" s="195"/>
    </row>
    <row r="46" spans="1:28">
      <c r="A46" s="196"/>
      <c r="B46" s="191"/>
      <c r="C46" s="191"/>
      <c r="D46" s="191"/>
      <c r="E46" s="191"/>
      <c r="F46" s="191"/>
      <c r="G46" s="191"/>
      <c r="H46" s="195"/>
      <c r="K46" s="196"/>
      <c r="L46" s="191"/>
      <c r="M46" s="191"/>
      <c r="N46" s="191"/>
      <c r="O46" s="191"/>
      <c r="P46" s="191"/>
      <c r="Q46" s="191"/>
      <c r="R46" s="195"/>
      <c r="U46" s="196"/>
      <c r="V46" s="191"/>
      <c r="W46" s="191"/>
      <c r="X46" s="191"/>
      <c r="Y46" s="191"/>
      <c r="Z46" s="191"/>
      <c r="AA46" s="191"/>
      <c r="AB46" s="195"/>
    </row>
    <row r="47" spans="1:28">
      <c r="A47" s="196" t="s">
        <v>328</v>
      </c>
      <c r="B47" s="191"/>
      <c r="C47" s="191"/>
      <c r="D47" s="191"/>
      <c r="E47" s="191"/>
      <c r="F47" s="191"/>
      <c r="G47" s="202">
        <v>43173</v>
      </c>
      <c r="H47" s="195"/>
      <c r="K47" s="196" t="s">
        <v>328</v>
      </c>
      <c r="L47" s="191"/>
      <c r="M47" s="191"/>
      <c r="N47" s="191"/>
      <c r="O47" s="191"/>
      <c r="P47" s="191"/>
      <c r="Q47" s="191" t="str">
        <f>RIGHT(K47,19)</f>
        <v>03/14/2018 00:00:00</v>
      </c>
      <c r="R47" s="195"/>
      <c r="U47" s="196" t="s">
        <v>2108</v>
      </c>
      <c r="V47" s="191"/>
      <c r="W47" s="191"/>
      <c r="X47" s="191"/>
      <c r="Y47" s="191"/>
      <c r="Z47" s="191"/>
      <c r="AA47" s="191" t="str">
        <f>RIGHT(U47,17)</f>
        <v>03/14/18 00:00:00</v>
      </c>
      <c r="AB47" s="195"/>
    </row>
    <row r="48" spans="1:28">
      <c r="A48" s="196" t="s">
        <v>329</v>
      </c>
      <c r="B48" s="191"/>
      <c r="C48" s="191"/>
      <c r="D48" s="191"/>
      <c r="E48" s="191"/>
      <c r="F48" s="191"/>
      <c r="G48" s="202">
        <v>43190</v>
      </c>
      <c r="H48" s="195"/>
      <c r="K48" s="196" t="s">
        <v>329</v>
      </c>
      <c r="L48" s="191"/>
      <c r="M48" s="191"/>
      <c r="N48" s="191"/>
      <c r="O48" s="191"/>
      <c r="P48" s="191"/>
      <c r="Q48" s="191" t="str">
        <f t="shared" ref="Q48:Q68" si="0">RIGHT(K48,19)</f>
        <v>03/31/2018 00:00:00</v>
      </c>
      <c r="R48" s="195"/>
      <c r="U48" s="196" t="s">
        <v>2109</v>
      </c>
      <c r="V48" s="191"/>
      <c r="W48" s="191"/>
      <c r="X48" s="191"/>
      <c r="Y48" s="191"/>
      <c r="Z48" s="191"/>
      <c r="AA48" s="191" t="str">
        <f t="shared" ref="AA48:AA68" si="1">RIGHT(U48,17)</f>
        <v>03/31/18 00:00:00</v>
      </c>
      <c r="AB48" s="195"/>
    </row>
    <row r="49" spans="1:28">
      <c r="A49" s="196" t="s">
        <v>330</v>
      </c>
      <c r="B49" s="191"/>
      <c r="C49" s="191"/>
      <c r="D49" s="191"/>
      <c r="E49" s="191"/>
      <c r="F49" s="191"/>
      <c r="G49" s="202">
        <v>43207</v>
      </c>
      <c r="H49" s="195"/>
      <c r="K49" s="196" t="s">
        <v>330</v>
      </c>
      <c r="L49" s="191"/>
      <c r="M49" s="191"/>
      <c r="N49" s="191"/>
      <c r="O49" s="191"/>
      <c r="P49" s="191"/>
      <c r="Q49" s="191" t="str">
        <f t="shared" si="0"/>
        <v>04/17/2018 00:00:00</v>
      </c>
      <c r="R49" s="195"/>
      <c r="U49" s="196" t="s">
        <v>2110</v>
      </c>
      <c r="V49" s="191"/>
      <c r="W49" s="191"/>
      <c r="X49" s="191"/>
      <c r="Y49" s="191"/>
      <c r="Z49" s="191"/>
      <c r="AA49" s="191" t="str">
        <f t="shared" si="1"/>
        <v>04/17/18 00:00:00</v>
      </c>
      <c r="AB49" s="195"/>
    </row>
    <row r="50" spans="1:28">
      <c r="A50" s="196" t="s">
        <v>331</v>
      </c>
      <c r="B50" s="191"/>
      <c r="C50" s="191"/>
      <c r="D50" s="191"/>
      <c r="E50" s="191"/>
      <c r="F50" s="191"/>
      <c r="G50" s="202">
        <v>43224</v>
      </c>
      <c r="H50" s="195"/>
      <c r="K50" s="196" t="s">
        <v>331</v>
      </c>
      <c r="L50" s="191"/>
      <c r="M50" s="191"/>
      <c r="N50" s="191"/>
      <c r="O50" s="191"/>
      <c r="P50" s="191"/>
      <c r="Q50" s="191" t="str">
        <f t="shared" si="0"/>
        <v>05/04/2018 00:00:00</v>
      </c>
      <c r="R50" s="195"/>
      <c r="U50" s="196" t="s">
        <v>2111</v>
      </c>
      <c r="V50" s="191"/>
      <c r="W50" s="191"/>
      <c r="X50" s="191"/>
      <c r="Y50" s="191"/>
      <c r="Z50" s="191"/>
      <c r="AA50" s="191" t="str">
        <f t="shared" si="1"/>
        <v>05/04/18 00:00:00</v>
      </c>
      <c r="AB50" s="195"/>
    </row>
    <row r="51" spans="1:28">
      <c r="A51" s="196" t="s">
        <v>332</v>
      </c>
      <c r="B51" s="191"/>
      <c r="C51" s="191"/>
      <c r="D51" s="191"/>
      <c r="E51" s="191"/>
      <c r="F51" s="191"/>
      <c r="G51" s="202">
        <v>43241</v>
      </c>
      <c r="H51" s="195"/>
      <c r="K51" s="196" t="s">
        <v>332</v>
      </c>
      <c r="L51" s="191"/>
      <c r="M51" s="191"/>
      <c r="N51" s="191"/>
      <c r="O51" s="191"/>
      <c r="P51" s="191"/>
      <c r="Q51" s="191" t="str">
        <f t="shared" si="0"/>
        <v>05/21/2018 00:00:00</v>
      </c>
      <c r="R51" s="195"/>
      <c r="U51" s="196" t="s">
        <v>2112</v>
      </c>
      <c r="V51" s="191"/>
      <c r="W51" s="191"/>
      <c r="X51" s="191"/>
      <c r="Y51" s="191"/>
      <c r="Z51" s="191"/>
      <c r="AA51" s="191" t="str">
        <f t="shared" si="1"/>
        <v>05/21/18 00:00:00</v>
      </c>
      <c r="AB51" s="195"/>
    </row>
    <row r="52" spans="1:28">
      <c r="A52" s="196" t="s">
        <v>333</v>
      </c>
      <c r="B52" s="191"/>
      <c r="C52" s="191"/>
      <c r="D52" s="191"/>
      <c r="E52" s="191"/>
      <c r="F52" s="191"/>
      <c r="G52" s="202">
        <v>43258</v>
      </c>
      <c r="H52" s="195"/>
      <c r="K52" s="196" t="s">
        <v>333</v>
      </c>
      <c r="L52" s="191"/>
      <c r="M52" s="191"/>
      <c r="N52" s="191"/>
      <c r="O52" s="191"/>
      <c r="P52" s="191"/>
      <c r="Q52" s="191" t="str">
        <f t="shared" si="0"/>
        <v>06/07/2018 00:00:00</v>
      </c>
      <c r="R52" s="195"/>
      <c r="U52" s="196" t="s">
        <v>2113</v>
      </c>
      <c r="V52" s="191"/>
      <c r="W52" s="191"/>
      <c r="X52" s="191"/>
      <c r="Y52" s="191"/>
      <c r="Z52" s="191"/>
      <c r="AA52" s="191" t="str">
        <f t="shared" si="1"/>
        <v>06/07/18 00:00:00</v>
      </c>
      <c r="AB52" s="195"/>
    </row>
    <row r="53" spans="1:28">
      <c r="A53" s="196" t="s">
        <v>334</v>
      </c>
      <c r="B53" s="191"/>
      <c r="C53" s="191"/>
      <c r="D53" s="191"/>
      <c r="E53" s="191"/>
      <c r="F53" s="191"/>
      <c r="G53" s="202">
        <v>43275</v>
      </c>
      <c r="H53" s="195"/>
      <c r="K53" s="196" t="s">
        <v>334</v>
      </c>
      <c r="L53" s="191"/>
      <c r="M53" s="191"/>
      <c r="N53" s="191"/>
      <c r="O53" s="191"/>
      <c r="P53" s="191"/>
      <c r="Q53" s="191" t="str">
        <f t="shared" si="0"/>
        <v>06/24/2018 00:00:00</v>
      </c>
      <c r="R53" s="195"/>
      <c r="U53" s="196" t="s">
        <v>2114</v>
      </c>
      <c r="V53" s="191"/>
      <c r="W53" s="191"/>
      <c r="X53" s="191"/>
      <c r="Y53" s="191"/>
      <c r="Z53" s="191"/>
      <c r="AA53" s="191" t="str">
        <f t="shared" si="1"/>
        <v>06/24/18 00:00:00</v>
      </c>
      <c r="AB53" s="195"/>
    </row>
    <row r="54" spans="1:28">
      <c r="A54" s="196" t="s">
        <v>335</v>
      </c>
      <c r="B54" s="191"/>
      <c r="C54" s="191"/>
      <c r="D54" s="191"/>
      <c r="E54" s="191"/>
      <c r="F54" s="191"/>
      <c r="G54" s="202">
        <v>43292</v>
      </c>
      <c r="H54" s="195"/>
      <c r="K54" s="196" t="s">
        <v>335</v>
      </c>
      <c r="L54" s="191"/>
      <c r="M54" s="191"/>
      <c r="N54" s="191"/>
      <c r="O54" s="191"/>
      <c r="P54" s="191"/>
      <c r="Q54" s="191" t="str">
        <f t="shared" si="0"/>
        <v>07/11/2018 00:00:00</v>
      </c>
      <c r="R54" s="195"/>
      <c r="U54" s="196" t="s">
        <v>2115</v>
      </c>
      <c r="V54" s="191"/>
      <c r="W54" s="191"/>
      <c r="X54" s="191"/>
      <c r="Y54" s="191"/>
      <c r="Z54" s="191"/>
      <c r="AA54" s="191" t="str">
        <f t="shared" si="1"/>
        <v>07/11/18 00:00:00</v>
      </c>
      <c r="AB54" s="195"/>
    </row>
    <row r="55" spans="1:28">
      <c r="A55" s="196" t="s">
        <v>336</v>
      </c>
      <c r="B55" s="191"/>
      <c r="C55" s="191"/>
      <c r="D55" s="191"/>
      <c r="E55" s="191"/>
      <c r="F55" s="191"/>
      <c r="G55" s="202">
        <v>43309</v>
      </c>
      <c r="H55" s="195"/>
      <c r="K55" s="196" t="s">
        <v>336</v>
      </c>
      <c r="L55" s="191"/>
      <c r="M55" s="191"/>
      <c r="N55" s="191"/>
      <c r="O55" s="191"/>
      <c r="P55" s="191"/>
      <c r="Q55" s="191" t="str">
        <f t="shared" si="0"/>
        <v>07/28/2018 00:00:00</v>
      </c>
      <c r="R55" s="195"/>
      <c r="U55" s="196" t="s">
        <v>2116</v>
      </c>
      <c r="V55" s="191"/>
      <c r="W55" s="191"/>
      <c r="X55" s="191"/>
      <c r="Y55" s="191"/>
      <c r="Z55" s="191"/>
      <c r="AA55" s="191" t="str">
        <f t="shared" si="1"/>
        <v>07/28/18 00:00:00</v>
      </c>
      <c r="AB55" s="195"/>
    </row>
    <row r="56" spans="1:28">
      <c r="A56" s="196" t="s">
        <v>337</v>
      </c>
      <c r="B56" s="191"/>
      <c r="C56" s="191"/>
      <c r="D56" s="191"/>
      <c r="E56" s="191"/>
      <c r="F56" s="191"/>
      <c r="G56" s="202">
        <v>43326</v>
      </c>
      <c r="H56" s="195"/>
      <c r="K56" s="196" t="s">
        <v>337</v>
      </c>
      <c r="L56" s="191"/>
      <c r="M56" s="191"/>
      <c r="N56" s="191"/>
      <c r="O56" s="191"/>
      <c r="P56" s="191"/>
      <c r="Q56" s="191" t="str">
        <f t="shared" si="0"/>
        <v>08/14/2018 00:00:00</v>
      </c>
      <c r="R56" s="195"/>
      <c r="U56" s="196" t="s">
        <v>2117</v>
      </c>
      <c r="V56" s="191"/>
      <c r="W56" s="191"/>
      <c r="X56" s="191"/>
      <c r="Y56" s="191"/>
      <c r="Z56" s="191"/>
      <c r="AA56" s="191" t="str">
        <f t="shared" si="1"/>
        <v>08/14/18 00:00:00</v>
      </c>
      <c r="AB56" s="195"/>
    </row>
    <row r="57" spans="1:28">
      <c r="A57" s="196" t="s">
        <v>338</v>
      </c>
      <c r="B57" s="191"/>
      <c r="C57" s="191"/>
      <c r="D57" s="191"/>
      <c r="E57" s="191"/>
      <c r="F57" s="191"/>
      <c r="G57" s="202">
        <v>43343</v>
      </c>
      <c r="H57" s="195"/>
      <c r="K57" s="196" t="s">
        <v>338</v>
      </c>
      <c r="L57" s="191"/>
      <c r="M57" s="191"/>
      <c r="N57" s="191"/>
      <c r="O57" s="191"/>
      <c r="P57" s="191"/>
      <c r="Q57" s="191" t="str">
        <f t="shared" si="0"/>
        <v>08/31/2018 00:00:00</v>
      </c>
      <c r="R57" s="195"/>
      <c r="U57" s="196" t="s">
        <v>2118</v>
      </c>
      <c r="V57" s="191"/>
      <c r="W57" s="191"/>
      <c r="X57" s="191"/>
      <c r="Y57" s="191"/>
      <c r="Z57" s="191"/>
      <c r="AA57" s="191" t="str">
        <f t="shared" si="1"/>
        <v>08/31/18 00:00:00</v>
      </c>
      <c r="AB57" s="195"/>
    </row>
    <row r="58" spans="1:28">
      <c r="A58" s="196" t="s">
        <v>339</v>
      </c>
      <c r="B58" s="191"/>
      <c r="C58" s="191"/>
      <c r="D58" s="191"/>
      <c r="E58" s="191"/>
      <c r="F58" s="191"/>
      <c r="G58" s="202">
        <v>43360</v>
      </c>
      <c r="H58" s="195"/>
      <c r="K58" s="196" t="s">
        <v>339</v>
      </c>
      <c r="L58" s="191"/>
      <c r="M58" s="191"/>
      <c r="N58" s="191"/>
      <c r="O58" s="191"/>
      <c r="P58" s="191"/>
      <c r="Q58" s="191" t="str">
        <f t="shared" si="0"/>
        <v>09/17/2018 00:00:00</v>
      </c>
      <c r="R58" s="195"/>
      <c r="U58" s="196" t="s">
        <v>2119</v>
      </c>
      <c r="V58" s="191"/>
      <c r="W58" s="191"/>
      <c r="X58" s="191"/>
      <c r="Y58" s="191"/>
      <c r="Z58" s="191"/>
      <c r="AA58" s="191" t="str">
        <f t="shared" si="1"/>
        <v>09/17/18 00:00:00</v>
      </c>
      <c r="AB58" s="195"/>
    </row>
    <row r="59" spans="1:28">
      <c r="A59" s="196" t="s">
        <v>340</v>
      </c>
      <c r="B59" s="191"/>
      <c r="C59" s="191"/>
      <c r="D59" s="191"/>
      <c r="E59" s="191"/>
      <c r="F59" s="191"/>
      <c r="G59" s="202">
        <v>43377</v>
      </c>
      <c r="H59" s="195"/>
      <c r="K59" s="196" t="s">
        <v>340</v>
      </c>
      <c r="L59" s="191"/>
      <c r="M59" s="191"/>
      <c r="N59" s="191"/>
      <c r="O59" s="191"/>
      <c r="P59" s="191"/>
      <c r="Q59" s="191" t="str">
        <f t="shared" si="0"/>
        <v>10/04/2018 00:00:00</v>
      </c>
      <c r="R59" s="195"/>
      <c r="U59" s="196" t="s">
        <v>2120</v>
      </c>
      <c r="V59" s="191"/>
      <c r="W59" s="191"/>
      <c r="X59" s="191"/>
      <c r="Y59" s="191"/>
      <c r="Z59" s="191"/>
      <c r="AA59" s="191" t="str">
        <f t="shared" si="1"/>
        <v>10/04/18 00:00:00</v>
      </c>
      <c r="AB59" s="195"/>
    </row>
    <row r="60" spans="1:28">
      <c r="A60" s="196" t="s">
        <v>341</v>
      </c>
      <c r="B60" s="191"/>
      <c r="C60" s="191"/>
      <c r="D60" s="191"/>
      <c r="E60" s="191"/>
      <c r="F60" s="191"/>
      <c r="G60" s="202">
        <v>43394</v>
      </c>
      <c r="H60" s="195"/>
      <c r="K60" s="196" t="s">
        <v>341</v>
      </c>
      <c r="L60" s="191"/>
      <c r="M60" s="191"/>
      <c r="N60" s="191"/>
      <c r="O60" s="191"/>
      <c r="P60" s="191"/>
      <c r="Q60" s="191" t="str">
        <f t="shared" si="0"/>
        <v>10/21/2018 00:00:00</v>
      </c>
      <c r="R60" s="195"/>
      <c r="U60" s="196" t="s">
        <v>2121</v>
      </c>
      <c r="V60" s="191"/>
      <c r="W60" s="191"/>
      <c r="X60" s="191"/>
      <c r="Y60" s="191"/>
      <c r="Z60" s="191"/>
      <c r="AA60" s="191" t="str">
        <f t="shared" si="1"/>
        <v>10/21/18 00:00:00</v>
      </c>
      <c r="AB60" s="195"/>
    </row>
    <row r="61" spans="1:28">
      <c r="A61" s="196" t="s">
        <v>342</v>
      </c>
      <c r="B61" s="191"/>
      <c r="C61" s="191"/>
      <c r="D61" s="191"/>
      <c r="E61" s="191"/>
      <c r="F61" s="191"/>
      <c r="G61" s="202">
        <v>43411</v>
      </c>
      <c r="H61" s="195"/>
      <c r="K61" s="196" t="s">
        <v>342</v>
      </c>
      <c r="L61" s="191"/>
      <c r="M61" s="191"/>
      <c r="N61" s="191"/>
      <c r="O61" s="191"/>
      <c r="P61" s="191"/>
      <c r="Q61" s="191" t="str">
        <f t="shared" si="0"/>
        <v>11/07/2018 00:00:00</v>
      </c>
      <c r="R61" s="195"/>
      <c r="U61" s="196" t="s">
        <v>2122</v>
      </c>
      <c r="V61" s="191"/>
      <c r="W61" s="191"/>
      <c r="X61" s="191"/>
      <c r="Y61" s="191"/>
      <c r="Z61" s="191"/>
      <c r="AA61" s="191" t="str">
        <f t="shared" si="1"/>
        <v>11/07/18 00:00:00</v>
      </c>
      <c r="AB61" s="195"/>
    </row>
    <row r="62" spans="1:28">
      <c r="A62" s="196" t="s">
        <v>343</v>
      </c>
      <c r="B62" s="191"/>
      <c r="C62" s="191"/>
      <c r="D62" s="191"/>
      <c r="E62" s="191"/>
      <c r="F62" s="191"/>
      <c r="G62" s="202">
        <v>43428</v>
      </c>
      <c r="H62" s="195"/>
      <c r="K62" s="196" t="s">
        <v>343</v>
      </c>
      <c r="L62" s="191"/>
      <c r="M62" s="191"/>
      <c r="N62" s="191"/>
      <c r="O62" s="191"/>
      <c r="P62" s="191"/>
      <c r="Q62" s="191" t="str">
        <f t="shared" si="0"/>
        <v>11/24/2018 00:00:00</v>
      </c>
      <c r="R62" s="195"/>
      <c r="U62" s="196" t="s">
        <v>2123</v>
      </c>
      <c r="V62" s="191"/>
      <c r="W62" s="191"/>
      <c r="X62" s="191"/>
      <c r="Y62" s="191"/>
      <c r="Z62" s="191"/>
      <c r="AA62" s="191" t="str">
        <f t="shared" si="1"/>
        <v>11/24/18 00:00:00</v>
      </c>
      <c r="AB62" s="195"/>
    </row>
    <row r="63" spans="1:28">
      <c r="A63" s="196" t="s">
        <v>344</v>
      </c>
      <c r="B63" s="191"/>
      <c r="C63" s="191"/>
      <c r="D63" s="191"/>
      <c r="E63" s="191"/>
      <c r="F63" s="191"/>
      <c r="G63" s="202">
        <v>43445</v>
      </c>
      <c r="H63" s="195"/>
      <c r="K63" s="196" t="s">
        <v>344</v>
      </c>
      <c r="L63" s="191"/>
      <c r="M63" s="191"/>
      <c r="N63" s="191"/>
      <c r="O63" s="191"/>
      <c r="P63" s="191"/>
      <c r="Q63" s="191" t="str">
        <f t="shared" si="0"/>
        <v>12/11/2018 00:00:00</v>
      </c>
      <c r="R63" s="195"/>
      <c r="U63" s="196" t="s">
        <v>2124</v>
      </c>
      <c r="V63" s="191"/>
      <c r="W63" s="191"/>
      <c r="X63" s="191"/>
      <c r="Y63" s="191"/>
      <c r="Z63" s="191"/>
      <c r="AA63" s="191" t="str">
        <f t="shared" si="1"/>
        <v>12/11/18 00:00:00</v>
      </c>
      <c r="AB63" s="195"/>
    </row>
    <row r="64" spans="1:28">
      <c r="A64" s="196" t="s">
        <v>345</v>
      </c>
      <c r="B64" s="191"/>
      <c r="C64" s="191"/>
      <c r="D64" s="191"/>
      <c r="E64" s="191"/>
      <c r="F64" s="191"/>
      <c r="G64" s="202">
        <v>43462</v>
      </c>
      <c r="H64" s="195"/>
      <c r="K64" s="196" t="s">
        <v>345</v>
      </c>
      <c r="L64" s="191"/>
      <c r="M64" s="191"/>
      <c r="N64" s="191"/>
      <c r="O64" s="191"/>
      <c r="P64" s="191"/>
      <c r="Q64" s="191" t="str">
        <f t="shared" si="0"/>
        <v>12/28/2018 00:00:00</v>
      </c>
      <c r="R64" s="195"/>
      <c r="U64" s="196" t="s">
        <v>2125</v>
      </c>
      <c r="V64" s="191"/>
      <c r="W64" s="191"/>
      <c r="X64" s="191"/>
      <c r="Y64" s="191"/>
      <c r="Z64" s="191"/>
      <c r="AA64" s="191" t="str">
        <f t="shared" si="1"/>
        <v>12/28/18 00:00:00</v>
      </c>
      <c r="AB64" s="195"/>
    </row>
    <row r="65" spans="1:28">
      <c r="A65" s="196" t="s">
        <v>346</v>
      </c>
      <c r="B65" s="191"/>
      <c r="C65" s="191"/>
      <c r="D65" s="191"/>
      <c r="E65" s="191"/>
      <c r="F65" s="191"/>
      <c r="G65" s="202">
        <v>43479</v>
      </c>
      <c r="H65" s="195"/>
      <c r="K65" s="196" t="s">
        <v>346</v>
      </c>
      <c r="L65" s="191"/>
      <c r="M65" s="191"/>
      <c r="N65" s="191"/>
      <c r="O65" s="191"/>
      <c r="P65" s="191"/>
      <c r="Q65" s="191" t="str">
        <f t="shared" si="0"/>
        <v>01/14/2019 00:00:00</v>
      </c>
      <c r="R65" s="195"/>
      <c r="U65" s="196" t="s">
        <v>2126</v>
      </c>
      <c r="V65" s="191"/>
      <c r="W65" s="191"/>
      <c r="X65" s="191"/>
      <c r="Y65" s="191"/>
      <c r="Z65" s="191"/>
      <c r="AA65" s="191" t="str">
        <f t="shared" si="1"/>
        <v>01/14/19 00:00:00</v>
      </c>
      <c r="AB65" s="195"/>
    </row>
    <row r="66" spans="1:28">
      <c r="A66" s="196" t="s">
        <v>347</v>
      </c>
      <c r="B66" s="191"/>
      <c r="C66" s="191"/>
      <c r="D66" s="191"/>
      <c r="E66" s="191"/>
      <c r="F66" s="191"/>
      <c r="G66" s="202">
        <v>43496</v>
      </c>
      <c r="H66" s="195"/>
      <c r="K66" s="196" t="s">
        <v>347</v>
      </c>
      <c r="L66" s="191"/>
      <c r="M66" s="191"/>
      <c r="N66" s="191"/>
      <c r="O66" s="191"/>
      <c r="P66" s="191"/>
      <c r="Q66" s="191" t="str">
        <f t="shared" si="0"/>
        <v>01/31/2019 00:00:00</v>
      </c>
      <c r="R66" s="195"/>
      <c r="U66" s="196" t="s">
        <v>2127</v>
      </c>
      <c r="V66" s="191"/>
      <c r="W66" s="191"/>
      <c r="X66" s="191"/>
      <c r="Y66" s="191"/>
      <c r="Z66" s="191"/>
      <c r="AA66" s="191" t="str">
        <f t="shared" si="1"/>
        <v>01/31/19 00:00:00</v>
      </c>
      <c r="AB66" s="195"/>
    </row>
    <row r="67" spans="1:28">
      <c r="A67" s="196" t="s">
        <v>348</v>
      </c>
      <c r="B67" s="191"/>
      <c r="C67" s="191"/>
      <c r="D67" s="191"/>
      <c r="E67" s="191"/>
      <c r="F67" s="191"/>
      <c r="G67" s="202">
        <v>43513</v>
      </c>
      <c r="H67" s="195"/>
      <c r="K67" s="196" t="s">
        <v>348</v>
      </c>
      <c r="L67" s="191"/>
      <c r="M67" s="191"/>
      <c r="N67" s="191"/>
      <c r="O67" s="191"/>
      <c r="P67" s="191"/>
      <c r="Q67" s="191" t="str">
        <f t="shared" si="0"/>
        <v>02/17/2019 00:00:00</v>
      </c>
      <c r="R67" s="195"/>
      <c r="U67" s="196" t="s">
        <v>2128</v>
      </c>
      <c r="V67" s="191"/>
      <c r="W67" s="191"/>
      <c r="X67" s="191"/>
      <c r="Y67" s="191"/>
      <c r="Z67" s="191"/>
      <c r="AA67" s="191" t="str">
        <f t="shared" si="1"/>
        <v>02/17/19 00:00:00</v>
      </c>
      <c r="AB67" s="195"/>
    </row>
    <row r="68" spans="1:28">
      <c r="A68" s="196" t="s">
        <v>349</v>
      </c>
      <c r="B68" s="191"/>
      <c r="C68" s="191"/>
      <c r="D68" s="191"/>
      <c r="E68" s="191"/>
      <c r="F68" s="191"/>
      <c r="G68" s="202">
        <v>43530</v>
      </c>
      <c r="H68" s="195"/>
      <c r="K68" s="196" t="s">
        <v>349</v>
      </c>
      <c r="L68" s="191"/>
      <c r="M68" s="191"/>
      <c r="N68" s="191"/>
      <c r="O68" s="191"/>
      <c r="P68" s="191"/>
      <c r="Q68" s="191" t="str">
        <f t="shared" si="0"/>
        <v>03/06/2019 00:00:00</v>
      </c>
      <c r="R68" s="195"/>
      <c r="U68" s="196" t="s">
        <v>2129</v>
      </c>
      <c r="V68" s="191"/>
      <c r="W68" s="191"/>
      <c r="X68" s="191"/>
      <c r="Y68" s="191"/>
      <c r="Z68" s="191"/>
      <c r="AA68" s="191" t="str">
        <f t="shared" si="1"/>
        <v>03/06/19 00:00:00</v>
      </c>
      <c r="AB68" s="195"/>
    </row>
    <row r="69" spans="1:28">
      <c r="A69" s="197"/>
      <c r="B69" s="198"/>
      <c r="C69" s="198"/>
      <c r="D69" s="198"/>
      <c r="E69" s="198"/>
      <c r="F69" s="198"/>
      <c r="G69" s="198"/>
      <c r="H69" s="199"/>
      <c r="K69" s="197"/>
      <c r="L69" s="198"/>
      <c r="M69" s="198"/>
      <c r="N69" s="198"/>
      <c r="O69" s="198"/>
      <c r="P69" s="198"/>
      <c r="Q69" s="198"/>
      <c r="R69" s="199"/>
      <c r="U69" s="197"/>
      <c r="V69" s="198"/>
      <c r="W69" s="198"/>
      <c r="X69" s="198"/>
      <c r="Y69" s="198"/>
      <c r="Z69" s="198"/>
      <c r="AA69" s="198"/>
      <c r="AB69" s="199"/>
    </row>
    <row r="70" spans="1:28">
      <c r="A70" s="95" t="s">
        <v>352</v>
      </c>
      <c r="K70" s="201" t="s">
        <v>1338</v>
      </c>
      <c r="U70" s="201" t="s">
        <v>2002</v>
      </c>
    </row>
    <row r="71" spans="1:28">
      <c r="A71" s="51" t="s">
        <v>2459</v>
      </c>
      <c r="K71" s="51" t="s">
        <v>2455</v>
      </c>
      <c r="U71" s="51" t="s">
        <v>2456</v>
      </c>
    </row>
    <row r="72" spans="1:28">
      <c r="A72" s="51" t="s">
        <v>2408</v>
      </c>
      <c r="K72" s="51" t="s">
        <v>2408</v>
      </c>
      <c r="U72" s="51" t="s">
        <v>2408</v>
      </c>
    </row>
    <row r="73" spans="1:28">
      <c r="A73" s="51" t="s">
        <v>353</v>
      </c>
      <c r="K73" s="51" t="s">
        <v>353</v>
      </c>
      <c r="U73" s="51" t="s">
        <v>353</v>
      </c>
    </row>
    <row r="74" spans="1:28">
      <c r="A74" s="51" t="s">
        <v>2458</v>
      </c>
      <c r="K74" s="51" t="s">
        <v>2409</v>
      </c>
      <c r="U74" s="51" t="s">
        <v>2458</v>
      </c>
    </row>
    <row r="75" spans="1:28">
      <c r="A75" s="51" t="s">
        <v>2460</v>
      </c>
      <c r="K75" s="51" t="s">
        <v>2454</v>
      </c>
      <c r="U75" s="51" t="s">
        <v>2460</v>
      </c>
    </row>
    <row r="76" spans="1:28">
      <c r="R76" s="184"/>
    </row>
    <row r="77" spans="1:28" ht="18">
      <c r="A77" s="185" t="s">
        <v>354</v>
      </c>
      <c r="K77" s="185" t="s">
        <v>354</v>
      </c>
      <c r="O77" s="184"/>
      <c r="Q77" s="184"/>
      <c r="U77" s="185" t="s">
        <v>354</v>
      </c>
    </row>
    <row r="79" spans="1:28">
      <c r="A79" t="s">
        <v>355</v>
      </c>
      <c r="K79" t="s">
        <v>1059</v>
      </c>
      <c r="U79" t="s">
        <v>1711</v>
      </c>
    </row>
    <row r="80" spans="1:28">
      <c r="A80" t="s">
        <v>356</v>
      </c>
      <c r="K80" t="s">
        <v>1059</v>
      </c>
      <c r="U80" t="s">
        <v>1712</v>
      </c>
    </row>
    <row r="81" spans="1:21">
      <c r="A81" t="s">
        <v>357</v>
      </c>
      <c r="K81" t="s">
        <v>1060</v>
      </c>
      <c r="U81" t="s">
        <v>1713</v>
      </c>
    </row>
    <row r="82" spans="1:21">
      <c r="A82" t="s">
        <v>358</v>
      </c>
      <c r="K82" t="s">
        <v>1061</v>
      </c>
      <c r="U82" t="s">
        <v>1713</v>
      </c>
    </row>
    <row r="83" spans="1:21">
      <c r="A83" t="s">
        <v>359</v>
      </c>
      <c r="K83" t="s">
        <v>1062</v>
      </c>
      <c r="U83" t="s">
        <v>1714</v>
      </c>
    </row>
    <row r="84" spans="1:21">
      <c r="A84" t="s">
        <v>360</v>
      </c>
      <c r="K84" t="s">
        <v>1063</v>
      </c>
      <c r="L84" s="6" t="s">
        <v>362</v>
      </c>
      <c r="U84" t="s">
        <v>1715</v>
      </c>
    </row>
    <row r="85" spans="1:21">
      <c r="A85" t="s">
        <v>361</v>
      </c>
      <c r="B85" t="s">
        <v>362</v>
      </c>
      <c r="K85" t="s">
        <v>1064</v>
      </c>
      <c r="L85" t="s">
        <v>364</v>
      </c>
      <c r="U85" t="s">
        <v>1716</v>
      </c>
    </row>
    <row r="86" spans="1:21">
      <c r="A86" t="s">
        <v>363</v>
      </c>
      <c r="B86" t="s">
        <v>364</v>
      </c>
      <c r="K86" t="s">
        <v>1065</v>
      </c>
      <c r="L86" t="s">
        <v>366</v>
      </c>
      <c r="U86" t="s">
        <v>1717</v>
      </c>
    </row>
    <row r="87" spans="1:21">
      <c r="A87" t="s">
        <v>365</v>
      </c>
      <c r="B87" t="s">
        <v>366</v>
      </c>
      <c r="K87" t="s">
        <v>1066</v>
      </c>
      <c r="L87" t="s">
        <v>1067</v>
      </c>
      <c r="U87" t="s">
        <v>1718</v>
      </c>
    </row>
    <row r="88" spans="1:21">
      <c r="A88" t="s">
        <v>367</v>
      </c>
      <c r="B88" t="s">
        <v>368</v>
      </c>
      <c r="K88" t="s">
        <v>1068</v>
      </c>
      <c r="U88" t="s">
        <v>1719</v>
      </c>
    </row>
    <row r="89" spans="1:21">
      <c r="A89" t="s">
        <v>369</v>
      </c>
      <c r="K89" t="s">
        <v>1069</v>
      </c>
      <c r="L89" t="s">
        <v>370</v>
      </c>
      <c r="U89" t="s">
        <v>1720</v>
      </c>
    </row>
    <row r="90" spans="1:21">
      <c r="A90" t="s">
        <v>369</v>
      </c>
      <c r="B90" t="s">
        <v>370</v>
      </c>
      <c r="K90" t="s">
        <v>1070</v>
      </c>
      <c r="L90" t="s">
        <v>372</v>
      </c>
      <c r="U90" t="s">
        <v>1721</v>
      </c>
    </row>
    <row r="91" spans="1:21">
      <c r="A91" t="s">
        <v>371</v>
      </c>
      <c r="B91" t="s">
        <v>372</v>
      </c>
      <c r="K91" t="s">
        <v>1071</v>
      </c>
      <c r="L91" t="s">
        <v>370</v>
      </c>
      <c r="U91" t="s">
        <v>1722</v>
      </c>
    </row>
    <row r="92" spans="1:21">
      <c r="A92" t="s">
        <v>373</v>
      </c>
      <c r="B92" t="s">
        <v>370</v>
      </c>
      <c r="K92" t="s">
        <v>1072</v>
      </c>
      <c r="L92" t="s">
        <v>1073</v>
      </c>
      <c r="U92" t="s">
        <v>1723</v>
      </c>
    </row>
    <row r="93" spans="1:21">
      <c r="A93" t="s">
        <v>374</v>
      </c>
      <c r="B93" t="s">
        <v>375</v>
      </c>
      <c r="K93" t="s">
        <v>1074</v>
      </c>
      <c r="U93" t="s">
        <v>1724</v>
      </c>
    </row>
    <row r="94" spans="1:21">
      <c r="A94" t="s">
        <v>376</v>
      </c>
      <c r="K94" t="s">
        <v>1075</v>
      </c>
      <c r="L94" t="s">
        <v>378</v>
      </c>
      <c r="U94" t="s">
        <v>1725</v>
      </c>
    </row>
    <row r="95" spans="1:21">
      <c r="A95" t="s">
        <v>377</v>
      </c>
      <c r="B95" t="s">
        <v>378</v>
      </c>
      <c r="K95" t="s">
        <v>1076</v>
      </c>
      <c r="L95" t="s">
        <v>380</v>
      </c>
      <c r="U95" t="s">
        <v>1726</v>
      </c>
    </row>
    <row r="96" spans="1:21">
      <c r="A96" t="s">
        <v>379</v>
      </c>
      <c r="B96" t="s">
        <v>380</v>
      </c>
      <c r="K96" t="s">
        <v>1077</v>
      </c>
      <c r="L96" t="s">
        <v>382</v>
      </c>
      <c r="U96" t="s">
        <v>1727</v>
      </c>
    </row>
    <row r="97" spans="1:21">
      <c r="A97" t="s">
        <v>381</v>
      </c>
      <c r="B97" t="s">
        <v>382</v>
      </c>
      <c r="K97" t="s">
        <v>1078</v>
      </c>
      <c r="L97" t="s">
        <v>384</v>
      </c>
      <c r="U97" t="s">
        <v>1728</v>
      </c>
    </row>
    <row r="98" spans="1:21">
      <c r="A98" t="s">
        <v>383</v>
      </c>
      <c r="B98" t="s">
        <v>384</v>
      </c>
      <c r="K98" t="s">
        <v>1079</v>
      </c>
      <c r="U98" t="s">
        <v>1729</v>
      </c>
    </row>
    <row r="99" spans="1:21">
      <c r="A99" t="s">
        <v>385</v>
      </c>
      <c r="K99" t="s">
        <v>1080</v>
      </c>
      <c r="L99" t="s">
        <v>386</v>
      </c>
      <c r="U99" t="s">
        <v>1730</v>
      </c>
    </row>
    <row r="100" spans="1:21">
      <c r="A100" t="s">
        <v>385</v>
      </c>
      <c r="B100" t="s">
        <v>386</v>
      </c>
      <c r="K100" t="s">
        <v>1081</v>
      </c>
      <c r="U100" t="s">
        <v>1731</v>
      </c>
    </row>
    <row r="101" spans="1:21">
      <c r="A101" t="s">
        <v>387</v>
      </c>
      <c r="K101" t="s">
        <v>1082</v>
      </c>
      <c r="U101" t="s">
        <v>1732</v>
      </c>
    </row>
    <row r="102" spans="1:21">
      <c r="A102" t="s">
        <v>388</v>
      </c>
      <c r="K102" t="s">
        <v>1083</v>
      </c>
      <c r="U102" t="s">
        <v>1733</v>
      </c>
    </row>
    <row r="103" spans="1:21">
      <c r="A103" t="s">
        <v>389</v>
      </c>
      <c r="K103" t="s">
        <v>1084</v>
      </c>
      <c r="U103" t="s">
        <v>1734</v>
      </c>
    </row>
    <row r="104" spans="1:21">
      <c r="A104" t="s">
        <v>390</v>
      </c>
      <c r="K104" t="s">
        <v>1085</v>
      </c>
      <c r="U104" t="s">
        <v>1735</v>
      </c>
    </row>
    <row r="105" spans="1:21">
      <c r="A105" t="s">
        <v>391</v>
      </c>
      <c r="K105" t="s">
        <v>1086</v>
      </c>
      <c r="U105" t="s">
        <v>1736</v>
      </c>
    </row>
    <row r="106" spans="1:21">
      <c r="A106" t="s">
        <v>392</v>
      </c>
      <c r="K106" t="s">
        <v>1087</v>
      </c>
      <c r="U106" t="s">
        <v>1737</v>
      </c>
    </row>
    <row r="107" spans="1:21">
      <c r="A107" t="s">
        <v>393</v>
      </c>
      <c r="K107" t="s">
        <v>1088</v>
      </c>
      <c r="U107" t="s">
        <v>1738</v>
      </c>
    </row>
    <row r="108" spans="1:21">
      <c r="A108" t="s">
        <v>394</v>
      </c>
      <c r="K108" t="s">
        <v>1088</v>
      </c>
      <c r="U108" t="s">
        <v>1739</v>
      </c>
    </row>
    <row r="109" spans="1:21">
      <c r="A109" t="s">
        <v>394</v>
      </c>
      <c r="K109" t="s">
        <v>1089</v>
      </c>
      <c r="U109" t="s">
        <v>1740</v>
      </c>
    </row>
    <row r="110" spans="1:21">
      <c r="A110" t="s">
        <v>395</v>
      </c>
      <c r="K110" t="s">
        <v>1090</v>
      </c>
      <c r="U110" t="s">
        <v>1741</v>
      </c>
    </row>
    <row r="111" spans="1:21">
      <c r="A111" t="s">
        <v>396</v>
      </c>
      <c r="K111" t="s">
        <v>1091</v>
      </c>
      <c r="U111" t="s">
        <v>1741</v>
      </c>
    </row>
    <row r="112" spans="1:21">
      <c r="A112" t="s">
        <v>397</v>
      </c>
      <c r="K112" t="s">
        <v>1092</v>
      </c>
      <c r="U112" t="s">
        <v>1742</v>
      </c>
    </row>
    <row r="113" spans="1:21">
      <c r="A113" t="s">
        <v>398</v>
      </c>
      <c r="K113" t="s">
        <v>1093</v>
      </c>
      <c r="U113" t="s">
        <v>1743</v>
      </c>
    </row>
    <row r="114" spans="1:21">
      <c r="A114" t="s">
        <v>399</v>
      </c>
      <c r="K114" t="s">
        <v>1094</v>
      </c>
      <c r="U114" t="s">
        <v>1744</v>
      </c>
    </row>
    <row r="115" spans="1:21">
      <c r="A115" t="s">
        <v>400</v>
      </c>
      <c r="K115" t="s">
        <v>1094</v>
      </c>
      <c r="U115" t="s">
        <v>1745</v>
      </c>
    </row>
    <row r="116" spans="1:21">
      <c r="A116" t="s">
        <v>401</v>
      </c>
      <c r="K116" t="s">
        <v>1095</v>
      </c>
      <c r="U116" t="s">
        <v>1746</v>
      </c>
    </row>
    <row r="117" spans="1:21">
      <c r="A117" t="s">
        <v>402</v>
      </c>
      <c r="K117" t="s">
        <v>1096</v>
      </c>
      <c r="U117" t="s">
        <v>1747</v>
      </c>
    </row>
    <row r="118" spans="1:21">
      <c r="A118" t="s">
        <v>403</v>
      </c>
      <c r="K118" t="s">
        <v>1097</v>
      </c>
      <c r="U118" t="s">
        <v>1748</v>
      </c>
    </row>
    <row r="119" spans="1:21">
      <c r="A119" t="s">
        <v>404</v>
      </c>
      <c r="K119" t="s">
        <v>1098</v>
      </c>
      <c r="L119" t="s">
        <v>362</v>
      </c>
      <c r="U119" t="s">
        <v>1749</v>
      </c>
    </row>
    <row r="120" spans="1:21">
      <c r="A120" t="s">
        <v>405</v>
      </c>
      <c r="B120" t="s">
        <v>362</v>
      </c>
      <c r="K120" t="s">
        <v>1099</v>
      </c>
      <c r="L120" t="s">
        <v>364</v>
      </c>
      <c r="U120" t="s">
        <v>1750</v>
      </c>
    </row>
    <row r="121" spans="1:21">
      <c r="A121" t="s">
        <v>406</v>
      </c>
      <c r="B121" t="s">
        <v>364</v>
      </c>
      <c r="K121" t="s">
        <v>1100</v>
      </c>
      <c r="L121" t="s">
        <v>366</v>
      </c>
      <c r="U121" t="s">
        <v>1751</v>
      </c>
    </row>
    <row r="122" spans="1:21">
      <c r="A122" t="s">
        <v>407</v>
      </c>
      <c r="B122" t="s">
        <v>366</v>
      </c>
      <c r="K122" t="s">
        <v>1101</v>
      </c>
      <c r="L122" t="s">
        <v>1067</v>
      </c>
      <c r="U122" t="s">
        <v>1752</v>
      </c>
    </row>
    <row r="123" spans="1:21">
      <c r="A123" t="s">
        <v>408</v>
      </c>
      <c r="B123" t="s">
        <v>368</v>
      </c>
      <c r="K123" t="s">
        <v>1102</v>
      </c>
      <c r="U123" t="s">
        <v>1753</v>
      </c>
    </row>
    <row r="124" spans="1:21">
      <c r="A124" t="s">
        <v>409</v>
      </c>
      <c r="K124" t="s">
        <v>1103</v>
      </c>
      <c r="L124" t="s">
        <v>370</v>
      </c>
      <c r="U124" t="s">
        <v>1754</v>
      </c>
    </row>
    <row r="125" spans="1:21">
      <c r="A125" t="s">
        <v>410</v>
      </c>
      <c r="B125" t="s">
        <v>370</v>
      </c>
      <c r="K125" t="s">
        <v>1104</v>
      </c>
      <c r="L125" t="s">
        <v>372</v>
      </c>
      <c r="U125" t="s">
        <v>1755</v>
      </c>
    </row>
    <row r="126" spans="1:21">
      <c r="A126" t="s">
        <v>411</v>
      </c>
      <c r="B126" t="s">
        <v>372</v>
      </c>
      <c r="K126" t="s">
        <v>1105</v>
      </c>
      <c r="L126" t="s">
        <v>370</v>
      </c>
      <c r="U126" t="s">
        <v>1756</v>
      </c>
    </row>
    <row r="127" spans="1:21">
      <c r="A127" t="s">
        <v>412</v>
      </c>
      <c r="B127" t="s">
        <v>370</v>
      </c>
      <c r="K127" t="s">
        <v>1106</v>
      </c>
      <c r="L127" t="s">
        <v>1107</v>
      </c>
      <c r="U127" t="s">
        <v>1757</v>
      </c>
    </row>
    <row r="128" spans="1:21">
      <c r="A128" t="s">
        <v>413</v>
      </c>
      <c r="B128" t="s">
        <v>414</v>
      </c>
      <c r="K128" t="s">
        <v>1108</v>
      </c>
      <c r="U128" t="s">
        <v>1758</v>
      </c>
    </row>
    <row r="129" spans="1:21">
      <c r="A129" t="s">
        <v>415</v>
      </c>
      <c r="K129" t="s">
        <v>1109</v>
      </c>
      <c r="L129" t="s">
        <v>378</v>
      </c>
      <c r="U129" t="s">
        <v>1759</v>
      </c>
    </row>
    <row r="130" spans="1:21">
      <c r="A130" t="s">
        <v>416</v>
      </c>
      <c r="B130" t="s">
        <v>378</v>
      </c>
      <c r="K130" t="s">
        <v>1110</v>
      </c>
      <c r="L130" t="s">
        <v>380</v>
      </c>
      <c r="U130" t="s">
        <v>1760</v>
      </c>
    </row>
    <row r="131" spans="1:21">
      <c r="A131" t="s">
        <v>417</v>
      </c>
      <c r="B131" t="s">
        <v>380</v>
      </c>
      <c r="K131" t="s">
        <v>1111</v>
      </c>
      <c r="L131" t="s">
        <v>382</v>
      </c>
      <c r="U131" t="s">
        <v>1761</v>
      </c>
    </row>
    <row r="132" spans="1:21">
      <c r="A132" t="s">
        <v>418</v>
      </c>
      <c r="B132" t="s">
        <v>382</v>
      </c>
      <c r="K132" t="s">
        <v>1112</v>
      </c>
      <c r="L132" t="s">
        <v>384</v>
      </c>
      <c r="U132" t="s">
        <v>1762</v>
      </c>
    </row>
    <row r="133" spans="1:21">
      <c r="A133" t="s">
        <v>419</v>
      </c>
      <c r="B133" t="s">
        <v>384</v>
      </c>
      <c r="K133" t="s">
        <v>1113</v>
      </c>
      <c r="U133" t="s">
        <v>1763</v>
      </c>
    </row>
    <row r="134" spans="1:21">
      <c r="A134" t="s">
        <v>420</v>
      </c>
      <c r="K134" t="s">
        <v>1113</v>
      </c>
      <c r="L134" t="s">
        <v>422</v>
      </c>
      <c r="U134" t="s">
        <v>1764</v>
      </c>
    </row>
    <row r="135" spans="1:21">
      <c r="A135" t="s">
        <v>421</v>
      </c>
      <c r="B135" t="s">
        <v>422</v>
      </c>
      <c r="K135" t="s">
        <v>1114</v>
      </c>
      <c r="U135" t="s">
        <v>1765</v>
      </c>
    </row>
    <row r="136" spans="1:21">
      <c r="A136" t="s">
        <v>423</v>
      </c>
      <c r="K136" t="s">
        <v>1115</v>
      </c>
      <c r="L136" t="s">
        <v>425</v>
      </c>
      <c r="U136" t="s">
        <v>1766</v>
      </c>
    </row>
    <row r="137" spans="1:21">
      <c r="A137" t="s">
        <v>424</v>
      </c>
      <c r="B137" t="s">
        <v>425</v>
      </c>
      <c r="K137" t="s">
        <v>1116</v>
      </c>
      <c r="L137" t="s">
        <v>427</v>
      </c>
      <c r="U137" t="s">
        <v>1767</v>
      </c>
    </row>
    <row r="138" spans="1:21">
      <c r="A138" t="s">
        <v>426</v>
      </c>
      <c r="B138" t="s">
        <v>427</v>
      </c>
      <c r="K138" t="s">
        <v>1117</v>
      </c>
      <c r="L138" t="s">
        <v>425</v>
      </c>
      <c r="U138" t="s">
        <v>1768</v>
      </c>
    </row>
    <row r="139" spans="1:21">
      <c r="A139" t="s">
        <v>428</v>
      </c>
      <c r="B139" t="s">
        <v>425</v>
      </c>
      <c r="K139" t="s">
        <v>1118</v>
      </c>
      <c r="L139" t="s">
        <v>1119</v>
      </c>
      <c r="U139" t="s">
        <v>1769</v>
      </c>
    </row>
    <row r="140" spans="1:21">
      <c r="A140" t="s">
        <v>429</v>
      </c>
      <c r="B140" t="s">
        <v>430</v>
      </c>
      <c r="K140" t="s">
        <v>1120</v>
      </c>
      <c r="U140" t="s">
        <v>1770</v>
      </c>
    </row>
    <row r="141" spans="1:21">
      <c r="A141" t="s">
        <v>431</v>
      </c>
      <c r="K141" t="s">
        <v>1121</v>
      </c>
      <c r="L141" t="s">
        <v>433</v>
      </c>
      <c r="U141" t="s">
        <v>1771</v>
      </c>
    </row>
    <row r="142" spans="1:21">
      <c r="A142" t="s">
        <v>432</v>
      </c>
      <c r="B142" t="s">
        <v>433</v>
      </c>
      <c r="K142" t="s">
        <v>1122</v>
      </c>
      <c r="L142" t="s">
        <v>435</v>
      </c>
      <c r="U142" t="s">
        <v>1772</v>
      </c>
    </row>
    <row r="143" spans="1:21">
      <c r="A143" t="s">
        <v>434</v>
      </c>
      <c r="B143" t="s">
        <v>435</v>
      </c>
      <c r="K143" t="s">
        <v>1123</v>
      </c>
      <c r="L143" t="s">
        <v>437</v>
      </c>
      <c r="U143" t="s">
        <v>1773</v>
      </c>
    </row>
    <row r="144" spans="1:21">
      <c r="A144" t="s">
        <v>436</v>
      </c>
      <c r="B144" t="s">
        <v>437</v>
      </c>
      <c r="K144" t="s">
        <v>1124</v>
      </c>
      <c r="L144" t="s">
        <v>439</v>
      </c>
      <c r="U144" t="s">
        <v>1774</v>
      </c>
    </row>
    <row r="145" spans="1:21">
      <c r="A145" t="s">
        <v>438</v>
      </c>
      <c r="B145" t="s">
        <v>439</v>
      </c>
      <c r="K145" t="s">
        <v>1125</v>
      </c>
      <c r="L145" t="s">
        <v>441</v>
      </c>
      <c r="U145" t="s">
        <v>1775</v>
      </c>
    </row>
    <row r="146" spans="1:21">
      <c r="A146" t="s">
        <v>440</v>
      </c>
      <c r="B146" t="s">
        <v>441</v>
      </c>
      <c r="K146" t="s">
        <v>1126</v>
      </c>
      <c r="U146" t="s">
        <v>1776</v>
      </c>
    </row>
    <row r="147" spans="1:21">
      <c r="A147" t="s">
        <v>442</v>
      </c>
      <c r="K147" t="s">
        <v>1127</v>
      </c>
      <c r="L147" t="s">
        <v>444</v>
      </c>
      <c r="U147" t="s">
        <v>1777</v>
      </c>
    </row>
    <row r="148" spans="1:21">
      <c r="A148" t="s">
        <v>443</v>
      </c>
      <c r="B148" t="s">
        <v>444</v>
      </c>
      <c r="K148" t="s">
        <v>1128</v>
      </c>
      <c r="U148" t="s">
        <v>1778</v>
      </c>
    </row>
    <row r="149" spans="1:21">
      <c r="A149" t="s">
        <v>445</v>
      </c>
      <c r="K149" t="s">
        <v>1129</v>
      </c>
      <c r="U149" t="s">
        <v>1779</v>
      </c>
    </row>
    <row r="150" spans="1:21">
      <c r="A150" t="s">
        <v>446</v>
      </c>
      <c r="K150" t="s">
        <v>1130</v>
      </c>
      <c r="U150" t="s">
        <v>1780</v>
      </c>
    </row>
    <row r="151" spans="1:21">
      <c r="A151" t="s">
        <v>447</v>
      </c>
      <c r="K151" t="s">
        <v>1131</v>
      </c>
      <c r="U151" t="s">
        <v>1781</v>
      </c>
    </row>
    <row r="152" spans="1:21">
      <c r="A152" t="s">
        <v>448</v>
      </c>
      <c r="K152" t="s">
        <v>1132</v>
      </c>
      <c r="U152" t="s">
        <v>1782</v>
      </c>
    </row>
    <row r="153" spans="1:21">
      <c r="A153" t="s">
        <v>449</v>
      </c>
      <c r="K153" t="s">
        <v>1133</v>
      </c>
      <c r="U153" t="s">
        <v>1783</v>
      </c>
    </row>
    <row r="154" spans="1:21">
      <c r="A154" t="s">
        <v>450</v>
      </c>
      <c r="U154" t="s">
        <v>1784</v>
      </c>
    </row>
    <row r="155" spans="1:21">
      <c r="A155" t="s">
        <v>451</v>
      </c>
      <c r="U155" t="s">
        <v>1785</v>
      </c>
    </row>
    <row r="156" spans="1:21">
      <c r="A156" t="s">
        <v>452</v>
      </c>
      <c r="U156" t="s">
        <v>1786</v>
      </c>
    </row>
    <row r="157" spans="1:21">
      <c r="A157" t="s">
        <v>453</v>
      </c>
      <c r="L157" t="s">
        <v>2410</v>
      </c>
      <c r="U157" t="s">
        <v>1787</v>
      </c>
    </row>
    <row r="158" spans="1:21">
      <c r="A158" t="s">
        <v>454</v>
      </c>
      <c r="B158" t="s">
        <v>326</v>
      </c>
      <c r="L158" t="s">
        <v>2411</v>
      </c>
      <c r="M158" t="s">
        <v>326</v>
      </c>
      <c r="U158" t="s">
        <v>1788</v>
      </c>
    </row>
    <row r="159" spans="1:21">
      <c r="A159" t="s">
        <v>455</v>
      </c>
      <c r="L159" t="s">
        <v>2412</v>
      </c>
      <c r="U159" t="s">
        <v>1789</v>
      </c>
    </row>
    <row r="160" spans="1:21">
      <c r="A160" t="s">
        <v>456</v>
      </c>
      <c r="U160" t="s">
        <v>1790</v>
      </c>
    </row>
    <row r="161" spans="1:21">
      <c r="A161" t="s">
        <v>457</v>
      </c>
      <c r="L161" t="s">
        <v>2413</v>
      </c>
      <c r="U161" t="s">
        <v>1791</v>
      </c>
    </row>
    <row r="162" spans="1:21">
      <c r="A162" t="s">
        <v>458</v>
      </c>
      <c r="L162" t="s">
        <v>2414</v>
      </c>
      <c r="U162" t="s">
        <v>1792</v>
      </c>
    </row>
    <row r="163" spans="1:21">
      <c r="A163" t="s">
        <v>459</v>
      </c>
      <c r="U163" t="s">
        <v>1793</v>
      </c>
    </row>
    <row r="164" spans="1:21">
      <c r="A164" t="s">
        <v>460</v>
      </c>
      <c r="L164" t="s">
        <v>2415</v>
      </c>
      <c r="U164" t="s">
        <v>1794</v>
      </c>
    </row>
    <row r="165" spans="1:21">
      <c r="A165" t="s">
        <v>461</v>
      </c>
      <c r="L165" t="s">
        <v>2416</v>
      </c>
      <c r="U165" t="s">
        <v>1795</v>
      </c>
    </row>
    <row r="166" spans="1:21">
      <c r="A166" t="s">
        <v>462</v>
      </c>
      <c r="U166" t="s">
        <v>1796</v>
      </c>
    </row>
    <row r="167" spans="1:21">
      <c r="A167" t="s">
        <v>463</v>
      </c>
      <c r="L167" t="s">
        <v>2417</v>
      </c>
      <c r="U167" t="s">
        <v>1797</v>
      </c>
    </row>
    <row r="168" spans="1:21">
      <c r="A168" t="s">
        <v>464</v>
      </c>
      <c r="U168" t="s">
        <v>1798</v>
      </c>
    </row>
    <row r="169" spans="1:21">
      <c r="A169" t="s">
        <v>465</v>
      </c>
      <c r="L169" t="s">
        <v>2418</v>
      </c>
      <c r="U169" t="s">
        <v>1799</v>
      </c>
    </row>
    <row r="170" spans="1:21">
      <c r="A170" t="s">
        <v>466</v>
      </c>
      <c r="L170" t="s">
        <v>2419</v>
      </c>
      <c r="U170" t="s">
        <v>1800</v>
      </c>
    </row>
    <row r="171" spans="1:21">
      <c r="A171" t="s">
        <v>467</v>
      </c>
      <c r="U171" t="s">
        <v>1801</v>
      </c>
    </row>
    <row r="172" spans="1:21">
      <c r="A172" t="s">
        <v>328</v>
      </c>
      <c r="L172" t="s">
        <v>2420</v>
      </c>
      <c r="U172" t="s">
        <v>1802</v>
      </c>
    </row>
    <row r="173" spans="1:21">
      <c r="A173" t="s">
        <v>329</v>
      </c>
      <c r="L173" t="s">
        <v>2421</v>
      </c>
      <c r="U173" t="s">
        <v>1803</v>
      </c>
    </row>
    <row r="174" spans="1:21">
      <c r="A174" t="s">
        <v>330</v>
      </c>
      <c r="L174" t="s">
        <v>2422</v>
      </c>
      <c r="U174" t="s">
        <v>1804</v>
      </c>
    </row>
    <row r="175" spans="1:21">
      <c r="A175" t="s">
        <v>331</v>
      </c>
      <c r="L175" t="s">
        <v>2423</v>
      </c>
      <c r="U175" t="s">
        <v>1805</v>
      </c>
    </row>
    <row r="176" spans="1:21">
      <c r="A176" t="s">
        <v>332</v>
      </c>
      <c r="L176" t="s">
        <v>2424</v>
      </c>
      <c r="U176" t="s">
        <v>1806</v>
      </c>
    </row>
    <row r="177" spans="1:21">
      <c r="A177" t="s">
        <v>333</v>
      </c>
      <c r="L177" t="s">
        <v>2425</v>
      </c>
      <c r="U177" t="s">
        <v>1807</v>
      </c>
    </row>
    <row r="178" spans="1:21">
      <c r="A178" t="s">
        <v>334</v>
      </c>
      <c r="L178" t="s">
        <v>2426</v>
      </c>
      <c r="U178" t="s">
        <v>1808</v>
      </c>
    </row>
    <row r="179" spans="1:21">
      <c r="A179" t="s">
        <v>335</v>
      </c>
      <c r="L179" t="s">
        <v>2427</v>
      </c>
      <c r="U179" t="s">
        <v>1809</v>
      </c>
    </row>
    <row r="180" spans="1:21">
      <c r="A180" t="s">
        <v>336</v>
      </c>
      <c r="L180" t="s">
        <v>2428</v>
      </c>
      <c r="U180" t="s">
        <v>1810</v>
      </c>
    </row>
    <row r="181" spans="1:21">
      <c r="A181" t="s">
        <v>337</v>
      </c>
      <c r="L181" t="s">
        <v>2429</v>
      </c>
      <c r="U181" t="s">
        <v>1811</v>
      </c>
    </row>
    <row r="182" spans="1:21">
      <c r="A182" t="s">
        <v>338</v>
      </c>
      <c r="L182" t="s">
        <v>2430</v>
      </c>
      <c r="U182" t="s">
        <v>1812</v>
      </c>
    </row>
    <row r="183" spans="1:21">
      <c r="A183" t="s">
        <v>339</v>
      </c>
      <c r="L183" t="s">
        <v>2431</v>
      </c>
      <c r="U183" t="s">
        <v>1813</v>
      </c>
    </row>
    <row r="184" spans="1:21">
      <c r="A184" t="s">
        <v>340</v>
      </c>
      <c r="L184" t="s">
        <v>2432</v>
      </c>
      <c r="U184" t="s">
        <v>1814</v>
      </c>
    </row>
    <row r="185" spans="1:21">
      <c r="A185" t="s">
        <v>341</v>
      </c>
      <c r="L185" t="s">
        <v>2433</v>
      </c>
      <c r="U185" t="s">
        <v>1815</v>
      </c>
    </row>
    <row r="186" spans="1:21">
      <c r="A186" t="s">
        <v>342</v>
      </c>
      <c r="L186" t="s">
        <v>2434</v>
      </c>
      <c r="U186" t="s">
        <v>1816</v>
      </c>
    </row>
    <row r="187" spans="1:21">
      <c r="A187" t="s">
        <v>343</v>
      </c>
      <c r="L187" t="s">
        <v>2435</v>
      </c>
      <c r="U187" t="s">
        <v>1817</v>
      </c>
    </row>
    <row r="188" spans="1:21">
      <c r="A188" t="s">
        <v>344</v>
      </c>
      <c r="L188" t="s">
        <v>2436</v>
      </c>
      <c r="U188" t="s">
        <v>1818</v>
      </c>
    </row>
    <row r="189" spans="1:21">
      <c r="A189" t="s">
        <v>345</v>
      </c>
      <c r="L189" t="s">
        <v>2437</v>
      </c>
      <c r="U189" t="s">
        <v>1819</v>
      </c>
    </row>
    <row r="190" spans="1:21">
      <c r="A190" t="s">
        <v>346</v>
      </c>
      <c r="L190" t="s">
        <v>2438</v>
      </c>
      <c r="U190" t="s">
        <v>1820</v>
      </c>
    </row>
    <row r="191" spans="1:21">
      <c r="A191" t="s">
        <v>347</v>
      </c>
      <c r="L191" t="s">
        <v>2439</v>
      </c>
      <c r="U191" t="s">
        <v>1821</v>
      </c>
    </row>
    <row r="192" spans="1:21">
      <c r="A192" t="s">
        <v>348</v>
      </c>
      <c r="L192" t="s">
        <v>2440</v>
      </c>
      <c r="U192" t="s">
        <v>1822</v>
      </c>
    </row>
    <row r="193" spans="1:21">
      <c r="A193" t="s">
        <v>349</v>
      </c>
      <c r="L193" t="s">
        <v>2441</v>
      </c>
      <c r="U193" t="s">
        <v>1823</v>
      </c>
    </row>
    <row r="194" spans="1:21">
      <c r="A194" t="s">
        <v>468</v>
      </c>
      <c r="U194" t="s">
        <v>1824</v>
      </c>
    </row>
    <row r="195" spans="1:21">
      <c r="A195" t="s">
        <v>469</v>
      </c>
      <c r="L195" t="s">
        <v>2442</v>
      </c>
      <c r="U195" t="s">
        <v>1825</v>
      </c>
    </row>
    <row r="196" spans="1:21">
      <c r="A196" t="s">
        <v>470</v>
      </c>
      <c r="L196" t="s">
        <v>2443</v>
      </c>
      <c r="U196" t="s">
        <v>1826</v>
      </c>
    </row>
    <row r="197" spans="1:21">
      <c r="A197" t="s">
        <v>471</v>
      </c>
      <c r="U197" t="s">
        <v>1827</v>
      </c>
    </row>
    <row r="198" spans="1:21">
      <c r="A198" t="s">
        <v>471</v>
      </c>
      <c r="U198" t="s">
        <v>1828</v>
      </c>
    </row>
    <row r="199" spans="1:21">
      <c r="A199" t="s">
        <v>472</v>
      </c>
      <c r="L199" t="s">
        <v>2444</v>
      </c>
      <c r="U199" t="s">
        <v>1829</v>
      </c>
    </row>
    <row r="200" spans="1:21">
      <c r="A200" t="s">
        <v>473</v>
      </c>
      <c r="U200" t="s">
        <v>1830</v>
      </c>
    </row>
    <row r="201" spans="1:21">
      <c r="A201" t="s">
        <v>474</v>
      </c>
      <c r="L201" t="s">
        <v>2445</v>
      </c>
      <c r="U201" t="s">
        <v>1829</v>
      </c>
    </row>
    <row r="202" spans="1:21">
      <c r="A202" t="s">
        <v>475</v>
      </c>
      <c r="L202" t="s">
        <v>2446</v>
      </c>
      <c r="U202" t="s">
        <v>1831</v>
      </c>
    </row>
    <row r="203" spans="1:21">
      <c r="A203" t="s">
        <v>476</v>
      </c>
      <c r="L203" t="s">
        <v>2447</v>
      </c>
      <c r="U203" t="s">
        <v>1832</v>
      </c>
    </row>
    <row r="204" spans="1:21">
      <c r="A204" t="s">
        <v>477</v>
      </c>
      <c r="U204" t="s">
        <v>1833</v>
      </c>
    </row>
    <row r="205" spans="1:21">
      <c r="A205" t="s">
        <v>478</v>
      </c>
      <c r="L205" t="s">
        <v>2448</v>
      </c>
      <c r="U205" t="s">
        <v>1834</v>
      </c>
    </row>
    <row r="206" spans="1:21">
      <c r="A206" t="s">
        <v>479</v>
      </c>
      <c r="L206" t="s">
        <v>2449</v>
      </c>
      <c r="U206" t="s">
        <v>1835</v>
      </c>
    </row>
    <row r="207" spans="1:21">
      <c r="A207" t="s">
        <v>480</v>
      </c>
      <c r="L207" t="s">
        <v>2450</v>
      </c>
      <c r="U207" t="s">
        <v>1836</v>
      </c>
    </row>
    <row r="208" spans="1:21">
      <c r="A208" t="s">
        <v>481</v>
      </c>
      <c r="U208" t="s">
        <v>1837</v>
      </c>
    </row>
    <row r="209" spans="1:21">
      <c r="A209" t="s">
        <v>482</v>
      </c>
      <c r="L209" t="s">
        <v>2451</v>
      </c>
      <c r="U209" t="s">
        <v>1838</v>
      </c>
    </row>
    <row r="210" spans="1:21">
      <c r="A210" t="s">
        <v>483</v>
      </c>
      <c r="K210" t="s">
        <v>1134</v>
      </c>
      <c r="U210" t="s">
        <v>1839</v>
      </c>
    </row>
    <row r="211" spans="1:21">
      <c r="A211" t="s">
        <v>484</v>
      </c>
      <c r="K211" t="s">
        <v>1135</v>
      </c>
      <c r="U211" t="s">
        <v>1840</v>
      </c>
    </row>
    <row r="212" spans="1:21">
      <c r="A212" t="s">
        <v>485</v>
      </c>
      <c r="K212" t="s">
        <v>1136</v>
      </c>
      <c r="U212" t="s">
        <v>1841</v>
      </c>
    </row>
    <row r="213" spans="1:21">
      <c r="A213" t="s">
        <v>486</v>
      </c>
      <c r="K213" t="s">
        <v>1137</v>
      </c>
      <c r="U213" t="s">
        <v>1842</v>
      </c>
    </row>
    <row r="214" spans="1:21">
      <c r="A214" t="s">
        <v>487</v>
      </c>
      <c r="K214" t="s">
        <v>1138</v>
      </c>
      <c r="U214" t="s">
        <v>1843</v>
      </c>
    </row>
    <row r="215" spans="1:21">
      <c r="A215" t="s">
        <v>488</v>
      </c>
      <c r="K215" t="s">
        <v>1139</v>
      </c>
      <c r="U215" t="s">
        <v>1844</v>
      </c>
    </row>
    <row r="216" spans="1:21">
      <c r="A216" t="s">
        <v>489</v>
      </c>
      <c r="K216" t="s">
        <v>1140</v>
      </c>
      <c r="U216" t="s">
        <v>1845</v>
      </c>
    </row>
    <row r="217" spans="1:21">
      <c r="A217" t="s">
        <v>490</v>
      </c>
      <c r="K217" t="s">
        <v>1141</v>
      </c>
      <c r="U217" t="s">
        <v>1846</v>
      </c>
    </row>
    <row r="218" spans="1:21">
      <c r="A218" t="s">
        <v>491</v>
      </c>
      <c r="K218" t="s">
        <v>1142</v>
      </c>
      <c r="U218" t="s">
        <v>1847</v>
      </c>
    </row>
    <row r="219" spans="1:21">
      <c r="A219" t="s">
        <v>492</v>
      </c>
      <c r="K219" t="s">
        <v>1143</v>
      </c>
      <c r="U219" t="s">
        <v>1848</v>
      </c>
    </row>
    <row r="220" spans="1:21">
      <c r="A220" t="s">
        <v>493</v>
      </c>
      <c r="K220" t="s">
        <v>1144</v>
      </c>
      <c r="U220" t="s">
        <v>1849</v>
      </c>
    </row>
    <row r="221" spans="1:21">
      <c r="A221" t="s">
        <v>494</v>
      </c>
      <c r="K221" t="s">
        <v>1145</v>
      </c>
      <c r="U221" t="s">
        <v>1850</v>
      </c>
    </row>
    <row r="222" spans="1:21">
      <c r="A222" t="s">
        <v>495</v>
      </c>
      <c r="K222" t="s">
        <v>1146</v>
      </c>
      <c r="U222" t="s">
        <v>1851</v>
      </c>
    </row>
    <row r="223" spans="1:21">
      <c r="A223" t="s">
        <v>496</v>
      </c>
      <c r="K223" t="s">
        <v>1147</v>
      </c>
      <c r="U223" t="s">
        <v>1850</v>
      </c>
    </row>
    <row r="224" spans="1:21">
      <c r="A224" t="s">
        <v>497</v>
      </c>
      <c r="K224" t="s">
        <v>1148</v>
      </c>
      <c r="U224" t="s">
        <v>1852</v>
      </c>
    </row>
    <row r="225" spans="1:21">
      <c r="A225" t="s">
        <v>498</v>
      </c>
      <c r="K225" t="s">
        <v>1149</v>
      </c>
      <c r="U225" t="s">
        <v>1853</v>
      </c>
    </row>
    <row r="226" spans="1:21">
      <c r="A226" t="s">
        <v>499</v>
      </c>
      <c r="K226" t="s">
        <v>1150</v>
      </c>
      <c r="U226" t="s">
        <v>1854</v>
      </c>
    </row>
    <row r="227" spans="1:21">
      <c r="A227" t="s">
        <v>500</v>
      </c>
      <c r="K227" t="s">
        <v>1151</v>
      </c>
      <c r="U227" t="s">
        <v>1855</v>
      </c>
    </row>
    <row r="228" spans="1:21">
      <c r="A228" t="s">
        <v>501</v>
      </c>
      <c r="K228" t="s">
        <v>1152</v>
      </c>
      <c r="U228" t="s">
        <v>1856</v>
      </c>
    </row>
    <row r="229" spans="1:21">
      <c r="A229" t="s">
        <v>502</v>
      </c>
      <c r="K229" t="s">
        <v>1153</v>
      </c>
      <c r="U229" t="s">
        <v>1857</v>
      </c>
    </row>
    <row r="230" spans="1:21">
      <c r="A230" t="s">
        <v>503</v>
      </c>
      <c r="K230" t="s">
        <v>1154</v>
      </c>
      <c r="U230" t="s">
        <v>1858</v>
      </c>
    </row>
    <row r="231" spans="1:21">
      <c r="A231" t="s">
        <v>504</v>
      </c>
      <c r="K231" t="s">
        <v>1155</v>
      </c>
      <c r="U231" t="s">
        <v>1859</v>
      </c>
    </row>
    <row r="232" spans="1:21">
      <c r="A232" t="s">
        <v>505</v>
      </c>
      <c r="K232" t="s">
        <v>1156</v>
      </c>
      <c r="U232" t="s">
        <v>1860</v>
      </c>
    </row>
    <row r="233" spans="1:21">
      <c r="A233" t="s">
        <v>506</v>
      </c>
      <c r="K233" t="s">
        <v>1157</v>
      </c>
      <c r="U233" t="s">
        <v>1861</v>
      </c>
    </row>
    <row r="234" spans="1:21">
      <c r="A234" t="s">
        <v>507</v>
      </c>
      <c r="K234" t="s">
        <v>1158</v>
      </c>
      <c r="U234" t="s">
        <v>1862</v>
      </c>
    </row>
    <row r="235" spans="1:21">
      <c r="A235" t="s">
        <v>508</v>
      </c>
      <c r="K235" t="s">
        <v>1159</v>
      </c>
      <c r="U235" t="s">
        <v>1863</v>
      </c>
    </row>
    <row r="236" spans="1:21">
      <c r="A236" t="s">
        <v>509</v>
      </c>
      <c r="K236" t="s">
        <v>1160</v>
      </c>
      <c r="U236" t="s">
        <v>1864</v>
      </c>
    </row>
    <row r="237" spans="1:21">
      <c r="A237" t="s">
        <v>510</v>
      </c>
      <c r="K237" t="s">
        <v>1161</v>
      </c>
      <c r="U237" t="s">
        <v>1865</v>
      </c>
    </row>
    <row r="238" spans="1:21">
      <c r="A238" t="s">
        <v>511</v>
      </c>
      <c r="K238" t="s">
        <v>1162</v>
      </c>
      <c r="U238" t="s">
        <v>1866</v>
      </c>
    </row>
    <row r="239" spans="1:21">
      <c r="A239" t="s">
        <v>512</v>
      </c>
      <c r="K239" t="s">
        <v>1163</v>
      </c>
      <c r="U239" t="s">
        <v>1867</v>
      </c>
    </row>
    <row r="240" spans="1:21">
      <c r="A240" t="s">
        <v>513</v>
      </c>
      <c r="K240" t="s">
        <v>1164</v>
      </c>
      <c r="U240" t="s">
        <v>1868</v>
      </c>
    </row>
    <row r="241" spans="1:21">
      <c r="A241" t="s">
        <v>514</v>
      </c>
      <c r="K241" t="s">
        <v>1165</v>
      </c>
      <c r="U241" t="s">
        <v>1869</v>
      </c>
    </row>
    <row r="242" spans="1:21">
      <c r="A242" t="s">
        <v>515</v>
      </c>
      <c r="K242" t="s">
        <v>1166</v>
      </c>
      <c r="U242" t="s">
        <v>1870</v>
      </c>
    </row>
    <row r="243" spans="1:21">
      <c r="A243" t="s">
        <v>516</v>
      </c>
      <c r="K243" t="s">
        <v>1167</v>
      </c>
      <c r="U243" t="s">
        <v>1871</v>
      </c>
    </row>
    <row r="244" spans="1:21">
      <c r="A244" t="s">
        <v>517</v>
      </c>
      <c r="K244" t="s">
        <v>1168</v>
      </c>
      <c r="U244" t="s">
        <v>1872</v>
      </c>
    </row>
    <row r="245" spans="1:21">
      <c r="A245" t="s">
        <v>518</v>
      </c>
      <c r="K245" t="s">
        <v>1169</v>
      </c>
      <c r="U245" t="s">
        <v>1871</v>
      </c>
    </row>
    <row r="246" spans="1:21">
      <c r="A246" t="s">
        <v>519</v>
      </c>
      <c r="K246" t="s">
        <v>1170</v>
      </c>
      <c r="U246" t="s">
        <v>1873</v>
      </c>
    </row>
    <row r="247" spans="1:21">
      <c r="A247" t="s">
        <v>520</v>
      </c>
      <c r="K247" t="s">
        <v>1171</v>
      </c>
      <c r="U247" t="s">
        <v>1874</v>
      </c>
    </row>
    <row r="248" spans="1:21">
      <c r="A248" t="s">
        <v>521</v>
      </c>
      <c r="K248" t="s">
        <v>1172</v>
      </c>
      <c r="U248" t="s">
        <v>1875</v>
      </c>
    </row>
    <row r="249" spans="1:21">
      <c r="A249" t="s">
        <v>522</v>
      </c>
      <c r="K249" t="s">
        <v>1173</v>
      </c>
      <c r="U249" t="s">
        <v>1876</v>
      </c>
    </row>
    <row r="250" spans="1:21">
      <c r="A250" t="s">
        <v>523</v>
      </c>
      <c r="K250" t="s">
        <v>1174</v>
      </c>
      <c r="U250" t="s">
        <v>1877</v>
      </c>
    </row>
    <row r="251" spans="1:21">
      <c r="A251" t="s">
        <v>524</v>
      </c>
      <c r="K251" t="s">
        <v>1175</v>
      </c>
      <c r="U251" t="s">
        <v>1878</v>
      </c>
    </row>
    <row r="252" spans="1:21">
      <c r="A252" t="s">
        <v>525</v>
      </c>
      <c r="K252" t="s">
        <v>1176</v>
      </c>
      <c r="U252" t="s">
        <v>1879</v>
      </c>
    </row>
    <row r="253" spans="1:21">
      <c r="A253" t="s">
        <v>526</v>
      </c>
      <c r="K253" t="s">
        <v>1177</v>
      </c>
      <c r="U253" t="s">
        <v>1880</v>
      </c>
    </row>
    <row r="254" spans="1:21">
      <c r="A254" t="s">
        <v>527</v>
      </c>
      <c r="K254" t="s">
        <v>1178</v>
      </c>
      <c r="U254" t="s">
        <v>1881</v>
      </c>
    </row>
    <row r="255" spans="1:21">
      <c r="A255" t="s">
        <v>528</v>
      </c>
      <c r="K255" t="s">
        <v>1179</v>
      </c>
      <c r="U255" t="s">
        <v>1882</v>
      </c>
    </row>
    <row r="256" spans="1:21">
      <c r="A256" t="s">
        <v>529</v>
      </c>
      <c r="K256" t="s">
        <v>1180</v>
      </c>
      <c r="U256" t="s">
        <v>1883</v>
      </c>
    </row>
    <row r="257" spans="1:21">
      <c r="A257" t="s">
        <v>530</v>
      </c>
      <c r="K257" t="s">
        <v>1181</v>
      </c>
      <c r="U257" t="s">
        <v>1884</v>
      </c>
    </row>
    <row r="258" spans="1:21">
      <c r="A258" t="s">
        <v>531</v>
      </c>
      <c r="K258" t="s">
        <v>1182</v>
      </c>
      <c r="U258" t="s">
        <v>1885</v>
      </c>
    </row>
    <row r="259" spans="1:21">
      <c r="A259" t="s">
        <v>532</v>
      </c>
      <c r="K259" t="s">
        <v>1183</v>
      </c>
      <c r="U259" t="s">
        <v>1886</v>
      </c>
    </row>
    <row r="260" spans="1:21">
      <c r="A260" t="s">
        <v>533</v>
      </c>
      <c r="K260" t="s">
        <v>1184</v>
      </c>
      <c r="U260" t="s">
        <v>1887</v>
      </c>
    </row>
    <row r="261" spans="1:21">
      <c r="A261" t="s">
        <v>534</v>
      </c>
      <c r="K261" t="s">
        <v>1185</v>
      </c>
      <c r="U261" t="s">
        <v>1888</v>
      </c>
    </row>
    <row r="262" spans="1:21">
      <c r="A262" t="s">
        <v>535</v>
      </c>
      <c r="K262" t="s">
        <v>1186</v>
      </c>
      <c r="U262" t="s">
        <v>1889</v>
      </c>
    </row>
    <row r="263" spans="1:21">
      <c r="A263" t="s">
        <v>536</v>
      </c>
      <c r="K263" t="s">
        <v>1187</v>
      </c>
      <c r="U263" t="s">
        <v>1890</v>
      </c>
    </row>
    <row r="264" spans="1:21">
      <c r="A264" t="s">
        <v>537</v>
      </c>
      <c r="K264" t="s">
        <v>1188</v>
      </c>
      <c r="U264" t="s">
        <v>1891</v>
      </c>
    </row>
    <row r="265" spans="1:21">
      <c r="A265" t="s">
        <v>538</v>
      </c>
      <c r="K265" t="s">
        <v>1189</v>
      </c>
      <c r="U265" t="s">
        <v>1892</v>
      </c>
    </row>
    <row r="266" spans="1:21">
      <c r="A266" t="s">
        <v>539</v>
      </c>
      <c r="K266" t="s">
        <v>1190</v>
      </c>
      <c r="U266" t="s">
        <v>1893</v>
      </c>
    </row>
    <row r="267" spans="1:21">
      <c r="A267" t="s">
        <v>540</v>
      </c>
      <c r="K267" t="s">
        <v>1191</v>
      </c>
      <c r="U267" t="s">
        <v>1892</v>
      </c>
    </row>
    <row r="268" spans="1:21">
      <c r="A268" t="s">
        <v>541</v>
      </c>
      <c r="K268" t="s">
        <v>1192</v>
      </c>
      <c r="U268" t="s">
        <v>1894</v>
      </c>
    </row>
    <row r="269" spans="1:21">
      <c r="A269" t="s">
        <v>542</v>
      </c>
      <c r="K269" t="s">
        <v>1193</v>
      </c>
      <c r="U269" t="s">
        <v>1895</v>
      </c>
    </row>
    <row r="270" spans="1:21">
      <c r="A270" t="s">
        <v>543</v>
      </c>
      <c r="K270" t="s">
        <v>1194</v>
      </c>
      <c r="U270" t="s">
        <v>1896</v>
      </c>
    </row>
    <row r="271" spans="1:21">
      <c r="A271" t="s">
        <v>544</v>
      </c>
      <c r="K271" t="s">
        <v>1195</v>
      </c>
      <c r="U271" t="s">
        <v>1897</v>
      </c>
    </row>
    <row r="272" spans="1:21">
      <c r="A272" t="s">
        <v>545</v>
      </c>
      <c r="K272" t="s">
        <v>1196</v>
      </c>
      <c r="U272" t="s">
        <v>1898</v>
      </c>
    </row>
    <row r="273" spans="1:21">
      <c r="A273" t="s">
        <v>546</v>
      </c>
      <c r="K273" t="s">
        <v>1197</v>
      </c>
      <c r="U273" t="s">
        <v>1899</v>
      </c>
    </row>
    <row r="274" spans="1:21">
      <c r="A274" t="s">
        <v>547</v>
      </c>
      <c r="K274" t="s">
        <v>1198</v>
      </c>
      <c r="U274" t="s">
        <v>1900</v>
      </c>
    </row>
    <row r="275" spans="1:21">
      <c r="A275" t="s">
        <v>548</v>
      </c>
      <c r="K275" t="s">
        <v>1199</v>
      </c>
      <c r="U275" t="s">
        <v>1901</v>
      </c>
    </row>
    <row r="276" spans="1:21">
      <c r="A276" t="s">
        <v>549</v>
      </c>
      <c r="K276" t="s">
        <v>1200</v>
      </c>
      <c r="U276" t="s">
        <v>1902</v>
      </c>
    </row>
    <row r="277" spans="1:21">
      <c r="A277" t="s">
        <v>550</v>
      </c>
      <c r="K277" t="s">
        <v>1201</v>
      </c>
      <c r="U277" t="s">
        <v>1903</v>
      </c>
    </row>
    <row r="278" spans="1:21">
      <c r="A278" t="s">
        <v>551</v>
      </c>
      <c r="K278" t="s">
        <v>1202</v>
      </c>
      <c r="U278" t="s">
        <v>1904</v>
      </c>
    </row>
    <row r="279" spans="1:21">
      <c r="A279" t="s">
        <v>552</v>
      </c>
      <c r="K279" t="s">
        <v>1203</v>
      </c>
      <c r="U279" t="s">
        <v>1905</v>
      </c>
    </row>
    <row r="280" spans="1:21">
      <c r="A280" t="s">
        <v>553</v>
      </c>
      <c r="K280" t="s">
        <v>1204</v>
      </c>
      <c r="U280" t="s">
        <v>1906</v>
      </c>
    </row>
    <row r="281" spans="1:21">
      <c r="A281" t="s">
        <v>554</v>
      </c>
      <c r="K281" t="s">
        <v>1205</v>
      </c>
      <c r="U281" t="s">
        <v>1907</v>
      </c>
    </row>
    <row r="282" spans="1:21">
      <c r="A282" t="s">
        <v>555</v>
      </c>
      <c r="K282" t="s">
        <v>1206</v>
      </c>
      <c r="U282" t="s">
        <v>1908</v>
      </c>
    </row>
    <row r="283" spans="1:21">
      <c r="A283" t="s">
        <v>556</v>
      </c>
      <c r="K283" t="s">
        <v>1207</v>
      </c>
      <c r="U283" t="s">
        <v>1909</v>
      </c>
    </row>
    <row r="284" spans="1:21">
      <c r="A284" t="s">
        <v>557</v>
      </c>
      <c r="K284" t="s">
        <v>1208</v>
      </c>
      <c r="U284" t="s">
        <v>1910</v>
      </c>
    </row>
    <row r="285" spans="1:21">
      <c r="A285" t="s">
        <v>558</v>
      </c>
      <c r="K285" t="s">
        <v>1209</v>
      </c>
      <c r="U285" t="s">
        <v>1911</v>
      </c>
    </row>
    <row r="286" spans="1:21">
      <c r="A286" t="s">
        <v>559</v>
      </c>
      <c r="K286" t="s">
        <v>1210</v>
      </c>
      <c r="U286" t="s">
        <v>1912</v>
      </c>
    </row>
    <row r="287" spans="1:21">
      <c r="A287" t="s">
        <v>560</v>
      </c>
      <c r="K287" t="s">
        <v>1211</v>
      </c>
      <c r="U287" t="s">
        <v>1913</v>
      </c>
    </row>
    <row r="288" spans="1:21">
      <c r="A288" t="s">
        <v>561</v>
      </c>
      <c r="K288" t="s">
        <v>1212</v>
      </c>
      <c r="U288" t="s">
        <v>1914</v>
      </c>
    </row>
    <row r="289" spans="1:21">
      <c r="A289" t="s">
        <v>562</v>
      </c>
      <c r="K289" t="s">
        <v>1213</v>
      </c>
      <c r="U289" t="s">
        <v>1915</v>
      </c>
    </row>
    <row r="290" spans="1:21">
      <c r="A290" t="s">
        <v>563</v>
      </c>
      <c r="K290" t="s">
        <v>1214</v>
      </c>
      <c r="U290" t="s">
        <v>1916</v>
      </c>
    </row>
    <row r="291" spans="1:21">
      <c r="A291" t="s">
        <v>564</v>
      </c>
      <c r="K291" t="s">
        <v>1215</v>
      </c>
      <c r="U291" t="s">
        <v>1917</v>
      </c>
    </row>
    <row r="292" spans="1:21">
      <c r="A292" t="s">
        <v>565</v>
      </c>
      <c r="K292" t="s">
        <v>1216</v>
      </c>
      <c r="U292" t="s">
        <v>1918</v>
      </c>
    </row>
    <row r="293" spans="1:21">
      <c r="A293" t="s">
        <v>566</v>
      </c>
      <c r="K293" t="s">
        <v>1217</v>
      </c>
      <c r="U293" t="s">
        <v>1919</v>
      </c>
    </row>
    <row r="294" spans="1:21">
      <c r="A294" t="s">
        <v>567</v>
      </c>
      <c r="K294" t="s">
        <v>1218</v>
      </c>
      <c r="U294" t="s">
        <v>1920</v>
      </c>
    </row>
    <row r="295" spans="1:21">
      <c r="A295" t="s">
        <v>568</v>
      </c>
      <c r="K295" t="s">
        <v>1219</v>
      </c>
      <c r="U295" t="s">
        <v>1921</v>
      </c>
    </row>
    <row r="296" spans="1:21">
      <c r="A296" t="s">
        <v>569</v>
      </c>
      <c r="K296" t="s">
        <v>1220</v>
      </c>
      <c r="U296" t="s">
        <v>1922</v>
      </c>
    </row>
    <row r="297" spans="1:21">
      <c r="A297" t="s">
        <v>570</v>
      </c>
      <c r="K297" t="s">
        <v>1221</v>
      </c>
      <c r="U297" t="s">
        <v>1923</v>
      </c>
    </row>
    <row r="298" spans="1:21">
      <c r="A298" t="s">
        <v>571</v>
      </c>
      <c r="K298" t="s">
        <v>1222</v>
      </c>
      <c r="U298" t="s">
        <v>1924</v>
      </c>
    </row>
    <row r="299" spans="1:21">
      <c r="A299" t="s">
        <v>572</v>
      </c>
      <c r="K299" t="s">
        <v>1223</v>
      </c>
      <c r="U299" t="s">
        <v>1925</v>
      </c>
    </row>
    <row r="300" spans="1:21">
      <c r="A300" t="s">
        <v>573</v>
      </c>
      <c r="K300" t="s">
        <v>1224</v>
      </c>
      <c r="U300" t="s">
        <v>1926</v>
      </c>
    </row>
    <row r="301" spans="1:21">
      <c r="A301" t="s">
        <v>574</v>
      </c>
      <c r="K301" t="s">
        <v>1225</v>
      </c>
      <c r="U301" t="s">
        <v>1927</v>
      </c>
    </row>
    <row r="302" spans="1:21">
      <c r="A302" t="s">
        <v>575</v>
      </c>
      <c r="K302" t="s">
        <v>1226</v>
      </c>
      <c r="U302" t="s">
        <v>1928</v>
      </c>
    </row>
    <row r="303" spans="1:21">
      <c r="A303" t="s">
        <v>576</v>
      </c>
      <c r="K303" t="s">
        <v>1227</v>
      </c>
      <c r="U303" t="s">
        <v>1929</v>
      </c>
    </row>
    <row r="304" spans="1:21">
      <c r="A304" t="s">
        <v>577</v>
      </c>
      <c r="K304" t="s">
        <v>1228</v>
      </c>
      <c r="U304" t="s">
        <v>1930</v>
      </c>
    </row>
    <row r="305" spans="1:21">
      <c r="A305" t="s">
        <v>578</v>
      </c>
      <c r="K305" t="s">
        <v>1229</v>
      </c>
      <c r="U305" t="s">
        <v>1931</v>
      </c>
    </row>
    <row r="306" spans="1:21">
      <c r="A306" t="s">
        <v>579</v>
      </c>
      <c r="K306" t="s">
        <v>1230</v>
      </c>
      <c r="U306" t="s">
        <v>1932</v>
      </c>
    </row>
    <row r="307" spans="1:21">
      <c r="A307" t="s">
        <v>580</v>
      </c>
      <c r="K307" t="s">
        <v>1231</v>
      </c>
      <c r="U307" t="s">
        <v>1933</v>
      </c>
    </row>
    <row r="308" spans="1:21">
      <c r="A308" t="s">
        <v>581</v>
      </c>
      <c r="K308" t="s">
        <v>1232</v>
      </c>
      <c r="U308" t="s">
        <v>1934</v>
      </c>
    </row>
    <row r="309" spans="1:21">
      <c r="A309" t="s">
        <v>582</v>
      </c>
      <c r="K309" t="s">
        <v>1233</v>
      </c>
      <c r="U309" t="s">
        <v>1935</v>
      </c>
    </row>
    <row r="310" spans="1:21">
      <c r="A310" t="s">
        <v>583</v>
      </c>
      <c r="K310" t="s">
        <v>1234</v>
      </c>
      <c r="U310" t="s">
        <v>1936</v>
      </c>
    </row>
    <row r="311" spans="1:21">
      <c r="A311" t="s">
        <v>584</v>
      </c>
      <c r="K311" t="s">
        <v>1235</v>
      </c>
      <c r="U311" t="s">
        <v>1937</v>
      </c>
    </row>
    <row r="312" spans="1:21">
      <c r="A312" t="s">
        <v>585</v>
      </c>
      <c r="K312" t="s">
        <v>1236</v>
      </c>
      <c r="U312" t="s">
        <v>1938</v>
      </c>
    </row>
    <row r="313" spans="1:21">
      <c r="A313" t="s">
        <v>586</v>
      </c>
      <c r="K313" t="s">
        <v>1237</v>
      </c>
      <c r="U313" t="s">
        <v>1939</v>
      </c>
    </row>
    <row r="314" spans="1:21">
      <c r="A314" t="s">
        <v>587</v>
      </c>
      <c r="K314" t="s">
        <v>1238</v>
      </c>
      <c r="U314" t="s">
        <v>1940</v>
      </c>
    </row>
    <row r="315" spans="1:21">
      <c r="A315" t="s">
        <v>588</v>
      </c>
      <c r="K315" t="s">
        <v>1239</v>
      </c>
      <c r="U315" t="s">
        <v>1941</v>
      </c>
    </row>
    <row r="316" spans="1:21">
      <c r="A316" t="s">
        <v>589</v>
      </c>
      <c r="K316" t="s">
        <v>1240</v>
      </c>
      <c r="U316" t="s">
        <v>1942</v>
      </c>
    </row>
    <row r="317" spans="1:21">
      <c r="A317" t="s">
        <v>590</v>
      </c>
      <c r="K317" t="s">
        <v>1241</v>
      </c>
      <c r="U317" t="s">
        <v>1943</v>
      </c>
    </row>
    <row r="318" spans="1:21">
      <c r="A318" t="s">
        <v>591</v>
      </c>
      <c r="K318" t="s">
        <v>1242</v>
      </c>
      <c r="U318" t="s">
        <v>1944</v>
      </c>
    </row>
    <row r="319" spans="1:21">
      <c r="A319" t="s">
        <v>592</v>
      </c>
      <c r="K319" t="s">
        <v>1243</v>
      </c>
      <c r="U319" t="s">
        <v>1945</v>
      </c>
    </row>
    <row r="320" spans="1:21">
      <c r="A320" t="s">
        <v>593</v>
      </c>
      <c r="K320" t="s">
        <v>1244</v>
      </c>
      <c r="U320" t="s">
        <v>1946</v>
      </c>
    </row>
    <row r="321" spans="1:21">
      <c r="A321" t="s">
        <v>594</v>
      </c>
      <c r="K321" t="s">
        <v>1245</v>
      </c>
      <c r="U321" t="s">
        <v>1947</v>
      </c>
    </row>
    <row r="322" spans="1:21">
      <c r="A322" t="s">
        <v>595</v>
      </c>
      <c r="K322" t="s">
        <v>1246</v>
      </c>
      <c r="U322" t="s">
        <v>1948</v>
      </c>
    </row>
    <row r="323" spans="1:21">
      <c r="A323" t="s">
        <v>596</v>
      </c>
      <c r="K323" t="s">
        <v>1247</v>
      </c>
      <c r="U323" t="s">
        <v>1949</v>
      </c>
    </row>
    <row r="324" spans="1:21">
      <c r="A324" t="s">
        <v>597</v>
      </c>
      <c r="K324" t="s">
        <v>1248</v>
      </c>
      <c r="U324" t="s">
        <v>1950</v>
      </c>
    </row>
    <row r="325" spans="1:21">
      <c r="A325" t="s">
        <v>598</v>
      </c>
      <c r="K325" t="s">
        <v>1249</v>
      </c>
      <c r="U325" t="s">
        <v>1951</v>
      </c>
    </row>
    <row r="326" spans="1:21">
      <c r="A326" t="s">
        <v>599</v>
      </c>
      <c r="K326" t="s">
        <v>1250</v>
      </c>
      <c r="U326" t="s">
        <v>1952</v>
      </c>
    </row>
    <row r="327" spans="1:21">
      <c r="A327" t="s">
        <v>600</v>
      </c>
      <c r="K327" t="s">
        <v>1251</v>
      </c>
      <c r="U327" t="s">
        <v>1953</v>
      </c>
    </row>
    <row r="328" spans="1:21">
      <c r="A328" t="s">
        <v>601</v>
      </c>
      <c r="K328" t="s">
        <v>1252</v>
      </c>
      <c r="U328" t="s">
        <v>1954</v>
      </c>
    </row>
    <row r="329" spans="1:21">
      <c r="A329" t="s">
        <v>602</v>
      </c>
      <c r="K329" t="s">
        <v>1253</v>
      </c>
      <c r="U329" t="s">
        <v>1955</v>
      </c>
    </row>
    <row r="330" spans="1:21">
      <c r="A330" t="s">
        <v>603</v>
      </c>
      <c r="K330" t="s">
        <v>1254</v>
      </c>
      <c r="U330" t="s">
        <v>1956</v>
      </c>
    </row>
    <row r="331" spans="1:21">
      <c r="A331" t="s">
        <v>604</v>
      </c>
      <c r="K331" t="s">
        <v>1255</v>
      </c>
      <c r="U331" t="s">
        <v>1957</v>
      </c>
    </row>
    <row r="332" spans="1:21">
      <c r="A332" t="s">
        <v>605</v>
      </c>
      <c r="K332" t="s">
        <v>1256</v>
      </c>
      <c r="U332" t="s">
        <v>1958</v>
      </c>
    </row>
    <row r="333" spans="1:21">
      <c r="A333" t="s">
        <v>606</v>
      </c>
      <c r="K333" t="s">
        <v>1257</v>
      </c>
      <c r="U333" t="s">
        <v>1959</v>
      </c>
    </row>
    <row r="334" spans="1:21">
      <c r="A334" t="s">
        <v>607</v>
      </c>
      <c r="K334" t="s">
        <v>1258</v>
      </c>
      <c r="U334" t="s">
        <v>1960</v>
      </c>
    </row>
    <row r="335" spans="1:21">
      <c r="A335" t="s">
        <v>608</v>
      </c>
      <c r="K335" t="s">
        <v>1259</v>
      </c>
      <c r="U335" t="s">
        <v>1961</v>
      </c>
    </row>
    <row r="336" spans="1:21">
      <c r="A336" t="s">
        <v>609</v>
      </c>
      <c r="K336" t="s">
        <v>1260</v>
      </c>
      <c r="U336" t="s">
        <v>1962</v>
      </c>
    </row>
    <row r="337" spans="1:21">
      <c r="A337" t="s">
        <v>610</v>
      </c>
      <c r="K337" t="s">
        <v>1261</v>
      </c>
      <c r="U337" t="s">
        <v>1963</v>
      </c>
    </row>
    <row r="338" spans="1:21">
      <c r="A338" t="s">
        <v>611</v>
      </c>
      <c r="K338" t="s">
        <v>1262</v>
      </c>
      <c r="U338" t="s">
        <v>1964</v>
      </c>
    </row>
    <row r="339" spans="1:21">
      <c r="A339" t="s">
        <v>612</v>
      </c>
      <c r="K339" t="s">
        <v>1263</v>
      </c>
      <c r="U339" t="s">
        <v>1965</v>
      </c>
    </row>
    <row r="340" spans="1:21">
      <c r="A340" t="s">
        <v>613</v>
      </c>
      <c r="K340" t="s">
        <v>1264</v>
      </c>
      <c r="U340" t="s">
        <v>1966</v>
      </c>
    </row>
    <row r="341" spans="1:21">
      <c r="A341" t="s">
        <v>614</v>
      </c>
      <c r="K341" t="s">
        <v>1265</v>
      </c>
      <c r="U341" t="s">
        <v>1967</v>
      </c>
    </row>
    <row r="342" spans="1:21">
      <c r="A342" t="s">
        <v>615</v>
      </c>
      <c r="K342" t="s">
        <v>1266</v>
      </c>
      <c r="U342" t="s">
        <v>1968</v>
      </c>
    </row>
    <row r="343" spans="1:21">
      <c r="A343" t="s">
        <v>616</v>
      </c>
      <c r="K343" t="s">
        <v>1267</v>
      </c>
      <c r="U343" t="s">
        <v>1969</v>
      </c>
    </row>
    <row r="344" spans="1:21">
      <c r="A344" t="s">
        <v>617</v>
      </c>
      <c r="K344" t="s">
        <v>1268</v>
      </c>
      <c r="U344" t="s">
        <v>1970</v>
      </c>
    </row>
    <row r="345" spans="1:21">
      <c r="A345" t="s">
        <v>618</v>
      </c>
      <c r="K345" t="s">
        <v>1269</v>
      </c>
      <c r="U345" t="s">
        <v>1971</v>
      </c>
    </row>
    <row r="346" spans="1:21">
      <c r="A346" t="s">
        <v>619</v>
      </c>
      <c r="K346" t="s">
        <v>1270</v>
      </c>
      <c r="U346" t="s">
        <v>1972</v>
      </c>
    </row>
    <row r="347" spans="1:21">
      <c r="A347" t="s">
        <v>620</v>
      </c>
      <c r="K347" t="s">
        <v>1271</v>
      </c>
      <c r="U347" t="s">
        <v>1973</v>
      </c>
    </row>
    <row r="348" spans="1:21">
      <c r="A348" t="s">
        <v>621</v>
      </c>
      <c r="K348" t="s">
        <v>1272</v>
      </c>
      <c r="U348" t="s">
        <v>1974</v>
      </c>
    </row>
    <row r="349" spans="1:21">
      <c r="A349" t="s">
        <v>622</v>
      </c>
      <c r="K349" t="s">
        <v>1273</v>
      </c>
      <c r="U349" t="s">
        <v>1975</v>
      </c>
    </row>
    <row r="350" spans="1:21">
      <c r="A350" t="s">
        <v>623</v>
      </c>
      <c r="K350" t="s">
        <v>1274</v>
      </c>
      <c r="U350" t="s">
        <v>1976</v>
      </c>
    </row>
    <row r="351" spans="1:21">
      <c r="A351" t="s">
        <v>624</v>
      </c>
      <c r="K351" t="s">
        <v>1275</v>
      </c>
      <c r="U351" t="s">
        <v>1977</v>
      </c>
    </row>
    <row r="352" spans="1:21">
      <c r="A352" t="s">
        <v>625</v>
      </c>
      <c r="K352" t="s">
        <v>1276</v>
      </c>
      <c r="U352" t="s">
        <v>1978</v>
      </c>
    </row>
    <row r="353" spans="1:21">
      <c r="A353" t="s">
        <v>626</v>
      </c>
      <c r="K353" t="s">
        <v>1277</v>
      </c>
      <c r="U353" t="s">
        <v>1979</v>
      </c>
    </row>
    <row r="354" spans="1:21">
      <c r="A354" t="s">
        <v>627</v>
      </c>
      <c r="K354" t="s">
        <v>1278</v>
      </c>
      <c r="U354" t="s">
        <v>1980</v>
      </c>
    </row>
    <row r="355" spans="1:21">
      <c r="A355" t="s">
        <v>628</v>
      </c>
      <c r="K355" t="s">
        <v>1279</v>
      </c>
      <c r="U355" t="s">
        <v>1981</v>
      </c>
    </row>
    <row r="356" spans="1:21">
      <c r="A356" t="s">
        <v>629</v>
      </c>
      <c r="K356" t="s">
        <v>1280</v>
      </c>
      <c r="U356" t="s">
        <v>1982</v>
      </c>
    </row>
    <row r="357" spans="1:21">
      <c r="A357" t="s">
        <v>630</v>
      </c>
      <c r="K357" t="s">
        <v>1281</v>
      </c>
      <c r="U357" t="s">
        <v>1983</v>
      </c>
    </row>
    <row r="358" spans="1:21">
      <c r="A358" t="s">
        <v>631</v>
      </c>
      <c r="K358" t="s">
        <v>1282</v>
      </c>
      <c r="U358" t="s">
        <v>1984</v>
      </c>
    </row>
    <row r="359" spans="1:21">
      <c r="A359" t="s">
        <v>632</v>
      </c>
      <c r="K359" t="s">
        <v>1283</v>
      </c>
      <c r="U359" t="s">
        <v>1985</v>
      </c>
    </row>
    <row r="360" spans="1:21">
      <c r="A360" t="s">
        <v>633</v>
      </c>
      <c r="K360" t="s">
        <v>1284</v>
      </c>
      <c r="U360" t="s">
        <v>1986</v>
      </c>
    </row>
    <row r="361" spans="1:21">
      <c r="A361" t="s">
        <v>634</v>
      </c>
      <c r="K361" t="s">
        <v>1285</v>
      </c>
      <c r="U361" t="s">
        <v>1987</v>
      </c>
    </row>
    <row r="362" spans="1:21">
      <c r="A362" t="s">
        <v>635</v>
      </c>
      <c r="K362" t="s">
        <v>1286</v>
      </c>
      <c r="U362" t="s">
        <v>1988</v>
      </c>
    </row>
    <row r="363" spans="1:21">
      <c r="A363" t="s">
        <v>636</v>
      </c>
      <c r="K363" t="s">
        <v>1287</v>
      </c>
      <c r="U363" t="s">
        <v>1989</v>
      </c>
    </row>
    <row r="364" spans="1:21">
      <c r="A364" t="s">
        <v>637</v>
      </c>
      <c r="K364" t="s">
        <v>1288</v>
      </c>
      <c r="U364" t="s">
        <v>1990</v>
      </c>
    </row>
    <row r="365" spans="1:21">
      <c r="A365" t="s">
        <v>638</v>
      </c>
      <c r="K365" t="s">
        <v>1289</v>
      </c>
      <c r="U365" t="s">
        <v>1991</v>
      </c>
    </row>
    <row r="366" spans="1:21">
      <c r="A366" t="s">
        <v>639</v>
      </c>
      <c r="K366" t="s">
        <v>1290</v>
      </c>
      <c r="U366" t="s">
        <v>1992</v>
      </c>
    </row>
    <row r="367" spans="1:21">
      <c r="A367" t="s">
        <v>640</v>
      </c>
      <c r="K367" t="s">
        <v>1291</v>
      </c>
      <c r="U367" t="s">
        <v>1993</v>
      </c>
    </row>
    <row r="368" spans="1:21">
      <c r="A368" t="s">
        <v>641</v>
      </c>
      <c r="K368" t="s">
        <v>1292</v>
      </c>
      <c r="U368" t="s">
        <v>1994</v>
      </c>
    </row>
    <row r="369" spans="1:21">
      <c r="A369" t="s">
        <v>642</v>
      </c>
      <c r="K369" t="s">
        <v>1293</v>
      </c>
      <c r="U369" t="s">
        <v>1995</v>
      </c>
    </row>
    <row r="370" spans="1:21">
      <c r="A370" t="s">
        <v>643</v>
      </c>
      <c r="K370" t="s">
        <v>1294</v>
      </c>
      <c r="U370" t="s">
        <v>1996</v>
      </c>
    </row>
    <row r="371" spans="1:21">
      <c r="A371" t="s">
        <v>644</v>
      </c>
      <c r="K371" t="s">
        <v>1295</v>
      </c>
      <c r="U371" t="s">
        <v>1997</v>
      </c>
    </row>
    <row r="372" spans="1:21">
      <c r="A372" t="s">
        <v>645</v>
      </c>
      <c r="K372" t="s">
        <v>1296</v>
      </c>
      <c r="U372" t="s">
        <v>1998</v>
      </c>
    </row>
    <row r="373" spans="1:21">
      <c r="A373" t="s">
        <v>646</v>
      </c>
      <c r="K373" t="s">
        <v>1297</v>
      </c>
      <c r="U373" t="s">
        <v>1999</v>
      </c>
    </row>
    <row r="374" spans="1:21">
      <c r="A374" t="s">
        <v>647</v>
      </c>
      <c r="K374" t="s">
        <v>1298</v>
      </c>
      <c r="U374" t="s">
        <v>2000</v>
      </c>
    </row>
    <row r="375" spans="1:21">
      <c r="A375" t="s">
        <v>648</v>
      </c>
      <c r="K375" t="s">
        <v>1299</v>
      </c>
      <c r="U375" t="s">
        <v>2003</v>
      </c>
    </row>
    <row r="376" spans="1:21">
      <c r="A376" t="s">
        <v>649</v>
      </c>
      <c r="K376" t="s">
        <v>1300</v>
      </c>
      <c r="U376" t="s">
        <v>2004</v>
      </c>
    </row>
    <row r="377" spans="1:21">
      <c r="A377" t="s">
        <v>650</v>
      </c>
      <c r="K377" t="s">
        <v>1301</v>
      </c>
      <c r="U377" t="s">
        <v>2003</v>
      </c>
    </row>
    <row r="378" spans="1:21">
      <c r="A378" t="s">
        <v>651</v>
      </c>
      <c r="K378" t="s">
        <v>1298</v>
      </c>
      <c r="U378" t="s">
        <v>2005</v>
      </c>
    </row>
    <row r="379" spans="1:21">
      <c r="A379" t="s">
        <v>652</v>
      </c>
      <c r="K379" t="s">
        <v>1302</v>
      </c>
      <c r="U379" t="s">
        <v>2006</v>
      </c>
    </row>
    <row r="380" spans="1:21">
      <c r="A380" t="s">
        <v>653</v>
      </c>
      <c r="K380" t="s">
        <v>1298</v>
      </c>
      <c r="U380" t="s">
        <v>2007</v>
      </c>
    </row>
    <row r="381" spans="1:21">
      <c r="A381" t="s">
        <v>654</v>
      </c>
      <c r="K381" t="s">
        <v>1303</v>
      </c>
      <c r="U381" t="s">
        <v>2008</v>
      </c>
    </row>
    <row r="382" spans="1:21">
      <c r="A382" t="s">
        <v>655</v>
      </c>
      <c r="K382" t="s">
        <v>1304</v>
      </c>
      <c r="U382" t="s">
        <v>2009</v>
      </c>
    </row>
    <row r="383" spans="1:21">
      <c r="A383" t="s">
        <v>656</v>
      </c>
      <c r="K383" t="s">
        <v>1305</v>
      </c>
      <c r="U383" t="s">
        <v>2010</v>
      </c>
    </row>
    <row r="384" spans="1:21">
      <c r="A384" t="s">
        <v>657</v>
      </c>
      <c r="K384" t="s">
        <v>1306</v>
      </c>
      <c r="U384" t="s">
        <v>2011</v>
      </c>
    </row>
    <row r="385" spans="1:21">
      <c r="A385" t="s">
        <v>658</v>
      </c>
      <c r="K385" t="s">
        <v>1307</v>
      </c>
      <c r="U385" t="s">
        <v>2012</v>
      </c>
    </row>
    <row r="386" spans="1:21">
      <c r="A386" t="s">
        <v>659</v>
      </c>
      <c r="K386" t="s">
        <v>1308</v>
      </c>
      <c r="U386" t="s">
        <v>2013</v>
      </c>
    </row>
    <row r="387" spans="1:21">
      <c r="A387" t="s">
        <v>660</v>
      </c>
      <c r="K387" t="s">
        <v>1309</v>
      </c>
      <c r="U387" t="s">
        <v>2014</v>
      </c>
    </row>
    <row r="388" spans="1:21">
      <c r="A388" t="s">
        <v>661</v>
      </c>
      <c r="K388" t="s">
        <v>1310</v>
      </c>
      <c r="U388" t="s">
        <v>2015</v>
      </c>
    </row>
    <row r="389" spans="1:21">
      <c r="A389" t="s">
        <v>662</v>
      </c>
      <c r="K389" t="s">
        <v>1311</v>
      </c>
      <c r="U389" t="s">
        <v>2016</v>
      </c>
    </row>
    <row r="390" spans="1:21">
      <c r="A390" t="s">
        <v>663</v>
      </c>
      <c r="K390" t="s">
        <v>1312</v>
      </c>
      <c r="U390" t="s">
        <v>2017</v>
      </c>
    </row>
    <row r="391" spans="1:21">
      <c r="A391" t="s">
        <v>664</v>
      </c>
      <c r="K391" t="s">
        <v>1313</v>
      </c>
      <c r="U391" t="s">
        <v>2018</v>
      </c>
    </row>
    <row r="392" spans="1:21">
      <c r="A392" t="s">
        <v>665</v>
      </c>
      <c r="K392" t="s">
        <v>1314</v>
      </c>
      <c r="U392" t="s">
        <v>2019</v>
      </c>
    </row>
    <row r="393" spans="1:21">
      <c r="A393" t="s">
        <v>666</v>
      </c>
      <c r="K393" t="s">
        <v>1315</v>
      </c>
      <c r="U393" t="s">
        <v>2020</v>
      </c>
    </row>
    <row r="394" spans="1:21">
      <c r="A394" t="s">
        <v>667</v>
      </c>
      <c r="K394" t="s">
        <v>1316</v>
      </c>
      <c r="U394" t="s">
        <v>2021</v>
      </c>
    </row>
    <row r="395" spans="1:21">
      <c r="A395" t="s">
        <v>668</v>
      </c>
      <c r="K395" t="s">
        <v>1317</v>
      </c>
      <c r="U395" t="s">
        <v>2022</v>
      </c>
    </row>
    <row r="396" spans="1:21">
      <c r="A396" t="s">
        <v>669</v>
      </c>
      <c r="K396" t="s">
        <v>1318</v>
      </c>
      <c r="U396" t="s">
        <v>2023</v>
      </c>
    </row>
    <row r="397" spans="1:21">
      <c r="A397" t="s">
        <v>670</v>
      </c>
      <c r="K397" t="s">
        <v>1319</v>
      </c>
      <c r="U397" t="s">
        <v>2024</v>
      </c>
    </row>
    <row r="398" spans="1:21">
      <c r="A398" t="s">
        <v>671</v>
      </c>
      <c r="K398" t="s">
        <v>1320</v>
      </c>
      <c r="U398" t="s">
        <v>2025</v>
      </c>
    </row>
    <row r="399" spans="1:21">
      <c r="A399" t="s">
        <v>672</v>
      </c>
      <c r="K399" t="s">
        <v>1321</v>
      </c>
      <c r="U399" t="s">
        <v>2026</v>
      </c>
    </row>
    <row r="400" spans="1:21">
      <c r="A400" t="s">
        <v>673</v>
      </c>
      <c r="K400" t="s">
        <v>1322</v>
      </c>
      <c r="U400" t="s">
        <v>2027</v>
      </c>
    </row>
    <row r="401" spans="1:21">
      <c r="A401" t="s">
        <v>674</v>
      </c>
      <c r="K401" t="s">
        <v>1323</v>
      </c>
      <c r="U401" t="s">
        <v>2028</v>
      </c>
    </row>
    <row r="402" spans="1:21">
      <c r="A402" t="s">
        <v>675</v>
      </c>
      <c r="K402" t="s">
        <v>1324</v>
      </c>
      <c r="U402" t="s">
        <v>2029</v>
      </c>
    </row>
    <row r="403" spans="1:21">
      <c r="A403" t="s">
        <v>676</v>
      </c>
      <c r="K403" t="s">
        <v>1325</v>
      </c>
      <c r="U403" t="s">
        <v>2030</v>
      </c>
    </row>
    <row r="404" spans="1:21">
      <c r="A404" t="s">
        <v>677</v>
      </c>
      <c r="K404" t="s">
        <v>1326</v>
      </c>
      <c r="U404" t="s">
        <v>2031</v>
      </c>
    </row>
    <row r="405" spans="1:21">
      <c r="A405" t="s">
        <v>678</v>
      </c>
      <c r="K405" t="s">
        <v>1327</v>
      </c>
      <c r="U405" t="s">
        <v>2032</v>
      </c>
    </row>
    <row r="406" spans="1:21">
      <c r="A406" t="s">
        <v>679</v>
      </c>
      <c r="K406" t="s">
        <v>1328</v>
      </c>
      <c r="U406" t="s">
        <v>2033</v>
      </c>
    </row>
    <row r="407" spans="1:21">
      <c r="A407" t="s">
        <v>680</v>
      </c>
      <c r="K407" t="s">
        <v>1329</v>
      </c>
      <c r="U407" t="s">
        <v>2034</v>
      </c>
    </row>
    <row r="408" spans="1:21">
      <c r="A408" t="s">
        <v>681</v>
      </c>
      <c r="K408" t="s">
        <v>1326</v>
      </c>
      <c r="U408" t="s">
        <v>2035</v>
      </c>
    </row>
    <row r="409" spans="1:21">
      <c r="A409" t="s">
        <v>682</v>
      </c>
      <c r="K409" t="s">
        <v>1330</v>
      </c>
      <c r="U409" t="s">
        <v>2036</v>
      </c>
    </row>
    <row r="410" spans="1:21">
      <c r="A410" t="s">
        <v>683</v>
      </c>
      <c r="K410" t="s">
        <v>1326</v>
      </c>
      <c r="U410" t="s">
        <v>2037</v>
      </c>
    </row>
    <row r="411" spans="1:21">
      <c r="A411" t="s">
        <v>684</v>
      </c>
      <c r="K411" t="s">
        <v>1331</v>
      </c>
      <c r="U411" t="s">
        <v>2038</v>
      </c>
    </row>
    <row r="412" spans="1:21">
      <c r="A412" t="s">
        <v>685</v>
      </c>
      <c r="K412" t="s">
        <v>1332</v>
      </c>
      <c r="U412" t="s">
        <v>2039</v>
      </c>
    </row>
    <row r="413" spans="1:21">
      <c r="A413" t="s">
        <v>686</v>
      </c>
      <c r="K413" t="s">
        <v>1333</v>
      </c>
      <c r="U413" t="s">
        <v>2040</v>
      </c>
    </row>
    <row r="414" spans="1:21">
      <c r="A414" t="s">
        <v>687</v>
      </c>
      <c r="K414" t="s">
        <v>1326</v>
      </c>
      <c r="U414" t="s">
        <v>2041</v>
      </c>
    </row>
    <row r="415" spans="1:21">
      <c r="A415" t="s">
        <v>688</v>
      </c>
      <c r="K415" t="s">
        <v>1334</v>
      </c>
      <c r="U415" t="s">
        <v>2042</v>
      </c>
    </row>
    <row r="416" spans="1:21">
      <c r="A416" t="s">
        <v>689</v>
      </c>
      <c r="K416" t="s">
        <v>1335</v>
      </c>
      <c r="U416" t="s">
        <v>2043</v>
      </c>
    </row>
    <row r="417" spans="1:21">
      <c r="A417" t="s">
        <v>690</v>
      </c>
      <c r="K417" t="s">
        <v>1339</v>
      </c>
      <c r="U417" t="s">
        <v>2044</v>
      </c>
    </row>
    <row r="418" spans="1:21">
      <c r="A418" t="s">
        <v>691</v>
      </c>
      <c r="K418" t="s">
        <v>1340</v>
      </c>
      <c r="U418" t="s">
        <v>2045</v>
      </c>
    </row>
    <row r="419" spans="1:21">
      <c r="A419" t="s">
        <v>692</v>
      </c>
      <c r="K419" t="s">
        <v>1341</v>
      </c>
      <c r="U419" t="s">
        <v>2046</v>
      </c>
    </row>
    <row r="420" spans="1:21">
      <c r="A420" t="s">
        <v>693</v>
      </c>
      <c r="K420" t="s">
        <v>1342</v>
      </c>
      <c r="U420" t="s">
        <v>2047</v>
      </c>
    </row>
    <row r="421" spans="1:21">
      <c r="A421" t="s">
        <v>694</v>
      </c>
      <c r="K421" t="s">
        <v>1343</v>
      </c>
      <c r="U421" t="s">
        <v>2048</v>
      </c>
    </row>
    <row r="422" spans="1:21">
      <c r="A422" t="s">
        <v>695</v>
      </c>
      <c r="K422" t="s">
        <v>1344</v>
      </c>
      <c r="U422" t="s">
        <v>2049</v>
      </c>
    </row>
    <row r="423" spans="1:21">
      <c r="A423" t="s">
        <v>696</v>
      </c>
      <c r="K423" t="s">
        <v>1345</v>
      </c>
      <c r="U423" t="s">
        <v>2050</v>
      </c>
    </row>
    <row r="424" spans="1:21">
      <c r="A424" t="s">
        <v>697</v>
      </c>
      <c r="K424" t="s">
        <v>1346</v>
      </c>
      <c r="U424" t="s">
        <v>2051</v>
      </c>
    </row>
    <row r="425" spans="1:21">
      <c r="A425" t="s">
        <v>698</v>
      </c>
      <c r="E425" t="s">
        <v>2740</v>
      </c>
      <c r="F425" t="s">
        <v>2741</v>
      </c>
      <c r="K425" t="s">
        <v>1347</v>
      </c>
      <c r="U425" t="s">
        <v>2052</v>
      </c>
    </row>
    <row r="426" spans="1:21">
      <c r="A426" s="200" t="s">
        <v>699</v>
      </c>
      <c r="B426" s="200"/>
      <c r="C426" s="200"/>
      <c r="D426" s="200"/>
      <c r="E426" s="90" t="str">
        <f>MID(A426,36,1)</f>
        <v>5</v>
      </c>
      <c r="F426" s="90" t="e">
        <f>AVERAGE(E426:E441)</f>
        <v>#DIV/0!</v>
      </c>
      <c r="K426" s="200" t="s">
        <v>1348</v>
      </c>
      <c r="L426" s="200"/>
      <c r="M426" s="200"/>
      <c r="N426" s="200"/>
      <c r="O426" s="200"/>
      <c r="U426" t="s">
        <v>2053</v>
      </c>
    </row>
    <row r="427" spans="1:21">
      <c r="A427" s="200" t="s">
        <v>700</v>
      </c>
      <c r="B427" s="200"/>
      <c r="C427" s="200"/>
      <c r="D427" s="200"/>
      <c r="E427" s="90" t="str">
        <f t="shared" ref="E427:E441" si="2">MID(A427,36,1)</f>
        <v>7</v>
      </c>
      <c r="K427" s="200" t="s">
        <v>1349</v>
      </c>
      <c r="L427" s="200"/>
      <c r="M427" s="200"/>
      <c r="N427" s="200"/>
      <c r="O427" s="200"/>
      <c r="U427" t="s">
        <v>2054</v>
      </c>
    </row>
    <row r="428" spans="1:21">
      <c r="A428" s="200" t="s">
        <v>701</v>
      </c>
      <c r="B428" s="200"/>
      <c r="C428" s="200"/>
      <c r="D428" s="200"/>
      <c r="E428" s="90" t="str">
        <f t="shared" si="2"/>
        <v>6</v>
      </c>
      <c r="K428" s="200" t="s">
        <v>1350</v>
      </c>
      <c r="L428" s="200"/>
      <c r="M428" s="200"/>
      <c r="N428" s="200"/>
      <c r="O428" s="200"/>
      <c r="U428" t="s">
        <v>2055</v>
      </c>
    </row>
    <row r="429" spans="1:21">
      <c r="A429" s="200" t="s">
        <v>702</v>
      </c>
      <c r="B429" s="200"/>
      <c r="C429" s="200"/>
      <c r="D429" s="200"/>
      <c r="E429" s="90" t="str">
        <f t="shared" si="2"/>
        <v>7</v>
      </c>
      <c r="K429" s="200" t="s">
        <v>1351</v>
      </c>
      <c r="L429" s="200"/>
      <c r="M429" s="200"/>
      <c r="N429" s="200"/>
      <c r="O429" s="200"/>
      <c r="U429" t="s">
        <v>2056</v>
      </c>
    </row>
    <row r="430" spans="1:21">
      <c r="A430" s="200" t="s">
        <v>703</v>
      </c>
      <c r="B430" s="200"/>
      <c r="C430" s="200"/>
      <c r="D430" s="200"/>
      <c r="E430" s="90" t="str">
        <f t="shared" si="2"/>
        <v>8</v>
      </c>
      <c r="K430" s="200" t="s">
        <v>1352</v>
      </c>
      <c r="L430" s="200"/>
      <c r="M430" s="200"/>
      <c r="N430" s="200"/>
      <c r="O430" s="200"/>
      <c r="U430" t="s">
        <v>2057</v>
      </c>
    </row>
    <row r="431" spans="1:21">
      <c r="A431" s="200" t="s">
        <v>704</v>
      </c>
      <c r="B431" s="200"/>
      <c r="C431" s="200"/>
      <c r="D431" s="200"/>
      <c r="E431" s="90" t="str">
        <f t="shared" si="2"/>
        <v>8</v>
      </c>
      <c r="K431" s="200" t="s">
        <v>1353</v>
      </c>
      <c r="L431" s="200"/>
      <c r="M431" s="200"/>
      <c r="N431" s="200"/>
      <c r="O431" s="200"/>
      <c r="U431" t="s">
        <v>2058</v>
      </c>
    </row>
    <row r="432" spans="1:21">
      <c r="A432" s="200" t="s">
        <v>705</v>
      </c>
      <c r="B432" s="200"/>
      <c r="C432" s="200"/>
      <c r="D432" s="200"/>
      <c r="E432" s="90" t="str">
        <f t="shared" si="2"/>
        <v>6</v>
      </c>
      <c r="K432" s="200" t="s">
        <v>1354</v>
      </c>
      <c r="L432" s="200"/>
      <c r="M432" s="200"/>
      <c r="N432" s="200"/>
      <c r="O432" s="200"/>
      <c r="U432" t="s">
        <v>2059</v>
      </c>
    </row>
    <row r="433" spans="1:21">
      <c r="A433" s="200" t="s">
        <v>706</v>
      </c>
      <c r="B433" s="200"/>
      <c r="C433" s="200"/>
      <c r="D433" s="200"/>
      <c r="E433" s="90" t="str">
        <f t="shared" si="2"/>
        <v>4</v>
      </c>
      <c r="K433" s="200" t="s">
        <v>1355</v>
      </c>
      <c r="L433" s="200"/>
      <c r="M433" s="200"/>
      <c r="N433" s="200"/>
      <c r="O433" s="200"/>
      <c r="U433" t="s">
        <v>2060</v>
      </c>
    </row>
    <row r="434" spans="1:21">
      <c r="A434" s="200" t="s">
        <v>707</v>
      </c>
      <c r="B434" s="200"/>
      <c r="C434" s="200"/>
      <c r="D434" s="200"/>
      <c r="E434" s="90" t="str">
        <f t="shared" si="2"/>
        <v>4</v>
      </c>
      <c r="K434" s="200" t="s">
        <v>1356</v>
      </c>
      <c r="L434" s="200"/>
      <c r="M434" s="200"/>
      <c r="N434" s="200"/>
      <c r="O434" s="200"/>
      <c r="U434" t="s">
        <v>2061</v>
      </c>
    </row>
    <row r="435" spans="1:21">
      <c r="A435" s="200" t="s">
        <v>708</v>
      </c>
      <c r="B435" s="200"/>
      <c r="C435" s="200"/>
      <c r="D435" s="200"/>
      <c r="E435" s="90" t="str">
        <f t="shared" si="2"/>
        <v>4</v>
      </c>
      <c r="K435" t="s">
        <v>1357</v>
      </c>
      <c r="U435" t="s">
        <v>2062</v>
      </c>
    </row>
    <row r="436" spans="1:21">
      <c r="A436" t="s">
        <v>709</v>
      </c>
      <c r="E436" s="90" t="str">
        <f t="shared" si="2"/>
        <v>2</v>
      </c>
      <c r="K436" t="s">
        <v>1358</v>
      </c>
      <c r="U436" t="s">
        <v>2063</v>
      </c>
    </row>
    <row r="437" spans="1:21">
      <c r="A437" t="s">
        <v>710</v>
      </c>
      <c r="E437" s="90" t="str">
        <f t="shared" si="2"/>
        <v>3</v>
      </c>
      <c r="K437" t="s">
        <v>1359</v>
      </c>
      <c r="U437" t="s">
        <v>2064</v>
      </c>
    </row>
    <row r="438" spans="1:21">
      <c r="A438" t="s">
        <v>711</v>
      </c>
      <c r="E438" s="90" t="str">
        <f t="shared" si="2"/>
        <v>3</v>
      </c>
      <c r="K438" t="s">
        <v>1360</v>
      </c>
      <c r="U438" t="s">
        <v>2065</v>
      </c>
    </row>
    <row r="439" spans="1:21">
      <c r="A439" s="200" t="s">
        <v>712</v>
      </c>
      <c r="B439" s="200"/>
      <c r="C439" s="200"/>
      <c r="D439" s="200"/>
      <c r="E439" s="90" t="str">
        <f t="shared" si="2"/>
        <v>4</v>
      </c>
      <c r="K439" s="200" t="s">
        <v>1361</v>
      </c>
      <c r="L439" s="200"/>
      <c r="M439" s="200"/>
      <c r="N439" s="200"/>
      <c r="O439" s="200"/>
      <c r="U439" t="s">
        <v>2066</v>
      </c>
    </row>
    <row r="440" spans="1:21">
      <c r="A440" t="s">
        <v>713</v>
      </c>
      <c r="E440" s="90" t="str">
        <f t="shared" si="2"/>
        <v>3</v>
      </c>
      <c r="K440" t="s">
        <v>1362</v>
      </c>
      <c r="U440" t="s">
        <v>2067</v>
      </c>
    </row>
    <row r="441" spans="1:21">
      <c r="A441" t="s">
        <v>714</v>
      </c>
      <c r="E441" s="90" t="str">
        <f t="shared" si="2"/>
        <v>3</v>
      </c>
      <c r="K441" t="s">
        <v>1363</v>
      </c>
      <c r="U441" t="s">
        <v>2068</v>
      </c>
    </row>
    <row r="442" spans="1:21">
      <c r="A442" t="s">
        <v>715</v>
      </c>
      <c r="E442" t="str">
        <f t="shared" ref="E442:E491" si="3">MID(A442,35,2)</f>
        <v xml:space="preserve"> 3</v>
      </c>
      <c r="K442" s="200" t="s">
        <v>1364</v>
      </c>
      <c r="L442" s="200"/>
      <c r="M442" s="200"/>
      <c r="N442" s="200"/>
      <c r="O442" s="200"/>
      <c r="U442" t="s">
        <v>2069</v>
      </c>
    </row>
    <row r="443" spans="1:21">
      <c r="A443" s="200" t="s">
        <v>716</v>
      </c>
      <c r="B443" s="200"/>
      <c r="C443" s="200"/>
      <c r="D443" s="200"/>
      <c r="E443" t="str">
        <f t="shared" si="3"/>
        <v xml:space="preserve"> 4</v>
      </c>
      <c r="K443" s="200" t="s">
        <v>1365</v>
      </c>
      <c r="L443" s="200"/>
      <c r="M443" s="200"/>
      <c r="N443" s="200"/>
      <c r="O443" s="200"/>
      <c r="U443" t="s">
        <v>2070</v>
      </c>
    </row>
    <row r="444" spans="1:21">
      <c r="A444" t="s">
        <v>717</v>
      </c>
      <c r="E444" t="str">
        <f t="shared" si="3"/>
        <v xml:space="preserve"> 3</v>
      </c>
      <c r="K444" s="200" t="s">
        <v>1366</v>
      </c>
      <c r="L444" s="200"/>
      <c r="M444" s="200"/>
      <c r="N444" s="200"/>
      <c r="O444" s="200"/>
      <c r="U444" t="s">
        <v>2071</v>
      </c>
    </row>
    <row r="445" spans="1:21">
      <c r="A445" s="200" t="s">
        <v>718</v>
      </c>
      <c r="B445" s="200"/>
      <c r="C445" s="200"/>
      <c r="D445" s="200"/>
      <c r="E445" t="str">
        <f t="shared" si="3"/>
        <v xml:space="preserve"> 4</v>
      </c>
      <c r="K445" s="200" t="s">
        <v>1367</v>
      </c>
      <c r="L445" s="200"/>
      <c r="M445" s="200"/>
      <c r="N445" s="200"/>
      <c r="O445" s="200"/>
      <c r="U445" t="s">
        <v>2072</v>
      </c>
    </row>
    <row r="446" spans="1:21">
      <c r="A446" s="200" t="s">
        <v>719</v>
      </c>
      <c r="B446" s="200"/>
      <c r="C446" s="200"/>
      <c r="D446" s="200"/>
      <c r="E446" t="str">
        <f t="shared" si="3"/>
        <v xml:space="preserve"> 6</v>
      </c>
      <c r="K446" s="200" t="s">
        <v>1368</v>
      </c>
      <c r="L446" s="200"/>
      <c r="M446" s="200"/>
      <c r="N446" s="200"/>
      <c r="O446" s="200"/>
      <c r="U446" t="s">
        <v>2073</v>
      </c>
    </row>
    <row r="447" spans="1:21">
      <c r="A447" s="200" t="s">
        <v>720</v>
      </c>
      <c r="B447" s="200"/>
      <c r="C447" s="200"/>
      <c r="D447" s="200"/>
      <c r="E447" t="str">
        <f t="shared" si="3"/>
        <v xml:space="preserve"> 6</v>
      </c>
      <c r="K447" s="200" t="s">
        <v>1369</v>
      </c>
      <c r="L447" s="200"/>
      <c r="M447" s="200"/>
      <c r="N447" s="200"/>
      <c r="O447" s="200"/>
      <c r="U447" t="s">
        <v>2074</v>
      </c>
    </row>
    <row r="448" spans="1:21">
      <c r="A448" s="200" t="s">
        <v>721</v>
      </c>
      <c r="B448" s="200"/>
      <c r="C448" s="200"/>
      <c r="D448" s="200"/>
      <c r="E448" t="str">
        <f t="shared" si="3"/>
        <v xml:space="preserve"> 5</v>
      </c>
      <c r="K448" s="200" t="s">
        <v>1370</v>
      </c>
      <c r="L448" s="200"/>
      <c r="M448" s="200"/>
      <c r="N448" s="200"/>
      <c r="O448" s="200"/>
      <c r="U448" t="s">
        <v>2075</v>
      </c>
    </row>
    <row r="449" spans="1:21">
      <c r="A449" s="200" t="s">
        <v>722</v>
      </c>
      <c r="B449" s="200"/>
      <c r="C449" s="200"/>
      <c r="D449" s="200"/>
      <c r="E449" t="str">
        <f t="shared" si="3"/>
        <v xml:space="preserve"> 8</v>
      </c>
      <c r="K449" s="200" t="s">
        <v>1371</v>
      </c>
      <c r="L449" s="200"/>
      <c r="M449" s="200"/>
      <c r="N449" s="200"/>
      <c r="O449" s="200"/>
      <c r="U449" t="s">
        <v>2076</v>
      </c>
    </row>
    <row r="450" spans="1:21">
      <c r="A450" s="200" t="s">
        <v>723</v>
      </c>
      <c r="B450" s="200"/>
      <c r="C450" s="200"/>
      <c r="D450" s="200"/>
      <c r="E450" t="str">
        <f t="shared" si="3"/>
        <v xml:space="preserve"> 9</v>
      </c>
      <c r="K450" s="200" t="s">
        <v>1372</v>
      </c>
      <c r="L450" s="200"/>
      <c r="M450" s="200"/>
      <c r="N450" s="200"/>
      <c r="O450" s="200"/>
      <c r="U450" t="s">
        <v>2077</v>
      </c>
    </row>
    <row r="451" spans="1:21">
      <c r="A451" s="200" t="s">
        <v>724</v>
      </c>
      <c r="B451" s="200"/>
      <c r="C451" s="200"/>
      <c r="D451" s="200"/>
      <c r="E451" t="str">
        <f t="shared" si="3"/>
        <v xml:space="preserve"> 6</v>
      </c>
      <c r="K451" s="200" t="s">
        <v>1373</v>
      </c>
      <c r="L451" s="200"/>
      <c r="M451" s="200"/>
      <c r="N451" s="200"/>
      <c r="O451" s="200"/>
      <c r="U451" t="s">
        <v>2078</v>
      </c>
    </row>
    <row r="452" spans="1:21">
      <c r="A452" s="200" t="s">
        <v>725</v>
      </c>
      <c r="B452" s="200"/>
      <c r="C452" s="200"/>
      <c r="D452" s="200"/>
      <c r="E452" t="str">
        <f t="shared" si="3"/>
        <v xml:space="preserve"> 8</v>
      </c>
      <c r="K452" s="200" t="s">
        <v>1374</v>
      </c>
      <c r="L452" s="200"/>
      <c r="M452" s="200"/>
      <c r="N452" s="200"/>
      <c r="O452" s="200"/>
      <c r="U452" t="s">
        <v>2079</v>
      </c>
    </row>
    <row r="453" spans="1:21">
      <c r="A453" s="200" t="s">
        <v>726</v>
      </c>
      <c r="B453" s="200"/>
      <c r="C453" s="200"/>
      <c r="D453" s="200"/>
      <c r="E453" t="str">
        <f t="shared" si="3"/>
        <v>10</v>
      </c>
      <c r="K453" s="200" t="s">
        <v>1375</v>
      </c>
      <c r="L453" s="200"/>
      <c r="M453" s="200"/>
      <c r="N453" s="200"/>
      <c r="O453" s="200"/>
      <c r="U453" t="s">
        <v>2080</v>
      </c>
    </row>
    <row r="454" spans="1:21">
      <c r="A454" s="200" t="s">
        <v>727</v>
      </c>
      <c r="B454" s="200"/>
      <c r="C454" s="200"/>
      <c r="D454" s="200"/>
      <c r="E454" t="str">
        <f t="shared" si="3"/>
        <v xml:space="preserve"> 9</v>
      </c>
      <c r="K454" s="200" t="s">
        <v>1376</v>
      </c>
      <c r="L454" s="200"/>
      <c r="M454" s="200"/>
      <c r="N454" s="200"/>
      <c r="O454" s="200"/>
      <c r="U454" t="s">
        <v>2081</v>
      </c>
    </row>
    <row r="455" spans="1:21">
      <c r="A455" s="200" t="s">
        <v>728</v>
      </c>
      <c r="B455" s="200"/>
      <c r="C455" s="200"/>
      <c r="D455" s="200"/>
      <c r="E455" t="str">
        <f t="shared" si="3"/>
        <v xml:space="preserve"> 7</v>
      </c>
      <c r="K455" s="200" t="s">
        <v>1377</v>
      </c>
      <c r="L455" s="200"/>
      <c r="M455" s="200"/>
      <c r="N455" s="200"/>
      <c r="O455" s="200"/>
      <c r="U455" t="s">
        <v>2082</v>
      </c>
    </row>
    <row r="456" spans="1:21">
      <c r="A456" s="200" t="s">
        <v>729</v>
      </c>
      <c r="B456" s="200"/>
      <c r="C456" s="200"/>
      <c r="D456" s="200"/>
      <c r="E456" t="str">
        <f t="shared" si="3"/>
        <v xml:space="preserve"> 7</v>
      </c>
      <c r="K456" s="200" t="s">
        <v>1378</v>
      </c>
      <c r="L456" s="200"/>
      <c r="M456" s="200"/>
      <c r="N456" s="200"/>
      <c r="O456" s="200"/>
      <c r="U456" t="s">
        <v>2083</v>
      </c>
    </row>
    <row r="457" spans="1:21">
      <c r="A457" s="200" t="s">
        <v>730</v>
      </c>
      <c r="B457" s="200"/>
      <c r="C457" s="200"/>
      <c r="D457" s="200"/>
      <c r="E457" t="str">
        <f t="shared" si="3"/>
        <v xml:space="preserve"> 8</v>
      </c>
      <c r="K457" s="200" t="s">
        <v>1379</v>
      </c>
      <c r="L457" s="200"/>
      <c r="M457" s="200"/>
      <c r="N457" s="200"/>
      <c r="O457" s="200"/>
      <c r="U457" t="s">
        <v>2084</v>
      </c>
    </row>
    <row r="458" spans="1:21">
      <c r="A458" s="200" t="s">
        <v>731</v>
      </c>
      <c r="B458" s="200"/>
      <c r="C458" s="200"/>
      <c r="D458" s="200"/>
      <c r="E458" t="str">
        <f t="shared" si="3"/>
        <v xml:space="preserve"> 6</v>
      </c>
      <c r="K458" s="200" t="s">
        <v>1380</v>
      </c>
      <c r="L458" s="200"/>
      <c r="M458" s="200"/>
      <c r="N458" s="200"/>
      <c r="O458" s="200"/>
      <c r="U458" t="s">
        <v>2084</v>
      </c>
    </row>
    <row r="459" spans="1:21">
      <c r="A459" s="200" t="s">
        <v>732</v>
      </c>
      <c r="B459" s="200"/>
      <c r="C459" s="200"/>
      <c r="D459" s="200"/>
      <c r="E459" t="str">
        <f t="shared" si="3"/>
        <v xml:space="preserve"> 7</v>
      </c>
      <c r="K459" s="200" t="s">
        <v>1381</v>
      </c>
      <c r="L459" s="200"/>
      <c r="M459" s="200"/>
      <c r="N459" s="200"/>
      <c r="O459" s="200"/>
      <c r="U459" t="s">
        <v>2085</v>
      </c>
    </row>
    <row r="460" spans="1:21">
      <c r="A460" s="200" t="s">
        <v>733</v>
      </c>
      <c r="B460" s="200"/>
      <c r="C460" s="200"/>
      <c r="D460" s="200"/>
      <c r="E460" t="str">
        <f t="shared" si="3"/>
        <v xml:space="preserve"> 6</v>
      </c>
      <c r="K460" s="200" t="s">
        <v>1382</v>
      </c>
      <c r="L460" s="200"/>
      <c r="M460" s="200"/>
      <c r="N460" s="200"/>
      <c r="O460" s="200"/>
      <c r="U460" t="s">
        <v>2086</v>
      </c>
    </row>
    <row r="461" spans="1:21">
      <c r="A461" s="200" t="s">
        <v>734</v>
      </c>
      <c r="B461" s="200"/>
      <c r="C461" s="200"/>
      <c r="D461" s="200"/>
      <c r="E461" t="str">
        <f t="shared" si="3"/>
        <v xml:space="preserve"> 6</v>
      </c>
      <c r="K461" s="200" t="s">
        <v>1383</v>
      </c>
      <c r="L461" s="200"/>
      <c r="M461" s="200"/>
      <c r="N461" s="200"/>
      <c r="O461" s="200"/>
      <c r="U461" t="s">
        <v>2087</v>
      </c>
    </row>
    <row r="462" spans="1:21">
      <c r="A462" s="200" t="s">
        <v>735</v>
      </c>
      <c r="B462" s="200"/>
      <c r="C462" s="200"/>
      <c r="D462" s="200"/>
      <c r="E462" t="str">
        <f t="shared" si="3"/>
        <v xml:space="preserve"> 7</v>
      </c>
      <c r="K462" s="200" t="s">
        <v>1384</v>
      </c>
      <c r="L462" s="200"/>
      <c r="M462" s="200"/>
      <c r="N462" s="200"/>
      <c r="O462" s="200"/>
      <c r="U462" t="s">
        <v>2088</v>
      </c>
    </row>
    <row r="463" spans="1:21">
      <c r="A463" s="200" t="s">
        <v>736</v>
      </c>
      <c r="B463" s="200"/>
      <c r="C463" s="200"/>
      <c r="D463" s="200"/>
      <c r="E463" t="str">
        <f t="shared" si="3"/>
        <v xml:space="preserve"> 5</v>
      </c>
      <c r="K463" s="200" t="s">
        <v>1385</v>
      </c>
      <c r="L463" s="200"/>
      <c r="M463" s="200"/>
      <c r="N463" s="200"/>
      <c r="O463" s="200"/>
      <c r="U463" t="s">
        <v>2089</v>
      </c>
    </row>
    <row r="464" spans="1:21">
      <c r="A464" s="200" t="s">
        <v>737</v>
      </c>
      <c r="B464" s="200"/>
      <c r="C464" s="200"/>
      <c r="D464" s="200"/>
      <c r="E464" t="str">
        <f t="shared" si="3"/>
        <v xml:space="preserve"> 5</v>
      </c>
      <c r="K464" s="200" t="s">
        <v>1386</v>
      </c>
      <c r="L464" s="200"/>
      <c r="M464" s="200"/>
      <c r="N464" s="200"/>
      <c r="O464" s="200"/>
      <c r="U464" t="s">
        <v>2090</v>
      </c>
    </row>
    <row r="465" spans="1:21">
      <c r="A465" s="200" t="s">
        <v>738</v>
      </c>
      <c r="B465" s="200"/>
      <c r="C465" s="200"/>
      <c r="D465" s="200"/>
      <c r="E465" t="str">
        <f t="shared" si="3"/>
        <v xml:space="preserve"> 4</v>
      </c>
      <c r="K465" s="200" t="s">
        <v>1387</v>
      </c>
      <c r="L465" s="200"/>
      <c r="M465" s="200"/>
      <c r="N465" s="200"/>
      <c r="O465" s="200"/>
      <c r="U465" t="s">
        <v>2091</v>
      </c>
    </row>
    <row r="466" spans="1:21">
      <c r="A466" s="200" t="s">
        <v>739</v>
      </c>
      <c r="B466" s="200"/>
      <c r="C466" s="200"/>
      <c r="D466" s="200"/>
      <c r="E466" t="str">
        <f t="shared" si="3"/>
        <v xml:space="preserve"> 4</v>
      </c>
      <c r="K466" s="200" t="s">
        <v>1388</v>
      </c>
      <c r="L466" s="200"/>
      <c r="M466" s="200"/>
      <c r="N466" s="200"/>
      <c r="O466" s="200"/>
      <c r="U466" t="s">
        <v>2092</v>
      </c>
    </row>
    <row r="467" spans="1:21">
      <c r="A467" s="200" t="s">
        <v>740</v>
      </c>
      <c r="B467" s="200"/>
      <c r="C467" s="200"/>
      <c r="D467" s="200"/>
      <c r="E467" t="str">
        <f t="shared" si="3"/>
        <v xml:space="preserve"> 5</v>
      </c>
      <c r="K467" s="200" t="s">
        <v>1389</v>
      </c>
      <c r="L467" s="200"/>
      <c r="M467" s="200"/>
      <c r="N467" s="200"/>
      <c r="O467" s="200"/>
      <c r="U467" t="s">
        <v>2093</v>
      </c>
    </row>
    <row r="468" spans="1:21">
      <c r="A468" s="200" t="s">
        <v>741</v>
      </c>
      <c r="B468" s="200"/>
      <c r="C468" s="200"/>
      <c r="D468" s="200"/>
      <c r="E468" t="str">
        <f t="shared" si="3"/>
        <v xml:space="preserve"> 5</v>
      </c>
      <c r="K468" s="200" t="s">
        <v>1390</v>
      </c>
      <c r="L468" s="200"/>
      <c r="M468" s="200"/>
      <c r="N468" s="200"/>
      <c r="O468" s="200"/>
      <c r="U468" t="s">
        <v>2094</v>
      </c>
    </row>
    <row r="469" spans="1:21">
      <c r="A469" s="200" t="s">
        <v>742</v>
      </c>
      <c r="B469" s="200"/>
      <c r="C469" s="200"/>
      <c r="D469" s="200"/>
      <c r="E469" t="str">
        <f t="shared" si="3"/>
        <v xml:space="preserve"> 5</v>
      </c>
      <c r="K469" s="200" t="s">
        <v>1391</v>
      </c>
      <c r="L469" s="200"/>
      <c r="M469" s="200"/>
      <c r="N469" s="200"/>
      <c r="O469" s="200"/>
      <c r="U469" t="s">
        <v>2095</v>
      </c>
    </row>
    <row r="470" spans="1:21">
      <c r="A470" s="200" t="s">
        <v>743</v>
      </c>
      <c r="B470" s="200"/>
      <c r="C470" s="200"/>
      <c r="D470" s="200"/>
      <c r="E470" t="str">
        <f t="shared" si="3"/>
        <v xml:space="preserve"> 7</v>
      </c>
      <c r="K470" s="200" t="s">
        <v>1392</v>
      </c>
      <c r="L470" s="200"/>
      <c r="M470" s="200"/>
      <c r="N470" s="200"/>
      <c r="O470" s="200"/>
      <c r="U470" t="s">
        <v>2096</v>
      </c>
    </row>
    <row r="471" spans="1:21">
      <c r="A471" s="200" t="s">
        <v>744</v>
      </c>
      <c r="B471" s="200"/>
      <c r="C471" s="200"/>
      <c r="D471" s="200"/>
      <c r="E471" t="str">
        <f t="shared" si="3"/>
        <v xml:space="preserve"> 5</v>
      </c>
      <c r="K471" s="200" t="s">
        <v>1393</v>
      </c>
      <c r="L471" s="200"/>
      <c r="M471" s="200"/>
      <c r="N471" s="200"/>
      <c r="O471" s="200"/>
      <c r="U471" t="s">
        <v>2097</v>
      </c>
    </row>
    <row r="472" spans="1:21">
      <c r="A472" s="200" t="s">
        <v>745</v>
      </c>
      <c r="B472" s="200"/>
      <c r="C472" s="200"/>
      <c r="D472" s="200"/>
      <c r="E472" t="str">
        <f t="shared" si="3"/>
        <v xml:space="preserve"> 5</v>
      </c>
      <c r="K472" s="200" t="s">
        <v>1394</v>
      </c>
      <c r="L472" s="200"/>
      <c r="M472" s="200"/>
      <c r="N472" s="200"/>
      <c r="O472" s="200"/>
      <c r="U472" t="s">
        <v>2098</v>
      </c>
    </row>
    <row r="473" spans="1:21">
      <c r="A473" s="200" t="s">
        <v>746</v>
      </c>
      <c r="B473" s="200"/>
      <c r="C473" s="200"/>
      <c r="D473" s="200"/>
      <c r="E473" t="str">
        <f t="shared" si="3"/>
        <v xml:space="preserve"> 5</v>
      </c>
      <c r="K473" s="200" t="s">
        <v>1395</v>
      </c>
      <c r="L473" s="200"/>
      <c r="M473" s="200"/>
      <c r="N473" s="200"/>
      <c r="O473" s="200"/>
      <c r="U473" t="s">
        <v>2099</v>
      </c>
    </row>
    <row r="474" spans="1:21">
      <c r="A474" s="200" t="s">
        <v>747</v>
      </c>
      <c r="B474" s="200"/>
      <c r="C474" s="200"/>
      <c r="D474" s="200"/>
      <c r="E474" t="str">
        <f t="shared" si="3"/>
        <v xml:space="preserve"> 5</v>
      </c>
      <c r="K474" s="200" t="s">
        <v>1396</v>
      </c>
      <c r="L474" s="200"/>
      <c r="M474" s="200"/>
      <c r="N474" s="200"/>
      <c r="O474" s="200"/>
      <c r="U474" t="s">
        <v>2100</v>
      </c>
    </row>
    <row r="475" spans="1:21">
      <c r="A475" s="200" t="s">
        <v>748</v>
      </c>
      <c r="B475" s="200"/>
      <c r="C475" s="200"/>
      <c r="D475" s="200"/>
      <c r="E475" t="str">
        <f t="shared" si="3"/>
        <v xml:space="preserve"> 6</v>
      </c>
      <c r="K475" s="200" t="s">
        <v>1397</v>
      </c>
      <c r="L475" s="200"/>
      <c r="M475" s="200"/>
      <c r="N475" s="200"/>
      <c r="O475" s="200"/>
      <c r="U475" t="s">
        <v>2101</v>
      </c>
    </row>
    <row r="476" spans="1:21">
      <c r="A476" s="200" t="s">
        <v>749</v>
      </c>
      <c r="B476" s="200"/>
      <c r="C476" s="200"/>
      <c r="D476" s="200"/>
      <c r="E476" t="str">
        <f t="shared" si="3"/>
        <v xml:space="preserve"> 5</v>
      </c>
      <c r="K476" s="200" t="s">
        <v>1398</v>
      </c>
      <c r="L476" s="200"/>
      <c r="M476" s="200"/>
      <c r="N476" s="200"/>
      <c r="O476" s="200"/>
      <c r="U476" t="s">
        <v>2102</v>
      </c>
    </row>
    <row r="477" spans="1:21">
      <c r="A477" s="200" t="s">
        <v>750</v>
      </c>
      <c r="B477" s="200"/>
      <c r="C477" s="200"/>
      <c r="D477" s="200"/>
      <c r="E477" t="str">
        <f t="shared" si="3"/>
        <v xml:space="preserve"> 4</v>
      </c>
      <c r="K477" s="200" t="s">
        <v>1399</v>
      </c>
      <c r="L477" s="200"/>
      <c r="M477" s="200"/>
      <c r="N477" s="200"/>
      <c r="O477" s="200"/>
      <c r="U477" t="s">
        <v>2103</v>
      </c>
    </row>
    <row r="478" spans="1:21">
      <c r="A478" s="200" t="s">
        <v>751</v>
      </c>
      <c r="B478" s="200"/>
      <c r="C478" s="200"/>
      <c r="D478" s="200"/>
      <c r="E478" t="str">
        <f t="shared" si="3"/>
        <v xml:space="preserve"> 4</v>
      </c>
      <c r="K478" s="200" t="s">
        <v>1400</v>
      </c>
      <c r="L478" s="200"/>
      <c r="M478" s="200"/>
      <c r="N478" s="200"/>
      <c r="O478" s="200"/>
      <c r="U478" t="s">
        <v>2104</v>
      </c>
    </row>
    <row r="479" spans="1:21">
      <c r="A479" s="200" t="s">
        <v>752</v>
      </c>
      <c r="B479" s="200"/>
      <c r="C479" s="200"/>
      <c r="D479" s="200"/>
      <c r="E479" t="str">
        <f t="shared" si="3"/>
        <v xml:space="preserve"> 5</v>
      </c>
      <c r="K479" s="200" t="s">
        <v>1401</v>
      </c>
      <c r="L479" s="200"/>
      <c r="M479" s="200"/>
      <c r="N479" s="200"/>
      <c r="O479" s="200"/>
      <c r="U479" t="s">
        <v>2105</v>
      </c>
    </row>
    <row r="480" spans="1:21">
      <c r="A480" s="146" t="s">
        <v>753</v>
      </c>
      <c r="B480" s="146"/>
      <c r="C480" s="146"/>
      <c r="D480" s="146"/>
      <c r="E480" t="str">
        <f t="shared" si="3"/>
        <v xml:space="preserve"> 3</v>
      </c>
      <c r="K480" s="200" t="s">
        <v>1402</v>
      </c>
      <c r="L480" s="200"/>
      <c r="M480" s="200"/>
      <c r="N480" s="200"/>
      <c r="O480" s="200"/>
      <c r="U480" t="s">
        <v>2106</v>
      </c>
    </row>
    <row r="481" spans="1:21">
      <c r="A481" s="200" t="s">
        <v>754</v>
      </c>
      <c r="B481" s="200"/>
      <c r="C481" s="200"/>
      <c r="D481" s="200"/>
      <c r="E481" t="str">
        <f t="shared" si="3"/>
        <v xml:space="preserve"> 4</v>
      </c>
      <c r="K481" s="200" t="s">
        <v>1403</v>
      </c>
      <c r="L481" s="200"/>
      <c r="M481" s="200"/>
      <c r="N481" s="200"/>
      <c r="O481" s="200"/>
      <c r="U481" t="s">
        <v>2107</v>
      </c>
    </row>
    <row r="482" spans="1:21">
      <c r="A482" s="146" t="s">
        <v>755</v>
      </c>
      <c r="B482" s="146"/>
      <c r="C482" s="146"/>
      <c r="D482" s="146"/>
      <c r="E482" t="str">
        <f t="shared" si="3"/>
        <v xml:space="preserve"> 3</v>
      </c>
      <c r="K482" t="s">
        <v>1404</v>
      </c>
      <c r="U482" t="s">
        <v>2108</v>
      </c>
    </row>
    <row r="483" spans="1:21">
      <c r="A483" s="200" t="s">
        <v>756</v>
      </c>
      <c r="B483" s="200"/>
      <c r="C483" s="200"/>
      <c r="D483" s="200"/>
      <c r="E483" t="str">
        <f t="shared" si="3"/>
        <v xml:space="preserve"> 4</v>
      </c>
      <c r="K483" s="200" t="s">
        <v>1405</v>
      </c>
      <c r="L483" s="200"/>
      <c r="M483" s="200"/>
      <c r="N483" s="200"/>
      <c r="O483" s="200"/>
      <c r="U483" t="s">
        <v>2109</v>
      </c>
    </row>
    <row r="484" spans="1:21">
      <c r="A484" s="200" t="s">
        <v>757</v>
      </c>
      <c r="B484" s="200"/>
      <c r="C484" s="200"/>
      <c r="D484" s="200"/>
      <c r="E484" t="str">
        <f t="shared" si="3"/>
        <v xml:space="preserve"> 4</v>
      </c>
      <c r="K484" s="200" t="s">
        <v>1406</v>
      </c>
      <c r="L484" s="200"/>
      <c r="M484" s="200"/>
      <c r="N484" s="200"/>
      <c r="O484" s="200"/>
      <c r="U484" t="s">
        <v>2110</v>
      </c>
    </row>
    <row r="485" spans="1:21">
      <c r="A485" s="200" t="s">
        <v>758</v>
      </c>
      <c r="B485" s="200"/>
      <c r="C485" s="200"/>
      <c r="D485" s="200"/>
      <c r="E485" t="str">
        <f t="shared" si="3"/>
        <v xml:space="preserve"> 4</v>
      </c>
      <c r="K485" s="200" t="s">
        <v>1407</v>
      </c>
      <c r="L485" s="200"/>
      <c r="M485" s="200"/>
      <c r="N485" s="200"/>
      <c r="O485" s="200"/>
      <c r="U485" t="s">
        <v>2111</v>
      </c>
    </row>
    <row r="486" spans="1:21">
      <c r="A486" s="200" t="s">
        <v>759</v>
      </c>
      <c r="B486" s="200"/>
      <c r="C486" s="200"/>
      <c r="D486" s="200"/>
      <c r="E486" t="str">
        <f t="shared" si="3"/>
        <v xml:space="preserve"> 6</v>
      </c>
      <c r="K486" s="200" t="s">
        <v>1408</v>
      </c>
      <c r="L486" s="200"/>
      <c r="M486" s="200"/>
      <c r="N486" s="200"/>
      <c r="O486" s="200"/>
      <c r="U486" t="s">
        <v>2112</v>
      </c>
    </row>
    <row r="487" spans="1:21">
      <c r="A487" s="200" t="s">
        <v>760</v>
      </c>
      <c r="B487" s="200"/>
      <c r="C487" s="200"/>
      <c r="D487" s="200"/>
      <c r="E487" t="str">
        <f t="shared" si="3"/>
        <v xml:space="preserve"> 6</v>
      </c>
      <c r="K487" s="200" t="s">
        <v>1409</v>
      </c>
      <c r="L487" s="200"/>
      <c r="M487" s="200"/>
      <c r="N487" s="200"/>
      <c r="O487" s="200"/>
      <c r="U487" t="s">
        <v>2113</v>
      </c>
    </row>
    <row r="488" spans="1:21">
      <c r="A488" s="200" t="s">
        <v>761</v>
      </c>
      <c r="B488" s="200"/>
      <c r="C488" s="200"/>
      <c r="D488" s="200"/>
      <c r="E488" t="str">
        <f t="shared" si="3"/>
        <v xml:space="preserve"> 9</v>
      </c>
      <c r="K488" s="200" t="s">
        <v>1410</v>
      </c>
      <c r="L488" s="200"/>
      <c r="M488" s="200"/>
      <c r="N488" s="200"/>
      <c r="O488" s="200"/>
      <c r="U488" t="s">
        <v>2114</v>
      </c>
    </row>
    <row r="489" spans="1:21">
      <c r="A489" s="200" t="s">
        <v>762</v>
      </c>
      <c r="B489" s="200"/>
      <c r="C489" s="200"/>
      <c r="D489" s="200"/>
      <c r="E489" t="str">
        <f t="shared" si="3"/>
        <v xml:space="preserve"> 7</v>
      </c>
      <c r="K489" s="200" t="s">
        <v>1411</v>
      </c>
      <c r="L489" s="200"/>
      <c r="M489" s="200"/>
      <c r="N489" s="200"/>
      <c r="O489" s="200"/>
      <c r="U489" t="s">
        <v>2115</v>
      </c>
    </row>
    <row r="490" spans="1:21">
      <c r="A490" s="200" t="s">
        <v>763</v>
      </c>
      <c r="B490" s="200"/>
      <c r="C490" s="200"/>
      <c r="D490" s="200"/>
      <c r="E490" t="str">
        <f t="shared" si="3"/>
        <v xml:space="preserve"> 5</v>
      </c>
      <c r="K490" s="200" t="s">
        <v>1412</v>
      </c>
      <c r="L490" s="200"/>
      <c r="M490" s="200"/>
      <c r="N490" s="200"/>
      <c r="O490" s="200"/>
      <c r="U490" t="s">
        <v>2116</v>
      </c>
    </row>
    <row r="491" spans="1:21">
      <c r="A491" s="200" t="s">
        <v>764</v>
      </c>
      <c r="B491" s="200"/>
      <c r="C491" s="200"/>
      <c r="D491" s="200"/>
      <c r="E491" t="str">
        <f t="shared" si="3"/>
        <v xml:space="preserve"> 6</v>
      </c>
      <c r="K491" s="200" t="s">
        <v>1413</v>
      </c>
      <c r="L491" s="200"/>
      <c r="M491" s="200"/>
      <c r="N491" s="200"/>
      <c r="O491" s="200"/>
      <c r="U491" t="s">
        <v>2117</v>
      </c>
    </row>
    <row r="492" spans="1:21">
      <c r="A492" s="200" t="s">
        <v>765</v>
      </c>
      <c r="B492" s="200"/>
      <c r="C492" s="200"/>
      <c r="D492" s="200"/>
      <c r="E492" t="str">
        <f t="shared" ref="E492:E555" si="4">MID(A492,35,2)</f>
        <v xml:space="preserve"> 7</v>
      </c>
      <c r="K492" s="200" t="s">
        <v>1414</v>
      </c>
      <c r="L492" s="200"/>
      <c r="M492" s="200"/>
      <c r="N492" s="200"/>
      <c r="O492" s="200"/>
      <c r="U492" t="s">
        <v>2118</v>
      </c>
    </row>
    <row r="493" spans="1:21">
      <c r="A493" s="200" t="s">
        <v>766</v>
      </c>
      <c r="B493" s="200"/>
      <c r="C493" s="200"/>
      <c r="D493" s="200"/>
      <c r="E493" t="str">
        <f t="shared" si="4"/>
        <v xml:space="preserve"> 5</v>
      </c>
      <c r="K493" s="200" t="s">
        <v>1415</v>
      </c>
      <c r="L493" s="200"/>
      <c r="M493" s="200"/>
      <c r="N493" s="200"/>
      <c r="O493" s="200"/>
      <c r="U493" t="s">
        <v>2119</v>
      </c>
    </row>
    <row r="494" spans="1:21">
      <c r="A494" s="200" t="s">
        <v>767</v>
      </c>
      <c r="B494" s="200"/>
      <c r="C494" s="200"/>
      <c r="D494" s="200"/>
      <c r="E494" t="str">
        <f t="shared" si="4"/>
        <v xml:space="preserve"> 6</v>
      </c>
      <c r="K494" s="200" t="s">
        <v>1416</v>
      </c>
      <c r="L494" s="200"/>
      <c r="M494" s="200"/>
      <c r="N494" s="200"/>
      <c r="O494" s="200"/>
      <c r="U494" t="s">
        <v>2120</v>
      </c>
    </row>
    <row r="495" spans="1:21">
      <c r="A495" s="200" t="s">
        <v>768</v>
      </c>
      <c r="B495" s="200"/>
      <c r="C495" s="200"/>
      <c r="D495" s="200"/>
      <c r="E495" t="str">
        <f t="shared" si="4"/>
        <v xml:space="preserve"> 5</v>
      </c>
      <c r="K495" s="200" t="s">
        <v>1417</v>
      </c>
      <c r="L495" s="200"/>
      <c r="M495" s="200"/>
      <c r="N495" s="200"/>
      <c r="O495" s="200"/>
      <c r="U495" t="s">
        <v>2121</v>
      </c>
    </row>
    <row r="496" spans="1:21">
      <c r="A496" s="200" t="s">
        <v>769</v>
      </c>
      <c r="B496" s="200"/>
      <c r="C496" s="200"/>
      <c r="D496" s="200"/>
      <c r="E496" t="str">
        <f t="shared" si="4"/>
        <v xml:space="preserve"> 6</v>
      </c>
      <c r="K496" s="200" t="s">
        <v>1418</v>
      </c>
      <c r="L496" s="200"/>
      <c r="M496" s="200"/>
      <c r="N496" s="200"/>
      <c r="O496" s="200"/>
      <c r="U496" t="s">
        <v>2122</v>
      </c>
    </row>
    <row r="497" spans="1:21">
      <c r="A497" s="200" t="s">
        <v>770</v>
      </c>
      <c r="B497" s="200"/>
      <c r="C497" s="200"/>
      <c r="D497" s="200"/>
      <c r="E497" t="str">
        <f t="shared" si="4"/>
        <v xml:space="preserve"> 5</v>
      </c>
      <c r="K497" s="200" t="s">
        <v>1419</v>
      </c>
      <c r="L497" s="200"/>
      <c r="M497" s="200"/>
      <c r="N497" s="200"/>
      <c r="O497" s="200"/>
      <c r="U497" t="s">
        <v>2123</v>
      </c>
    </row>
    <row r="498" spans="1:21">
      <c r="A498" s="200" t="s">
        <v>771</v>
      </c>
      <c r="B498" s="200"/>
      <c r="C498" s="200"/>
      <c r="D498" s="200"/>
      <c r="E498" t="str">
        <f t="shared" si="4"/>
        <v xml:space="preserve"> 4</v>
      </c>
      <c r="K498" s="200" t="s">
        <v>1420</v>
      </c>
      <c r="L498" s="200"/>
      <c r="M498" s="200"/>
      <c r="N498" s="200"/>
      <c r="O498" s="200"/>
      <c r="U498" t="s">
        <v>2124</v>
      </c>
    </row>
    <row r="499" spans="1:21">
      <c r="A499" s="200" t="s">
        <v>772</v>
      </c>
      <c r="B499" s="200"/>
      <c r="C499" s="200"/>
      <c r="D499" s="200"/>
      <c r="E499" t="str">
        <f t="shared" si="4"/>
        <v xml:space="preserve"> 5</v>
      </c>
      <c r="K499" s="200" t="s">
        <v>1421</v>
      </c>
      <c r="L499" s="200"/>
      <c r="M499" s="200"/>
      <c r="N499" s="200"/>
      <c r="O499" s="200"/>
      <c r="U499" t="s">
        <v>2125</v>
      </c>
    </row>
    <row r="500" spans="1:21">
      <c r="A500" s="200" t="s">
        <v>773</v>
      </c>
      <c r="B500" s="200"/>
      <c r="C500" s="200"/>
      <c r="D500" s="200"/>
      <c r="E500" t="str">
        <f t="shared" si="4"/>
        <v xml:space="preserve"> 7</v>
      </c>
      <c r="K500" s="200" t="s">
        <v>1422</v>
      </c>
      <c r="L500" s="200"/>
      <c r="M500" s="200"/>
      <c r="N500" s="200"/>
      <c r="O500" s="200"/>
      <c r="U500" t="s">
        <v>2126</v>
      </c>
    </row>
    <row r="501" spans="1:21">
      <c r="A501" s="200" t="s">
        <v>774</v>
      </c>
      <c r="B501" s="200"/>
      <c r="C501" s="200"/>
      <c r="D501" s="200"/>
      <c r="E501" t="str">
        <f t="shared" si="4"/>
        <v xml:space="preserve"> 5</v>
      </c>
      <c r="K501" s="200" t="s">
        <v>1423</v>
      </c>
      <c r="L501" s="200"/>
      <c r="M501" s="200"/>
      <c r="N501" s="200"/>
      <c r="O501" s="200"/>
      <c r="U501" t="s">
        <v>2127</v>
      </c>
    </row>
    <row r="502" spans="1:21">
      <c r="A502" s="200" t="s">
        <v>775</v>
      </c>
      <c r="B502" s="200"/>
      <c r="C502" s="200"/>
      <c r="D502" s="200"/>
      <c r="E502" t="str">
        <f t="shared" si="4"/>
        <v xml:space="preserve"> 7</v>
      </c>
      <c r="K502" s="200" t="s">
        <v>1424</v>
      </c>
      <c r="L502" s="200"/>
      <c r="M502" s="200"/>
      <c r="N502" s="200"/>
      <c r="O502" s="200"/>
      <c r="U502" t="s">
        <v>2128</v>
      </c>
    </row>
    <row r="503" spans="1:21">
      <c r="A503" s="200" t="s">
        <v>776</v>
      </c>
      <c r="B503" s="200"/>
      <c r="C503" s="200"/>
      <c r="D503" s="200"/>
      <c r="E503" t="str">
        <f t="shared" si="4"/>
        <v xml:space="preserve"> 6</v>
      </c>
      <c r="K503" s="200" t="s">
        <v>1425</v>
      </c>
      <c r="L503" s="200"/>
      <c r="M503" s="200"/>
      <c r="N503" s="200"/>
      <c r="O503" s="200"/>
      <c r="U503" t="s">
        <v>2129</v>
      </c>
    </row>
    <row r="504" spans="1:21">
      <c r="A504" s="200" t="s">
        <v>777</v>
      </c>
      <c r="B504" s="200"/>
      <c r="C504" s="200"/>
      <c r="D504" s="200"/>
      <c r="E504" t="str">
        <f t="shared" si="4"/>
        <v xml:space="preserve"> 5</v>
      </c>
      <c r="K504" s="200" t="s">
        <v>1426</v>
      </c>
      <c r="L504" s="200"/>
      <c r="M504" s="200"/>
      <c r="N504" s="200"/>
      <c r="O504" s="200"/>
      <c r="U504" t="s">
        <v>2130</v>
      </c>
    </row>
    <row r="505" spans="1:21">
      <c r="A505" s="200" t="s">
        <v>778</v>
      </c>
      <c r="B505" s="200"/>
      <c r="C505" s="200"/>
      <c r="D505" s="200"/>
      <c r="E505" t="str">
        <f t="shared" si="4"/>
        <v xml:space="preserve"> 6</v>
      </c>
      <c r="K505" s="200" t="s">
        <v>1427</v>
      </c>
      <c r="L505" s="200"/>
      <c r="M505" s="200"/>
      <c r="N505" s="200"/>
      <c r="O505" s="200"/>
      <c r="U505" t="s">
        <v>2131</v>
      </c>
    </row>
    <row r="506" spans="1:21">
      <c r="A506" s="200" t="s">
        <v>779</v>
      </c>
      <c r="B506" s="200"/>
      <c r="C506" s="200"/>
      <c r="D506" s="200"/>
      <c r="E506" t="str">
        <f t="shared" si="4"/>
        <v xml:space="preserve"> 8</v>
      </c>
      <c r="K506" s="200" t="s">
        <v>1428</v>
      </c>
      <c r="L506" s="200"/>
      <c r="M506" s="200"/>
      <c r="N506" s="200"/>
      <c r="O506" s="200"/>
      <c r="U506" t="s">
        <v>2132</v>
      </c>
    </row>
    <row r="507" spans="1:21">
      <c r="A507" s="200" t="s">
        <v>780</v>
      </c>
      <c r="B507" s="200"/>
      <c r="C507" s="200"/>
      <c r="D507" s="200"/>
      <c r="E507" t="str">
        <f t="shared" si="4"/>
        <v xml:space="preserve"> 7</v>
      </c>
      <c r="K507" s="200" t="s">
        <v>1429</v>
      </c>
      <c r="L507" s="200"/>
      <c r="M507" s="200"/>
      <c r="N507" s="200"/>
      <c r="O507" s="200"/>
      <c r="U507" t="s">
        <v>2133</v>
      </c>
    </row>
    <row r="508" spans="1:21">
      <c r="A508" s="200" t="s">
        <v>781</v>
      </c>
      <c r="B508" s="200"/>
      <c r="C508" s="200"/>
      <c r="D508" s="200"/>
      <c r="E508" t="str">
        <f t="shared" si="4"/>
        <v xml:space="preserve"> 5</v>
      </c>
      <c r="K508" s="200" t="s">
        <v>1430</v>
      </c>
      <c r="L508" s="200"/>
      <c r="M508" s="200"/>
      <c r="N508" s="200"/>
      <c r="O508" s="200"/>
      <c r="U508" t="s">
        <v>2134</v>
      </c>
    </row>
    <row r="509" spans="1:21">
      <c r="A509" s="200" t="s">
        <v>782</v>
      </c>
      <c r="B509" s="200"/>
      <c r="C509" s="200"/>
      <c r="D509" s="200"/>
      <c r="E509" t="str">
        <f t="shared" si="4"/>
        <v xml:space="preserve"> 6</v>
      </c>
      <c r="K509" s="200" t="s">
        <v>1431</v>
      </c>
      <c r="L509" s="200"/>
      <c r="M509" s="200"/>
      <c r="N509" s="200"/>
      <c r="O509" s="200"/>
      <c r="U509" t="s">
        <v>2135</v>
      </c>
    </row>
    <row r="510" spans="1:21">
      <c r="A510" s="200" t="s">
        <v>783</v>
      </c>
      <c r="B510" s="200"/>
      <c r="C510" s="200"/>
      <c r="D510" s="200"/>
      <c r="E510" t="str">
        <f t="shared" si="4"/>
        <v xml:space="preserve"> 5</v>
      </c>
      <c r="K510" s="200" t="s">
        <v>1432</v>
      </c>
      <c r="L510" s="200"/>
      <c r="M510" s="200"/>
      <c r="N510" s="200"/>
      <c r="O510" s="200"/>
      <c r="U510" t="s">
        <v>2136</v>
      </c>
    </row>
    <row r="511" spans="1:21">
      <c r="A511" s="200" t="s">
        <v>784</v>
      </c>
      <c r="B511" s="200"/>
      <c r="C511" s="200"/>
      <c r="D511" s="200"/>
      <c r="E511" t="str">
        <f t="shared" si="4"/>
        <v xml:space="preserve"> 6</v>
      </c>
      <c r="K511" s="200" t="s">
        <v>1433</v>
      </c>
      <c r="L511" s="200"/>
      <c r="M511" s="200"/>
      <c r="N511" s="200"/>
      <c r="O511" s="200"/>
      <c r="U511" t="s">
        <v>2137</v>
      </c>
    </row>
    <row r="512" spans="1:21">
      <c r="A512" s="200" t="s">
        <v>785</v>
      </c>
      <c r="B512" s="200"/>
      <c r="C512" s="200"/>
      <c r="D512" s="200"/>
      <c r="E512" t="str">
        <f t="shared" si="4"/>
        <v xml:space="preserve"> 5</v>
      </c>
      <c r="K512" s="200" t="s">
        <v>1434</v>
      </c>
      <c r="L512" s="200"/>
      <c r="M512" s="200"/>
      <c r="N512" s="200"/>
      <c r="O512" s="200"/>
      <c r="U512" t="s">
        <v>2138</v>
      </c>
    </row>
    <row r="513" spans="1:21">
      <c r="A513" s="200" t="s">
        <v>786</v>
      </c>
      <c r="B513" s="200"/>
      <c r="C513" s="200"/>
      <c r="D513" s="200"/>
      <c r="E513" t="str">
        <f t="shared" si="4"/>
        <v xml:space="preserve"> 7</v>
      </c>
      <c r="K513" s="200" t="s">
        <v>1435</v>
      </c>
      <c r="L513" s="200"/>
      <c r="M513" s="200"/>
      <c r="N513" s="200"/>
      <c r="O513" s="200"/>
      <c r="U513" t="s">
        <v>2139</v>
      </c>
    </row>
    <row r="514" spans="1:21">
      <c r="A514" s="200" t="s">
        <v>787</v>
      </c>
      <c r="B514" s="200"/>
      <c r="C514" s="200"/>
      <c r="D514" s="200"/>
      <c r="E514" t="str">
        <f t="shared" si="4"/>
        <v xml:space="preserve"> 6</v>
      </c>
      <c r="K514" s="200" t="s">
        <v>1436</v>
      </c>
      <c r="L514" s="200"/>
      <c r="M514" s="200"/>
      <c r="N514" s="200"/>
      <c r="O514" s="200"/>
      <c r="U514" t="s">
        <v>2140</v>
      </c>
    </row>
    <row r="515" spans="1:21">
      <c r="A515" s="200" t="s">
        <v>788</v>
      </c>
      <c r="B515" s="200"/>
      <c r="C515" s="200"/>
      <c r="D515" s="200"/>
      <c r="E515" t="str">
        <f t="shared" si="4"/>
        <v xml:space="preserve"> 8</v>
      </c>
      <c r="K515" s="200" t="s">
        <v>1437</v>
      </c>
      <c r="L515" s="200"/>
      <c r="M515" s="200"/>
      <c r="N515" s="200"/>
      <c r="O515" s="200"/>
      <c r="U515" t="s">
        <v>2141</v>
      </c>
    </row>
    <row r="516" spans="1:21">
      <c r="A516" s="200" t="s">
        <v>789</v>
      </c>
      <c r="B516" s="200"/>
      <c r="C516" s="200"/>
      <c r="D516" s="200"/>
      <c r="E516" t="str">
        <f t="shared" si="4"/>
        <v xml:space="preserve"> 6</v>
      </c>
      <c r="K516" s="200" t="s">
        <v>1438</v>
      </c>
      <c r="L516" s="200"/>
      <c r="M516" s="200"/>
      <c r="N516" s="200"/>
      <c r="O516" s="200"/>
      <c r="U516" t="s">
        <v>2142</v>
      </c>
    </row>
    <row r="517" spans="1:21">
      <c r="A517" s="200" t="s">
        <v>790</v>
      </c>
      <c r="B517" s="200"/>
      <c r="C517" s="200"/>
      <c r="D517" s="200"/>
      <c r="E517" t="str">
        <f t="shared" si="4"/>
        <v xml:space="preserve"> 9</v>
      </c>
      <c r="K517" s="200" t="s">
        <v>1439</v>
      </c>
      <c r="L517" s="200"/>
      <c r="M517" s="200"/>
      <c r="N517" s="200"/>
      <c r="O517" s="200"/>
      <c r="U517" t="s">
        <v>2143</v>
      </c>
    </row>
    <row r="518" spans="1:21">
      <c r="A518" s="200" t="s">
        <v>791</v>
      </c>
      <c r="B518" s="200"/>
      <c r="C518" s="200"/>
      <c r="D518" s="200"/>
      <c r="E518" t="str">
        <f t="shared" si="4"/>
        <v xml:space="preserve"> 8</v>
      </c>
      <c r="K518" s="200" t="s">
        <v>1440</v>
      </c>
      <c r="L518" s="200"/>
      <c r="M518" s="200"/>
      <c r="N518" s="200"/>
      <c r="O518" s="200"/>
      <c r="U518" t="s">
        <v>2144</v>
      </c>
    </row>
    <row r="519" spans="1:21">
      <c r="A519" s="200" t="s">
        <v>792</v>
      </c>
      <c r="B519" s="200"/>
      <c r="C519" s="200"/>
      <c r="D519" s="200"/>
      <c r="E519" t="str">
        <f t="shared" si="4"/>
        <v>10</v>
      </c>
      <c r="K519" s="200" t="s">
        <v>1441</v>
      </c>
      <c r="L519" s="200"/>
      <c r="M519" s="200"/>
      <c r="N519" s="200"/>
      <c r="O519" s="200"/>
      <c r="U519" t="s">
        <v>2145</v>
      </c>
    </row>
    <row r="520" spans="1:21">
      <c r="A520" s="200" t="s">
        <v>793</v>
      </c>
      <c r="B520" s="200"/>
      <c r="C520" s="200"/>
      <c r="D520" s="200"/>
      <c r="E520" t="str">
        <f t="shared" si="4"/>
        <v>10</v>
      </c>
      <c r="K520" s="200" t="s">
        <v>1442</v>
      </c>
      <c r="L520" s="200"/>
      <c r="M520" s="200"/>
      <c r="N520" s="200"/>
      <c r="O520" s="200"/>
      <c r="U520" t="s">
        <v>2146</v>
      </c>
    </row>
    <row r="521" spans="1:21">
      <c r="A521" s="200" t="s">
        <v>794</v>
      </c>
      <c r="B521" s="200"/>
      <c r="C521" s="200"/>
      <c r="D521" s="200"/>
      <c r="E521" t="str">
        <f t="shared" si="4"/>
        <v xml:space="preserve"> 9</v>
      </c>
      <c r="K521" s="200" t="s">
        <v>1443</v>
      </c>
      <c r="L521" s="200"/>
      <c r="M521" s="200"/>
      <c r="N521" s="200"/>
      <c r="O521" s="200"/>
      <c r="U521" t="s">
        <v>2147</v>
      </c>
    </row>
    <row r="522" spans="1:21">
      <c r="A522" s="200" t="s">
        <v>795</v>
      </c>
      <c r="B522" s="200"/>
      <c r="C522" s="200"/>
      <c r="D522" s="200"/>
      <c r="E522" t="str">
        <f t="shared" si="4"/>
        <v xml:space="preserve"> 8</v>
      </c>
      <c r="K522" s="200" t="s">
        <v>1444</v>
      </c>
      <c r="L522" s="200"/>
      <c r="M522" s="200"/>
      <c r="N522" s="200"/>
      <c r="O522" s="200"/>
      <c r="U522" t="s">
        <v>2148</v>
      </c>
    </row>
    <row r="523" spans="1:21">
      <c r="A523" s="200" t="s">
        <v>796</v>
      </c>
      <c r="B523" s="200"/>
      <c r="C523" s="200"/>
      <c r="D523" s="200"/>
      <c r="E523" t="str">
        <f t="shared" si="4"/>
        <v xml:space="preserve"> 8</v>
      </c>
      <c r="K523" s="200" t="s">
        <v>1445</v>
      </c>
      <c r="L523" s="200"/>
      <c r="M523" s="200"/>
      <c r="N523" s="200"/>
      <c r="O523" s="200"/>
      <c r="U523" t="s">
        <v>2149</v>
      </c>
    </row>
    <row r="524" spans="1:21">
      <c r="A524" s="200" t="s">
        <v>797</v>
      </c>
      <c r="B524" s="200"/>
      <c r="C524" s="200"/>
      <c r="D524" s="200"/>
      <c r="E524" t="str">
        <f t="shared" si="4"/>
        <v xml:space="preserve"> 9</v>
      </c>
      <c r="K524" s="200" t="s">
        <v>1446</v>
      </c>
      <c r="L524" s="200"/>
      <c r="M524" s="200"/>
      <c r="N524" s="200"/>
      <c r="O524" s="200"/>
      <c r="U524" t="s">
        <v>2150</v>
      </c>
    </row>
    <row r="525" spans="1:21">
      <c r="A525" s="200" t="s">
        <v>798</v>
      </c>
      <c r="B525" s="200"/>
      <c r="C525" s="200"/>
      <c r="D525" s="200"/>
      <c r="E525" t="str">
        <f t="shared" si="4"/>
        <v xml:space="preserve"> 8</v>
      </c>
      <c r="K525" s="200" t="s">
        <v>1447</v>
      </c>
      <c r="L525" s="200"/>
      <c r="M525" s="200"/>
      <c r="N525" s="200"/>
      <c r="O525" s="200"/>
      <c r="U525" t="s">
        <v>2151</v>
      </c>
    </row>
    <row r="526" spans="1:21">
      <c r="A526" s="200" t="s">
        <v>799</v>
      </c>
      <c r="B526" s="200"/>
      <c r="C526" s="200"/>
      <c r="D526" s="200"/>
      <c r="E526" t="str">
        <f t="shared" si="4"/>
        <v xml:space="preserve"> 8</v>
      </c>
      <c r="K526" s="200" t="s">
        <v>1448</v>
      </c>
      <c r="L526" s="200"/>
      <c r="M526" s="200"/>
      <c r="N526" s="200"/>
      <c r="O526" s="200"/>
      <c r="U526" t="s">
        <v>2152</v>
      </c>
    </row>
    <row r="527" spans="1:21">
      <c r="A527" s="200" t="s">
        <v>800</v>
      </c>
      <c r="B527" s="200"/>
      <c r="C527" s="200"/>
      <c r="D527" s="200"/>
      <c r="E527" t="str">
        <f t="shared" si="4"/>
        <v xml:space="preserve"> 8</v>
      </c>
      <c r="K527" s="200" t="s">
        <v>1449</v>
      </c>
      <c r="L527" s="200"/>
      <c r="M527" s="200"/>
      <c r="N527" s="200"/>
      <c r="O527" s="200"/>
      <c r="U527" t="s">
        <v>2153</v>
      </c>
    </row>
    <row r="528" spans="1:21">
      <c r="A528" s="200" t="s">
        <v>801</v>
      </c>
      <c r="B528" s="200"/>
      <c r="C528" s="200"/>
      <c r="D528" s="200"/>
      <c r="E528" t="str">
        <f t="shared" si="4"/>
        <v xml:space="preserve"> 8</v>
      </c>
      <c r="K528" s="200" t="s">
        <v>1450</v>
      </c>
      <c r="L528" s="200"/>
      <c r="M528" s="200"/>
      <c r="N528" s="200"/>
      <c r="O528" s="200"/>
      <c r="U528" t="s">
        <v>2154</v>
      </c>
    </row>
    <row r="529" spans="1:21">
      <c r="A529" s="200" t="s">
        <v>802</v>
      </c>
      <c r="B529" s="200"/>
      <c r="C529" s="200"/>
      <c r="D529" s="200"/>
      <c r="E529" t="str">
        <f t="shared" si="4"/>
        <v xml:space="preserve"> 6</v>
      </c>
      <c r="K529" s="200" t="s">
        <v>1451</v>
      </c>
      <c r="L529" s="200"/>
      <c r="M529" s="200"/>
      <c r="N529" s="200"/>
      <c r="O529" s="200"/>
      <c r="U529" t="s">
        <v>2155</v>
      </c>
    </row>
    <row r="530" spans="1:21">
      <c r="A530" s="200" t="s">
        <v>803</v>
      </c>
      <c r="B530" s="200"/>
      <c r="C530" s="200"/>
      <c r="D530" s="200"/>
      <c r="E530" t="str">
        <f t="shared" si="4"/>
        <v xml:space="preserve"> 9</v>
      </c>
      <c r="K530" s="200" t="s">
        <v>1452</v>
      </c>
      <c r="L530" s="200"/>
      <c r="M530" s="200"/>
      <c r="N530" s="200"/>
      <c r="O530" s="200"/>
      <c r="U530" t="s">
        <v>2156</v>
      </c>
    </row>
    <row r="531" spans="1:21">
      <c r="A531" s="200" t="s">
        <v>804</v>
      </c>
      <c r="B531" s="200"/>
      <c r="C531" s="200"/>
      <c r="D531" s="200"/>
      <c r="E531" t="str">
        <f t="shared" si="4"/>
        <v xml:space="preserve"> 7</v>
      </c>
      <c r="K531" s="200" t="s">
        <v>1453</v>
      </c>
      <c r="L531" s="200"/>
      <c r="M531" s="200"/>
      <c r="N531" s="200"/>
      <c r="O531" s="200"/>
      <c r="U531" t="s">
        <v>2157</v>
      </c>
    </row>
    <row r="532" spans="1:21">
      <c r="A532" s="200" t="s">
        <v>805</v>
      </c>
      <c r="B532" s="200"/>
      <c r="C532" s="200"/>
      <c r="D532" s="200"/>
      <c r="E532" t="str">
        <f t="shared" si="4"/>
        <v xml:space="preserve"> 7</v>
      </c>
      <c r="K532" s="200" t="s">
        <v>1454</v>
      </c>
      <c r="L532" s="200"/>
      <c r="M532" s="200"/>
      <c r="N532" s="200"/>
      <c r="O532" s="200"/>
      <c r="U532" t="s">
        <v>2158</v>
      </c>
    </row>
    <row r="533" spans="1:21">
      <c r="A533" s="200" t="s">
        <v>806</v>
      </c>
      <c r="B533" s="200"/>
      <c r="C533" s="200"/>
      <c r="D533" s="200"/>
      <c r="E533" t="str">
        <f t="shared" si="4"/>
        <v xml:space="preserve"> 6</v>
      </c>
      <c r="K533" s="200" t="s">
        <v>1455</v>
      </c>
      <c r="L533" s="200"/>
      <c r="M533" s="200"/>
      <c r="N533" s="200"/>
      <c r="O533" s="200"/>
      <c r="U533" t="s">
        <v>2159</v>
      </c>
    </row>
    <row r="534" spans="1:21">
      <c r="A534" s="200" t="s">
        <v>807</v>
      </c>
      <c r="B534" s="200"/>
      <c r="C534" s="200"/>
      <c r="D534" s="200"/>
      <c r="E534" t="str">
        <f t="shared" si="4"/>
        <v xml:space="preserve"> 7</v>
      </c>
      <c r="K534" s="200" t="s">
        <v>1456</v>
      </c>
      <c r="L534" s="200"/>
      <c r="M534" s="200"/>
      <c r="N534" s="200"/>
      <c r="O534" s="200"/>
      <c r="U534" t="s">
        <v>2160</v>
      </c>
    </row>
    <row r="535" spans="1:21">
      <c r="A535" s="200" t="s">
        <v>808</v>
      </c>
      <c r="B535" s="200"/>
      <c r="C535" s="200"/>
      <c r="D535" s="200"/>
      <c r="E535" t="str">
        <f t="shared" si="4"/>
        <v xml:space="preserve"> 7</v>
      </c>
      <c r="K535" s="200" t="s">
        <v>1457</v>
      </c>
      <c r="L535" s="200"/>
      <c r="M535" s="200"/>
      <c r="N535" s="200"/>
      <c r="O535" s="200"/>
      <c r="U535" t="s">
        <v>2161</v>
      </c>
    </row>
    <row r="536" spans="1:21">
      <c r="A536" s="200" t="s">
        <v>809</v>
      </c>
      <c r="B536" s="200"/>
      <c r="C536" s="200"/>
      <c r="D536" s="200"/>
      <c r="E536" t="str">
        <f t="shared" si="4"/>
        <v xml:space="preserve"> 6</v>
      </c>
      <c r="K536" s="200" t="s">
        <v>1458</v>
      </c>
      <c r="L536" s="200"/>
      <c r="M536" s="200"/>
      <c r="N536" s="200"/>
      <c r="O536" s="200"/>
      <c r="U536" t="s">
        <v>2162</v>
      </c>
    </row>
    <row r="537" spans="1:21">
      <c r="A537" s="200" t="s">
        <v>810</v>
      </c>
      <c r="B537" s="200"/>
      <c r="C537" s="200"/>
      <c r="D537" s="200"/>
      <c r="E537" t="str">
        <f t="shared" si="4"/>
        <v xml:space="preserve"> 8</v>
      </c>
      <c r="K537" s="200" t="s">
        <v>1459</v>
      </c>
      <c r="L537" s="200"/>
      <c r="M537" s="200"/>
      <c r="N537" s="200"/>
      <c r="O537" s="200"/>
      <c r="U537" t="s">
        <v>2163</v>
      </c>
    </row>
    <row r="538" spans="1:21">
      <c r="A538" s="200" t="s">
        <v>811</v>
      </c>
      <c r="B538" s="200"/>
      <c r="C538" s="200"/>
      <c r="D538" s="200"/>
      <c r="E538" t="str">
        <f t="shared" si="4"/>
        <v xml:space="preserve"> 6</v>
      </c>
      <c r="K538" s="200" t="s">
        <v>1460</v>
      </c>
      <c r="L538" s="200"/>
      <c r="M538" s="200"/>
      <c r="N538" s="200"/>
      <c r="O538" s="200"/>
      <c r="U538" t="s">
        <v>2164</v>
      </c>
    </row>
    <row r="539" spans="1:21">
      <c r="A539" s="200" t="s">
        <v>812</v>
      </c>
      <c r="B539" s="200"/>
      <c r="C539" s="200"/>
      <c r="D539" s="200"/>
      <c r="E539" t="str">
        <f t="shared" si="4"/>
        <v xml:space="preserve"> 5</v>
      </c>
      <c r="K539" s="200" t="s">
        <v>1461</v>
      </c>
      <c r="L539" s="200"/>
      <c r="M539" s="200"/>
      <c r="N539" s="200"/>
      <c r="O539" s="200"/>
      <c r="U539" t="s">
        <v>2165</v>
      </c>
    </row>
    <row r="540" spans="1:21">
      <c r="A540" s="200" t="s">
        <v>813</v>
      </c>
      <c r="B540" s="200"/>
      <c r="C540" s="200"/>
      <c r="D540" s="200"/>
      <c r="E540" t="str">
        <f t="shared" si="4"/>
        <v xml:space="preserve"> 5</v>
      </c>
      <c r="K540" s="200" t="s">
        <v>1462</v>
      </c>
      <c r="L540" s="200"/>
      <c r="M540" s="200"/>
      <c r="N540" s="200"/>
      <c r="O540" s="200"/>
      <c r="U540" t="s">
        <v>2166</v>
      </c>
    </row>
    <row r="541" spans="1:21">
      <c r="A541" s="200" t="s">
        <v>814</v>
      </c>
      <c r="B541" s="200"/>
      <c r="C541" s="200"/>
      <c r="D541" s="200"/>
      <c r="E541" t="str">
        <f t="shared" si="4"/>
        <v xml:space="preserve"> 5</v>
      </c>
      <c r="K541" s="200" t="s">
        <v>1463</v>
      </c>
      <c r="L541" s="200"/>
      <c r="M541" s="200"/>
      <c r="N541" s="200"/>
      <c r="O541" s="200"/>
      <c r="U541" t="s">
        <v>2167</v>
      </c>
    </row>
    <row r="542" spans="1:21">
      <c r="A542" s="200" t="s">
        <v>815</v>
      </c>
      <c r="B542" s="200"/>
      <c r="C542" s="200"/>
      <c r="D542" s="200"/>
      <c r="E542" t="str">
        <f t="shared" si="4"/>
        <v xml:space="preserve"> 6</v>
      </c>
      <c r="K542" s="200" t="s">
        <v>1464</v>
      </c>
      <c r="L542" s="200"/>
      <c r="M542" s="200"/>
      <c r="N542" s="200"/>
      <c r="O542" s="200"/>
      <c r="U542" t="s">
        <v>2168</v>
      </c>
    </row>
    <row r="543" spans="1:21">
      <c r="A543" s="200" t="s">
        <v>816</v>
      </c>
      <c r="B543" s="200"/>
      <c r="C543" s="200"/>
      <c r="D543" s="200"/>
      <c r="E543" t="str">
        <f t="shared" si="4"/>
        <v xml:space="preserve"> 5</v>
      </c>
      <c r="K543" s="200" t="s">
        <v>1465</v>
      </c>
      <c r="L543" s="200"/>
      <c r="M543" s="200"/>
      <c r="N543" s="200"/>
      <c r="O543" s="200"/>
      <c r="U543" t="s">
        <v>2169</v>
      </c>
    </row>
    <row r="544" spans="1:21">
      <c r="A544" s="200" t="s">
        <v>817</v>
      </c>
      <c r="B544" s="200"/>
      <c r="C544" s="200"/>
      <c r="D544" s="200"/>
      <c r="E544" t="str">
        <f t="shared" si="4"/>
        <v xml:space="preserve"> 5</v>
      </c>
      <c r="K544" s="200" t="s">
        <v>1466</v>
      </c>
      <c r="L544" s="200"/>
      <c r="M544" s="200"/>
      <c r="N544" s="200"/>
      <c r="O544" s="200"/>
      <c r="U544" t="s">
        <v>2170</v>
      </c>
    </row>
    <row r="545" spans="1:21">
      <c r="A545" s="200" t="s">
        <v>818</v>
      </c>
      <c r="B545" s="200"/>
      <c r="C545" s="200"/>
      <c r="D545" s="200"/>
      <c r="E545" t="str">
        <f t="shared" si="4"/>
        <v xml:space="preserve"> 4</v>
      </c>
      <c r="K545" s="200" t="s">
        <v>1467</v>
      </c>
      <c r="L545" s="200"/>
      <c r="M545" s="200"/>
      <c r="N545" s="200"/>
      <c r="O545" s="200"/>
      <c r="U545" t="s">
        <v>2171</v>
      </c>
    </row>
    <row r="546" spans="1:21">
      <c r="A546" s="200" t="s">
        <v>819</v>
      </c>
      <c r="B546" s="200"/>
      <c r="C546" s="200"/>
      <c r="D546" s="200"/>
      <c r="E546" t="str">
        <f t="shared" si="4"/>
        <v xml:space="preserve"> 6</v>
      </c>
      <c r="K546" s="200" t="s">
        <v>1468</v>
      </c>
      <c r="L546" s="200"/>
      <c r="M546" s="200"/>
      <c r="N546" s="200"/>
      <c r="O546" s="200"/>
      <c r="U546" t="s">
        <v>2172</v>
      </c>
    </row>
    <row r="547" spans="1:21">
      <c r="A547" s="200" t="s">
        <v>820</v>
      </c>
      <c r="B547" s="200"/>
      <c r="C547" s="200"/>
      <c r="D547" s="200"/>
      <c r="E547" t="str">
        <f t="shared" si="4"/>
        <v xml:space="preserve"> 4</v>
      </c>
      <c r="K547" s="200" t="s">
        <v>1469</v>
      </c>
      <c r="L547" s="200"/>
      <c r="M547" s="200"/>
      <c r="N547" s="200"/>
      <c r="O547" s="200"/>
      <c r="U547" t="s">
        <v>2173</v>
      </c>
    </row>
    <row r="548" spans="1:21">
      <c r="A548" s="200" t="s">
        <v>821</v>
      </c>
      <c r="B548" s="200"/>
      <c r="C548" s="200"/>
      <c r="D548" s="200"/>
      <c r="E548" t="str">
        <f t="shared" si="4"/>
        <v xml:space="preserve"> 4</v>
      </c>
      <c r="K548" s="200" t="s">
        <v>1470</v>
      </c>
      <c r="L548" s="200"/>
      <c r="M548" s="200"/>
      <c r="N548" s="200"/>
      <c r="O548" s="200"/>
      <c r="U548" t="s">
        <v>2174</v>
      </c>
    </row>
    <row r="549" spans="1:21">
      <c r="A549" s="200" t="s">
        <v>822</v>
      </c>
      <c r="B549" s="200"/>
      <c r="C549" s="200"/>
      <c r="D549" s="200"/>
      <c r="E549" t="str">
        <f t="shared" si="4"/>
        <v xml:space="preserve"> 5</v>
      </c>
      <c r="K549" s="200" t="s">
        <v>1471</v>
      </c>
      <c r="L549" s="200"/>
      <c r="M549" s="200"/>
      <c r="N549" s="200"/>
      <c r="O549" s="200"/>
      <c r="U549" t="s">
        <v>2175</v>
      </c>
    </row>
    <row r="550" spans="1:21">
      <c r="A550" s="200" t="s">
        <v>823</v>
      </c>
      <c r="B550" s="200"/>
      <c r="C550" s="200"/>
      <c r="D550" s="200"/>
      <c r="E550" t="str">
        <f t="shared" si="4"/>
        <v xml:space="preserve"> 4</v>
      </c>
      <c r="K550" t="s">
        <v>1472</v>
      </c>
      <c r="U550" t="s">
        <v>2176</v>
      </c>
    </row>
    <row r="551" spans="1:21">
      <c r="A551" t="s">
        <v>824</v>
      </c>
      <c r="E551" t="str">
        <f t="shared" si="4"/>
        <v xml:space="preserve"> 2</v>
      </c>
      <c r="K551" t="s">
        <v>1473</v>
      </c>
      <c r="U551" t="s">
        <v>2177</v>
      </c>
    </row>
    <row r="552" spans="1:21">
      <c r="A552" s="200" t="s">
        <v>825</v>
      </c>
      <c r="B552" s="200"/>
      <c r="C552" s="200"/>
      <c r="D552" s="200"/>
      <c r="E552" t="str">
        <f t="shared" si="4"/>
        <v xml:space="preserve"> 4</v>
      </c>
      <c r="K552" t="s">
        <v>1474</v>
      </c>
      <c r="U552" t="s">
        <v>2178</v>
      </c>
    </row>
    <row r="553" spans="1:21">
      <c r="A553" t="s">
        <v>826</v>
      </c>
      <c r="E553" t="str">
        <f t="shared" si="4"/>
        <v xml:space="preserve"> 2</v>
      </c>
      <c r="K553" t="s">
        <v>1475</v>
      </c>
      <c r="U553" t="s">
        <v>2179</v>
      </c>
    </row>
    <row r="554" spans="1:21">
      <c r="A554" t="s">
        <v>827</v>
      </c>
      <c r="E554" t="str">
        <f t="shared" si="4"/>
        <v xml:space="preserve"> 3</v>
      </c>
      <c r="K554" s="200" t="s">
        <v>1476</v>
      </c>
      <c r="L554" s="200"/>
      <c r="M554" s="200"/>
      <c r="N554" s="200"/>
      <c r="O554" s="200"/>
      <c r="U554" t="s">
        <v>2180</v>
      </c>
    </row>
    <row r="555" spans="1:21">
      <c r="A555" t="s">
        <v>828</v>
      </c>
      <c r="E555" t="str">
        <f t="shared" si="4"/>
        <v xml:space="preserve"> 1</v>
      </c>
      <c r="K555" t="s">
        <v>1477</v>
      </c>
      <c r="U555" t="s">
        <v>2181</v>
      </c>
    </row>
    <row r="556" spans="1:21">
      <c r="A556" t="s">
        <v>829</v>
      </c>
      <c r="E556" t="str">
        <f t="shared" ref="E556:E619" si="5">MID(A556,35,2)</f>
        <v xml:space="preserve"> 3</v>
      </c>
      <c r="K556" t="s">
        <v>1478</v>
      </c>
      <c r="U556" t="s">
        <v>2182</v>
      </c>
    </row>
    <row r="557" spans="1:21">
      <c r="A557" t="s">
        <v>830</v>
      </c>
      <c r="E557" t="str">
        <f t="shared" si="5"/>
        <v xml:space="preserve"> 1</v>
      </c>
      <c r="K557" t="s">
        <v>1479</v>
      </c>
      <c r="U557" t="s">
        <v>2183</v>
      </c>
    </row>
    <row r="558" spans="1:21">
      <c r="A558" t="s">
        <v>831</v>
      </c>
      <c r="E558" t="str">
        <f t="shared" si="5"/>
        <v xml:space="preserve"> 3</v>
      </c>
      <c r="K558" t="s">
        <v>1480</v>
      </c>
      <c r="U558" t="s">
        <v>2184</v>
      </c>
    </row>
    <row r="559" spans="1:21">
      <c r="A559" t="s">
        <v>832</v>
      </c>
      <c r="E559" t="str">
        <f t="shared" si="5"/>
        <v xml:space="preserve"> 2</v>
      </c>
      <c r="K559" t="s">
        <v>1481</v>
      </c>
      <c r="U559" t="s">
        <v>2185</v>
      </c>
    </row>
    <row r="560" spans="1:21">
      <c r="A560" t="s">
        <v>833</v>
      </c>
      <c r="E560" t="str">
        <f t="shared" si="5"/>
        <v xml:space="preserve"> 3</v>
      </c>
      <c r="K560" t="s">
        <v>1482</v>
      </c>
      <c r="U560" t="s">
        <v>2186</v>
      </c>
    </row>
    <row r="561" spans="1:21">
      <c r="A561" t="s">
        <v>834</v>
      </c>
      <c r="E561" t="str">
        <f t="shared" si="5"/>
        <v xml:space="preserve"> 2</v>
      </c>
      <c r="K561" t="s">
        <v>1483</v>
      </c>
      <c r="U561" t="s">
        <v>2187</v>
      </c>
    </row>
    <row r="562" spans="1:21">
      <c r="A562" t="s">
        <v>835</v>
      </c>
      <c r="E562" t="str">
        <f t="shared" si="5"/>
        <v xml:space="preserve"> 3</v>
      </c>
      <c r="K562" t="s">
        <v>1484</v>
      </c>
      <c r="U562" t="s">
        <v>2188</v>
      </c>
    </row>
    <row r="563" spans="1:21">
      <c r="A563" t="s">
        <v>836</v>
      </c>
      <c r="E563" t="str">
        <f t="shared" si="5"/>
        <v xml:space="preserve"> 2</v>
      </c>
      <c r="K563" t="s">
        <v>1485</v>
      </c>
      <c r="U563" t="s">
        <v>2189</v>
      </c>
    </row>
    <row r="564" spans="1:21">
      <c r="A564" t="s">
        <v>837</v>
      </c>
      <c r="E564" t="str">
        <f t="shared" si="5"/>
        <v xml:space="preserve"> 2</v>
      </c>
      <c r="K564" t="s">
        <v>1486</v>
      </c>
      <c r="U564" t="s">
        <v>2190</v>
      </c>
    </row>
    <row r="565" spans="1:21">
      <c r="A565" t="s">
        <v>838</v>
      </c>
      <c r="E565" t="str">
        <f t="shared" si="5"/>
        <v xml:space="preserve"> 3</v>
      </c>
      <c r="K565" t="s">
        <v>1487</v>
      </c>
      <c r="U565" t="s">
        <v>2191</v>
      </c>
    </row>
    <row r="566" spans="1:21">
      <c r="A566" t="s">
        <v>839</v>
      </c>
      <c r="E566" t="str">
        <f t="shared" si="5"/>
        <v xml:space="preserve"> 2</v>
      </c>
      <c r="K566" t="s">
        <v>1488</v>
      </c>
      <c r="U566" t="s">
        <v>2192</v>
      </c>
    </row>
    <row r="567" spans="1:21">
      <c r="A567" t="s">
        <v>840</v>
      </c>
      <c r="E567" t="str">
        <f t="shared" si="5"/>
        <v xml:space="preserve"> 2</v>
      </c>
      <c r="K567" t="s">
        <v>1489</v>
      </c>
      <c r="U567" t="s">
        <v>2193</v>
      </c>
    </row>
    <row r="568" spans="1:21">
      <c r="A568" t="s">
        <v>841</v>
      </c>
      <c r="E568" t="str">
        <f t="shared" si="5"/>
        <v xml:space="preserve"> 2</v>
      </c>
      <c r="K568" t="s">
        <v>1490</v>
      </c>
      <c r="U568" t="s">
        <v>2194</v>
      </c>
    </row>
    <row r="569" spans="1:21">
      <c r="A569" t="s">
        <v>842</v>
      </c>
      <c r="E569" t="str">
        <f t="shared" si="5"/>
        <v xml:space="preserve"> 2</v>
      </c>
      <c r="K569" t="s">
        <v>1491</v>
      </c>
      <c r="U569" t="s">
        <v>2195</v>
      </c>
    </row>
    <row r="570" spans="1:21">
      <c r="A570" t="s">
        <v>843</v>
      </c>
      <c r="E570" t="str">
        <f t="shared" si="5"/>
        <v xml:space="preserve"> 3</v>
      </c>
      <c r="K570" t="s">
        <v>1492</v>
      </c>
      <c r="U570" t="s">
        <v>2196</v>
      </c>
    </row>
    <row r="571" spans="1:21">
      <c r="A571" s="200" t="s">
        <v>844</v>
      </c>
      <c r="B571" s="200"/>
      <c r="C571" s="200"/>
      <c r="D571" s="200"/>
      <c r="E571" t="str">
        <f t="shared" si="5"/>
        <v xml:space="preserve"> 4</v>
      </c>
      <c r="K571" s="200" t="s">
        <v>1493</v>
      </c>
      <c r="L571" s="200"/>
      <c r="M571" s="200"/>
      <c r="N571" s="200"/>
      <c r="O571" s="200"/>
      <c r="U571" t="s">
        <v>2197</v>
      </c>
    </row>
    <row r="572" spans="1:21">
      <c r="A572" t="s">
        <v>845</v>
      </c>
      <c r="E572" t="str">
        <f t="shared" si="5"/>
        <v xml:space="preserve"> 3</v>
      </c>
      <c r="K572" t="s">
        <v>1494</v>
      </c>
      <c r="U572" t="s">
        <v>2198</v>
      </c>
    </row>
    <row r="573" spans="1:21">
      <c r="A573" s="200" t="s">
        <v>846</v>
      </c>
      <c r="B573" s="200"/>
      <c r="C573" s="200"/>
      <c r="D573" s="200"/>
      <c r="E573" t="str">
        <f t="shared" si="5"/>
        <v xml:space="preserve"> 4</v>
      </c>
      <c r="K573" s="200" t="s">
        <v>1495</v>
      </c>
      <c r="L573" s="200"/>
      <c r="M573" s="200"/>
      <c r="N573" s="200"/>
      <c r="O573" s="200"/>
      <c r="U573" t="s">
        <v>2199</v>
      </c>
    </row>
    <row r="574" spans="1:21">
      <c r="A574" t="s">
        <v>847</v>
      </c>
      <c r="E574" t="str">
        <f t="shared" si="5"/>
        <v xml:space="preserve"> 3</v>
      </c>
      <c r="K574" s="200" t="s">
        <v>1496</v>
      </c>
      <c r="L574" s="200"/>
      <c r="M574" s="200"/>
      <c r="N574" s="200"/>
      <c r="O574" s="200"/>
      <c r="U574" t="s">
        <v>2200</v>
      </c>
    </row>
    <row r="575" spans="1:21">
      <c r="A575" s="200" t="s">
        <v>848</v>
      </c>
      <c r="B575" s="200"/>
      <c r="C575" s="200"/>
      <c r="D575" s="200"/>
      <c r="E575" t="str">
        <f t="shared" si="5"/>
        <v xml:space="preserve"> 4</v>
      </c>
      <c r="K575" s="200" t="s">
        <v>1497</v>
      </c>
      <c r="L575" s="200"/>
      <c r="M575" s="200"/>
      <c r="N575" s="200"/>
      <c r="O575" s="200"/>
      <c r="U575" t="s">
        <v>2201</v>
      </c>
    </row>
    <row r="576" spans="1:21">
      <c r="A576" t="s">
        <v>849</v>
      </c>
      <c r="E576" t="str">
        <f t="shared" si="5"/>
        <v xml:space="preserve"> 3</v>
      </c>
      <c r="K576" s="200" t="s">
        <v>1498</v>
      </c>
      <c r="L576" s="200"/>
      <c r="M576" s="200"/>
      <c r="N576" s="200"/>
      <c r="O576" s="200"/>
      <c r="U576" t="s">
        <v>2202</v>
      </c>
    </row>
    <row r="577" spans="1:21">
      <c r="A577" t="s">
        <v>850</v>
      </c>
      <c r="E577" t="str">
        <f t="shared" si="5"/>
        <v xml:space="preserve"> 3</v>
      </c>
      <c r="K577" t="s">
        <v>1499</v>
      </c>
      <c r="U577" t="s">
        <v>2203</v>
      </c>
    </row>
    <row r="578" spans="1:21">
      <c r="A578" s="200" t="s">
        <v>851</v>
      </c>
      <c r="B578" s="200"/>
      <c r="C578" s="200"/>
      <c r="D578" s="200"/>
      <c r="E578" t="str">
        <f t="shared" si="5"/>
        <v xml:space="preserve"> 4</v>
      </c>
      <c r="K578" s="200" t="s">
        <v>1500</v>
      </c>
      <c r="L578" s="200"/>
      <c r="M578" s="200"/>
      <c r="N578" s="200"/>
      <c r="O578" s="200"/>
      <c r="U578" t="s">
        <v>2204</v>
      </c>
    </row>
    <row r="579" spans="1:21">
      <c r="A579" t="s">
        <v>852</v>
      </c>
      <c r="E579" t="str">
        <f t="shared" si="5"/>
        <v xml:space="preserve"> 2</v>
      </c>
      <c r="K579" t="s">
        <v>1501</v>
      </c>
      <c r="U579" t="s">
        <v>2205</v>
      </c>
    </row>
    <row r="580" spans="1:21">
      <c r="A580" t="s">
        <v>853</v>
      </c>
      <c r="E580" t="str">
        <f t="shared" si="5"/>
        <v xml:space="preserve"> 2</v>
      </c>
      <c r="K580" t="s">
        <v>1502</v>
      </c>
      <c r="U580" t="s">
        <v>2206</v>
      </c>
    </row>
    <row r="581" spans="1:21">
      <c r="A581" t="s">
        <v>854</v>
      </c>
      <c r="E581" t="str">
        <f t="shared" si="5"/>
        <v xml:space="preserve"> 2</v>
      </c>
      <c r="K581" t="s">
        <v>1503</v>
      </c>
      <c r="U581" t="s">
        <v>2207</v>
      </c>
    </row>
    <row r="582" spans="1:21">
      <c r="A582" t="s">
        <v>855</v>
      </c>
      <c r="E582" t="str">
        <f t="shared" si="5"/>
        <v xml:space="preserve"> 3</v>
      </c>
      <c r="K582" t="s">
        <v>1504</v>
      </c>
      <c r="U582" t="s">
        <v>2208</v>
      </c>
    </row>
    <row r="583" spans="1:21">
      <c r="A583" t="s">
        <v>856</v>
      </c>
      <c r="E583" t="str">
        <f t="shared" si="5"/>
        <v xml:space="preserve"> 3</v>
      </c>
      <c r="K583" t="s">
        <v>1505</v>
      </c>
      <c r="U583" t="s">
        <v>2209</v>
      </c>
    </row>
    <row r="584" spans="1:21">
      <c r="A584" t="s">
        <v>857</v>
      </c>
      <c r="E584" t="str">
        <f t="shared" si="5"/>
        <v xml:space="preserve"> 3</v>
      </c>
      <c r="K584" t="s">
        <v>1506</v>
      </c>
      <c r="U584" t="s">
        <v>2210</v>
      </c>
    </row>
    <row r="585" spans="1:21">
      <c r="A585" t="s">
        <v>858</v>
      </c>
      <c r="E585" t="str">
        <f t="shared" si="5"/>
        <v xml:space="preserve"> 2</v>
      </c>
      <c r="K585" t="s">
        <v>1507</v>
      </c>
      <c r="U585" t="s">
        <v>2211</v>
      </c>
    </row>
    <row r="586" spans="1:21">
      <c r="A586" t="s">
        <v>859</v>
      </c>
      <c r="E586" t="str">
        <f t="shared" si="5"/>
        <v xml:space="preserve"> 2</v>
      </c>
      <c r="K586" t="s">
        <v>1508</v>
      </c>
      <c r="U586" t="s">
        <v>2212</v>
      </c>
    </row>
    <row r="587" spans="1:21">
      <c r="A587" t="s">
        <v>860</v>
      </c>
      <c r="E587" t="str">
        <f t="shared" si="5"/>
        <v xml:space="preserve"> 2</v>
      </c>
      <c r="K587" t="s">
        <v>1509</v>
      </c>
      <c r="U587" t="s">
        <v>2213</v>
      </c>
    </row>
    <row r="588" spans="1:21">
      <c r="A588" t="s">
        <v>861</v>
      </c>
      <c r="E588" t="str">
        <f t="shared" si="5"/>
        <v xml:space="preserve"> 2</v>
      </c>
      <c r="K588" t="s">
        <v>1510</v>
      </c>
      <c r="U588" t="s">
        <v>2214</v>
      </c>
    </row>
    <row r="589" spans="1:21">
      <c r="A589" t="s">
        <v>862</v>
      </c>
      <c r="E589" t="str">
        <f t="shared" si="5"/>
        <v xml:space="preserve"> 2</v>
      </c>
      <c r="K589" t="s">
        <v>1511</v>
      </c>
      <c r="U589" t="s">
        <v>2215</v>
      </c>
    </row>
    <row r="590" spans="1:21">
      <c r="A590" t="s">
        <v>863</v>
      </c>
      <c r="E590" t="str">
        <f t="shared" si="5"/>
        <v xml:space="preserve"> 2</v>
      </c>
      <c r="K590" t="s">
        <v>1512</v>
      </c>
      <c r="U590" t="s">
        <v>2216</v>
      </c>
    </row>
    <row r="591" spans="1:21">
      <c r="A591" t="s">
        <v>864</v>
      </c>
      <c r="E591" t="str">
        <f t="shared" si="5"/>
        <v xml:space="preserve"> 1</v>
      </c>
      <c r="K591" t="s">
        <v>1513</v>
      </c>
      <c r="U591" t="s">
        <v>2217</v>
      </c>
    </row>
    <row r="592" spans="1:21">
      <c r="A592" t="s">
        <v>865</v>
      </c>
      <c r="E592" t="str">
        <f t="shared" si="5"/>
        <v xml:space="preserve"> 2</v>
      </c>
      <c r="K592" t="s">
        <v>1514</v>
      </c>
      <c r="U592" t="s">
        <v>2218</v>
      </c>
    </row>
    <row r="593" spans="1:21">
      <c r="A593" t="s">
        <v>866</v>
      </c>
      <c r="E593" t="str">
        <f t="shared" si="5"/>
        <v xml:space="preserve"> 1</v>
      </c>
      <c r="K593" t="s">
        <v>1515</v>
      </c>
      <c r="U593" t="s">
        <v>2219</v>
      </c>
    </row>
    <row r="594" spans="1:21">
      <c r="A594" t="s">
        <v>867</v>
      </c>
      <c r="E594" t="str">
        <f t="shared" si="5"/>
        <v xml:space="preserve"> 2</v>
      </c>
      <c r="K594" t="s">
        <v>1516</v>
      </c>
      <c r="U594" t="s">
        <v>2220</v>
      </c>
    </row>
    <row r="595" spans="1:21">
      <c r="A595" t="s">
        <v>868</v>
      </c>
      <c r="E595" t="str">
        <f t="shared" si="5"/>
        <v xml:space="preserve"> 1</v>
      </c>
      <c r="K595" t="s">
        <v>1517</v>
      </c>
      <c r="U595" t="s">
        <v>2221</v>
      </c>
    </row>
    <row r="596" spans="1:21">
      <c r="A596" t="s">
        <v>869</v>
      </c>
      <c r="E596" t="str">
        <f t="shared" si="5"/>
        <v xml:space="preserve"> 2</v>
      </c>
      <c r="K596" t="s">
        <v>1518</v>
      </c>
      <c r="U596" t="s">
        <v>2222</v>
      </c>
    </row>
    <row r="597" spans="1:21">
      <c r="A597" t="s">
        <v>870</v>
      </c>
      <c r="E597" t="str">
        <f t="shared" si="5"/>
        <v xml:space="preserve"> 1</v>
      </c>
      <c r="K597" t="s">
        <v>1519</v>
      </c>
      <c r="U597" t="s">
        <v>2223</v>
      </c>
    </row>
    <row r="598" spans="1:21">
      <c r="A598" t="s">
        <v>871</v>
      </c>
      <c r="E598" t="str">
        <f t="shared" si="5"/>
        <v xml:space="preserve"> 3</v>
      </c>
      <c r="K598" t="s">
        <v>1520</v>
      </c>
      <c r="U598" t="s">
        <v>2224</v>
      </c>
    </row>
    <row r="599" spans="1:21">
      <c r="A599" t="s">
        <v>872</v>
      </c>
      <c r="E599" t="str">
        <f t="shared" si="5"/>
        <v xml:space="preserve"> 2</v>
      </c>
      <c r="K599" t="s">
        <v>1521</v>
      </c>
      <c r="U599" t="s">
        <v>2225</v>
      </c>
    </row>
    <row r="600" spans="1:21">
      <c r="A600" t="s">
        <v>873</v>
      </c>
      <c r="E600" t="str">
        <f t="shared" si="5"/>
        <v xml:space="preserve"> 2</v>
      </c>
      <c r="K600" t="s">
        <v>1522</v>
      </c>
      <c r="U600" t="s">
        <v>2226</v>
      </c>
    </row>
    <row r="601" spans="1:21">
      <c r="A601" t="s">
        <v>874</v>
      </c>
      <c r="E601" t="str">
        <f t="shared" si="5"/>
        <v xml:space="preserve"> 1</v>
      </c>
      <c r="K601" t="s">
        <v>1523</v>
      </c>
      <c r="U601" t="s">
        <v>2227</v>
      </c>
    </row>
    <row r="602" spans="1:21">
      <c r="A602" t="s">
        <v>875</v>
      </c>
      <c r="E602" t="str">
        <f t="shared" si="5"/>
        <v xml:space="preserve"> 1</v>
      </c>
      <c r="K602" t="s">
        <v>1524</v>
      </c>
      <c r="U602" t="s">
        <v>2228</v>
      </c>
    </row>
    <row r="603" spans="1:21">
      <c r="A603" t="s">
        <v>876</v>
      </c>
      <c r="E603" t="str">
        <f t="shared" si="5"/>
        <v xml:space="preserve"> 2</v>
      </c>
      <c r="K603" t="s">
        <v>1525</v>
      </c>
      <c r="U603" t="s">
        <v>2229</v>
      </c>
    </row>
    <row r="604" spans="1:21">
      <c r="A604" t="s">
        <v>877</v>
      </c>
      <c r="E604" t="str">
        <f t="shared" si="5"/>
        <v xml:space="preserve"> 1</v>
      </c>
      <c r="K604" t="s">
        <v>1526</v>
      </c>
      <c r="U604" t="s">
        <v>2230</v>
      </c>
    </row>
    <row r="605" spans="1:21">
      <c r="A605" t="s">
        <v>878</v>
      </c>
      <c r="E605" t="str">
        <f t="shared" si="5"/>
        <v xml:space="preserve"> 1</v>
      </c>
      <c r="K605" t="s">
        <v>1527</v>
      </c>
      <c r="U605" t="s">
        <v>2231</v>
      </c>
    </row>
    <row r="606" spans="1:21">
      <c r="A606" t="s">
        <v>879</v>
      </c>
      <c r="E606" t="str">
        <f t="shared" si="5"/>
        <v xml:space="preserve"> 1</v>
      </c>
      <c r="K606" t="s">
        <v>1528</v>
      </c>
      <c r="U606" t="s">
        <v>2232</v>
      </c>
    </row>
    <row r="607" spans="1:21">
      <c r="A607" t="s">
        <v>880</v>
      </c>
      <c r="E607" t="str">
        <f t="shared" si="5"/>
        <v xml:space="preserve"> 1</v>
      </c>
      <c r="K607" t="s">
        <v>1529</v>
      </c>
      <c r="U607" t="s">
        <v>2233</v>
      </c>
    </row>
    <row r="608" spans="1:21">
      <c r="A608" t="s">
        <v>881</v>
      </c>
      <c r="E608" t="str">
        <f t="shared" si="5"/>
        <v xml:space="preserve"> 1</v>
      </c>
      <c r="K608" t="s">
        <v>1530</v>
      </c>
      <c r="U608" t="s">
        <v>2234</v>
      </c>
    </row>
    <row r="609" spans="1:21">
      <c r="A609" t="s">
        <v>882</v>
      </c>
      <c r="E609" t="str">
        <f t="shared" si="5"/>
        <v xml:space="preserve"> 1</v>
      </c>
      <c r="K609" t="s">
        <v>1531</v>
      </c>
      <c r="U609" t="s">
        <v>2235</v>
      </c>
    </row>
    <row r="610" spans="1:21">
      <c r="A610" t="s">
        <v>883</v>
      </c>
      <c r="E610" t="str">
        <f t="shared" si="5"/>
        <v xml:space="preserve"> 1</v>
      </c>
      <c r="K610" t="s">
        <v>1532</v>
      </c>
      <c r="U610" t="s">
        <v>2236</v>
      </c>
    </row>
    <row r="611" spans="1:21">
      <c r="A611" t="s">
        <v>884</v>
      </c>
      <c r="E611" t="str">
        <f t="shared" si="5"/>
        <v xml:space="preserve"> 2</v>
      </c>
      <c r="K611" t="s">
        <v>1533</v>
      </c>
      <c r="U611" t="s">
        <v>2237</v>
      </c>
    </row>
    <row r="612" spans="1:21">
      <c r="A612" t="s">
        <v>885</v>
      </c>
      <c r="E612" t="str">
        <f t="shared" si="5"/>
        <v xml:space="preserve"> 1</v>
      </c>
      <c r="K612" t="s">
        <v>1534</v>
      </c>
      <c r="U612" t="s">
        <v>2238</v>
      </c>
    </row>
    <row r="613" spans="1:21">
      <c r="A613" t="s">
        <v>886</v>
      </c>
      <c r="E613" t="str">
        <f t="shared" si="5"/>
        <v xml:space="preserve"> 2</v>
      </c>
      <c r="K613" t="s">
        <v>1535</v>
      </c>
      <c r="U613" t="s">
        <v>2239</v>
      </c>
    </row>
    <row r="614" spans="1:21">
      <c r="A614" t="s">
        <v>887</v>
      </c>
      <c r="E614" t="str">
        <f t="shared" si="5"/>
        <v xml:space="preserve"> 2</v>
      </c>
      <c r="K614" t="s">
        <v>1536</v>
      </c>
      <c r="U614" t="s">
        <v>2240</v>
      </c>
    </row>
    <row r="615" spans="1:21">
      <c r="A615" t="s">
        <v>888</v>
      </c>
      <c r="E615" t="str">
        <f t="shared" si="5"/>
        <v xml:space="preserve"> 2</v>
      </c>
      <c r="K615" t="s">
        <v>1537</v>
      </c>
      <c r="U615" t="s">
        <v>2241</v>
      </c>
    </row>
    <row r="616" spans="1:21">
      <c r="A616" t="s">
        <v>889</v>
      </c>
      <c r="E616" t="str">
        <f t="shared" si="5"/>
        <v xml:space="preserve"> 2</v>
      </c>
      <c r="K616" t="s">
        <v>1538</v>
      </c>
      <c r="U616" t="s">
        <v>2242</v>
      </c>
    </row>
    <row r="617" spans="1:21">
      <c r="A617" t="s">
        <v>890</v>
      </c>
      <c r="E617" t="str">
        <f t="shared" si="5"/>
        <v xml:space="preserve"> 2</v>
      </c>
      <c r="K617" t="s">
        <v>1539</v>
      </c>
      <c r="U617" t="s">
        <v>2243</v>
      </c>
    </row>
    <row r="618" spans="1:21">
      <c r="A618" t="s">
        <v>891</v>
      </c>
      <c r="E618" t="str">
        <f t="shared" si="5"/>
        <v xml:space="preserve"> 1</v>
      </c>
      <c r="K618" t="s">
        <v>1540</v>
      </c>
      <c r="U618" t="s">
        <v>2244</v>
      </c>
    </row>
    <row r="619" spans="1:21">
      <c r="A619" t="s">
        <v>892</v>
      </c>
      <c r="E619" t="str">
        <f t="shared" si="5"/>
        <v xml:space="preserve"> 1</v>
      </c>
      <c r="K619" t="s">
        <v>1541</v>
      </c>
      <c r="U619" t="s">
        <v>2245</v>
      </c>
    </row>
    <row r="620" spans="1:21">
      <c r="A620" t="s">
        <v>893</v>
      </c>
      <c r="E620" t="str">
        <f t="shared" ref="E620:E683" si="6">MID(A620,35,2)</f>
        <v xml:space="preserve"> 1</v>
      </c>
      <c r="K620" t="s">
        <v>1542</v>
      </c>
      <c r="U620" t="s">
        <v>2246</v>
      </c>
    </row>
    <row r="621" spans="1:21">
      <c r="A621" t="s">
        <v>894</v>
      </c>
      <c r="E621" t="str">
        <f t="shared" si="6"/>
        <v xml:space="preserve"> 1</v>
      </c>
      <c r="K621" t="s">
        <v>1543</v>
      </c>
      <c r="U621" t="s">
        <v>2247</v>
      </c>
    </row>
    <row r="622" spans="1:21">
      <c r="A622" t="s">
        <v>895</v>
      </c>
      <c r="E622" t="str">
        <f t="shared" si="6"/>
        <v xml:space="preserve"> 1</v>
      </c>
      <c r="K622" t="s">
        <v>1544</v>
      </c>
      <c r="U622" t="s">
        <v>2248</v>
      </c>
    </row>
    <row r="623" spans="1:21">
      <c r="A623" t="s">
        <v>896</v>
      </c>
      <c r="E623" t="str">
        <f t="shared" si="6"/>
        <v xml:space="preserve"> 1</v>
      </c>
      <c r="K623" t="s">
        <v>1545</v>
      </c>
      <c r="U623" t="s">
        <v>2249</v>
      </c>
    </row>
    <row r="624" spans="1:21">
      <c r="A624" t="s">
        <v>897</v>
      </c>
      <c r="E624" t="str">
        <f t="shared" si="6"/>
        <v xml:space="preserve"> 1</v>
      </c>
      <c r="K624" t="s">
        <v>1546</v>
      </c>
      <c r="U624" t="s">
        <v>2250</v>
      </c>
    </row>
    <row r="625" spans="1:21">
      <c r="A625" t="s">
        <v>898</v>
      </c>
      <c r="E625" t="str">
        <f t="shared" si="6"/>
        <v xml:space="preserve"> 1</v>
      </c>
      <c r="K625" t="s">
        <v>1547</v>
      </c>
      <c r="U625" t="s">
        <v>2251</v>
      </c>
    </row>
    <row r="626" spans="1:21">
      <c r="A626" t="s">
        <v>899</v>
      </c>
      <c r="E626" t="str">
        <f t="shared" si="6"/>
        <v xml:space="preserve"> 1</v>
      </c>
      <c r="K626" t="s">
        <v>1548</v>
      </c>
      <c r="U626" t="s">
        <v>2252</v>
      </c>
    </row>
    <row r="627" spans="1:21">
      <c r="A627" t="s">
        <v>900</v>
      </c>
      <c r="E627" t="str">
        <f t="shared" si="6"/>
        <v xml:space="preserve"> 1</v>
      </c>
      <c r="K627" t="s">
        <v>1549</v>
      </c>
      <c r="U627" t="s">
        <v>2253</v>
      </c>
    </row>
    <row r="628" spans="1:21">
      <c r="A628" t="s">
        <v>901</v>
      </c>
      <c r="E628" t="str">
        <f t="shared" si="6"/>
        <v xml:space="preserve"> 1</v>
      </c>
      <c r="K628" t="s">
        <v>1550</v>
      </c>
      <c r="U628" t="s">
        <v>2254</v>
      </c>
    </row>
    <row r="629" spans="1:21">
      <c r="A629" t="s">
        <v>902</v>
      </c>
      <c r="E629" t="str">
        <f t="shared" si="6"/>
        <v xml:space="preserve"> 1</v>
      </c>
      <c r="K629" t="s">
        <v>1551</v>
      </c>
      <c r="U629" t="s">
        <v>2255</v>
      </c>
    </row>
    <row r="630" spans="1:21">
      <c r="A630" t="s">
        <v>903</v>
      </c>
      <c r="E630" t="str">
        <f t="shared" si="6"/>
        <v xml:space="preserve"> 1</v>
      </c>
      <c r="K630" t="s">
        <v>1552</v>
      </c>
      <c r="U630" t="s">
        <v>2256</v>
      </c>
    </row>
    <row r="631" spans="1:21">
      <c r="A631" t="s">
        <v>904</v>
      </c>
      <c r="E631" t="str">
        <f t="shared" si="6"/>
        <v xml:space="preserve"> 1</v>
      </c>
      <c r="K631" t="s">
        <v>1553</v>
      </c>
      <c r="U631" t="s">
        <v>2257</v>
      </c>
    </row>
    <row r="632" spans="1:21">
      <c r="A632" t="s">
        <v>905</v>
      </c>
      <c r="E632" t="str">
        <f t="shared" si="6"/>
        <v xml:space="preserve"> 1</v>
      </c>
      <c r="K632" t="s">
        <v>1554</v>
      </c>
      <c r="U632" t="s">
        <v>2258</v>
      </c>
    </row>
    <row r="633" spans="1:21">
      <c r="A633" t="s">
        <v>906</v>
      </c>
      <c r="E633" t="str">
        <f t="shared" si="6"/>
        <v xml:space="preserve"> 1</v>
      </c>
      <c r="K633" t="s">
        <v>1555</v>
      </c>
      <c r="U633" t="s">
        <v>2259</v>
      </c>
    </row>
    <row r="634" spans="1:21">
      <c r="A634" t="s">
        <v>907</v>
      </c>
      <c r="E634" t="str">
        <f t="shared" si="6"/>
        <v xml:space="preserve"> 1</v>
      </c>
      <c r="K634" t="s">
        <v>1556</v>
      </c>
      <c r="U634" t="s">
        <v>2260</v>
      </c>
    </row>
    <row r="635" spans="1:21">
      <c r="A635" t="s">
        <v>908</v>
      </c>
      <c r="E635" t="str">
        <f t="shared" si="6"/>
        <v xml:space="preserve"> 1</v>
      </c>
      <c r="K635" t="s">
        <v>1557</v>
      </c>
      <c r="U635" t="s">
        <v>2261</v>
      </c>
    </row>
    <row r="636" spans="1:21">
      <c r="A636" t="s">
        <v>909</v>
      </c>
      <c r="E636" t="str">
        <f t="shared" si="6"/>
        <v xml:space="preserve"> 1</v>
      </c>
      <c r="K636" t="s">
        <v>1558</v>
      </c>
      <c r="U636" t="s">
        <v>2262</v>
      </c>
    </row>
    <row r="637" spans="1:21">
      <c r="A637" t="s">
        <v>910</v>
      </c>
      <c r="E637" t="str">
        <f t="shared" si="6"/>
        <v xml:space="preserve"> 1</v>
      </c>
      <c r="K637" t="s">
        <v>1559</v>
      </c>
      <c r="U637" t="s">
        <v>2263</v>
      </c>
    </row>
    <row r="638" spans="1:21">
      <c r="A638" t="s">
        <v>911</v>
      </c>
      <c r="E638" t="str">
        <f t="shared" si="6"/>
        <v xml:space="preserve"> 1</v>
      </c>
      <c r="K638" t="s">
        <v>1560</v>
      </c>
      <c r="U638" t="s">
        <v>2264</v>
      </c>
    </row>
    <row r="639" spans="1:21">
      <c r="A639" t="s">
        <v>912</v>
      </c>
      <c r="E639" t="str">
        <f t="shared" si="6"/>
        <v xml:space="preserve"> 2</v>
      </c>
      <c r="K639" t="s">
        <v>1561</v>
      </c>
      <c r="U639" t="s">
        <v>2265</v>
      </c>
    </row>
    <row r="640" spans="1:21">
      <c r="A640" t="s">
        <v>913</v>
      </c>
      <c r="E640" t="str">
        <f t="shared" si="6"/>
        <v xml:space="preserve"> 1</v>
      </c>
      <c r="K640" t="s">
        <v>1562</v>
      </c>
      <c r="U640" t="s">
        <v>2266</v>
      </c>
    </row>
    <row r="641" spans="1:21">
      <c r="A641" t="s">
        <v>914</v>
      </c>
      <c r="E641" t="str">
        <f t="shared" si="6"/>
        <v xml:space="preserve"> 2</v>
      </c>
      <c r="K641" t="s">
        <v>1563</v>
      </c>
      <c r="U641" t="s">
        <v>2265</v>
      </c>
    </row>
    <row r="642" spans="1:21">
      <c r="A642" t="s">
        <v>915</v>
      </c>
      <c r="E642" t="str">
        <f t="shared" si="6"/>
        <v xml:space="preserve"> 1</v>
      </c>
      <c r="K642" t="s">
        <v>1564</v>
      </c>
      <c r="U642" t="s">
        <v>2267</v>
      </c>
    </row>
    <row r="643" spans="1:21">
      <c r="A643" t="s">
        <v>916</v>
      </c>
      <c r="E643" t="str">
        <f t="shared" si="6"/>
        <v xml:space="preserve"> 1</v>
      </c>
      <c r="K643" t="s">
        <v>1565</v>
      </c>
      <c r="U643" t="s">
        <v>2268</v>
      </c>
    </row>
    <row r="644" spans="1:21">
      <c r="A644" t="s">
        <v>917</v>
      </c>
      <c r="E644" t="str">
        <f t="shared" si="6"/>
        <v xml:space="preserve"> 1</v>
      </c>
      <c r="K644" t="s">
        <v>1566</v>
      </c>
      <c r="U644" t="s">
        <v>2269</v>
      </c>
    </row>
    <row r="645" spans="1:21">
      <c r="A645" t="s">
        <v>918</v>
      </c>
      <c r="E645" t="str">
        <f t="shared" si="6"/>
        <v xml:space="preserve"> 2</v>
      </c>
      <c r="K645" t="s">
        <v>1567</v>
      </c>
      <c r="U645" t="s">
        <v>2270</v>
      </c>
    </row>
    <row r="646" spans="1:21">
      <c r="A646" t="s">
        <v>919</v>
      </c>
      <c r="E646" t="str">
        <f t="shared" si="6"/>
        <v xml:space="preserve"> 1</v>
      </c>
      <c r="K646" t="s">
        <v>1568</v>
      </c>
      <c r="U646" t="s">
        <v>2271</v>
      </c>
    </row>
    <row r="647" spans="1:21">
      <c r="A647" t="s">
        <v>920</v>
      </c>
      <c r="E647" t="str">
        <f t="shared" si="6"/>
        <v xml:space="preserve"> 1</v>
      </c>
      <c r="K647" t="s">
        <v>1569</v>
      </c>
      <c r="U647" t="s">
        <v>2272</v>
      </c>
    </row>
    <row r="648" spans="1:21">
      <c r="A648" t="s">
        <v>921</v>
      </c>
      <c r="E648" t="str">
        <f t="shared" si="6"/>
        <v xml:space="preserve"> 2</v>
      </c>
      <c r="K648" t="s">
        <v>1570</v>
      </c>
      <c r="U648" t="s">
        <v>2273</v>
      </c>
    </row>
    <row r="649" spans="1:21">
      <c r="A649" t="s">
        <v>922</v>
      </c>
      <c r="E649" t="str">
        <f t="shared" si="6"/>
        <v xml:space="preserve"> 1</v>
      </c>
      <c r="K649" t="s">
        <v>1571</v>
      </c>
      <c r="U649" t="s">
        <v>2274</v>
      </c>
    </row>
    <row r="650" spans="1:21">
      <c r="A650" t="s">
        <v>923</v>
      </c>
      <c r="E650" t="str">
        <f t="shared" si="6"/>
        <v xml:space="preserve"> 1</v>
      </c>
      <c r="K650" t="s">
        <v>1572</v>
      </c>
      <c r="U650" t="s">
        <v>2275</v>
      </c>
    </row>
    <row r="651" spans="1:21">
      <c r="A651" t="s">
        <v>924</v>
      </c>
      <c r="E651" t="str">
        <f t="shared" si="6"/>
        <v xml:space="preserve"> 2</v>
      </c>
      <c r="K651" t="s">
        <v>1573</v>
      </c>
      <c r="U651" t="s">
        <v>2276</v>
      </c>
    </row>
    <row r="652" spans="1:21">
      <c r="A652" t="s">
        <v>925</v>
      </c>
      <c r="E652" t="str">
        <f t="shared" si="6"/>
        <v xml:space="preserve"> 1</v>
      </c>
      <c r="K652" t="s">
        <v>1574</v>
      </c>
      <c r="U652" t="s">
        <v>2277</v>
      </c>
    </row>
    <row r="653" spans="1:21">
      <c r="A653" t="s">
        <v>926</v>
      </c>
      <c r="E653" t="str">
        <f t="shared" si="6"/>
        <v xml:space="preserve"> 2</v>
      </c>
      <c r="K653" t="s">
        <v>1575</v>
      </c>
      <c r="U653" t="s">
        <v>2278</v>
      </c>
    </row>
    <row r="654" spans="1:21">
      <c r="A654" t="s">
        <v>927</v>
      </c>
      <c r="E654" t="str">
        <f t="shared" si="6"/>
        <v xml:space="preserve"> 2</v>
      </c>
      <c r="K654" t="s">
        <v>1576</v>
      </c>
      <c r="U654" t="s">
        <v>2279</v>
      </c>
    </row>
    <row r="655" spans="1:21">
      <c r="A655" s="200" t="s">
        <v>928</v>
      </c>
      <c r="B655" s="200"/>
      <c r="C655" s="200"/>
      <c r="D655" s="200"/>
      <c r="E655" t="str">
        <f t="shared" si="6"/>
        <v xml:space="preserve"> 4</v>
      </c>
      <c r="K655" s="200" t="s">
        <v>1577</v>
      </c>
      <c r="L655" s="200"/>
      <c r="M655" s="200"/>
      <c r="N655" s="200"/>
      <c r="O655" s="200"/>
      <c r="U655" t="s">
        <v>2280</v>
      </c>
    </row>
    <row r="656" spans="1:21">
      <c r="A656" t="s">
        <v>929</v>
      </c>
      <c r="E656" t="str">
        <f t="shared" si="6"/>
        <v xml:space="preserve"> 1</v>
      </c>
      <c r="K656" t="s">
        <v>1578</v>
      </c>
      <c r="U656" t="s">
        <v>2281</v>
      </c>
    </row>
    <row r="657" spans="1:21">
      <c r="A657" t="s">
        <v>930</v>
      </c>
      <c r="E657" t="str">
        <f t="shared" si="6"/>
        <v xml:space="preserve"> 2</v>
      </c>
      <c r="K657" t="s">
        <v>1579</v>
      </c>
      <c r="U657" t="s">
        <v>2282</v>
      </c>
    </row>
    <row r="658" spans="1:21">
      <c r="A658" t="s">
        <v>931</v>
      </c>
      <c r="E658" t="str">
        <f t="shared" si="6"/>
        <v xml:space="preserve"> 1</v>
      </c>
      <c r="K658" t="s">
        <v>1580</v>
      </c>
      <c r="U658" t="s">
        <v>2283</v>
      </c>
    </row>
    <row r="659" spans="1:21">
      <c r="A659" t="s">
        <v>932</v>
      </c>
      <c r="E659" t="str">
        <f t="shared" si="6"/>
        <v xml:space="preserve"> 2</v>
      </c>
      <c r="K659" t="s">
        <v>1581</v>
      </c>
      <c r="U659" t="s">
        <v>2284</v>
      </c>
    </row>
    <row r="660" spans="1:21">
      <c r="A660" t="s">
        <v>933</v>
      </c>
      <c r="E660" t="str">
        <f t="shared" si="6"/>
        <v xml:space="preserve"> 1</v>
      </c>
      <c r="K660" t="s">
        <v>1582</v>
      </c>
      <c r="U660" t="s">
        <v>2285</v>
      </c>
    </row>
    <row r="661" spans="1:21">
      <c r="A661" t="s">
        <v>934</v>
      </c>
      <c r="E661" t="str">
        <f t="shared" si="6"/>
        <v xml:space="preserve"> 1</v>
      </c>
      <c r="K661" t="s">
        <v>1583</v>
      </c>
      <c r="U661" t="s">
        <v>2286</v>
      </c>
    </row>
    <row r="662" spans="1:21">
      <c r="A662" t="s">
        <v>935</v>
      </c>
      <c r="E662" t="str">
        <f t="shared" si="6"/>
        <v xml:space="preserve"> 1</v>
      </c>
      <c r="K662" t="s">
        <v>1584</v>
      </c>
      <c r="U662" t="s">
        <v>2287</v>
      </c>
    </row>
    <row r="663" spans="1:21">
      <c r="A663" t="s">
        <v>936</v>
      </c>
      <c r="E663" t="str">
        <f t="shared" si="6"/>
        <v xml:space="preserve"> 2</v>
      </c>
      <c r="K663" t="s">
        <v>1585</v>
      </c>
      <c r="U663" t="s">
        <v>2286</v>
      </c>
    </row>
    <row r="664" spans="1:21">
      <c r="A664" t="s">
        <v>937</v>
      </c>
      <c r="E664" t="str">
        <f t="shared" si="6"/>
        <v xml:space="preserve"> 2</v>
      </c>
      <c r="K664" t="s">
        <v>1586</v>
      </c>
      <c r="U664" t="s">
        <v>2288</v>
      </c>
    </row>
    <row r="665" spans="1:21">
      <c r="A665" t="s">
        <v>938</v>
      </c>
      <c r="E665" t="str">
        <f t="shared" si="6"/>
        <v xml:space="preserve"> 2</v>
      </c>
      <c r="K665" t="s">
        <v>1587</v>
      </c>
      <c r="U665" t="s">
        <v>2289</v>
      </c>
    </row>
    <row r="666" spans="1:21">
      <c r="A666" t="s">
        <v>939</v>
      </c>
      <c r="E666" t="str">
        <f t="shared" si="6"/>
        <v xml:space="preserve"> 2</v>
      </c>
      <c r="K666" s="200" t="s">
        <v>1588</v>
      </c>
      <c r="L666" s="200"/>
      <c r="M666" s="200"/>
      <c r="N666" s="200"/>
      <c r="O666" s="200"/>
      <c r="U666" t="s">
        <v>2290</v>
      </c>
    </row>
    <row r="667" spans="1:21">
      <c r="A667" t="s">
        <v>940</v>
      </c>
      <c r="E667" t="str">
        <f t="shared" si="6"/>
        <v xml:space="preserve"> 3</v>
      </c>
      <c r="K667" s="200" t="s">
        <v>1589</v>
      </c>
      <c r="L667" s="200"/>
      <c r="M667" s="200"/>
      <c r="N667" s="200"/>
      <c r="O667" s="200"/>
      <c r="U667" t="s">
        <v>2291</v>
      </c>
    </row>
    <row r="668" spans="1:21">
      <c r="A668" t="s">
        <v>941</v>
      </c>
      <c r="E668" t="str">
        <f t="shared" si="6"/>
        <v xml:space="preserve"> 3</v>
      </c>
      <c r="K668" s="200" t="s">
        <v>1590</v>
      </c>
      <c r="L668" s="200"/>
      <c r="M668" s="200"/>
      <c r="N668" s="200"/>
      <c r="O668" s="200"/>
      <c r="U668" t="s">
        <v>2292</v>
      </c>
    </row>
    <row r="669" spans="1:21">
      <c r="A669" t="s">
        <v>942</v>
      </c>
      <c r="E669" t="str">
        <f t="shared" si="6"/>
        <v xml:space="preserve"> 2</v>
      </c>
      <c r="K669" t="s">
        <v>1591</v>
      </c>
      <c r="U669" t="s">
        <v>2293</v>
      </c>
    </row>
    <row r="670" spans="1:21">
      <c r="A670" t="s">
        <v>943</v>
      </c>
      <c r="E670" t="str">
        <f t="shared" si="6"/>
        <v xml:space="preserve"> 2</v>
      </c>
      <c r="K670" t="s">
        <v>1592</v>
      </c>
      <c r="U670" t="s">
        <v>2294</v>
      </c>
    </row>
    <row r="671" spans="1:21">
      <c r="A671" t="s">
        <v>944</v>
      </c>
      <c r="E671" t="str">
        <f t="shared" si="6"/>
        <v xml:space="preserve"> 2</v>
      </c>
      <c r="K671" t="s">
        <v>1593</v>
      </c>
      <c r="U671" t="s">
        <v>2295</v>
      </c>
    </row>
    <row r="672" spans="1:21">
      <c r="A672" t="s">
        <v>945</v>
      </c>
      <c r="E672" t="str">
        <f t="shared" si="6"/>
        <v xml:space="preserve"> 2</v>
      </c>
      <c r="K672" t="s">
        <v>1594</v>
      </c>
      <c r="U672" t="s">
        <v>2296</v>
      </c>
    </row>
    <row r="673" spans="1:21">
      <c r="A673" t="s">
        <v>946</v>
      </c>
      <c r="E673" t="str">
        <f t="shared" si="6"/>
        <v xml:space="preserve"> 2</v>
      </c>
      <c r="K673" t="s">
        <v>1595</v>
      </c>
      <c r="U673" t="s">
        <v>2297</v>
      </c>
    </row>
    <row r="674" spans="1:21">
      <c r="A674" t="s">
        <v>947</v>
      </c>
      <c r="E674" t="str">
        <f t="shared" si="6"/>
        <v xml:space="preserve"> 2</v>
      </c>
      <c r="K674" t="s">
        <v>1596</v>
      </c>
      <c r="U674" t="s">
        <v>2298</v>
      </c>
    </row>
    <row r="675" spans="1:21">
      <c r="A675" t="s">
        <v>948</v>
      </c>
      <c r="E675" t="str">
        <f t="shared" si="6"/>
        <v xml:space="preserve"> 2</v>
      </c>
      <c r="K675" t="s">
        <v>1597</v>
      </c>
      <c r="U675" t="s">
        <v>2299</v>
      </c>
    </row>
    <row r="676" spans="1:21">
      <c r="A676" t="s">
        <v>949</v>
      </c>
      <c r="E676" t="str">
        <f t="shared" si="6"/>
        <v xml:space="preserve"> 2</v>
      </c>
      <c r="K676" t="s">
        <v>1598</v>
      </c>
      <c r="U676" t="s">
        <v>2300</v>
      </c>
    </row>
    <row r="677" spans="1:21">
      <c r="A677" t="s">
        <v>950</v>
      </c>
      <c r="E677" t="str">
        <f t="shared" si="6"/>
        <v xml:space="preserve"> 2</v>
      </c>
      <c r="K677" t="s">
        <v>1599</v>
      </c>
      <c r="U677" t="s">
        <v>2301</v>
      </c>
    </row>
    <row r="678" spans="1:21">
      <c r="A678" t="s">
        <v>951</v>
      </c>
      <c r="E678" t="str">
        <f t="shared" si="6"/>
        <v xml:space="preserve"> 2</v>
      </c>
      <c r="K678" t="s">
        <v>1600</v>
      </c>
      <c r="U678" t="s">
        <v>2302</v>
      </c>
    </row>
    <row r="679" spans="1:21">
      <c r="A679" t="s">
        <v>952</v>
      </c>
      <c r="E679" t="str">
        <f t="shared" si="6"/>
        <v xml:space="preserve"> 3</v>
      </c>
      <c r="K679" t="s">
        <v>1601</v>
      </c>
      <c r="U679" t="s">
        <v>2303</v>
      </c>
    </row>
    <row r="680" spans="1:21">
      <c r="A680" t="s">
        <v>953</v>
      </c>
      <c r="E680" t="str">
        <f t="shared" si="6"/>
        <v xml:space="preserve"> 3</v>
      </c>
      <c r="K680" s="200" t="s">
        <v>1602</v>
      </c>
      <c r="L680" s="200"/>
      <c r="M680" s="200"/>
      <c r="N680" s="200"/>
      <c r="O680" s="200"/>
      <c r="U680" t="s">
        <v>2304</v>
      </c>
    </row>
    <row r="681" spans="1:21">
      <c r="A681" t="s">
        <v>954</v>
      </c>
      <c r="E681" t="str">
        <f t="shared" si="6"/>
        <v xml:space="preserve"> 3</v>
      </c>
      <c r="K681" s="200" t="s">
        <v>1603</v>
      </c>
      <c r="L681" s="200"/>
      <c r="M681" s="200"/>
      <c r="N681" s="200"/>
      <c r="O681" s="200"/>
      <c r="U681" t="s">
        <v>2305</v>
      </c>
    </row>
    <row r="682" spans="1:21">
      <c r="A682" t="s">
        <v>955</v>
      </c>
      <c r="E682" t="str">
        <f t="shared" si="6"/>
        <v xml:space="preserve"> 3</v>
      </c>
      <c r="K682" s="200" t="s">
        <v>1604</v>
      </c>
      <c r="L682" s="200"/>
      <c r="M682" s="200"/>
      <c r="N682" s="200"/>
      <c r="O682" s="200"/>
      <c r="U682" t="s">
        <v>2306</v>
      </c>
    </row>
    <row r="683" spans="1:21">
      <c r="A683" t="s">
        <v>956</v>
      </c>
      <c r="E683" t="str">
        <f t="shared" si="6"/>
        <v xml:space="preserve"> 3</v>
      </c>
      <c r="K683" s="200" t="s">
        <v>1605</v>
      </c>
      <c r="L683" s="200"/>
      <c r="M683" s="200"/>
      <c r="N683" s="200"/>
      <c r="O683" s="200"/>
      <c r="U683" t="s">
        <v>2307</v>
      </c>
    </row>
    <row r="684" spans="1:21">
      <c r="A684" t="s">
        <v>957</v>
      </c>
      <c r="E684" t="str">
        <f t="shared" ref="E684:E747" si="7">MID(A684,35,2)</f>
        <v xml:space="preserve"> 3</v>
      </c>
      <c r="K684" s="200" t="s">
        <v>1606</v>
      </c>
      <c r="L684" s="200"/>
      <c r="M684" s="200"/>
      <c r="N684" s="200"/>
      <c r="O684" s="200"/>
      <c r="U684" t="s">
        <v>2308</v>
      </c>
    </row>
    <row r="685" spans="1:21">
      <c r="A685" t="s">
        <v>958</v>
      </c>
      <c r="E685" t="str">
        <f t="shared" si="7"/>
        <v xml:space="preserve"> 3</v>
      </c>
      <c r="K685" s="200" t="s">
        <v>1607</v>
      </c>
      <c r="L685" s="200"/>
      <c r="M685" s="200"/>
      <c r="N685" s="200"/>
      <c r="O685" s="200"/>
      <c r="U685" t="s">
        <v>2307</v>
      </c>
    </row>
    <row r="686" spans="1:21">
      <c r="A686" t="s">
        <v>959</v>
      </c>
      <c r="E686" t="str">
        <f t="shared" si="7"/>
        <v xml:space="preserve"> 3</v>
      </c>
      <c r="K686" s="200" t="s">
        <v>1608</v>
      </c>
      <c r="L686" s="200"/>
      <c r="M686" s="200"/>
      <c r="N686" s="200"/>
      <c r="O686" s="200"/>
      <c r="U686" t="s">
        <v>2309</v>
      </c>
    </row>
    <row r="687" spans="1:21">
      <c r="A687" t="s">
        <v>960</v>
      </c>
      <c r="E687" t="str">
        <f t="shared" si="7"/>
        <v xml:space="preserve"> 2</v>
      </c>
      <c r="K687" t="s">
        <v>1609</v>
      </c>
      <c r="U687" t="s">
        <v>2310</v>
      </c>
    </row>
    <row r="688" spans="1:21">
      <c r="A688" t="s">
        <v>961</v>
      </c>
      <c r="E688" t="str">
        <f t="shared" si="7"/>
        <v xml:space="preserve"> 2</v>
      </c>
      <c r="K688" t="s">
        <v>1610</v>
      </c>
      <c r="U688" t="s">
        <v>2311</v>
      </c>
    </row>
    <row r="689" spans="1:21">
      <c r="A689" t="s">
        <v>962</v>
      </c>
      <c r="E689" t="str">
        <f t="shared" si="7"/>
        <v xml:space="preserve"> 2</v>
      </c>
      <c r="K689" t="s">
        <v>1611</v>
      </c>
      <c r="U689" t="s">
        <v>2312</v>
      </c>
    </row>
    <row r="690" spans="1:21">
      <c r="A690" t="s">
        <v>963</v>
      </c>
      <c r="E690" t="str">
        <f t="shared" si="7"/>
        <v xml:space="preserve"> 1</v>
      </c>
      <c r="K690" t="s">
        <v>1612</v>
      </c>
      <c r="U690" t="s">
        <v>2313</v>
      </c>
    </row>
    <row r="691" spans="1:21">
      <c r="A691" t="s">
        <v>964</v>
      </c>
      <c r="E691" t="str">
        <f t="shared" si="7"/>
        <v xml:space="preserve"> 2</v>
      </c>
      <c r="K691" t="s">
        <v>1613</v>
      </c>
      <c r="U691" t="s">
        <v>2314</v>
      </c>
    </row>
    <row r="692" spans="1:21">
      <c r="A692" t="s">
        <v>965</v>
      </c>
      <c r="E692" t="str">
        <f t="shared" si="7"/>
        <v xml:space="preserve"> 1</v>
      </c>
      <c r="K692" t="s">
        <v>1614</v>
      </c>
      <c r="U692" t="s">
        <v>2315</v>
      </c>
    </row>
    <row r="693" spans="1:21">
      <c r="A693" t="s">
        <v>966</v>
      </c>
      <c r="E693" t="str">
        <f t="shared" si="7"/>
        <v xml:space="preserve"> 2</v>
      </c>
      <c r="K693" t="s">
        <v>1615</v>
      </c>
      <c r="U693" t="s">
        <v>2316</v>
      </c>
    </row>
    <row r="694" spans="1:21">
      <c r="A694" t="s">
        <v>967</v>
      </c>
      <c r="E694" t="str">
        <f t="shared" si="7"/>
        <v xml:space="preserve"> 2</v>
      </c>
      <c r="K694" t="s">
        <v>1616</v>
      </c>
      <c r="U694" t="s">
        <v>2317</v>
      </c>
    </row>
    <row r="695" spans="1:21">
      <c r="A695" t="s">
        <v>968</v>
      </c>
      <c r="E695" t="str">
        <f t="shared" si="7"/>
        <v xml:space="preserve"> 2</v>
      </c>
      <c r="K695" t="s">
        <v>1617</v>
      </c>
      <c r="U695" t="s">
        <v>2318</v>
      </c>
    </row>
    <row r="696" spans="1:21">
      <c r="A696" t="s">
        <v>969</v>
      </c>
      <c r="E696" t="str">
        <f t="shared" si="7"/>
        <v xml:space="preserve"> 3</v>
      </c>
      <c r="K696" t="s">
        <v>1618</v>
      </c>
      <c r="U696" t="s">
        <v>2319</v>
      </c>
    </row>
    <row r="697" spans="1:21">
      <c r="A697" t="s">
        <v>970</v>
      </c>
      <c r="E697" t="str">
        <f t="shared" si="7"/>
        <v xml:space="preserve"> 3</v>
      </c>
      <c r="K697" s="200" t="s">
        <v>1619</v>
      </c>
      <c r="L697" s="200"/>
      <c r="M697" s="200"/>
      <c r="N697" s="200"/>
      <c r="O697" s="200"/>
      <c r="U697" t="s">
        <v>2320</v>
      </c>
    </row>
    <row r="698" spans="1:21">
      <c r="A698" t="s">
        <v>971</v>
      </c>
      <c r="E698" t="str">
        <f t="shared" si="7"/>
        <v xml:space="preserve"> 2</v>
      </c>
      <c r="K698" t="s">
        <v>1620</v>
      </c>
      <c r="U698" t="s">
        <v>2321</v>
      </c>
    </row>
    <row r="699" spans="1:21">
      <c r="A699" t="s">
        <v>972</v>
      </c>
      <c r="E699" t="str">
        <f t="shared" si="7"/>
        <v xml:space="preserve"> 2</v>
      </c>
      <c r="K699" t="s">
        <v>1621</v>
      </c>
      <c r="U699" t="s">
        <v>2322</v>
      </c>
    </row>
    <row r="700" spans="1:21">
      <c r="A700" t="s">
        <v>973</v>
      </c>
      <c r="E700" t="str">
        <f t="shared" si="7"/>
        <v xml:space="preserve"> 1</v>
      </c>
      <c r="K700" t="s">
        <v>1622</v>
      </c>
      <c r="U700" t="s">
        <v>2323</v>
      </c>
    </row>
    <row r="701" spans="1:21">
      <c r="A701" t="s">
        <v>974</v>
      </c>
      <c r="E701" t="str">
        <f t="shared" si="7"/>
        <v xml:space="preserve"> 1</v>
      </c>
      <c r="K701" t="s">
        <v>1623</v>
      </c>
      <c r="U701" t="s">
        <v>2324</v>
      </c>
    </row>
    <row r="702" spans="1:21">
      <c r="A702" t="s">
        <v>975</v>
      </c>
      <c r="E702" t="str">
        <f t="shared" si="7"/>
        <v xml:space="preserve"> 2</v>
      </c>
      <c r="K702" t="s">
        <v>1624</v>
      </c>
      <c r="U702" t="s">
        <v>2325</v>
      </c>
    </row>
    <row r="703" spans="1:21">
      <c r="A703" t="s">
        <v>976</v>
      </c>
      <c r="E703" t="str">
        <f t="shared" si="7"/>
        <v xml:space="preserve"> 1</v>
      </c>
      <c r="K703" t="s">
        <v>1625</v>
      </c>
      <c r="U703" t="s">
        <v>2326</v>
      </c>
    </row>
    <row r="704" spans="1:21">
      <c r="A704" t="s">
        <v>977</v>
      </c>
      <c r="E704" t="str">
        <f t="shared" si="7"/>
        <v xml:space="preserve"> 2</v>
      </c>
      <c r="K704" t="s">
        <v>1626</v>
      </c>
      <c r="U704" t="s">
        <v>2327</v>
      </c>
    </row>
    <row r="705" spans="1:21">
      <c r="A705" t="s">
        <v>978</v>
      </c>
      <c r="E705" t="str">
        <f t="shared" si="7"/>
        <v xml:space="preserve"> 1</v>
      </c>
      <c r="K705" t="s">
        <v>1627</v>
      </c>
      <c r="U705" t="s">
        <v>2328</v>
      </c>
    </row>
    <row r="706" spans="1:21">
      <c r="A706" t="s">
        <v>979</v>
      </c>
      <c r="E706" t="str">
        <f t="shared" si="7"/>
        <v xml:space="preserve"> 1</v>
      </c>
      <c r="K706" t="s">
        <v>1628</v>
      </c>
      <c r="U706" t="s">
        <v>2329</v>
      </c>
    </row>
    <row r="707" spans="1:21">
      <c r="A707" t="s">
        <v>980</v>
      </c>
      <c r="E707" t="str">
        <f t="shared" si="7"/>
        <v xml:space="preserve"> 1</v>
      </c>
      <c r="K707" t="s">
        <v>1629</v>
      </c>
      <c r="U707" t="s">
        <v>2330</v>
      </c>
    </row>
    <row r="708" spans="1:21">
      <c r="A708" t="s">
        <v>981</v>
      </c>
      <c r="E708" t="str">
        <f t="shared" si="7"/>
        <v xml:space="preserve"> 1</v>
      </c>
      <c r="K708" t="s">
        <v>1630</v>
      </c>
      <c r="U708" t="s">
        <v>2331</v>
      </c>
    </row>
    <row r="709" spans="1:21">
      <c r="A709" t="s">
        <v>982</v>
      </c>
      <c r="E709" t="str">
        <f t="shared" si="7"/>
        <v xml:space="preserve"> 2</v>
      </c>
      <c r="K709" t="s">
        <v>1631</v>
      </c>
      <c r="U709" t="s">
        <v>2332</v>
      </c>
    </row>
    <row r="710" spans="1:21">
      <c r="A710" t="s">
        <v>983</v>
      </c>
      <c r="E710" t="str">
        <f t="shared" si="7"/>
        <v xml:space="preserve"> 1</v>
      </c>
      <c r="K710" t="s">
        <v>1632</v>
      </c>
      <c r="U710" t="s">
        <v>2333</v>
      </c>
    </row>
    <row r="711" spans="1:21">
      <c r="A711" t="s">
        <v>984</v>
      </c>
      <c r="E711" t="str">
        <f t="shared" si="7"/>
        <v xml:space="preserve"> 2</v>
      </c>
      <c r="K711" t="s">
        <v>1633</v>
      </c>
      <c r="U711" t="s">
        <v>2334</v>
      </c>
    </row>
    <row r="712" spans="1:21">
      <c r="A712" t="s">
        <v>985</v>
      </c>
      <c r="E712" t="str">
        <f t="shared" si="7"/>
        <v xml:space="preserve"> 1</v>
      </c>
      <c r="K712" t="s">
        <v>1634</v>
      </c>
      <c r="U712" t="s">
        <v>2335</v>
      </c>
    </row>
    <row r="713" spans="1:21">
      <c r="A713" t="s">
        <v>986</v>
      </c>
      <c r="E713" t="str">
        <f t="shared" si="7"/>
        <v xml:space="preserve"> 2</v>
      </c>
      <c r="K713" t="s">
        <v>1635</v>
      </c>
      <c r="U713" t="s">
        <v>2336</v>
      </c>
    </row>
    <row r="714" spans="1:21">
      <c r="A714" t="s">
        <v>987</v>
      </c>
      <c r="E714" t="str">
        <f t="shared" si="7"/>
        <v xml:space="preserve"> 2</v>
      </c>
      <c r="K714" t="s">
        <v>1636</v>
      </c>
      <c r="U714" t="s">
        <v>2337</v>
      </c>
    </row>
    <row r="715" spans="1:21">
      <c r="A715" t="s">
        <v>988</v>
      </c>
      <c r="E715" t="str">
        <f t="shared" si="7"/>
        <v xml:space="preserve"> 2</v>
      </c>
      <c r="K715" t="s">
        <v>1637</v>
      </c>
      <c r="U715" t="s">
        <v>2338</v>
      </c>
    </row>
    <row r="716" spans="1:21">
      <c r="A716" t="s">
        <v>989</v>
      </c>
      <c r="E716" t="str">
        <f t="shared" si="7"/>
        <v xml:space="preserve"> 1</v>
      </c>
      <c r="K716" t="s">
        <v>1638</v>
      </c>
      <c r="U716" t="s">
        <v>2339</v>
      </c>
    </row>
    <row r="717" spans="1:21">
      <c r="A717" t="s">
        <v>990</v>
      </c>
      <c r="E717" t="str">
        <f t="shared" si="7"/>
        <v xml:space="preserve"> 3</v>
      </c>
      <c r="K717" t="s">
        <v>1639</v>
      </c>
      <c r="U717" t="s">
        <v>2340</v>
      </c>
    </row>
    <row r="718" spans="1:21">
      <c r="A718" t="s">
        <v>991</v>
      </c>
      <c r="E718" t="str">
        <f t="shared" si="7"/>
        <v xml:space="preserve"> 2</v>
      </c>
      <c r="K718" t="s">
        <v>1640</v>
      </c>
      <c r="U718" t="s">
        <v>2341</v>
      </c>
    </row>
    <row r="719" spans="1:21">
      <c r="A719" t="s">
        <v>992</v>
      </c>
      <c r="E719" t="str">
        <f t="shared" si="7"/>
        <v xml:space="preserve"> 2</v>
      </c>
      <c r="K719" t="s">
        <v>1641</v>
      </c>
      <c r="U719" t="s">
        <v>2342</v>
      </c>
    </row>
    <row r="720" spans="1:21">
      <c r="A720" t="s">
        <v>993</v>
      </c>
      <c r="E720" t="str">
        <f t="shared" si="7"/>
        <v xml:space="preserve"> 2</v>
      </c>
      <c r="K720" t="s">
        <v>1642</v>
      </c>
      <c r="U720" t="s">
        <v>2343</v>
      </c>
    </row>
    <row r="721" spans="1:21">
      <c r="A721" t="s">
        <v>994</v>
      </c>
      <c r="E721" t="str">
        <f t="shared" si="7"/>
        <v xml:space="preserve"> 2</v>
      </c>
      <c r="K721" t="s">
        <v>1643</v>
      </c>
      <c r="U721" t="s">
        <v>2344</v>
      </c>
    </row>
    <row r="722" spans="1:21">
      <c r="A722" t="s">
        <v>995</v>
      </c>
      <c r="E722" t="str">
        <f t="shared" si="7"/>
        <v xml:space="preserve"> 3</v>
      </c>
      <c r="K722" s="200" t="s">
        <v>1644</v>
      </c>
      <c r="L722" s="200"/>
      <c r="M722" s="200"/>
      <c r="N722" s="200"/>
      <c r="O722" s="200"/>
      <c r="U722" t="s">
        <v>2345</v>
      </c>
    </row>
    <row r="723" spans="1:21">
      <c r="A723" t="s">
        <v>996</v>
      </c>
      <c r="E723" t="str">
        <f t="shared" si="7"/>
        <v xml:space="preserve"> 2</v>
      </c>
      <c r="K723" s="200" t="s">
        <v>1645</v>
      </c>
      <c r="L723" s="200"/>
      <c r="M723" s="200"/>
      <c r="N723" s="200"/>
      <c r="O723" s="200"/>
      <c r="U723" t="s">
        <v>2346</v>
      </c>
    </row>
    <row r="724" spans="1:21">
      <c r="A724" t="s">
        <v>997</v>
      </c>
      <c r="E724" t="str">
        <f t="shared" si="7"/>
        <v xml:space="preserve"> 3</v>
      </c>
      <c r="K724" s="200" t="s">
        <v>1646</v>
      </c>
      <c r="L724" s="200"/>
      <c r="M724" s="200"/>
      <c r="N724" s="200"/>
      <c r="O724" s="200"/>
      <c r="U724" t="s">
        <v>2347</v>
      </c>
    </row>
    <row r="725" spans="1:21">
      <c r="A725" t="s">
        <v>998</v>
      </c>
      <c r="E725" t="str">
        <f t="shared" si="7"/>
        <v xml:space="preserve"> 2</v>
      </c>
      <c r="K725" s="200" t="s">
        <v>1647</v>
      </c>
      <c r="L725" s="200"/>
      <c r="M725" s="200"/>
      <c r="N725" s="200"/>
      <c r="O725" s="200"/>
      <c r="U725" t="s">
        <v>2348</v>
      </c>
    </row>
    <row r="726" spans="1:21">
      <c r="A726" t="s">
        <v>999</v>
      </c>
      <c r="E726" t="str">
        <f t="shared" si="7"/>
        <v xml:space="preserve"> 3</v>
      </c>
      <c r="K726" s="200" t="s">
        <v>1648</v>
      </c>
      <c r="L726" s="200"/>
      <c r="M726" s="200"/>
      <c r="N726" s="200"/>
      <c r="O726" s="200"/>
      <c r="U726" t="s">
        <v>2349</v>
      </c>
    </row>
    <row r="727" spans="1:21">
      <c r="A727" t="s">
        <v>1000</v>
      </c>
      <c r="E727" t="str">
        <f t="shared" si="7"/>
        <v xml:space="preserve"> 2</v>
      </c>
      <c r="K727" t="s">
        <v>1649</v>
      </c>
      <c r="U727" t="s">
        <v>2350</v>
      </c>
    </row>
    <row r="728" spans="1:21">
      <c r="A728" t="s">
        <v>1001</v>
      </c>
      <c r="E728" t="str">
        <f t="shared" si="7"/>
        <v xml:space="preserve"> 3</v>
      </c>
      <c r="K728" t="s">
        <v>1650</v>
      </c>
      <c r="U728" t="s">
        <v>2351</v>
      </c>
    </row>
    <row r="729" spans="1:21">
      <c r="A729" t="s">
        <v>1002</v>
      </c>
      <c r="E729" t="str">
        <f t="shared" si="7"/>
        <v xml:space="preserve"> 2</v>
      </c>
      <c r="K729" t="s">
        <v>1651</v>
      </c>
      <c r="U729" t="s">
        <v>2352</v>
      </c>
    </row>
    <row r="730" spans="1:21">
      <c r="A730" t="s">
        <v>1003</v>
      </c>
      <c r="E730" t="str">
        <f t="shared" si="7"/>
        <v xml:space="preserve"> 2</v>
      </c>
      <c r="K730" t="s">
        <v>1652</v>
      </c>
      <c r="U730" t="s">
        <v>2353</v>
      </c>
    </row>
    <row r="731" spans="1:21">
      <c r="A731" t="s">
        <v>1004</v>
      </c>
      <c r="E731" t="str">
        <f t="shared" si="7"/>
        <v xml:space="preserve"> 2</v>
      </c>
      <c r="K731" t="s">
        <v>1653</v>
      </c>
      <c r="U731" t="s">
        <v>2354</v>
      </c>
    </row>
    <row r="732" spans="1:21">
      <c r="A732" t="s">
        <v>1005</v>
      </c>
      <c r="E732" t="str">
        <f t="shared" si="7"/>
        <v xml:space="preserve"> 2</v>
      </c>
      <c r="K732" t="s">
        <v>1654</v>
      </c>
      <c r="U732" t="s">
        <v>2355</v>
      </c>
    </row>
    <row r="733" spans="1:21">
      <c r="A733" t="s">
        <v>1006</v>
      </c>
      <c r="E733" t="str">
        <f t="shared" si="7"/>
        <v xml:space="preserve"> 2</v>
      </c>
      <c r="K733" t="s">
        <v>1655</v>
      </c>
      <c r="U733" t="s">
        <v>2356</v>
      </c>
    </row>
    <row r="734" spans="1:21">
      <c r="A734" t="s">
        <v>1007</v>
      </c>
      <c r="E734" t="str">
        <f t="shared" si="7"/>
        <v xml:space="preserve"> 2</v>
      </c>
      <c r="K734" t="s">
        <v>1656</v>
      </c>
      <c r="U734" t="s">
        <v>2357</v>
      </c>
    </row>
    <row r="735" spans="1:21">
      <c r="A735" t="s">
        <v>1008</v>
      </c>
      <c r="E735" t="str">
        <f t="shared" si="7"/>
        <v xml:space="preserve"> 2</v>
      </c>
      <c r="K735" t="s">
        <v>1657</v>
      </c>
      <c r="U735" t="s">
        <v>2358</v>
      </c>
    </row>
    <row r="736" spans="1:21">
      <c r="A736" t="s">
        <v>1009</v>
      </c>
      <c r="E736" t="str">
        <f t="shared" si="7"/>
        <v xml:space="preserve"> 2</v>
      </c>
      <c r="K736" t="s">
        <v>1658</v>
      </c>
      <c r="U736" t="s">
        <v>2359</v>
      </c>
    </row>
    <row r="737" spans="1:21">
      <c r="A737" t="s">
        <v>1010</v>
      </c>
      <c r="E737" t="str">
        <f t="shared" si="7"/>
        <v xml:space="preserve"> 2</v>
      </c>
      <c r="K737" t="s">
        <v>1659</v>
      </c>
      <c r="U737" t="s">
        <v>2360</v>
      </c>
    </row>
    <row r="738" spans="1:21">
      <c r="A738" t="s">
        <v>1011</v>
      </c>
      <c r="E738" t="str">
        <f t="shared" si="7"/>
        <v xml:space="preserve"> 1</v>
      </c>
      <c r="K738" t="s">
        <v>1660</v>
      </c>
      <c r="U738" t="s">
        <v>2361</v>
      </c>
    </row>
    <row r="739" spans="1:21">
      <c r="A739" t="s">
        <v>1012</v>
      </c>
      <c r="E739" t="str">
        <f t="shared" si="7"/>
        <v xml:space="preserve"> 1</v>
      </c>
      <c r="K739" t="s">
        <v>1661</v>
      </c>
      <c r="U739" t="s">
        <v>2362</v>
      </c>
    </row>
    <row r="740" spans="1:21">
      <c r="A740" t="s">
        <v>1013</v>
      </c>
      <c r="E740" t="str">
        <f t="shared" si="7"/>
        <v xml:space="preserve"> 1</v>
      </c>
      <c r="K740" t="s">
        <v>1662</v>
      </c>
      <c r="U740" t="s">
        <v>2363</v>
      </c>
    </row>
    <row r="741" spans="1:21">
      <c r="A741" t="s">
        <v>1014</v>
      </c>
      <c r="E741" t="str">
        <f t="shared" si="7"/>
        <v xml:space="preserve"> 1</v>
      </c>
      <c r="K741" t="s">
        <v>1663</v>
      </c>
      <c r="U741" t="s">
        <v>2364</v>
      </c>
    </row>
    <row r="742" spans="1:21">
      <c r="A742" t="s">
        <v>1015</v>
      </c>
      <c r="E742" t="str">
        <f t="shared" si="7"/>
        <v xml:space="preserve"> 1</v>
      </c>
      <c r="K742" t="s">
        <v>1664</v>
      </c>
      <c r="U742" t="s">
        <v>2365</v>
      </c>
    </row>
    <row r="743" spans="1:21">
      <c r="A743" t="s">
        <v>1016</v>
      </c>
      <c r="E743" t="str">
        <f t="shared" si="7"/>
        <v xml:space="preserve"> 2</v>
      </c>
      <c r="K743" t="s">
        <v>1665</v>
      </c>
      <c r="U743" t="s">
        <v>2366</v>
      </c>
    </row>
    <row r="744" spans="1:21">
      <c r="A744" t="s">
        <v>1017</v>
      </c>
      <c r="E744" t="str">
        <f t="shared" si="7"/>
        <v xml:space="preserve"> 1</v>
      </c>
      <c r="K744" t="s">
        <v>1666</v>
      </c>
      <c r="U744" t="s">
        <v>2367</v>
      </c>
    </row>
    <row r="745" spans="1:21">
      <c r="A745" t="s">
        <v>1018</v>
      </c>
      <c r="E745" t="str">
        <f t="shared" si="7"/>
        <v xml:space="preserve"> 2</v>
      </c>
      <c r="K745" t="s">
        <v>1667</v>
      </c>
      <c r="U745" t="s">
        <v>2368</v>
      </c>
    </row>
    <row r="746" spans="1:21">
      <c r="A746" t="s">
        <v>1019</v>
      </c>
      <c r="E746" t="str">
        <f t="shared" si="7"/>
        <v xml:space="preserve"> 1</v>
      </c>
      <c r="K746" t="s">
        <v>1668</v>
      </c>
      <c r="U746" t="s">
        <v>2369</v>
      </c>
    </row>
    <row r="747" spans="1:21">
      <c r="A747" t="s">
        <v>1020</v>
      </c>
      <c r="E747" t="str">
        <f t="shared" si="7"/>
        <v xml:space="preserve"> 1</v>
      </c>
      <c r="K747" t="s">
        <v>1669</v>
      </c>
      <c r="U747" t="s">
        <v>2370</v>
      </c>
    </row>
    <row r="748" spans="1:21">
      <c r="A748" t="s">
        <v>1021</v>
      </c>
      <c r="E748" t="str">
        <f t="shared" ref="E748:E761" si="8">MID(A748,35,2)</f>
        <v xml:space="preserve"> 1</v>
      </c>
      <c r="K748" t="s">
        <v>1670</v>
      </c>
      <c r="U748" t="s">
        <v>2371</v>
      </c>
    </row>
    <row r="749" spans="1:21">
      <c r="A749" t="s">
        <v>1022</v>
      </c>
      <c r="E749" t="str">
        <f t="shared" si="8"/>
        <v xml:space="preserve"> 1</v>
      </c>
      <c r="K749" t="s">
        <v>1671</v>
      </c>
      <c r="U749" t="s">
        <v>2372</v>
      </c>
    </row>
    <row r="750" spans="1:21">
      <c r="A750" t="s">
        <v>1023</v>
      </c>
      <c r="E750" t="str">
        <f t="shared" si="8"/>
        <v xml:space="preserve"> 1</v>
      </c>
      <c r="K750" t="s">
        <v>1672</v>
      </c>
      <c r="U750" t="s">
        <v>2373</v>
      </c>
    </row>
    <row r="751" spans="1:21">
      <c r="A751" t="s">
        <v>1024</v>
      </c>
      <c r="E751" t="str">
        <f t="shared" si="8"/>
        <v xml:space="preserve"> 1</v>
      </c>
      <c r="K751" t="s">
        <v>1673</v>
      </c>
      <c r="U751" t="s">
        <v>2374</v>
      </c>
    </row>
    <row r="752" spans="1:21">
      <c r="A752" t="s">
        <v>1025</v>
      </c>
      <c r="E752" t="str">
        <f t="shared" si="8"/>
        <v xml:space="preserve"> 1</v>
      </c>
      <c r="K752" t="s">
        <v>1674</v>
      </c>
      <c r="U752" t="s">
        <v>2375</v>
      </c>
    </row>
    <row r="753" spans="1:21">
      <c r="A753" t="s">
        <v>1026</v>
      </c>
      <c r="E753" t="str">
        <f t="shared" si="8"/>
        <v xml:space="preserve"> 2</v>
      </c>
      <c r="K753" t="s">
        <v>1675</v>
      </c>
      <c r="U753" t="s">
        <v>2376</v>
      </c>
    </row>
    <row r="754" spans="1:21">
      <c r="A754" t="s">
        <v>1027</v>
      </c>
      <c r="E754" t="str">
        <f t="shared" si="8"/>
        <v xml:space="preserve"> 1</v>
      </c>
      <c r="K754" t="s">
        <v>1676</v>
      </c>
      <c r="U754" t="s">
        <v>2377</v>
      </c>
    </row>
    <row r="755" spans="1:21">
      <c r="A755" t="s">
        <v>1028</v>
      </c>
      <c r="E755" t="str">
        <f t="shared" si="8"/>
        <v xml:space="preserve"> 1</v>
      </c>
      <c r="K755" t="s">
        <v>1677</v>
      </c>
      <c r="U755" t="s">
        <v>2378</v>
      </c>
    </row>
    <row r="756" spans="1:21">
      <c r="A756" t="s">
        <v>1029</v>
      </c>
      <c r="E756" t="str">
        <f t="shared" si="8"/>
        <v xml:space="preserve"> 1</v>
      </c>
      <c r="K756" t="s">
        <v>1678</v>
      </c>
      <c r="U756" t="s">
        <v>2379</v>
      </c>
    </row>
    <row r="757" spans="1:21">
      <c r="A757" t="s">
        <v>1030</v>
      </c>
      <c r="E757" t="str">
        <f t="shared" si="8"/>
        <v xml:space="preserve"> 1</v>
      </c>
      <c r="K757" t="s">
        <v>1679</v>
      </c>
      <c r="U757" t="s">
        <v>2380</v>
      </c>
    </row>
    <row r="758" spans="1:21">
      <c r="A758" t="s">
        <v>1031</v>
      </c>
      <c r="E758" t="str">
        <f t="shared" si="8"/>
        <v xml:space="preserve"> 1</v>
      </c>
      <c r="K758" t="s">
        <v>1680</v>
      </c>
      <c r="U758" t="s">
        <v>2381</v>
      </c>
    </row>
    <row r="759" spans="1:21">
      <c r="A759" t="s">
        <v>1032</v>
      </c>
      <c r="E759" t="str">
        <f t="shared" si="8"/>
        <v xml:space="preserve"> 1</v>
      </c>
      <c r="K759" t="s">
        <v>1681</v>
      </c>
      <c r="U759" t="s">
        <v>2382</v>
      </c>
    </row>
    <row r="760" spans="1:21">
      <c r="A760" t="s">
        <v>1033</v>
      </c>
      <c r="E760" t="str">
        <f t="shared" si="8"/>
        <v xml:space="preserve"> 1</v>
      </c>
      <c r="K760" t="s">
        <v>1682</v>
      </c>
      <c r="U760" t="s">
        <v>2383</v>
      </c>
    </row>
    <row r="761" spans="1:21">
      <c r="A761" t="s">
        <v>1034</v>
      </c>
      <c r="E761" t="str">
        <f t="shared" si="8"/>
        <v xml:space="preserve"> 1</v>
      </c>
      <c r="K761" t="s">
        <v>1683</v>
      </c>
      <c r="U761" t="s">
        <v>2384</v>
      </c>
    </row>
    <row r="762" spans="1:21">
      <c r="A762" t="s">
        <v>1035</v>
      </c>
      <c r="K762" t="s">
        <v>1684</v>
      </c>
      <c r="U762" t="s">
        <v>2385</v>
      </c>
    </row>
    <row r="763" spans="1:21">
      <c r="A763" t="s">
        <v>1036</v>
      </c>
      <c r="K763" t="s">
        <v>1685</v>
      </c>
      <c r="U763" t="s">
        <v>2386</v>
      </c>
    </row>
    <row r="764" spans="1:21">
      <c r="A764" t="s">
        <v>1037</v>
      </c>
      <c r="K764" t="s">
        <v>1686</v>
      </c>
      <c r="U764" t="s">
        <v>2387</v>
      </c>
    </row>
    <row r="765" spans="1:21">
      <c r="A765" t="s">
        <v>1038</v>
      </c>
      <c r="K765" t="s">
        <v>1687</v>
      </c>
      <c r="U765" t="s">
        <v>2388</v>
      </c>
    </row>
    <row r="766" spans="1:21">
      <c r="A766" t="s">
        <v>1039</v>
      </c>
      <c r="K766" t="s">
        <v>1688</v>
      </c>
      <c r="U766" t="s">
        <v>2389</v>
      </c>
    </row>
    <row r="767" spans="1:21">
      <c r="A767" t="s">
        <v>1040</v>
      </c>
      <c r="K767" t="s">
        <v>1689</v>
      </c>
      <c r="U767" t="s">
        <v>2390</v>
      </c>
    </row>
    <row r="768" spans="1:21">
      <c r="A768" t="s">
        <v>1041</v>
      </c>
      <c r="K768" t="s">
        <v>1690</v>
      </c>
      <c r="U768" t="s">
        <v>2391</v>
      </c>
    </row>
    <row r="769" spans="1:21">
      <c r="A769" t="s">
        <v>1042</v>
      </c>
      <c r="K769" t="s">
        <v>1691</v>
      </c>
      <c r="U769" t="s">
        <v>2392</v>
      </c>
    </row>
    <row r="770" spans="1:21">
      <c r="A770" t="s">
        <v>1042</v>
      </c>
      <c r="K770" t="s">
        <v>1691</v>
      </c>
      <c r="U770" t="s">
        <v>2393</v>
      </c>
    </row>
    <row r="771" spans="1:21">
      <c r="A771" t="s">
        <v>1043</v>
      </c>
      <c r="K771" t="s">
        <v>1692</v>
      </c>
      <c r="U771" t="s">
        <v>2394</v>
      </c>
    </row>
    <row r="772" spans="1:21">
      <c r="A772" t="s">
        <v>1044</v>
      </c>
      <c r="K772" t="s">
        <v>1693</v>
      </c>
      <c r="U772" t="s">
        <v>2395</v>
      </c>
    </row>
    <row r="773" spans="1:21">
      <c r="A773" t="s">
        <v>1045</v>
      </c>
      <c r="K773" t="s">
        <v>1694</v>
      </c>
      <c r="U773" t="s">
        <v>2396</v>
      </c>
    </row>
    <row r="774" spans="1:21">
      <c r="A774" t="s">
        <v>1046</v>
      </c>
      <c r="B774" t="s">
        <v>362</v>
      </c>
      <c r="K774" t="s">
        <v>1695</v>
      </c>
      <c r="L774" t="s">
        <v>362</v>
      </c>
      <c r="U774" t="s">
        <v>2397</v>
      </c>
    </row>
    <row r="775" spans="1:21">
      <c r="A775" t="s">
        <v>1047</v>
      </c>
      <c r="B775" t="s">
        <v>364</v>
      </c>
      <c r="K775" t="s">
        <v>1696</v>
      </c>
      <c r="L775" t="s">
        <v>364</v>
      </c>
      <c r="U775" t="s">
        <v>2398</v>
      </c>
    </row>
    <row r="776" spans="1:21">
      <c r="A776" t="s">
        <v>1048</v>
      </c>
      <c r="B776" t="s">
        <v>366</v>
      </c>
      <c r="K776" t="s">
        <v>1697</v>
      </c>
      <c r="L776" t="s">
        <v>366</v>
      </c>
      <c r="U776" t="s">
        <v>2399</v>
      </c>
    </row>
    <row r="777" spans="1:21">
      <c r="A777" t="s">
        <v>1049</v>
      </c>
      <c r="B777" t="s">
        <v>368</v>
      </c>
      <c r="K777" t="s">
        <v>1698</v>
      </c>
      <c r="L777" t="s">
        <v>1067</v>
      </c>
      <c r="U777" t="s">
        <v>2400</v>
      </c>
    </row>
    <row r="778" spans="1:21">
      <c r="A778" t="s">
        <v>1050</v>
      </c>
      <c r="K778" t="s">
        <v>1699</v>
      </c>
      <c r="U778" t="s">
        <v>2401</v>
      </c>
    </row>
    <row r="779" spans="1:21">
      <c r="A779" t="s">
        <v>1050</v>
      </c>
      <c r="B779" t="s">
        <v>370</v>
      </c>
      <c r="K779" t="s">
        <v>1700</v>
      </c>
      <c r="L779" t="s">
        <v>370</v>
      </c>
      <c r="U779" t="s">
        <v>2402</v>
      </c>
    </row>
    <row r="780" spans="1:21">
      <c r="A780" t="s">
        <v>1051</v>
      </c>
      <c r="B780" t="s">
        <v>372</v>
      </c>
      <c r="K780" t="s">
        <v>1701</v>
      </c>
      <c r="L780" t="s">
        <v>372</v>
      </c>
      <c r="U780" t="s">
        <v>2403</v>
      </c>
    </row>
    <row r="781" spans="1:21">
      <c r="A781" t="s">
        <v>1052</v>
      </c>
      <c r="B781" t="s">
        <v>370</v>
      </c>
      <c r="K781" t="s">
        <v>1702</v>
      </c>
      <c r="L781" t="s">
        <v>370</v>
      </c>
      <c r="U781" t="s">
        <v>2404</v>
      </c>
    </row>
    <row r="782" spans="1:21">
      <c r="A782" t="s">
        <v>324</v>
      </c>
      <c r="B782" t="s">
        <v>325</v>
      </c>
      <c r="K782" t="s">
        <v>1703</v>
      </c>
      <c r="L782" t="s">
        <v>1704</v>
      </c>
    </row>
    <row r="783" spans="1:21">
      <c r="A783" t="s">
        <v>1053</v>
      </c>
      <c r="K783" t="s">
        <v>1705</v>
      </c>
    </row>
    <row r="784" spans="1:21">
      <c r="A784" t="s">
        <v>1054</v>
      </c>
      <c r="B784" t="s">
        <v>378</v>
      </c>
      <c r="K784" t="s">
        <v>1706</v>
      </c>
      <c r="L784" t="s">
        <v>378</v>
      </c>
    </row>
    <row r="785" spans="1:12">
      <c r="A785" t="s">
        <v>1055</v>
      </c>
      <c r="B785" t="s">
        <v>380</v>
      </c>
      <c r="K785" t="s">
        <v>1707</v>
      </c>
      <c r="L785" t="s">
        <v>380</v>
      </c>
    </row>
    <row r="786" spans="1:12">
      <c r="A786" t="s">
        <v>1056</v>
      </c>
      <c r="B786" t="s">
        <v>382</v>
      </c>
      <c r="K786" t="s">
        <v>1708</v>
      </c>
      <c r="L786" t="s">
        <v>382</v>
      </c>
    </row>
    <row r="787" spans="1:12">
      <c r="A787" t="s">
        <v>1057</v>
      </c>
      <c r="B787" t="s">
        <v>384</v>
      </c>
      <c r="K787" t="s">
        <v>1709</v>
      </c>
      <c r="L787" t="s">
        <v>384</v>
      </c>
    </row>
    <row r="788" spans="1:12">
      <c r="A788" t="s">
        <v>1058</v>
      </c>
      <c r="K788" t="s">
        <v>1710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6577-AE35-4C07-B29F-70236426426E}">
  <dimension ref="A1:K99"/>
  <sheetViews>
    <sheetView topLeftCell="A73" workbookViewId="0">
      <selection activeCell="F100" sqref="F100"/>
    </sheetView>
  </sheetViews>
  <sheetFormatPr defaultColWidth="8.83203125" defaultRowHeight="15.5"/>
  <cols>
    <col min="1" max="1" width="23.1640625" customWidth="1"/>
    <col min="5" max="5" width="10" bestFit="1" customWidth="1"/>
    <col min="6" max="6" width="12.1640625" bestFit="1" customWidth="1"/>
  </cols>
  <sheetData>
    <row r="1" spans="1:11">
      <c r="A1" s="1" t="s">
        <v>2750</v>
      </c>
    </row>
    <row r="2" spans="1:11">
      <c r="A2" s="128" t="s">
        <v>2744</v>
      </c>
      <c r="E2" t="s">
        <v>2743</v>
      </c>
      <c r="K2" t="s">
        <v>2751</v>
      </c>
    </row>
    <row r="3" spans="1:11">
      <c r="A3" s="128" t="s">
        <v>2745</v>
      </c>
      <c r="B3" s="128"/>
      <c r="C3" s="128"/>
      <c r="D3" s="91"/>
      <c r="E3" s="128" t="s">
        <v>2491</v>
      </c>
      <c r="F3" s="155"/>
    </row>
    <row r="4" spans="1:11">
      <c r="A4" s="51" t="s">
        <v>2746</v>
      </c>
      <c r="B4" s="128" t="s">
        <v>2634</v>
      </c>
      <c r="C4" s="128" t="s">
        <v>42</v>
      </c>
      <c r="D4" s="91" t="s">
        <v>139</v>
      </c>
      <c r="E4" s="128" t="s">
        <v>2747</v>
      </c>
      <c r="F4" s="298" t="s">
        <v>2748</v>
      </c>
      <c r="G4" s="128" t="s">
        <v>2749</v>
      </c>
    </row>
    <row r="5" spans="1:11" ht="27" customHeight="1">
      <c r="A5" s="299" t="s">
        <v>2752</v>
      </c>
      <c r="B5" s="299">
        <v>2018</v>
      </c>
      <c r="C5" s="299" t="s">
        <v>188</v>
      </c>
      <c r="D5" s="299">
        <v>1</v>
      </c>
      <c r="E5" s="299">
        <v>3292.7</v>
      </c>
      <c r="F5" s="300">
        <v>43647</v>
      </c>
      <c r="G5" s="183" t="s">
        <v>2753</v>
      </c>
    </row>
    <row r="6" spans="1:11" ht="27" customHeight="1">
      <c r="A6" s="299" t="s">
        <v>2752</v>
      </c>
      <c r="B6" s="299">
        <v>2018</v>
      </c>
      <c r="C6" s="299" t="s">
        <v>188</v>
      </c>
      <c r="D6" s="299">
        <v>2</v>
      </c>
      <c r="E6" s="299">
        <v>2439</v>
      </c>
      <c r="F6" s="300">
        <v>43647</v>
      </c>
      <c r="G6" s="183" t="s">
        <v>2753</v>
      </c>
    </row>
    <row r="7" spans="1:11" ht="27" customHeight="1">
      <c r="A7" s="299" t="s">
        <v>2752</v>
      </c>
      <c r="B7" s="299">
        <v>2018</v>
      </c>
      <c r="C7" s="299" t="s">
        <v>188</v>
      </c>
      <c r="D7" s="299">
        <v>3</v>
      </c>
      <c r="E7" s="299">
        <v>3012.5</v>
      </c>
      <c r="F7" s="300">
        <v>43647</v>
      </c>
      <c r="G7" s="183" t="s">
        <v>2753</v>
      </c>
    </row>
    <row r="8" spans="1:11" ht="27" customHeight="1">
      <c r="A8" s="299" t="s">
        <v>2752</v>
      </c>
      <c r="B8" s="299">
        <v>2018</v>
      </c>
      <c r="C8" s="299" t="s">
        <v>188</v>
      </c>
      <c r="D8" s="299">
        <v>4</v>
      </c>
      <c r="E8" s="299">
        <v>2524.9</v>
      </c>
      <c r="F8" s="300">
        <v>43647</v>
      </c>
      <c r="G8" s="183" t="s">
        <v>2753</v>
      </c>
    </row>
    <row r="9" spans="1:11" ht="27" customHeight="1">
      <c r="A9" s="299" t="s">
        <v>2752</v>
      </c>
      <c r="B9" s="299">
        <v>2018</v>
      </c>
      <c r="C9" s="299" t="s">
        <v>188</v>
      </c>
      <c r="D9" s="299">
        <v>5</v>
      </c>
      <c r="E9" t="s">
        <v>2533</v>
      </c>
      <c r="F9" s="300"/>
      <c r="G9" s="183" t="s">
        <v>2753</v>
      </c>
    </row>
    <row r="10" spans="1:11" ht="27" customHeight="1">
      <c r="A10" s="299" t="s">
        <v>2752</v>
      </c>
      <c r="B10" s="299">
        <v>2018</v>
      </c>
      <c r="C10" s="299" t="s">
        <v>188</v>
      </c>
      <c r="D10" s="299">
        <v>6</v>
      </c>
      <c r="E10" s="299">
        <v>1415.6</v>
      </c>
      <c r="F10" s="300">
        <v>43647</v>
      </c>
      <c r="G10" s="183" t="s">
        <v>2753</v>
      </c>
    </row>
    <row r="11" spans="1:11" ht="27" customHeight="1">
      <c r="A11" s="299" t="s">
        <v>2752</v>
      </c>
      <c r="B11" s="299">
        <v>2018</v>
      </c>
      <c r="C11" s="299" t="s">
        <v>188</v>
      </c>
      <c r="D11" s="299">
        <v>7</v>
      </c>
      <c r="E11" s="299">
        <v>2487.1999999999998</v>
      </c>
      <c r="F11" s="300">
        <v>43647</v>
      </c>
      <c r="G11" s="183" t="s">
        <v>2753</v>
      </c>
    </row>
    <row r="12" spans="1:11" ht="27" customHeight="1">
      <c r="A12" s="299" t="s">
        <v>2752</v>
      </c>
      <c r="B12" s="299">
        <v>2018</v>
      </c>
      <c r="C12" s="299" t="s">
        <v>188</v>
      </c>
      <c r="D12" s="299">
        <v>8</v>
      </c>
      <c r="E12" s="299" t="s">
        <v>2533</v>
      </c>
      <c r="F12" s="300"/>
      <c r="G12" s="183" t="s">
        <v>2753</v>
      </c>
    </row>
    <row r="13" spans="1:11" ht="27" customHeight="1">
      <c r="A13" s="299" t="s">
        <v>2752</v>
      </c>
      <c r="B13" s="299">
        <v>2018</v>
      </c>
      <c r="C13" s="299" t="s">
        <v>188</v>
      </c>
      <c r="D13" s="299" t="s">
        <v>2652</v>
      </c>
      <c r="E13" s="299">
        <v>3355.6</v>
      </c>
      <c r="F13" s="300">
        <v>43647</v>
      </c>
      <c r="G13" s="183" t="s">
        <v>2753</v>
      </c>
    </row>
    <row r="14" spans="1:11" ht="27" customHeight="1">
      <c r="A14" s="299" t="s">
        <v>2752</v>
      </c>
      <c r="B14" s="299">
        <v>2018</v>
      </c>
      <c r="C14" s="299" t="s">
        <v>188</v>
      </c>
      <c r="D14" s="299" t="s">
        <v>2654</v>
      </c>
      <c r="E14" s="299">
        <v>2136.6999999999998</v>
      </c>
      <c r="F14" s="300">
        <v>43647</v>
      </c>
      <c r="G14" s="183" t="s">
        <v>2753</v>
      </c>
    </row>
    <row r="15" spans="1:11" ht="27" customHeight="1">
      <c r="A15" s="299" t="s">
        <v>2752</v>
      </c>
      <c r="B15" s="299">
        <v>2018</v>
      </c>
      <c r="C15" s="299" t="s">
        <v>188</v>
      </c>
      <c r="D15" s="299">
        <v>10</v>
      </c>
      <c r="E15" s="299">
        <v>3152.3</v>
      </c>
      <c r="F15" s="300">
        <v>43647</v>
      </c>
      <c r="G15" s="183" t="s">
        <v>2753</v>
      </c>
    </row>
    <row r="16" spans="1:11" ht="27" customHeight="1">
      <c r="A16" s="299" t="s">
        <v>2752</v>
      </c>
      <c r="B16" s="299">
        <v>2018</v>
      </c>
      <c r="C16" s="299" t="s">
        <v>188</v>
      </c>
      <c r="D16" s="299">
        <v>11</v>
      </c>
      <c r="E16" s="299">
        <v>2930.3</v>
      </c>
      <c r="F16" s="300">
        <v>43647</v>
      </c>
      <c r="G16" s="183" t="s">
        <v>2753</v>
      </c>
    </row>
    <row r="17" spans="1:7" ht="27" customHeight="1">
      <c r="A17" s="299" t="s">
        <v>2752</v>
      </c>
      <c r="B17" s="299">
        <v>2018</v>
      </c>
      <c r="C17" s="299" t="s">
        <v>188</v>
      </c>
      <c r="D17" s="299">
        <v>12</v>
      </c>
      <c r="E17" s="299">
        <v>2457.6999999999998</v>
      </c>
      <c r="F17" s="300">
        <v>43647</v>
      </c>
      <c r="G17" s="183" t="s">
        <v>2753</v>
      </c>
    </row>
    <row r="18" spans="1:7" ht="27" customHeight="1">
      <c r="A18" s="299" t="s">
        <v>2752</v>
      </c>
      <c r="B18" s="299">
        <v>2018</v>
      </c>
      <c r="C18" s="299" t="s">
        <v>188</v>
      </c>
      <c r="D18" s="299">
        <v>13</v>
      </c>
      <c r="E18" s="299">
        <v>2161.1</v>
      </c>
      <c r="F18" s="300">
        <v>43647</v>
      </c>
      <c r="G18" s="183" t="s">
        <v>2753</v>
      </c>
    </row>
    <row r="19" spans="1:7" ht="27" customHeight="1">
      <c r="A19" s="299" t="s">
        <v>2752</v>
      </c>
      <c r="B19" s="299">
        <v>2018</v>
      </c>
      <c r="C19" s="299" t="s">
        <v>188</v>
      </c>
      <c r="D19" s="299" t="s">
        <v>2660</v>
      </c>
      <c r="E19" s="299">
        <v>3340.9</v>
      </c>
      <c r="F19" s="300">
        <v>43647</v>
      </c>
      <c r="G19" s="183" t="s">
        <v>2753</v>
      </c>
    </row>
    <row r="20" spans="1:7" ht="27" customHeight="1">
      <c r="A20" s="299" t="s">
        <v>2752</v>
      </c>
      <c r="B20" s="299">
        <v>2018</v>
      </c>
      <c r="C20" s="299" t="s">
        <v>188</v>
      </c>
      <c r="D20" s="299" t="s">
        <v>2662</v>
      </c>
      <c r="E20" s="299">
        <v>2023.2</v>
      </c>
      <c r="F20" s="300">
        <v>43647</v>
      </c>
      <c r="G20" s="183" t="s">
        <v>2753</v>
      </c>
    </row>
    <row r="21" spans="1:7" ht="27" customHeight="1">
      <c r="A21" s="299" t="s">
        <v>2752</v>
      </c>
      <c r="B21" s="299">
        <v>2018</v>
      </c>
      <c r="C21" s="299" t="s">
        <v>188</v>
      </c>
      <c r="D21" s="299">
        <v>15</v>
      </c>
      <c r="E21" s="299">
        <v>2232.5</v>
      </c>
      <c r="F21" s="300">
        <v>43647</v>
      </c>
      <c r="G21" s="183" t="s">
        <v>2753</v>
      </c>
    </row>
    <row r="22" spans="1:7" ht="27" customHeight="1">
      <c r="A22" s="299" t="s">
        <v>2752</v>
      </c>
      <c r="B22" s="299">
        <v>2018</v>
      </c>
      <c r="C22" s="299" t="s">
        <v>188</v>
      </c>
      <c r="D22" s="299">
        <v>16</v>
      </c>
      <c r="E22" s="299">
        <v>2327</v>
      </c>
      <c r="F22" s="300">
        <v>43647</v>
      </c>
      <c r="G22" s="183" t="s">
        <v>2753</v>
      </c>
    </row>
    <row r="23" spans="1:7" ht="27" customHeight="1">
      <c r="A23" s="299" t="s">
        <v>2752</v>
      </c>
      <c r="B23" s="299">
        <v>2018</v>
      </c>
      <c r="C23" s="299" t="s">
        <v>188</v>
      </c>
      <c r="D23" s="299">
        <v>17</v>
      </c>
      <c r="E23" s="299">
        <v>2133.6999999999998</v>
      </c>
      <c r="F23" s="300">
        <v>43647</v>
      </c>
      <c r="G23" s="183" t="s">
        <v>2753</v>
      </c>
    </row>
    <row r="24" spans="1:7" ht="27" customHeight="1">
      <c r="A24" s="299" t="s">
        <v>2752</v>
      </c>
      <c r="B24" s="299">
        <v>2018</v>
      </c>
      <c r="C24" s="299" t="s">
        <v>188</v>
      </c>
      <c r="D24" s="299">
        <v>18</v>
      </c>
      <c r="E24" s="299">
        <v>2338.1999999999998</v>
      </c>
      <c r="F24" s="300">
        <v>43647</v>
      </c>
      <c r="G24" s="183" t="s">
        <v>2753</v>
      </c>
    </row>
    <row r="25" spans="1:7" ht="27" customHeight="1">
      <c r="A25" s="299" t="s">
        <v>2752</v>
      </c>
      <c r="B25" s="299">
        <v>2018</v>
      </c>
      <c r="C25" s="299" t="s">
        <v>188</v>
      </c>
      <c r="D25" s="299">
        <v>19</v>
      </c>
      <c r="E25" s="299">
        <v>2854.7</v>
      </c>
      <c r="F25" s="300">
        <v>43647</v>
      </c>
      <c r="G25" s="183" t="s">
        <v>2753</v>
      </c>
    </row>
    <row r="26" spans="1:7" ht="27" customHeight="1">
      <c r="A26" s="299" t="s">
        <v>2752</v>
      </c>
      <c r="B26" s="299">
        <v>2018</v>
      </c>
      <c r="C26" s="299" t="s">
        <v>188</v>
      </c>
      <c r="D26" s="299">
        <v>20</v>
      </c>
      <c r="E26" s="299">
        <v>2681.6</v>
      </c>
      <c r="F26" s="300">
        <v>43647</v>
      </c>
      <c r="G26" s="183" t="s">
        <v>2753</v>
      </c>
    </row>
    <row r="27" spans="1:7" s="307" customFormat="1" ht="27" customHeight="1" thickBot="1">
      <c r="A27" s="299" t="s">
        <v>2752</v>
      </c>
      <c r="B27" s="305">
        <v>2018</v>
      </c>
      <c r="C27" s="305" t="s">
        <v>188</v>
      </c>
      <c r="D27" s="305">
        <v>21</v>
      </c>
      <c r="E27" s="305">
        <v>2338.6</v>
      </c>
      <c r="F27" s="306">
        <v>43647</v>
      </c>
      <c r="G27" s="183" t="s">
        <v>2753</v>
      </c>
    </row>
    <row r="28" spans="1:7" ht="27" customHeight="1">
      <c r="A28" s="299" t="s">
        <v>2752</v>
      </c>
      <c r="B28" s="303">
        <v>2018</v>
      </c>
      <c r="C28" s="303" t="s">
        <v>190</v>
      </c>
      <c r="D28" s="303">
        <v>1</v>
      </c>
      <c r="E28" s="303">
        <v>2119.4</v>
      </c>
      <c r="F28" s="304">
        <v>43647</v>
      </c>
      <c r="G28" s="183" t="s">
        <v>2753</v>
      </c>
    </row>
    <row r="29" spans="1:7" ht="27" customHeight="1">
      <c r="A29" s="299" t="s">
        <v>2755</v>
      </c>
      <c r="B29" s="299">
        <v>2018</v>
      </c>
      <c r="C29" s="299" t="s">
        <v>190</v>
      </c>
      <c r="D29" s="299">
        <v>2</v>
      </c>
      <c r="E29" s="299">
        <v>2582.8000000000002</v>
      </c>
      <c r="F29" s="300">
        <v>43648</v>
      </c>
      <c r="G29" s="183" t="s">
        <v>2756</v>
      </c>
    </row>
    <row r="30" spans="1:7" ht="27" customHeight="1">
      <c r="A30" s="299" t="s">
        <v>2755</v>
      </c>
      <c r="B30" s="299">
        <v>2018</v>
      </c>
      <c r="C30" s="299" t="s">
        <v>190</v>
      </c>
      <c r="D30" s="299" t="s">
        <v>2675</v>
      </c>
      <c r="E30" s="299">
        <v>2338.4</v>
      </c>
      <c r="F30" s="300">
        <v>43648</v>
      </c>
      <c r="G30" s="183" t="s">
        <v>2756</v>
      </c>
    </row>
    <row r="31" spans="1:7" ht="27" customHeight="1">
      <c r="A31" s="299" t="s">
        <v>2755</v>
      </c>
      <c r="B31" s="299">
        <v>2018</v>
      </c>
      <c r="C31" s="299" t="s">
        <v>190</v>
      </c>
      <c r="D31" s="299" t="s">
        <v>2677</v>
      </c>
      <c r="E31" s="299">
        <v>2672.8</v>
      </c>
      <c r="F31" s="300">
        <v>43648</v>
      </c>
      <c r="G31" s="183" t="s">
        <v>2756</v>
      </c>
    </row>
    <row r="32" spans="1:7" ht="27" customHeight="1">
      <c r="A32" s="299" t="s">
        <v>2755</v>
      </c>
      <c r="B32" s="299">
        <v>2018</v>
      </c>
      <c r="C32" s="299" t="s">
        <v>190</v>
      </c>
      <c r="D32" s="290">
        <v>4</v>
      </c>
      <c r="E32" s="299">
        <v>2276.4</v>
      </c>
      <c r="F32" s="300">
        <v>43648</v>
      </c>
      <c r="G32" s="183" t="s">
        <v>2756</v>
      </c>
    </row>
    <row r="33" spans="1:7" ht="27" customHeight="1">
      <c r="A33" s="299" t="s">
        <v>2755</v>
      </c>
      <c r="B33" s="299">
        <v>2018</v>
      </c>
      <c r="C33" s="299" t="s">
        <v>190</v>
      </c>
      <c r="D33" s="290">
        <v>5</v>
      </c>
      <c r="E33" s="299">
        <v>2166.9</v>
      </c>
      <c r="F33" s="300">
        <v>43648</v>
      </c>
      <c r="G33" s="183" t="s">
        <v>2756</v>
      </c>
    </row>
    <row r="34" spans="1:7" ht="27" customHeight="1">
      <c r="A34" s="299" t="s">
        <v>2755</v>
      </c>
      <c r="B34" s="299">
        <v>2018</v>
      </c>
      <c r="C34" s="299" t="s">
        <v>190</v>
      </c>
      <c r="D34" s="290">
        <v>6</v>
      </c>
      <c r="E34" s="299">
        <v>2162.1999999999998</v>
      </c>
      <c r="F34" s="300">
        <v>43648</v>
      </c>
      <c r="G34" s="183" t="s">
        <v>2756</v>
      </c>
    </row>
    <row r="35" spans="1:7" ht="27" customHeight="1">
      <c r="A35" s="299" t="s">
        <v>2755</v>
      </c>
      <c r="B35" s="299">
        <v>2018</v>
      </c>
      <c r="C35" s="299" t="s">
        <v>190</v>
      </c>
      <c r="D35" s="290">
        <v>7</v>
      </c>
      <c r="E35" s="299">
        <v>3076.3</v>
      </c>
      <c r="F35" s="300">
        <v>43648</v>
      </c>
      <c r="G35" s="183" t="s">
        <v>2756</v>
      </c>
    </row>
    <row r="36" spans="1:7" ht="27" customHeight="1">
      <c r="A36" s="299" t="s">
        <v>2755</v>
      </c>
      <c r="B36" s="299">
        <v>2018</v>
      </c>
      <c r="C36" s="299" t="s">
        <v>190</v>
      </c>
      <c r="D36" s="290">
        <v>8</v>
      </c>
      <c r="E36" s="299">
        <v>2531.6</v>
      </c>
      <c r="F36" s="300">
        <v>43648</v>
      </c>
      <c r="G36" s="183" t="s">
        <v>2756</v>
      </c>
    </row>
    <row r="37" spans="1:7" ht="27" customHeight="1">
      <c r="A37" s="299" t="s">
        <v>2755</v>
      </c>
      <c r="B37" s="299">
        <v>2018</v>
      </c>
      <c r="C37" s="299" t="s">
        <v>190</v>
      </c>
      <c r="D37" s="290">
        <v>9</v>
      </c>
      <c r="E37" s="299">
        <v>2335.9</v>
      </c>
      <c r="F37" s="300">
        <v>43648</v>
      </c>
      <c r="G37" s="183" t="s">
        <v>2756</v>
      </c>
    </row>
    <row r="38" spans="1:7" ht="27" customHeight="1">
      <c r="A38" s="299" t="s">
        <v>2755</v>
      </c>
      <c r="B38" s="299">
        <v>2018</v>
      </c>
      <c r="C38" s="299" t="s">
        <v>190</v>
      </c>
      <c r="D38" s="290">
        <v>10</v>
      </c>
      <c r="E38" s="299">
        <v>2503.1</v>
      </c>
      <c r="F38" s="300">
        <v>43648</v>
      </c>
      <c r="G38" s="183" t="s">
        <v>2756</v>
      </c>
    </row>
    <row r="39" spans="1:7" ht="27" customHeight="1">
      <c r="A39" s="299" t="s">
        <v>2755</v>
      </c>
      <c r="B39" s="299">
        <v>2018</v>
      </c>
      <c r="C39" s="299" t="s">
        <v>190</v>
      </c>
      <c r="D39" s="290">
        <v>11</v>
      </c>
      <c r="E39" s="299">
        <v>2337.3000000000002</v>
      </c>
      <c r="F39" s="300">
        <v>43648</v>
      </c>
      <c r="G39" s="183" t="s">
        <v>2756</v>
      </c>
    </row>
    <row r="40" spans="1:7" ht="27" customHeight="1">
      <c r="A40" s="299" t="s">
        <v>2755</v>
      </c>
      <c r="B40" s="299">
        <v>2018</v>
      </c>
      <c r="C40" s="299" t="s">
        <v>190</v>
      </c>
      <c r="D40" s="290">
        <v>12</v>
      </c>
      <c r="E40" s="299">
        <v>2414.8000000000002</v>
      </c>
      <c r="F40" s="300">
        <v>43648</v>
      </c>
      <c r="G40" s="183" t="s">
        <v>2756</v>
      </c>
    </row>
    <row r="41" spans="1:7" ht="27" customHeight="1">
      <c r="A41" s="299" t="s">
        <v>2755</v>
      </c>
      <c r="B41" s="299">
        <v>2018</v>
      </c>
      <c r="C41" s="299" t="s">
        <v>190</v>
      </c>
      <c r="D41" s="290">
        <v>13</v>
      </c>
      <c r="E41" s="299">
        <v>2751.2</v>
      </c>
      <c r="F41" s="300">
        <v>43648</v>
      </c>
      <c r="G41" s="183" t="s">
        <v>2756</v>
      </c>
    </row>
    <row r="42" spans="1:7" ht="27" customHeight="1">
      <c r="A42" s="299" t="s">
        <v>2755</v>
      </c>
      <c r="B42" s="299">
        <v>2018</v>
      </c>
      <c r="C42" s="299" t="s">
        <v>190</v>
      </c>
      <c r="D42" s="290">
        <v>14</v>
      </c>
      <c r="E42" s="299">
        <v>2370.1</v>
      </c>
      <c r="F42" s="300">
        <v>43648</v>
      </c>
      <c r="G42" s="183" t="s">
        <v>2756</v>
      </c>
    </row>
    <row r="43" spans="1:7" ht="27" customHeight="1">
      <c r="A43" s="299" t="s">
        <v>2755</v>
      </c>
      <c r="B43" s="299">
        <v>2018</v>
      </c>
      <c r="C43" s="299" t="s">
        <v>190</v>
      </c>
      <c r="D43" s="290">
        <v>15</v>
      </c>
      <c r="E43" s="299">
        <v>2916.4</v>
      </c>
      <c r="F43" s="300">
        <v>43648</v>
      </c>
      <c r="G43" s="183" t="s">
        <v>2756</v>
      </c>
    </row>
    <row r="44" spans="1:7" ht="27" customHeight="1">
      <c r="A44" s="299" t="s">
        <v>2752</v>
      </c>
      <c r="B44" s="299">
        <v>2018</v>
      </c>
      <c r="C44" s="299" t="s">
        <v>190</v>
      </c>
      <c r="D44" s="290">
        <v>16</v>
      </c>
      <c r="E44" s="299">
        <v>2125.1</v>
      </c>
      <c r="F44" s="300">
        <v>43647</v>
      </c>
      <c r="G44" s="183" t="s">
        <v>2753</v>
      </c>
    </row>
    <row r="45" spans="1:7" ht="27" customHeight="1">
      <c r="A45" s="299" t="s">
        <v>2752</v>
      </c>
      <c r="B45" s="299">
        <v>2018</v>
      </c>
      <c r="C45" s="299" t="s">
        <v>190</v>
      </c>
      <c r="D45" s="290" t="s">
        <v>2696</v>
      </c>
      <c r="E45" s="299">
        <v>2032.1</v>
      </c>
      <c r="F45" s="300">
        <v>43647</v>
      </c>
      <c r="G45" s="183" t="s">
        <v>2753</v>
      </c>
    </row>
    <row r="46" spans="1:7" ht="27" customHeight="1">
      <c r="A46" s="299" t="s">
        <v>2752</v>
      </c>
      <c r="B46" s="299">
        <v>2018</v>
      </c>
      <c r="C46" s="299" t="s">
        <v>190</v>
      </c>
      <c r="D46" s="290" t="s">
        <v>2698</v>
      </c>
      <c r="E46" s="299">
        <v>2459.6</v>
      </c>
      <c r="F46" s="300">
        <v>43647</v>
      </c>
      <c r="G46" s="183" t="s">
        <v>2753</v>
      </c>
    </row>
    <row r="47" spans="1:7" ht="27" customHeight="1">
      <c r="A47" s="299" t="s">
        <v>2752</v>
      </c>
      <c r="B47" s="299">
        <v>2018</v>
      </c>
      <c r="C47" s="299" t="s">
        <v>190</v>
      </c>
      <c r="D47" s="290">
        <v>18</v>
      </c>
      <c r="E47" s="299">
        <v>2116.6</v>
      </c>
      <c r="F47" s="300">
        <v>43647</v>
      </c>
      <c r="G47" s="183" t="s">
        <v>2753</v>
      </c>
    </row>
    <row r="48" spans="1:7" ht="27" customHeight="1">
      <c r="A48" s="299" t="s">
        <v>2752</v>
      </c>
      <c r="B48" s="299">
        <v>2018</v>
      </c>
      <c r="C48" s="299" t="s">
        <v>190</v>
      </c>
      <c r="D48" s="290">
        <v>19</v>
      </c>
      <c r="E48" s="299">
        <v>2452.8000000000002</v>
      </c>
      <c r="F48" s="300">
        <v>43647</v>
      </c>
      <c r="G48" s="183" t="s">
        <v>2753</v>
      </c>
    </row>
    <row r="49" spans="1:7" ht="27" customHeight="1">
      <c r="A49" s="299" t="s">
        <v>2752</v>
      </c>
      <c r="B49" s="299">
        <v>2018</v>
      </c>
      <c r="C49" s="299" t="s">
        <v>190</v>
      </c>
      <c r="D49" s="290">
        <v>20</v>
      </c>
      <c r="E49" s="299">
        <v>2873.9</v>
      </c>
      <c r="F49" s="300">
        <v>43647</v>
      </c>
      <c r="G49" s="183" t="s">
        <v>2753</v>
      </c>
    </row>
    <row r="50" spans="1:7" s="307" customFormat="1" ht="27" customHeight="1" thickBot="1">
      <c r="A50" s="299" t="s">
        <v>2752</v>
      </c>
      <c r="B50" s="305">
        <v>2018</v>
      </c>
      <c r="C50" s="305" t="s">
        <v>190</v>
      </c>
      <c r="D50" s="308">
        <v>21</v>
      </c>
      <c r="E50" s="305">
        <v>2325.1999999999998</v>
      </c>
      <c r="F50" s="300">
        <v>43647</v>
      </c>
      <c r="G50" s="183" t="s">
        <v>2753</v>
      </c>
    </row>
    <row r="51" spans="1:7" ht="27" customHeight="1">
      <c r="A51" s="299" t="s">
        <v>2755</v>
      </c>
      <c r="B51" s="303">
        <v>2018</v>
      </c>
      <c r="C51" s="303" t="s">
        <v>194</v>
      </c>
      <c r="D51" s="303">
        <v>1</v>
      </c>
      <c r="E51" s="303">
        <v>2371.1</v>
      </c>
      <c r="F51" s="300">
        <v>43648</v>
      </c>
      <c r="G51" s="183" t="s">
        <v>2756</v>
      </c>
    </row>
    <row r="52" spans="1:7" ht="27" customHeight="1">
      <c r="A52" s="299" t="s">
        <v>2755</v>
      </c>
      <c r="B52" s="299">
        <v>2018</v>
      </c>
      <c r="C52" s="299" t="s">
        <v>194</v>
      </c>
      <c r="D52" s="299">
        <v>2</v>
      </c>
      <c r="E52" s="299">
        <v>3394</v>
      </c>
      <c r="F52" s="300">
        <v>43648</v>
      </c>
      <c r="G52" s="183" t="s">
        <v>2756</v>
      </c>
    </row>
    <row r="53" spans="1:7" ht="27" customHeight="1">
      <c r="A53" s="299" t="s">
        <v>2755</v>
      </c>
      <c r="B53" s="299">
        <v>2018</v>
      </c>
      <c r="C53" s="299" t="s">
        <v>194</v>
      </c>
      <c r="D53" s="299" t="s">
        <v>2675</v>
      </c>
      <c r="E53" s="299">
        <v>2649.9</v>
      </c>
      <c r="F53" s="300">
        <v>43648</v>
      </c>
      <c r="G53" s="183" t="s">
        <v>2756</v>
      </c>
    </row>
    <row r="54" spans="1:7" ht="27" customHeight="1">
      <c r="A54" s="299" t="s">
        <v>2755</v>
      </c>
      <c r="B54" s="299">
        <v>2018</v>
      </c>
      <c r="C54" s="299" t="s">
        <v>194</v>
      </c>
      <c r="D54" s="299" t="s">
        <v>2677</v>
      </c>
      <c r="E54" s="299">
        <v>2737.7</v>
      </c>
      <c r="F54" s="300">
        <v>43648</v>
      </c>
      <c r="G54" s="183" t="s">
        <v>2756</v>
      </c>
    </row>
    <row r="55" spans="1:7" ht="27" customHeight="1">
      <c r="A55" s="299" t="s">
        <v>2755</v>
      </c>
      <c r="B55" s="299">
        <v>2018</v>
      </c>
      <c r="C55" s="299" t="s">
        <v>194</v>
      </c>
      <c r="D55" s="299">
        <v>4</v>
      </c>
      <c r="E55" s="299">
        <v>3002.8</v>
      </c>
      <c r="F55" s="300">
        <v>43648</v>
      </c>
      <c r="G55" s="183" t="s">
        <v>2756</v>
      </c>
    </row>
    <row r="56" spans="1:7" ht="27" customHeight="1">
      <c r="A56" s="299" t="s">
        <v>2755</v>
      </c>
      <c r="B56" s="299">
        <v>2018</v>
      </c>
      <c r="C56" s="299" t="s">
        <v>194</v>
      </c>
      <c r="D56" s="299">
        <v>5</v>
      </c>
      <c r="E56" s="299">
        <v>2705.7</v>
      </c>
      <c r="F56" s="300">
        <v>43648</v>
      </c>
      <c r="G56" s="183" t="s">
        <v>2756</v>
      </c>
    </row>
    <row r="57" spans="1:7" ht="27" customHeight="1">
      <c r="A57" s="299" t="s">
        <v>2755</v>
      </c>
      <c r="B57" s="299">
        <v>2018</v>
      </c>
      <c r="C57" s="299" t="s">
        <v>194</v>
      </c>
      <c r="D57" s="299">
        <v>6</v>
      </c>
      <c r="E57" s="299">
        <v>2415.5</v>
      </c>
      <c r="F57" s="300">
        <v>43648</v>
      </c>
      <c r="G57" s="183" t="s">
        <v>2756</v>
      </c>
    </row>
    <row r="58" spans="1:7" ht="27" customHeight="1">
      <c r="A58" s="299" t="s">
        <v>2755</v>
      </c>
      <c r="B58" s="299">
        <v>2018</v>
      </c>
      <c r="C58" s="299" t="s">
        <v>194</v>
      </c>
      <c r="D58" s="299">
        <v>7</v>
      </c>
      <c r="E58" s="299">
        <v>2760.3</v>
      </c>
      <c r="F58" s="300">
        <v>43648</v>
      </c>
      <c r="G58" s="183" t="s">
        <v>2756</v>
      </c>
    </row>
    <row r="59" spans="1:7" ht="27" customHeight="1">
      <c r="A59" s="299" t="s">
        <v>2755</v>
      </c>
      <c r="B59" s="299">
        <v>2018</v>
      </c>
      <c r="C59" s="299" t="s">
        <v>194</v>
      </c>
      <c r="D59" s="299" t="s">
        <v>2712</v>
      </c>
      <c r="E59" s="299">
        <v>2276</v>
      </c>
      <c r="F59" s="300">
        <v>43648</v>
      </c>
      <c r="G59" s="183" t="s">
        <v>2756</v>
      </c>
    </row>
    <row r="60" spans="1:7" ht="27" customHeight="1">
      <c r="A60" s="299" t="s">
        <v>2755</v>
      </c>
      <c r="B60" s="299">
        <v>2018</v>
      </c>
      <c r="C60" s="299" t="s">
        <v>194</v>
      </c>
      <c r="D60" s="299" t="s">
        <v>2714</v>
      </c>
      <c r="E60" s="299">
        <v>2582.1999999999998</v>
      </c>
      <c r="F60" s="300">
        <v>43648</v>
      </c>
      <c r="G60" s="183" t="s">
        <v>2756</v>
      </c>
    </row>
    <row r="61" spans="1:7" ht="27" customHeight="1">
      <c r="A61" s="299" t="s">
        <v>2755</v>
      </c>
      <c r="B61" s="299">
        <v>2018</v>
      </c>
      <c r="C61" s="299" t="s">
        <v>194</v>
      </c>
      <c r="D61" s="299">
        <v>9</v>
      </c>
      <c r="E61" s="299">
        <v>2543</v>
      </c>
      <c r="F61" s="300">
        <v>43648</v>
      </c>
      <c r="G61" s="183" t="s">
        <v>2756</v>
      </c>
    </row>
    <row r="62" spans="1:7" ht="27" customHeight="1">
      <c r="A62" s="299" t="s">
        <v>2755</v>
      </c>
      <c r="B62" s="299">
        <v>2018</v>
      </c>
      <c r="C62" s="299" t="s">
        <v>194</v>
      </c>
      <c r="D62" s="299">
        <v>10</v>
      </c>
      <c r="E62" s="299">
        <v>2477.5</v>
      </c>
      <c r="F62" s="300">
        <v>43648</v>
      </c>
      <c r="G62" s="183" t="s">
        <v>2756</v>
      </c>
    </row>
    <row r="63" spans="1:7" ht="27" customHeight="1">
      <c r="A63" s="299" t="s">
        <v>2755</v>
      </c>
      <c r="B63" s="299">
        <v>2018</v>
      </c>
      <c r="C63" s="299" t="s">
        <v>194</v>
      </c>
      <c r="D63" s="299">
        <v>11</v>
      </c>
      <c r="E63" s="299">
        <v>2107.9</v>
      </c>
      <c r="F63" s="300">
        <v>43648</v>
      </c>
      <c r="G63" s="183" t="s">
        <v>2756</v>
      </c>
    </row>
    <row r="64" spans="1:7" ht="27" customHeight="1">
      <c r="A64" s="299" t="s">
        <v>2755</v>
      </c>
      <c r="B64" s="299">
        <v>2018</v>
      </c>
      <c r="C64" s="299" t="s">
        <v>194</v>
      </c>
      <c r="D64" s="299">
        <v>12</v>
      </c>
      <c r="E64" s="299">
        <v>2677.2</v>
      </c>
      <c r="F64" s="300">
        <v>43648</v>
      </c>
      <c r="G64" s="183" t="s">
        <v>2756</v>
      </c>
    </row>
    <row r="65" spans="1:7" ht="27" customHeight="1">
      <c r="A65" s="299" t="s">
        <v>2755</v>
      </c>
      <c r="B65" s="299">
        <v>2018</v>
      </c>
      <c r="C65" s="299" t="s">
        <v>194</v>
      </c>
      <c r="D65" s="299">
        <v>13</v>
      </c>
      <c r="E65" s="299">
        <v>2446.3000000000002</v>
      </c>
      <c r="F65" s="300">
        <v>43648</v>
      </c>
      <c r="G65" s="183" t="s">
        <v>2756</v>
      </c>
    </row>
    <row r="66" spans="1:7" ht="27" customHeight="1">
      <c r="A66" s="299" t="s">
        <v>2755</v>
      </c>
      <c r="B66" s="299">
        <v>2018</v>
      </c>
      <c r="C66" s="299" t="s">
        <v>194</v>
      </c>
      <c r="D66" s="299">
        <v>14</v>
      </c>
      <c r="E66" s="299">
        <v>3252.1</v>
      </c>
      <c r="F66" s="300">
        <v>43648</v>
      </c>
      <c r="G66" s="183" t="s">
        <v>2756</v>
      </c>
    </row>
    <row r="67" spans="1:7" ht="27" customHeight="1">
      <c r="A67" s="299" t="s">
        <v>2755</v>
      </c>
      <c r="B67" s="299">
        <v>2018</v>
      </c>
      <c r="C67" s="299" t="s">
        <v>194</v>
      </c>
      <c r="D67" s="299">
        <v>15</v>
      </c>
      <c r="E67" s="299">
        <v>3026.3</v>
      </c>
      <c r="F67" s="300">
        <v>43648</v>
      </c>
      <c r="G67" s="183" t="s">
        <v>2756</v>
      </c>
    </row>
    <row r="68" spans="1:7" ht="27" customHeight="1">
      <c r="A68" s="299" t="s">
        <v>2755</v>
      </c>
      <c r="B68" s="299">
        <v>2018</v>
      </c>
      <c r="C68" s="299" t="s">
        <v>194</v>
      </c>
      <c r="D68" s="299">
        <v>16</v>
      </c>
      <c r="E68" s="299">
        <v>2767.2</v>
      </c>
      <c r="F68" s="300">
        <v>43648</v>
      </c>
      <c r="G68" s="183" t="s">
        <v>2756</v>
      </c>
    </row>
    <row r="69" spans="1:7" ht="27" customHeight="1">
      <c r="A69" s="299" t="s">
        <v>2755</v>
      </c>
      <c r="B69" s="299">
        <v>2018</v>
      </c>
      <c r="C69" s="299" t="s">
        <v>194</v>
      </c>
      <c r="D69" s="299">
        <v>17</v>
      </c>
      <c r="E69" s="299">
        <v>2927.7</v>
      </c>
      <c r="F69" s="300">
        <v>43648</v>
      </c>
      <c r="G69" s="183" t="s">
        <v>2756</v>
      </c>
    </row>
    <row r="70" spans="1:7" ht="27" customHeight="1">
      <c r="A70" s="299" t="s">
        <v>2755</v>
      </c>
      <c r="B70" s="299">
        <v>2018</v>
      </c>
      <c r="C70" s="299" t="s">
        <v>194</v>
      </c>
      <c r="D70" s="299">
        <v>18</v>
      </c>
      <c r="E70" s="299">
        <v>2985.1</v>
      </c>
      <c r="F70" s="300">
        <v>43648</v>
      </c>
      <c r="G70" s="183" t="s">
        <v>2756</v>
      </c>
    </row>
    <row r="71" spans="1:7" ht="27" customHeight="1">
      <c r="A71" s="299" t="s">
        <v>2755</v>
      </c>
      <c r="B71" s="299">
        <v>2018</v>
      </c>
      <c r="C71" s="299" t="s">
        <v>194</v>
      </c>
      <c r="D71" s="299">
        <v>19</v>
      </c>
      <c r="E71" s="299">
        <v>2446.1</v>
      </c>
      <c r="F71" s="300">
        <v>43648</v>
      </c>
      <c r="G71" s="183" t="s">
        <v>2756</v>
      </c>
    </row>
    <row r="72" spans="1:7" ht="27" customHeight="1">
      <c r="A72" s="299" t="s">
        <v>2755</v>
      </c>
      <c r="B72" s="299">
        <v>2018</v>
      </c>
      <c r="C72" s="299" t="s">
        <v>194</v>
      </c>
      <c r="D72" s="299">
        <v>20</v>
      </c>
      <c r="E72" s="299">
        <v>2276.6</v>
      </c>
      <c r="F72" s="300">
        <v>43648</v>
      </c>
      <c r="G72" s="183" t="s">
        <v>2756</v>
      </c>
    </row>
    <row r="73" spans="1:7" s="198" customFormat="1" ht="27" customHeight="1">
      <c r="A73" s="299" t="s">
        <v>2755</v>
      </c>
      <c r="B73" s="299">
        <v>2018</v>
      </c>
      <c r="C73" s="299" t="s">
        <v>194</v>
      </c>
      <c r="D73" s="299">
        <v>21</v>
      </c>
      <c r="E73" s="299">
        <v>2469.6</v>
      </c>
      <c r="F73" s="300">
        <v>43648</v>
      </c>
      <c r="G73" s="183" t="s">
        <v>2756</v>
      </c>
    </row>
    <row r="74" spans="1:7">
      <c r="A74" s="301"/>
    </row>
    <row r="75" spans="1:7">
      <c r="A75" s="302"/>
      <c r="B75" s="299"/>
      <c r="C75" s="299"/>
      <c r="D75" s="299"/>
      <c r="E75" s="299"/>
      <c r="F75" s="67"/>
    </row>
    <row r="76" spans="1:7">
      <c r="A76" s="302" t="s">
        <v>2754</v>
      </c>
      <c r="B76" s="299"/>
      <c r="C76" s="299"/>
      <c r="D76" s="299"/>
      <c r="E76" s="299"/>
      <c r="F76" s="67"/>
    </row>
    <row r="77" spans="1:7">
      <c r="A77" s="302"/>
      <c r="B77" s="299"/>
      <c r="C77" s="299"/>
      <c r="D77" s="299"/>
      <c r="E77" s="299"/>
      <c r="F77" s="67"/>
    </row>
    <row r="78" spans="1:7">
      <c r="A78" s="302" t="s">
        <v>3129</v>
      </c>
      <c r="B78" s="299">
        <v>2018</v>
      </c>
      <c r="C78" s="299" t="s">
        <v>188</v>
      </c>
      <c r="D78" s="299">
        <v>7</v>
      </c>
      <c r="E78" s="299">
        <v>1808.3</v>
      </c>
      <c r="F78" s="67">
        <v>43671</v>
      </c>
      <c r="G78" s="183" t="s">
        <v>3421</v>
      </c>
    </row>
    <row r="79" spans="1:7">
      <c r="A79" s="302" t="s">
        <v>3129</v>
      </c>
      <c r="B79" s="299">
        <v>2018</v>
      </c>
      <c r="C79" s="299" t="s">
        <v>188</v>
      </c>
      <c r="D79" s="299">
        <v>16</v>
      </c>
      <c r="E79" s="299">
        <v>2481.5</v>
      </c>
      <c r="F79" s="67">
        <v>43671</v>
      </c>
      <c r="G79" s="183" t="s">
        <v>3421</v>
      </c>
    </row>
    <row r="80" spans="1:7">
      <c r="A80" s="302" t="s">
        <v>3129</v>
      </c>
      <c r="B80" s="299">
        <v>2018</v>
      </c>
      <c r="C80" s="299" t="s">
        <v>188</v>
      </c>
      <c r="D80" s="299">
        <v>17</v>
      </c>
      <c r="E80" s="299">
        <v>2092.3000000000002</v>
      </c>
      <c r="F80" s="67">
        <v>43671</v>
      </c>
      <c r="G80" s="183" t="s">
        <v>3421</v>
      </c>
    </row>
    <row r="81" spans="1:7">
      <c r="A81" s="302" t="s">
        <v>3129</v>
      </c>
      <c r="B81" s="299">
        <v>2018</v>
      </c>
      <c r="C81" s="299" t="s">
        <v>188</v>
      </c>
      <c r="D81" s="299">
        <v>18</v>
      </c>
      <c r="E81" s="299">
        <v>2024.8</v>
      </c>
      <c r="F81" s="67">
        <v>43671</v>
      </c>
      <c r="G81" s="183" t="s">
        <v>3421</v>
      </c>
    </row>
    <row r="82" spans="1:7">
      <c r="A82" s="302" t="s">
        <v>3129</v>
      </c>
      <c r="B82" s="299">
        <v>2018</v>
      </c>
      <c r="C82" s="299" t="s">
        <v>188</v>
      </c>
      <c r="D82" s="299">
        <v>19</v>
      </c>
      <c r="E82" s="299">
        <v>2352.9</v>
      </c>
      <c r="F82" s="67">
        <v>43671</v>
      </c>
      <c r="G82" s="183" t="s">
        <v>3421</v>
      </c>
    </row>
    <row r="83" spans="1:7">
      <c r="A83" s="302" t="s">
        <v>3129</v>
      </c>
      <c r="B83" s="299">
        <v>2018</v>
      </c>
      <c r="C83" s="299" t="s">
        <v>188</v>
      </c>
      <c r="D83" s="299">
        <v>20</v>
      </c>
      <c r="E83" s="299">
        <v>2198.4</v>
      </c>
      <c r="F83" s="67">
        <v>43671</v>
      </c>
      <c r="G83" s="183" t="s">
        <v>3421</v>
      </c>
    </row>
    <row r="84" spans="1:7">
      <c r="A84" s="302" t="s">
        <v>3129</v>
      </c>
      <c r="B84" s="299">
        <v>2018</v>
      </c>
      <c r="C84" s="299" t="s">
        <v>188</v>
      </c>
      <c r="D84" s="299" t="s">
        <v>3130</v>
      </c>
      <c r="E84" s="299">
        <v>1951.8</v>
      </c>
      <c r="F84" s="67">
        <v>43671</v>
      </c>
      <c r="G84" s="183" t="s">
        <v>3421</v>
      </c>
    </row>
    <row r="85" spans="1:7">
      <c r="A85" s="302" t="s">
        <v>3129</v>
      </c>
      <c r="B85" s="299">
        <v>2018</v>
      </c>
      <c r="C85" s="299" t="s">
        <v>188</v>
      </c>
      <c r="D85" s="299" t="s">
        <v>3131</v>
      </c>
      <c r="E85" s="299">
        <v>2233.4</v>
      </c>
      <c r="F85" s="67">
        <v>43671</v>
      </c>
      <c r="G85" s="183" t="s">
        <v>3421</v>
      </c>
    </row>
    <row r="86" spans="1:7">
      <c r="A86" s="302" t="s">
        <v>3129</v>
      </c>
      <c r="B86" s="299">
        <v>2018</v>
      </c>
      <c r="C86" s="299" t="s">
        <v>188</v>
      </c>
      <c r="D86" s="299" t="s">
        <v>3132</v>
      </c>
      <c r="E86" s="302">
        <v>2346.3000000000002</v>
      </c>
      <c r="F86" s="67">
        <v>43671</v>
      </c>
      <c r="G86" s="183" t="s">
        <v>3421</v>
      </c>
    </row>
    <row r="87" spans="1:7">
      <c r="A87" s="290" t="s">
        <v>3422</v>
      </c>
      <c r="B87" s="299">
        <v>2018</v>
      </c>
      <c r="C87" s="299" t="s">
        <v>194</v>
      </c>
      <c r="D87" s="299">
        <v>8</v>
      </c>
      <c r="E87" s="302">
        <v>2824.4</v>
      </c>
      <c r="F87" s="67">
        <v>43675</v>
      </c>
      <c r="G87" s="183" t="s">
        <v>3421</v>
      </c>
    </row>
    <row r="88" spans="1:7">
      <c r="A88" s="290" t="s">
        <v>3422</v>
      </c>
      <c r="B88" s="299">
        <v>2018</v>
      </c>
      <c r="C88" s="299" t="s">
        <v>194</v>
      </c>
      <c r="D88" s="299">
        <v>11</v>
      </c>
      <c r="E88" s="302">
        <v>2280.4</v>
      </c>
      <c r="F88" s="67">
        <v>43675</v>
      </c>
      <c r="G88" s="183" t="s">
        <v>3421</v>
      </c>
    </row>
    <row r="89" spans="1:7">
      <c r="A89" s="290" t="s">
        <v>3422</v>
      </c>
      <c r="B89" s="299">
        <v>2018</v>
      </c>
      <c r="C89" s="299" t="s">
        <v>194</v>
      </c>
      <c r="D89" s="299">
        <v>12</v>
      </c>
      <c r="E89" s="302">
        <v>2642.9</v>
      </c>
      <c r="F89" s="67">
        <v>43675</v>
      </c>
      <c r="G89" s="183" t="s">
        <v>3421</v>
      </c>
    </row>
    <row r="90" spans="1:7">
      <c r="A90" s="290" t="s">
        <v>3422</v>
      </c>
      <c r="B90" s="299">
        <v>2018</v>
      </c>
      <c r="C90" s="299" t="s">
        <v>194</v>
      </c>
      <c r="D90" s="299">
        <v>13</v>
      </c>
      <c r="E90" s="302">
        <v>2723.2</v>
      </c>
      <c r="F90" s="67">
        <v>43675</v>
      </c>
      <c r="G90" s="183" t="s">
        <v>3421</v>
      </c>
    </row>
    <row r="91" spans="1:7">
      <c r="A91" s="290" t="s">
        <v>3422</v>
      </c>
      <c r="B91" s="299">
        <v>2018</v>
      </c>
      <c r="C91" s="299" t="s">
        <v>194</v>
      </c>
      <c r="D91" s="299">
        <v>14</v>
      </c>
      <c r="E91" s="302">
        <v>2423.5</v>
      </c>
      <c r="F91" s="67">
        <v>43675</v>
      </c>
      <c r="G91" s="183" t="s">
        <v>3421</v>
      </c>
    </row>
    <row r="92" spans="1:7">
      <c r="A92" s="290" t="s">
        <v>3422</v>
      </c>
      <c r="B92" s="299">
        <v>2018</v>
      </c>
      <c r="C92" s="299" t="s">
        <v>194</v>
      </c>
      <c r="D92" s="299" t="s">
        <v>3136</v>
      </c>
      <c r="E92" s="302">
        <v>2653.8</v>
      </c>
      <c r="F92" s="67">
        <v>43675</v>
      </c>
      <c r="G92" s="183" t="s">
        <v>3421</v>
      </c>
    </row>
    <row r="93" spans="1:7">
      <c r="A93" s="290" t="s">
        <v>3422</v>
      </c>
      <c r="B93" s="299">
        <v>2018</v>
      </c>
      <c r="C93" s="299" t="s">
        <v>194</v>
      </c>
      <c r="D93" s="299" t="s">
        <v>3137</v>
      </c>
      <c r="E93" s="302">
        <v>3009.4</v>
      </c>
      <c r="F93" s="67">
        <v>43675</v>
      </c>
      <c r="G93" s="183" t="s">
        <v>3421</v>
      </c>
    </row>
    <row r="94" spans="1:7">
      <c r="A94" s="290" t="s">
        <v>3422</v>
      </c>
      <c r="B94" s="299">
        <v>2018</v>
      </c>
      <c r="C94" s="299" t="s">
        <v>194</v>
      </c>
      <c r="D94" s="299" t="s">
        <v>3138</v>
      </c>
      <c r="E94" s="302">
        <v>2516</v>
      </c>
      <c r="F94" s="67">
        <v>43675</v>
      </c>
      <c r="G94" s="183" t="s">
        <v>3421</v>
      </c>
    </row>
    <row r="95" spans="1:7">
      <c r="A95" s="290" t="s">
        <v>3422</v>
      </c>
      <c r="B95" s="299">
        <v>2018</v>
      </c>
      <c r="C95" s="299" t="s">
        <v>194</v>
      </c>
      <c r="D95" s="299">
        <v>16</v>
      </c>
      <c r="E95" s="302">
        <v>2379.1</v>
      </c>
      <c r="F95" s="67">
        <v>43675</v>
      </c>
      <c r="G95" s="183" t="s">
        <v>3421</v>
      </c>
    </row>
    <row r="96" spans="1:7">
      <c r="A96" s="290" t="s">
        <v>3422</v>
      </c>
      <c r="B96" s="299">
        <v>2018</v>
      </c>
      <c r="C96" s="299" t="s">
        <v>194</v>
      </c>
      <c r="D96" s="299">
        <v>17</v>
      </c>
      <c r="E96" s="302">
        <v>2950.2</v>
      </c>
      <c r="F96" s="67">
        <v>43675</v>
      </c>
      <c r="G96" s="183" t="s">
        <v>3421</v>
      </c>
    </row>
    <row r="97" spans="1:7">
      <c r="A97" s="290" t="s">
        <v>3422</v>
      </c>
      <c r="B97" s="299">
        <v>2018</v>
      </c>
      <c r="C97" s="299" t="s">
        <v>194</v>
      </c>
      <c r="D97">
        <v>18</v>
      </c>
      <c r="E97" s="458">
        <v>2161.8000000000002</v>
      </c>
      <c r="F97" s="67">
        <v>43675</v>
      </c>
      <c r="G97" s="183" t="s">
        <v>3421</v>
      </c>
    </row>
    <row r="98" spans="1:7">
      <c r="C98" s="299"/>
      <c r="F98" s="67"/>
    </row>
    <row r="99" spans="1:7">
      <c r="F99" s="6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DF83-F887-48F1-ABB7-0ECD9389FFA3}">
  <dimension ref="A1:X90"/>
  <sheetViews>
    <sheetView workbookViewId="0">
      <selection activeCell="W33" sqref="W33"/>
    </sheetView>
  </sheetViews>
  <sheetFormatPr defaultColWidth="8.83203125" defaultRowHeight="15.5"/>
  <cols>
    <col min="6" max="6" width="10.33203125" bestFit="1" customWidth="1"/>
    <col min="19" max="19" width="10.33203125" bestFit="1" customWidth="1"/>
  </cols>
  <sheetData>
    <row r="1" spans="1:23">
      <c r="A1" s="271" t="s">
        <v>2623</v>
      </c>
      <c r="B1" s="272"/>
      <c r="C1" s="90"/>
    </row>
    <row r="2" spans="1:23">
      <c r="C2" s="90"/>
    </row>
    <row r="3" spans="1:23">
      <c r="A3" s="273" t="s">
        <v>2624</v>
      </c>
    </row>
    <row r="4" spans="1:23">
      <c r="A4" s="274" t="s">
        <v>2625</v>
      </c>
      <c r="C4" s="90"/>
      <c r="D4" s="97"/>
      <c r="N4" s="274" t="s">
        <v>2625</v>
      </c>
      <c r="P4" s="90"/>
      <c r="Q4" s="97"/>
    </row>
    <row r="5" spans="1:23">
      <c r="A5" t="s">
        <v>2626</v>
      </c>
      <c r="C5" s="90"/>
      <c r="D5" s="97"/>
      <c r="N5" t="s">
        <v>2626</v>
      </c>
      <c r="P5" s="90"/>
      <c r="Q5" s="97"/>
    </row>
    <row r="6" spans="1:23">
      <c r="A6" t="s">
        <v>2627</v>
      </c>
      <c r="C6" s="90"/>
      <c r="D6" s="97"/>
      <c r="N6" t="s">
        <v>2627</v>
      </c>
      <c r="P6" s="90"/>
      <c r="Q6" s="97"/>
    </row>
    <row r="7" spans="1:23">
      <c r="A7" s="275" t="s">
        <v>2628</v>
      </c>
      <c r="C7" s="90"/>
      <c r="D7" s="97"/>
      <c r="N7" s="275" t="s">
        <v>2628</v>
      </c>
      <c r="P7" s="90"/>
      <c r="Q7" s="97"/>
    </row>
    <row r="8" spans="1:23">
      <c r="A8" s="51" t="s">
        <v>2629</v>
      </c>
      <c r="B8" s="6"/>
      <c r="C8" s="97"/>
      <c r="N8" s="51" t="s">
        <v>3186</v>
      </c>
      <c r="O8" s="6"/>
      <c r="P8" s="97"/>
      <c r="Q8" s="80" t="s">
        <v>3104</v>
      </c>
    </row>
    <row r="9" spans="1:23">
      <c r="A9" s="276" t="s">
        <v>2630</v>
      </c>
      <c r="B9" s="277" t="s">
        <v>27</v>
      </c>
      <c r="C9" s="277" t="s">
        <v>27</v>
      </c>
      <c r="D9" s="277" t="s">
        <v>2482</v>
      </c>
      <c r="E9" s="278" t="s">
        <v>2631</v>
      </c>
      <c r="F9" s="279" t="s">
        <v>2583</v>
      </c>
      <c r="G9" s="277" t="s">
        <v>2632</v>
      </c>
      <c r="H9" s="277" t="s">
        <v>2633</v>
      </c>
      <c r="I9" s="280" t="s">
        <v>2584</v>
      </c>
      <c r="J9" s="281"/>
      <c r="N9" s="276" t="s">
        <v>2630</v>
      </c>
      <c r="O9" s="277" t="s">
        <v>27</v>
      </c>
      <c r="P9" s="277" t="s">
        <v>27</v>
      </c>
      <c r="Q9" s="277" t="s">
        <v>2482</v>
      </c>
      <c r="R9" s="278" t="s">
        <v>2631</v>
      </c>
      <c r="S9" s="279" t="s">
        <v>2583</v>
      </c>
      <c r="T9" s="277" t="s">
        <v>2632</v>
      </c>
      <c r="U9" s="277" t="s">
        <v>2633</v>
      </c>
      <c r="V9" s="280" t="s">
        <v>2584</v>
      </c>
      <c r="W9" s="281"/>
    </row>
    <row r="10" spans="1:23">
      <c r="A10" s="276"/>
      <c r="B10" s="277" t="s">
        <v>2634</v>
      </c>
      <c r="C10" s="277" t="s">
        <v>43</v>
      </c>
      <c r="D10" s="277" t="s">
        <v>139</v>
      </c>
      <c r="E10" s="282" t="s">
        <v>2635</v>
      </c>
      <c r="F10" s="279" t="s">
        <v>2636</v>
      </c>
      <c r="G10" s="277"/>
      <c r="H10" s="277" t="s">
        <v>174</v>
      </c>
      <c r="I10" s="283" t="s">
        <v>2637</v>
      </c>
      <c r="J10" s="281" t="s">
        <v>2638</v>
      </c>
      <c r="N10" s="276"/>
      <c r="O10" s="277" t="s">
        <v>2634</v>
      </c>
      <c r="P10" s="277" t="s">
        <v>43</v>
      </c>
      <c r="Q10" s="277" t="s">
        <v>139</v>
      </c>
      <c r="R10" s="282" t="s">
        <v>2635</v>
      </c>
      <c r="S10" s="279" t="s">
        <v>2636</v>
      </c>
      <c r="T10" s="277"/>
      <c r="U10" s="277" t="s">
        <v>174</v>
      </c>
      <c r="V10" s="283" t="s">
        <v>2637</v>
      </c>
      <c r="W10" s="281" t="s">
        <v>2638</v>
      </c>
    </row>
    <row r="11" spans="1:23">
      <c r="A11" s="284" t="s">
        <v>2639</v>
      </c>
      <c r="B11" s="284"/>
      <c r="C11" s="284"/>
      <c r="D11" s="284"/>
      <c r="E11" s="285" t="s">
        <v>2640</v>
      </c>
      <c r="F11" s="286"/>
      <c r="G11" s="284"/>
      <c r="H11" s="284"/>
      <c r="I11" s="284"/>
      <c r="J11" s="274">
        <v>1</v>
      </c>
      <c r="N11" s="284" t="s">
        <v>2639</v>
      </c>
      <c r="O11" s="284"/>
      <c r="P11" s="284"/>
      <c r="Q11" s="284"/>
      <c r="R11" s="285" t="s">
        <v>2640</v>
      </c>
      <c r="S11" s="286"/>
      <c r="T11" s="284"/>
      <c r="U11" s="284"/>
      <c r="V11" s="284"/>
      <c r="W11" s="274">
        <v>1</v>
      </c>
    </row>
    <row r="12" spans="1:23">
      <c r="A12" s="287" t="s">
        <v>2641</v>
      </c>
      <c r="B12" s="287">
        <v>2018</v>
      </c>
      <c r="C12" s="287" t="s">
        <v>188</v>
      </c>
      <c r="D12" s="287">
        <v>1</v>
      </c>
      <c r="E12" s="288">
        <v>3539.2</v>
      </c>
      <c r="F12" s="289">
        <v>43633</v>
      </c>
      <c r="G12" s="287" t="s">
        <v>2491</v>
      </c>
      <c r="H12" s="284" t="s">
        <v>2642</v>
      </c>
      <c r="I12" s="284" t="s">
        <v>2643</v>
      </c>
      <c r="J12" s="274">
        <v>2</v>
      </c>
      <c r="N12" s="287" t="s">
        <v>2641</v>
      </c>
      <c r="O12" s="287">
        <v>2018</v>
      </c>
      <c r="P12" s="287" t="s">
        <v>194</v>
      </c>
      <c r="Q12" s="287" t="s">
        <v>2712</v>
      </c>
      <c r="R12" s="288">
        <v>2487.8000000000002</v>
      </c>
      <c r="S12" s="289">
        <v>43668</v>
      </c>
      <c r="T12" s="287" t="s">
        <v>2491</v>
      </c>
      <c r="U12" s="284" t="s">
        <v>2642</v>
      </c>
      <c r="V12" s="284" t="s">
        <v>3105</v>
      </c>
      <c r="W12" s="274">
        <v>2</v>
      </c>
    </row>
    <row r="13" spans="1:23">
      <c r="A13" s="290" t="s">
        <v>2644</v>
      </c>
      <c r="B13" s="287">
        <v>2018</v>
      </c>
      <c r="C13" s="287" t="s">
        <v>188</v>
      </c>
      <c r="D13" s="290">
        <v>2</v>
      </c>
      <c r="E13" s="290">
        <v>2901.9</v>
      </c>
      <c r="F13" s="289">
        <v>43633</v>
      </c>
      <c r="G13" s="287" t="s">
        <v>2491</v>
      </c>
      <c r="H13" s="284" t="s">
        <v>2642</v>
      </c>
      <c r="I13" s="284" t="s">
        <v>2643</v>
      </c>
      <c r="J13" s="274">
        <v>3</v>
      </c>
      <c r="N13" s="290" t="s">
        <v>2644</v>
      </c>
      <c r="O13" s="287">
        <v>2018</v>
      </c>
      <c r="P13" s="287" t="s">
        <v>190</v>
      </c>
      <c r="Q13" s="290" t="s">
        <v>2696</v>
      </c>
      <c r="R13" s="290">
        <v>2120.1</v>
      </c>
      <c r="S13" s="289">
        <v>43669</v>
      </c>
      <c r="T13" s="287" t="s">
        <v>2491</v>
      </c>
      <c r="U13" s="459">
        <v>0.28999999999999998</v>
      </c>
      <c r="V13" s="284">
        <v>22.6</v>
      </c>
      <c r="W13" s="274">
        <v>3</v>
      </c>
    </row>
    <row r="14" spans="1:23">
      <c r="A14" s="290" t="s">
        <v>2645</v>
      </c>
      <c r="B14" s="287">
        <v>2018</v>
      </c>
      <c r="C14" s="287" t="s">
        <v>188</v>
      </c>
      <c r="D14" s="290">
        <v>3</v>
      </c>
      <c r="E14" s="290">
        <v>3502.9</v>
      </c>
      <c r="F14" s="289">
        <v>43633</v>
      </c>
      <c r="G14" s="287" t="s">
        <v>2491</v>
      </c>
      <c r="H14" s="284" t="s">
        <v>2642</v>
      </c>
      <c r="I14" s="284" t="s">
        <v>2643</v>
      </c>
      <c r="J14" s="274">
        <v>4</v>
      </c>
      <c r="N14" s="290" t="s">
        <v>2645</v>
      </c>
      <c r="O14" s="287">
        <v>2018</v>
      </c>
      <c r="P14" s="287" t="s">
        <v>188</v>
      </c>
      <c r="Q14" s="290" t="s">
        <v>2675</v>
      </c>
      <c r="R14" s="290">
        <v>2150.6999999999998</v>
      </c>
      <c r="S14" s="289">
        <v>43671</v>
      </c>
      <c r="T14" s="287" t="s">
        <v>2491</v>
      </c>
      <c r="U14" s="284" t="s">
        <v>2647</v>
      </c>
      <c r="V14" s="284" t="s">
        <v>3128</v>
      </c>
      <c r="W14" s="274">
        <v>4</v>
      </c>
    </row>
    <row r="15" spans="1:23">
      <c r="A15" s="290" t="s">
        <v>2646</v>
      </c>
      <c r="B15" s="287">
        <v>2018</v>
      </c>
      <c r="C15" s="287" t="s">
        <v>188</v>
      </c>
      <c r="D15" s="290">
        <v>4</v>
      </c>
      <c r="E15" s="290">
        <v>3399.6</v>
      </c>
      <c r="F15" s="289">
        <v>43634</v>
      </c>
      <c r="G15" s="287" t="s">
        <v>2491</v>
      </c>
      <c r="H15" s="290" t="s">
        <v>2647</v>
      </c>
      <c r="I15" s="290" t="s">
        <v>2648</v>
      </c>
      <c r="J15" s="274">
        <v>5</v>
      </c>
      <c r="N15" s="290" t="s">
        <v>2646</v>
      </c>
      <c r="O15" s="287"/>
      <c r="P15" s="284" t="s">
        <v>2692</v>
      </c>
      <c r="Q15" s="290"/>
      <c r="R15" s="290">
        <v>816</v>
      </c>
      <c r="S15" s="289">
        <v>43669</v>
      </c>
      <c r="T15" s="287" t="s">
        <v>2491</v>
      </c>
      <c r="U15" s="284" t="s">
        <v>2642</v>
      </c>
      <c r="V15" s="290" t="s">
        <v>3106</v>
      </c>
      <c r="W15" s="274">
        <v>5</v>
      </c>
    </row>
    <row r="16" spans="1:23">
      <c r="A16" s="290" t="s">
        <v>2649</v>
      </c>
      <c r="B16" s="287">
        <v>2018</v>
      </c>
      <c r="C16" s="287" t="s">
        <v>188</v>
      </c>
      <c r="D16" s="290">
        <v>6</v>
      </c>
      <c r="E16" s="290">
        <v>1560.1</v>
      </c>
      <c r="F16" s="289">
        <v>43634</v>
      </c>
      <c r="G16" s="287" t="s">
        <v>2491</v>
      </c>
      <c r="H16" s="290" t="s">
        <v>2647</v>
      </c>
      <c r="I16" s="290" t="s">
        <v>2648</v>
      </c>
      <c r="J16" s="274">
        <v>6</v>
      </c>
      <c r="N16" s="290" t="s">
        <v>2649</v>
      </c>
      <c r="O16" s="287"/>
      <c r="P16" s="284" t="s">
        <v>2716</v>
      </c>
      <c r="Q16" s="290"/>
      <c r="R16" s="290">
        <v>431.3</v>
      </c>
      <c r="S16" s="289">
        <v>43669</v>
      </c>
      <c r="T16" s="287" t="s">
        <v>2491</v>
      </c>
      <c r="U16" s="284" t="s">
        <v>2642</v>
      </c>
      <c r="V16" s="290" t="s">
        <v>3106</v>
      </c>
      <c r="W16" s="274">
        <v>6</v>
      </c>
    </row>
    <row r="17" spans="1:24">
      <c r="A17" s="290" t="s">
        <v>2650</v>
      </c>
      <c r="B17" s="287">
        <v>2018</v>
      </c>
      <c r="C17" s="287" t="s">
        <v>188</v>
      </c>
      <c r="D17" s="290">
        <v>7</v>
      </c>
      <c r="E17" s="290">
        <v>2708.3</v>
      </c>
      <c r="F17" s="289">
        <v>43634</v>
      </c>
      <c r="G17" s="287" t="s">
        <v>2491</v>
      </c>
      <c r="H17" s="290" t="s">
        <v>2647</v>
      </c>
      <c r="I17" s="290" t="s">
        <v>2648</v>
      </c>
      <c r="J17" s="274">
        <v>7</v>
      </c>
      <c r="N17" s="290" t="s">
        <v>2650</v>
      </c>
      <c r="O17" s="287"/>
      <c r="P17" s="287" t="s">
        <v>2665</v>
      </c>
      <c r="Q17" s="290"/>
      <c r="R17" s="290">
        <v>3812.6</v>
      </c>
      <c r="S17" s="289">
        <v>43669</v>
      </c>
      <c r="T17" s="287" t="s">
        <v>2491</v>
      </c>
      <c r="U17" s="284" t="s">
        <v>2642</v>
      </c>
      <c r="V17" s="290" t="s">
        <v>3106</v>
      </c>
      <c r="W17" s="274">
        <v>7</v>
      </c>
    </row>
    <row r="18" spans="1:24">
      <c r="A18" s="290" t="s">
        <v>2651</v>
      </c>
      <c r="B18" s="287">
        <v>2018</v>
      </c>
      <c r="C18" s="287" t="s">
        <v>188</v>
      </c>
      <c r="D18" s="290" t="s">
        <v>2652</v>
      </c>
      <c r="E18" s="290">
        <v>3559.1</v>
      </c>
      <c r="F18" s="289">
        <v>43634</v>
      </c>
      <c r="G18" s="287" t="s">
        <v>2491</v>
      </c>
      <c r="H18" s="290" t="s">
        <v>2647</v>
      </c>
      <c r="I18" s="290" t="s">
        <v>2648</v>
      </c>
      <c r="J18" s="274">
        <v>8</v>
      </c>
      <c r="N18" s="290" t="s">
        <v>2651</v>
      </c>
      <c r="O18" s="287"/>
      <c r="P18" s="287" t="s">
        <v>2679</v>
      </c>
      <c r="Q18" s="290"/>
      <c r="R18" s="290">
        <v>3234.3</v>
      </c>
      <c r="S18" s="289">
        <v>43669</v>
      </c>
      <c r="T18" s="287" t="s">
        <v>2491</v>
      </c>
      <c r="U18" s="284" t="s">
        <v>2642</v>
      </c>
      <c r="V18" s="290" t="s">
        <v>3106</v>
      </c>
      <c r="W18" s="274">
        <v>8</v>
      </c>
    </row>
    <row r="19" spans="1:24">
      <c r="A19" s="290" t="s">
        <v>2653</v>
      </c>
      <c r="B19" s="287">
        <v>2018</v>
      </c>
      <c r="C19" s="287" t="s">
        <v>188</v>
      </c>
      <c r="D19" s="290" t="s">
        <v>2654</v>
      </c>
      <c r="E19" s="290">
        <v>3029.2</v>
      </c>
      <c r="F19" s="289">
        <v>43634</v>
      </c>
      <c r="G19" s="287" t="s">
        <v>2491</v>
      </c>
      <c r="H19" s="290" t="s">
        <v>2647</v>
      </c>
      <c r="I19" s="290" t="s">
        <v>2648</v>
      </c>
      <c r="J19" s="274">
        <v>9</v>
      </c>
      <c r="N19" s="284" t="s">
        <v>2653</v>
      </c>
      <c r="O19" s="287">
        <v>2018</v>
      </c>
      <c r="P19" s="287" t="s">
        <v>188</v>
      </c>
      <c r="Q19" s="290">
        <v>15</v>
      </c>
      <c r="R19" s="290">
        <v>2761.5</v>
      </c>
      <c r="S19" s="289">
        <v>43671</v>
      </c>
      <c r="T19" s="287" t="s">
        <v>2491</v>
      </c>
      <c r="U19" s="284" t="s">
        <v>2647</v>
      </c>
      <c r="V19" s="284" t="s">
        <v>3128</v>
      </c>
      <c r="W19" s="274">
        <v>9</v>
      </c>
    </row>
    <row r="20" spans="1:24">
      <c r="A20" s="290" t="s">
        <v>2655</v>
      </c>
      <c r="B20" s="287">
        <v>2018</v>
      </c>
      <c r="C20" s="287" t="s">
        <v>188</v>
      </c>
      <c r="D20" s="290">
        <v>10</v>
      </c>
      <c r="E20" s="290">
        <v>2587.3000000000002</v>
      </c>
      <c r="F20" s="289">
        <v>43634</v>
      </c>
      <c r="G20" s="287" t="s">
        <v>2491</v>
      </c>
      <c r="H20" s="290" t="s">
        <v>2647</v>
      </c>
      <c r="I20" s="290" t="s">
        <v>2648</v>
      </c>
      <c r="J20" s="274">
        <v>10</v>
      </c>
      <c r="N20" s="287" t="s">
        <v>2655</v>
      </c>
      <c r="O20" s="287">
        <v>2018</v>
      </c>
      <c r="P20" s="287" t="s">
        <v>188</v>
      </c>
      <c r="Q20" s="290" t="s">
        <v>2677</v>
      </c>
      <c r="R20" s="472">
        <v>2493</v>
      </c>
      <c r="S20" s="289">
        <v>43671</v>
      </c>
      <c r="T20" s="287" t="s">
        <v>2491</v>
      </c>
      <c r="U20" s="284" t="s">
        <v>2647</v>
      </c>
      <c r="V20" s="284" t="s">
        <v>3128</v>
      </c>
      <c r="W20" s="274">
        <v>10</v>
      </c>
    </row>
    <row r="21" spans="1:24">
      <c r="A21" s="290" t="s">
        <v>2656</v>
      </c>
      <c r="B21" s="287">
        <v>2018</v>
      </c>
      <c r="C21" s="287" t="s">
        <v>188</v>
      </c>
      <c r="D21" s="290">
        <v>11</v>
      </c>
      <c r="E21" s="290">
        <v>2477.1</v>
      </c>
      <c r="F21" s="289">
        <v>43634</v>
      </c>
      <c r="G21" s="287" t="s">
        <v>2491</v>
      </c>
      <c r="H21" s="290" t="s">
        <v>2647</v>
      </c>
      <c r="I21" s="290" t="s">
        <v>2648</v>
      </c>
      <c r="J21" s="274">
        <v>11</v>
      </c>
      <c r="N21" s="290" t="s">
        <v>2656</v>
      </c>
      <c r="O21" s="287">
        <v>2018</v>
      </c>
      <c r="P21" s="287" t="s">
        <v>188</v>
      </c>
      <c r="Q21" s="290" t="s">
        <v>3096</v>
      </c>
      <c r="R21" s="472">
        <v>2158.6</v>
      </c>
      <c r="S21" s="289">
        <v>43671</v>
      </c>
      <c r="T21" s="287" t="s">
        <v>2491</v>
      </c>
      <c r="U21" s="284" t="s">
        <v>2647</v>
      </c>
      <c r="V21" s="284" t="s">
        <v>3128</v>
      </c>
      <c r="W21" s="274">
        <v>11</v>
      </c>
    </row>
    <row r="22" spans="1:24">
      <c r="A22" s="290" t="s">
        <v>2657</v>
      </c>
      <c r="B22" s="287">
        <v>2018</v>
      </c>
      <c r="C22" s="287" t="s">
        <v>188</v>
      </c>
      <c r="D22" s="290">
        <v>12</v>
      </c>
      <c r="E22" s="290">
        <v>2971.5</v>
      </c>
      <c r="F22" s="289">
        <v>43634</v>
      </c>
      <c r="G22" s="287" t="s">
        <v>2491</v>
      </c>
      <c r="H22" s="290" t="s">
        <v>2647</v>
      </c>
      <c r="I22" s="290" t="s">
        <v>2648</v>
      </c>
      <c r="J22" s="291">
        <v>12</v>
      </c>
      <c r="N22" s="290" t="s">
        <v>2657</v>
      </c>
      <c r="O22" s="287">
        <v>2018</v>
      </c>
      <c r="P22" s="287" t="s">
        <v>190</v>
      </c>
      <c r="Q22" s="290" t="s">
        <v>2698</v>
      </c>
      <c r="R22" s="290">
        <v>2153.1</v>
      </c>
      <c r="S22" s="289">
        <v>43675</v>
      </c>
      <c r="T22" s="287" t="s">
        <v>2491</v>
      </c>
      <c r="U22" s="290"/>
      <c r="V22" s="290"/>
      <c r="W22" s="274">
        <v>12</v>
      </c>
    </row>
    <row r="23" spans="1:24">
      <c r="A23" s="284" t="s">
        <v>2658</v>
      </c>
      <c r="B23" s="287">
        <v>2018</v>
      </c>
      <c r="C23" s="287" t="s">
        <v>188</v>
      </c>
      <c r="D23" s="290">
        <v>13</v>
      </c>
      <c r="E23" s="290">
        <v>3130.6</v>
      </c>
      <c r="F23" s="289">
        <v>43634</v>
      </c>
      <c r="G23" s="287" t="s">
        <v>2491</v>
      </c>
      <c r="H23" s="290" t="s">
        <v>2647</v>
      </c>
      <c r="I23" s="290" t="s">
        <v>2648</v>
      </c>
      <c r="J23" s="274">
        <v>13</v>
      </c>
      <c r="N23" s="472" t="s">
        <v>2658</v>
      </c>
      <c r="O23" s="287">
        <v>2018</v>
      </c>
      <c r="P23" s="287" t="s">
        <v>190</v>
      </c>
      <c r="Q23" s="290" t="s">
        <v>3101</v>
      </c>
      <c r="R23" s="290">
        <v>2329.6999999999998</v>
      </c>
      <c r="S23" s="289">
        <v>43675</v>
      </c>
      <c r="T23" s="287" t="s">
        <v>2491</v>
      </c>
      <c r="U23" s="290"/>
      <c r="V23" s="290"/>
      <c r="W23" s="274">
        <v>13</v>
      </c>
    </row>
    <row r="24" spans="1:24">
      <c r="A24" s="287" t="s">
        <v>2659</v>
      </c>
      <c r="B24" s="287">
        <v>2018</v>
      </c>
      <c r="C24" s="287" t="s">
        <v>188</v>
      </c>
      <c r="D24" s="290" t="s">
        <v>2660</v>
      </c>
      <c r="E24" s="290">
        <v>3088.2</v>
      </c>
      <c r="F24" s="289">
        <v>43634</v>
      </c>
      <c r="G24" s="287" t="s">
        <v>2491</v>
      </c>
      <c r="H24" s="290" t="s">
        <v>2647</v>
      </c>
      <c r="I24" s="290" t="s">
        <v>2648</v>
      </c>
      <c r="J24" s="274">
        <v>14</v>
      </c>
      <c r="N24" s="472" t="s">
        <v>2659</v>
      </c>
      <c r="O24" s="287">
        <v>2018</v>
      </c>
      <c r="P24" s="287" t="s">
        <v>190</v>
      </c>
      <c r="Q24" s="290" t="s">
        <v>3133</v>
      </c>
      <c r="R24" s="290">
        <v>2345.5</v>
      </c>
      <c r="S24" s="289">
        <v>43675</v>
      </c>
      <c r="T24" s="287" t="s">
        <v>2491</v>
      </c>
      <c r="U24" s="290"/>
      <c r="V24" s="290"/>
      <c r="W24" s="274">
        <v>14</v>
      </c>
    </row>
    <row r="25" spans="1:24">
      <c r="A25" s="290" t="s">
        <v>2661</v>
      </c>
      <c r="B25" s="287">
        <v>2018</v>
      </c>
      <c r="C25" s="287" t="s">
        <v>188</v>
      </c>
      <c r="D25" s="290" t="s">
        <v>2662</v>
      </c>
      <c r="E25" s="290">
        <v>3012.6</v>
      </c>
      <c r="F25" s="289">
        <v>43634</v>
      </c>
      <c r="G25" s="287" t="s">
        <v>2491</v>
      </c>
      <c r="H25" s="290" t="s">
        <v>2647</v>
      </c>
      <c r="I25" s="290" t="s">
        <v>2648</v>
      </c>
      <c r="J25" s="274">
        <v>15</v>
      </c>
      <c r="N25" s="472" t="s">
        <v>2661</v>
      </c>
      <c r="O25" s="287">
        <v>2018</v>
      </c>
      <c r="P25" s="287" t="s">
        <v>194</v>
      </c>
      <c r="Q25" s="290" t="s">
        <v>2714</v>
      </c>
      <c r="R25" s="290">
        <v>2404.9</v>
      </c>
      <c r="S25" s="289">
        <v>43675</v>
      </c>
      <c r="T25" s="287" t="s">
        <v>2491</v>
      </c>
      <c r="U25" s="290"/>
      <c r="V25" s="290"/>
      <c r="W25" s="274">
        <v>15</v>
      </c>
      <c r="X25" t="s">
        <v>3135</v>
      </c>
    </row>
    <row r="26" spans="1:24">
      <c r="A26" s="290" t="s">
        <v>2663</v>
      </c>
      <c r="B26" s="287">
        <v>2018</v>
      </c>
      <c r="C26" s="287" t="s">
        <v>188</v>
      </c>
      <c r="D26" s="290">
        <v>15</v>
      </c>
      <c r="E26" s="290">
        <v>2892.1</v>
      </c>
      <c r="F26" s="289">
        <v>43634</v>
      </c>
      <c r="G26" s="287" t="s">
        <v>2491</v>
      </c>
      <c r="H26" s="290" t="s">
        <v>2647</v>
      </c>
      <c r="I26" s="290" t="s">
        <v>2648</v>
      </c>
      <c r="J26" s="274">
        <v>16</v>
      </c>
      <c r="N26" s="472" t="s">
        <v>2663</v>
      </c>
      <c r="O26" s="287">
        <v>2018</v>
      </c>
      <c r="P26" s="287" t="s">
        <v>194</v>
      </c>
      <c r="Q26" s="290" t="s">
        <v>3097</v>
      </c>
      <c r="R26" s="290">
        <v>2056.8000000000002</v>
      </c>
      <c r="S26" s="289">
        <v>43675</v>
      </c>
      <c r="T26" s="287" t="s">
        <v>2491</v>
      </c>
      <c r="U26" s="290"/>
      <c r="V26" s="290"/>
      <c r="W26" s="274">
        <v>16</v>
      </c>
    </row>
    <row r="27" spans="1:24">
      <c r="A27" s="290" t="s">
        <v>2664</v>
      </c>
      <c r="B27" s="287"/>
      <c r="C27" s="287" t="s">
        <v>2665</v>
      </c>
      <c r="D27" s="290"/>
      <c r="E27" s="290">
        <v>3386.1</v>
      </c>
      <c r="F27" s="289">
        <v>43633</v>
      </c>
      <c r="G27" s="287" t="s">
        <v>2491</v>
      </c>
      <c r="H27" s="284" t="s">
        <v>2642</v>
      </c>
      <c r="I27" s="284" t="s">
        <v>2643</v>
      </c>
      <c r="J27" s="274">
        <v>17</v>
      </c>
      <c r="N27" s="472" t="s">
        <v>2664</v>
      </c>
      <c r="O27" s="287">
        <v>2018</v>
      </c>
      <c r="P27" s="287" t="s">
        <v>194</v>
      </c>
      <c r="Q27" s="290" t="s">
        <v>3134</v>
      </c>
      <c r="R27" s="290">
        <v>2346.8000000000002</v>
      </c>
      <c r="S27" s="289">
        <v>43675</v>
      </c>
      <c r="T27" s="287" t="s">
        <v>2491</v>
      </c>
      <c r="U27" s="290"/>
      <c r="V27" s="290"/>
      <c r="W27" s="274">
        <v>17</v>
      </c>
    </row>
    <row r="28" spans="1:24">
      <c r="A28" s="290" t="s">
        <v>2666</v>
      </c>
      <c r="B28" s="287">
        <v>2018</v>
      </c>
      <c r="C28" s="287" t="s">
        <v>188</v>
      </c>
      <c r="D28" s="290">
        <v>16</v>
      </c>
      <c r="E28" s="290">
        <v>3065</v>
      </c>
      <c r="F28" s="289">
        <v>43634</v>
      </c>
      <c r="G28" s="287" t="s">
        <v>2491</v>
      </c>
      <c r="H28" s="290" t="s">
        <v>2647</v>
      </c>
      <c r="I28" s="290" t="s">
        <v>2648</v>
      </c>
      <c r="J28" s="274">
        <v>18</v>
      </c>
      <c r="N28" s="290" t="s">
        <v>2666</v>
      </c>
      <c r="O28" s="290"/>
      <c r="P28" s="284" t="s">
        <v>2735</v>
      </c>
      <c r="Q28" s="290"/>
      <c r="R28" s="290">
        <v>509.4</v>
      </c>
      <c r="S28" s="289">
        <v>43675</v>
      </c>
      <c r="T28" s="287" t="s">
        <v>2491</v>
      </c>
      <c r="U28" s="290"/>
      <c r="V28" s="290"/>
      <c r="W28" s="274">
        <v>18</v>
      </c>
    </row>
    <row r="29" spans="1:24">
      <c r="A29" s="290" t="s">
        <v>2667</v>
      </c>
      <c r="B29" s="287">
        <v>2018</v>
      </c>
      <c r="C29" s="287" t="s">
        <v>188</v>
      </c>
      <c r="D29" s="290">
        <v>17</v>
      </c>
      <c r="E29" s="290">
        <v>2959.7</v>
      </c>
      <c r="F29" s="289">
        <v>43634</v>
      </c>
      <c r="G29" s="287" t="s">
        <v>2491</v>
      </c>
      <c r="H29" s="290" t="s">
        <v>2647</v>
      </c>
      <c r="I29" s="290" t="s">
        <v>2648</v>
      </c>
      <c r="J29" s="274">
        <v>19</v>
      </c>
      <c r="N29" s="290" t="s">
        <v>2667</v>
      </c>
      <c r="O29" s="290"/>
      <c r="P29" s="287" t="s">
        <v>2724</v>
      </c>
      <c r="Q29" s="290"/>
      <c r="R29" s="290">
        <v>2616.1</v>
      </c>
      <c r="S29" s="289">
        <v>43675</v>
      </c>
      <c r="T29" s="287" t="s">
        <v>2491</v>
      </c>
      <c r="U29" s="290"/>
      <c r="V29" s="290"/>
      <c r="W29" s="274">
        <v>19</v>
      </c>
    </row>
    <row r="30" spans="1:24">
      <c r="A30" s="290" t="s">
        <v>2668</v>
      </c>
      <c r="B30" s="287">
        <v>2018</v>
      </c>
      <c r="C30" s="287" t="s">
        <v>188</v>
      </c>
      <c r="D30" s="290">
        <v>18</v>
      </c>
      <c r="E30" s="290">
        <v>3300.7</v>
      </c>
      <c r="F30" s="289">
        <v>43634</v>
      </c>
      <c r="G30" s="287" t="s">
        <v>2491</v>
      </c>
      <c r="H30" s="290" t="s">
        <v>2647</v>
      </c>
      <c r="I30" s="290" t="s">
        <v>2648</v>
      </c>
      <c r="J30" s="274">
        <v>20</v>
      </c>
    </row>
    <row r="31" spans="1:24">
      <c r="A31" s="290" t="s">
        <v>2669</v>
      </c>
      <c r="B31" s="287">
        <v>2018</v>
      </c>
      <c r="C31" s="287" t="s">
        <v>188</v>
      </c>
      <c r="D31" s="290">
        <v>19</v>
      </c>
      <c r="E31" s="290">
        <v>3068.9</v>
      </c>
      <c r="F31" s="289">
        <v>43634</v>
      </c>
      <c r="G31" s="287" t="s">
        <v>2491</v>
      </c>
      <c r="H31" s="290" t="s">
        <v>2647</v>
      </c>
      <c r="I31" s="290" t="s">
        <v>2648</v>
      </c>
      <c r="J31" s="274">
        <v>21</v>
      </c>
    </row>
    <row r="32" spans="1:24">
      <c r="A32" s="290" t="s">
        <v>2670</v>
      </c>
      <c r="B32" s="287">
        <v>2018</v>
      </c>
      <c r="C32" s="287" t="s">
        <v>188</v>
      </c>
      <c r="D32" s="290">
        <v>20</v>
      </c>
      <c r="E32" s="290">
        <v>3276.2</v>
      </c>
      <c r="F32" s="289">
        <v>43634</v>
      </c>
      <c r="G32" s="287" t="s">
        <v>2491</v>
      </c>
      <c r="H32" s="290" t="s">
        <v>2647</v>
      </c>
      <c r="I32" s="290" t="s">
        <v>2648</v>
      </c>
      <c r="J32" s="274">
        <v>22</v>
      </c>
    </row>
    <row r="33" spans="1:10">
      <c r="A33" s="290" t="s">
        <v>2671</v>
      </c>
      <c r="B33" s="287">
        <v>2018</v>
      </c>
      <c r="C33" s="287" t="s">
        <v>188</v>
      </c>
      <c r="D33" s="290">
        <v>21</v>
      </c>
      <c r="E33" s="290">
        <v>2831.1</v>
      </c>
      <c r="F33" s="289">
        <v>43634</v>
      </c>
      <c r="G33" s="287" t="s">
        <v>2491</v>
      </c>
      <c r="H33" s="290" t="s">
        <v>2647</v>
      </c>
      <c r="I33" s="290" t="s">
        <v>2648</v>
      </c>
      <c r="J33" s="274">
        <v>23</v>
      </c>
    </row>
    <row r="34" spans="1:10">
      <c r="A34" s="290" t="s">
        <v>2672</v>
      </c>
      <c r="B34" s="287">
        <v>2018</v>
      </c>
      <c r="C34" s="287" t="s">
        <v>190</v>
      </c>
      <c r="D34" s="287">
        <v>1</v>
      </c>
      <c r="E34" s="290">
        <v>3553.9</v>
      </c>
      <c r="F34" s="289">
        <v>43633</v>
      </c>
      <c r="G34" s="287" t="s">
        <v>2491</v>
      </c>
      <c r="H34" s="284" t="s">
        <v>2642</v>
      </c>
      <c r="I34" s="284" t="s">
        <v>2643</v>
      </c>
      <c r="J34" s="291">
        <v>24</v>
      </c>
    </row>
    <row r="35" spans="1:10">
      <c r="A35" s="284" t="s">
        <v>2673</v>
      </c>
      <c r="B35" s="287">
        <v>2018</v>
      </c>
      <c r="C35" s="287" t="s">
        <v>190</v>
      </c>
      <c r="D35" s="290">
        <v>2</v>
      </c>
      <c r="E35" s="290">
        <v>3085.4</v>
      </c>
      <c r="F35" s="289">
        <v>43633</v>
      </c>
      <c r="G35" s="287" t="s">
        <v>2491</v>
      </c>
      <c r="H35" s="284" t="s">
        <v>2642</v>
      </c>
      <c r="I35" s="284" t="s">
        <v>2643</v>
      </c>
      <c r="J35" s="274">
        <v>25</v>
      </c>
    </row>
    <row r="36" spans="1:10">
      <c r="A36" s="287" t="s">
        <v>2674</v>
      </c>
      <c r="B36" s="287">
        <v>2018</v>
      </c>
      <c r="C36" s="287" t="s">
        <v>190</v>
      </c>
      <c r="D36" s="290" t="s">
        <v>2675</v>
      </c>
      <c r="E36" s="290">
        <v>3142.3</v>
      </c>
      <c r="F36" s="289">
        <v>43633</v>
      </c>
      <c r="G36" s="287" t="s">
        <v>2491</v>
      </c>
      <c r="H36" s="284" t="s">
        <v>2642</v>
      </c>
      <c r="I36" s="284" t="s">
        <v>2643</v>
      </c>
      <c r="J36" s="274">
        <v>26</v>
      </c>
    </row>
    <row r="37" spans="1:10">
      <c r="A37" s="290" t="s">
        <v>2676</v>
      </c>
      <c r="B37" s="287">
        <v>2018</v>
      </c>
      <c r="C37" s="287" t="s">
        <v>190</v>
      </c>
      <c r="D37" s="290" t="s">
        <v>2677</v>
      </c>
      <c r="E37" s="290">
        <v>2714.8</v>
      </c>
      <c r="F37" s="289">
        <v>43633</v>
      </c>
      <c r="G37" s="287" t="s">
        <v>2491</v>
      </c>
      <c r="H37" s="284" t="s">
        <v>2642</v>
      </c>
      <c r="I37" s="284" t="s">
        <v>2643</v>
      </c>
      <c r="J37" s="274">
        <v>27</v>
      </c>
    </row>
    <row r="38" spans="1:10">
      <c r="A38" s="290" t="s">
        <v>2678</v>
      </c>
      <c r="B38" s="290"/>
      <c r="C38" s="287" t="s">
        <v>2679</v>
      </c>
      <c r="D38" s="290"/>
      <c r="E38" s="290">
        <v>3448</v>
      </c>
      <c r="F38" s="289">
        <v>43633</v>
      </c>
      <c r="G38" s="287" t="s">
        <v>2491</v>
      </c>
      <c r="H38" s="284" t="s">
        <v>2642</v>
      </c>
      <c r="I38" s="284" t="s">
        <v>2643</v>
      </c>
      <c r="J38" s="274">
        <v>28</v>
      </c>
    </row>
    <row r="39" spans="1:10">
      <c r="A39" s="290" t="s">
        <v>2680</v>
      </c>
      <c r="B39" s="287">
        <v>2018</v>
      </c>
      <c r="C39" s="287" t="s">
        <v>190</v>
      </c>
      <c r="D39" s="290">
        <v>4</v>
      </c>
      <c r="E39" s="290">
        <v>2982.2</v>
      </c>
      <c r="F39" s="289">
        <v>43633</v>
      </c>
      <c r="G39" s="287" t="s">
        <v>2491</v>
      </c>
      <c r="H39" s="284" t="s">
        <v>2642</v>
      </c>
      <c r="I39" s="284" t="s">
        <v>2643</v>
      </c>
      <c r="J39" s="274">
        <v>29</v>
      </c>
    </row>
    <row r="40" spans="1:10">
      <c r="A40" s="290" t="s">
        <v>2681</v>
      </c>
      <c r="B40" s="287">
        <v>2018</v>
      </c>
      <c r="C40" s="287" t="s">
        <v>190</v>
      </c>
      <c r="D40" s="290">
        <v>5</v>
      </c>
      <c r="E40" s="290">
        <v>2750.4</v>
      </c>
      <c r="F40" s="289">
        <v>43633</v>
      </c>
      <c r="G40" s="287" t="s">
        <v>2491</v>
      </c>
      <c r="H40" s="284" t="s">
        <v>2642</v>
      </c>
      <c r="I40" s="284" t="s">
        <v>2643</v>
      </c>
      <c r="J40" s="274">
        <v>30</v>
      </c>
    </row>
    <row r="41" spans="1:10">
      <c r="A41" s="290" t="s">
        <v>2682</v>
      </c>
      <c r="B41" s="287">
        <v>2018</v>
      </c>
      <c r="C41" s="287" t="s">
        <v>190</v>
      </c>
      <c r="D41" s="290">
        <v>6</v>
      </c>
      <c r="E41" s="290">
        <v>3276.1</v>
      </c>
      <c r="F41" s="289">
        <v>43633</v>
      </c>
      <c r="G41" s="287" t="s">
        <v>2491</v>
      </c>
      <c r="H41" s="284" t="s">
        <v>2642</v>
      </c>
      <c r="I41" s="284" t="s">
        <v>2643</v>
      </c>
      <c r="J41" s="274">
        <v>31</v>
      </c>
    </row>
    <row r="42" spans="1:10">
      <c r="A42" s="290" t="s">
        <v>2683</v>
      </c>
      <c r="B42" s="287">
        <v>2018</v>
      </c>
      <c r="C42" s="287" t="s">
        <v>190</v>
      </c>
      <c r="D42" s="290">
        <v>7</v>
      </c>
      <c r="E42" s="290">
        <v>3197</v>
      </c>
      <c r="F42" s="289">
        <v>43633</v>
      </c>
      <c r="G42" s="287" t="s">
        <v>2491</v>
      </c>
      <c r="H42" s="284" t="s">
        <v>2642</v>
      </c>
      <c r="I42" s="284" t="s">
        <v>2643</v>
      </c>
      <c r="J42" s="274">
        <v>32</v>
      </c>
    </row>
    <row r="43" spans="1:10">
      <c r="A43" s="290" t="s">
        <v>2684</v>
      </c>
      <c r="B43" s="287">
        <v>2018</v>
      </c>
      <c r="C43" s="287" t="s">
        <v>190</v>
      </c>
      <c r="D43" s="290">
        <v>8</v>
      </c>
      <c r="E43" s="290">
        <v>2794</v>
      </c>
      <c r="F43" s="289">
        <v>43633</v>
      </c>
      <c r="G43" s="287" t="s">
        <v>2491</v>
      </c>
      <c r="H43" s="284" t="s">
        <v>2642</v>
      </c>
      <c r="I43" s="284" t="s">
        <v>2643</v>
      </c>
      <c r="J43" s="274">
        <v>33</v>
      </c>
    </row>
    <row r="44" spans="1:10">
      <c r="A44" s="290" t="s">
        <v>2685</v>
      </c>
      <c r="B44" s="287">
        <v>2018</v>
      </c>
      <c r="C44" s="287" t="s">
        <v>190</v>
      </c>
      <c r="D44" s="290">
        <v>9</v>
      </c>
      <c r="E44" s="290">
        <v>2869.8</v>
      </c>
      <c r="F44" s="289">
        <v>43633</v>
      </c>
      <c r="G44" s="287" t="s">
        <v>2491</v>
      </c>
      <c r="H44" s="284" t="s">
        <v>2642</v>
      </c>
      <c r="I44" s="284" t="s">
        <v>2643</v>
      </c>
      <c r="J44" s="274">
        <v>34</v>
      </c>
    </row>
    <row r="45" spans="1:10">
      <c r="A45" s="290" t="s">
        <v>2686</v>
      </c>
      <c r="B45" s="287">
        <v>2018</v>
      </c>
      <c r="C45" s="287" t="s">
        <v>190</v>
      </c>
      <c r="D45" s="290">
        <v>10</v>
      </c>
      <c r="E45" s="290">
        <v>2990.7</v>
      </c>
      <c r="F45" s="289">
        <v>43633</v>
      </c>
      <c r="G45" s="287" t="s">
        <v>2491</v>
      </c>
      <c r="H45" s="284" t="s">
        <v>2642</v>
      </c>
      <c r="I45" s="284" t="s">
        <v>2643</v>
      </c>
      <c r="J45" s="274">
        <v>35</v>
      </c>
    </row>
    <row r="46" spans="1:10">
      <c r="A46" s="290" t="s">
        <v>2687</v>
      </c>
      <c r="B46" s="287">
        <v>2018</v>
      </c>
      <c r="C46" s="287" t="s">
        <v>190</v>
      </c>
      <c r="D46" s="290">
        <v>11</v>
      </c>
      <c r="E46" s="290">
        <v>3129.3</v>
      </c>
      <c r="F46" s="289">
        <v>43633</v>
      </c>
      <c r="G46" s="287" t="s">
        <v>2491</v>
      </c>
      <c r="H46" s="284" t="s">
        <v>2642</v>
      </c>
      <c r="I46" s="284" t="s">
        <v>2643</v>
      </c>
      <c r="J46" s="291">
        <v>36</v>
      </c>
    </row>
    <row r="47" spans="1:10">
      <c r="A47" s="284" t="s">
        <v>2688</v>
      </c>
      <c r="B47" s="287">
        <v>2018</v>
      </c>
      <c r="C47" s="287" t="s">
        <v>190</v>
      </c>
      <c r="D47" s="290">
        <v>12</v>
      </c>
      <c r="E47" s="290">
        <v>2519.8000000000002</v>
      </c>
      <c r="F47" s="289">
        <v>43633</v>
      </c>
      <c r="G47" s="290" t="s">
        <v>2491</v>
      </c>
      <c r="H47" s="290" t="s">
        <v>2642</v>
      </c>
      <c r="I47" s="290"/>
      <c r="J47" s="274">
        <v>37</v>
      </c>
    </row>
    <row r="48" spans="1:10">
      <c r="A48" s="287" t="s">
        <v>2689</v>
      </c>
      <c r="B48" s="287">
        <v>2018</v>
      </c>
      <c r="C48" s="287" t="s">
        <v>190</v>
      </c>
      <c r="D48" s="290">
        <v>13</v>
      </c>
      <c r="E48" s="290">
        <v>2690.4</v>
      </c>
      <c r="F48" s="289">
        <v>43633</v>
      </c>
      <c r="G48" s="287" t="s">
        <v>2491</v>
      </c>
      <c r="H48" s="284" t="s">
        <v>2642</v>
      </c>
      <c r="I48" s="284" t="s">
        <v>2643</v>
      </c>
      <c r="J48" s="274">
        <v>38</v>
      </c>
    </row>
    <row r="49" spans="1:10">
      <c r="A49" s="290" t="s">
        <v>2690</v>
      </c>
      <c r="B49" s="287">
        <v>2018</v>
      </c>
      <c r="C49" s="287" t="s">
        <v>190</v>
      </c>
      <c r="D49" s="290">
        <v>14</v>
      </c>
      <c r="E49" s="290">
        <v>3332.4</v>
      </c>
      <c r="F49" s="289">
        <v>43633</v>
      </c>
      <c r="G49" s="287" t="s">
        <v>2491</v>
      </c>
      <c r="H49" s="284" t="s">
        <v>2642</v>
      </c>
      <c r="I49" s="284" t="s">
        <v>2643</v>
      </c>
      <c r="J49" s="274">
        <v>39</v>
      </c>
    </row>
    <row r="50" spans="1:10">
      <c r="A50" s="290" t="s">
        <v>2691</v>
      </c>
      <c r="B50" s="287"/>
      <c r="C50" s="284" t="s">
        <v>2692</v>
      </c>
      <c r="D50" s="290"/>
      <c r="E50" s="290">
        <v>740.1</v>
      </c>
      <c r="F50" s="289">
        <v>43633</v>
      </c>
      <c r="G50" s="287" t="s">
        <v>2491</v>
      </c>
      <c r="H50" s="284" t="s">
        <v>2642</v>
      </c>
      <c r="I50" s="284" t="s">
        <v>2643</v>
      </c>
      <c r="J50" s="274">
        <v>40</v>
      </c>
    </row>
    <row r="51" spans="1:10">
      <c r="A51" s="290" t="s">
        <v>2693</v>
      </c>
      <c r="B51" s="287">
        <v>2018</v>
      </c>
      <c r="C51" s="287" t="s">
        <v>190</v>
      </c>
      <c r="D51" s="290">
        <v>15</v>
      </c>
      <c r="E51" s="290">
        <v>2781.7</v>
      </c>
      <c r="F51" s="289">
        <v>43633</v>
      </c>
      <c r="G51" s="287" t="s">
        <v>2491</v>
      </c>
      <c r="H51" s="284" t="s">
        <v>2642</v>
      </c>
      <c r="I51" s="284" t="s">
        <v>2643</v>
      </c>
      <c r="J51" s="274">
        <v>41</v>
      </c>
    </row>
    <row r="52" spans="1:10">
      <c r="A52" s="290" t="s">
        <v>2694</v>
      </c>
      <c r="B52" s="287">
        <v>2018</v>
      </c>
      <c r="C52" s="287" t="s">
        <v>190</v>
      </c>
      <c r="D52" s="290">
        <v>16</v>
      </c>
      <c r="E52" s="290">
        <v>3333.1</v>
      </c>
      <c r="F52" s="289">
        <v>43633</v>
      </c>
      <c r="G52" s="287" t="s">
        <v>2491</v>
      </c>
      <c r="H52" s="284" t="s">
        <v>2642</v>
      </c>
      <c r="I52" s="284" t="s">
        <v>2643</v>
      </c>
      <c r="J52" s="274">
        <v>42</v>
      </c>
    </row>
    <row r="53" spans="1:10">
      <c r="A53" s="290" t="s">
        <v>2695</v>
      </c>
      <c r="B53" s="287">
        <v>2018</v>
      </c>
      <c r="C53" s="287" t="s">
        <v>190</v>
      </c>
      <c r="D53" s="290" t="s">
        <v>2696</v>
      </c>
      <c r="E53" s="290">
        <v>2505.4</v>
      </c>
      <c r="F53" s="289">
        <v>43633</v>
      </c>
      <c r="G53" s="287" t="s">
        <v>2491</v>
      </c>
      <c r="H53" s="284" t="s">
        <v>2642</v>
      </c>
      <c r="I53" s="284" t="s">
        <v>2643</v>
      </c>
      <c r="J53" s="274">
        <v>43</v>
      </c>
    </row>
    <row r="54" spans="1:10">
      <c r="A54" s="290" t="s">
        <v>2697</v>
      </c>
      <c r="B54" s="287">
        <v>2018</v>
      </c>
      <c r="C54" s="287" t="s">
        <v>190</v>
      </c>
      <c r="D54" s="290" t="s">
        <v>2698</v>
      </c>
      <c r="E54" s="290">
        <v>2821.4</v>
      </c>
      <c r="F54" s="289">
        <v>43633</v>
      </c>
      <c r="G54" s="287" t="s">
        <v>2491</v>
      </c>
      <c r="H54" s="284" t="s">
        <v>2642</v>
      </c>
      <c r="I54" s="284" t="s">
        <v>2643</v>
      </c>
      <c r="J54" s="274">
        <v>44</v>
      </c>
    </row>
    <row r="55" spans="1:10">
      <c r="A55" s="290" t="s">
        <v>2699</v>
      </c>
      <c r="B55" s="287">
        <v>2018</v>
      </c>
      <c r="C55" s="287" t="s">
        <v>190</v>
      </c>
      <c r="D55" s="290">
        <v>18</v>
      </c>
      <c r="E55" s="290">
        <v>2792.9</v>
      </c>
      <c r="F55" s="289">
        <v>43633</v>
      </c>
      <c r="G55" s="287" t="s">
        <v>2491</v>
      </c>
      <c r="H55" s="284" t="s">
        <v>2642</v>
      </c>
      <c r="I55" s="284" t="s">
        <v>2643</v>
      </c>
      <c r="J55" s="274">
        <v>45</v>
      </c>
    </row>
    <row r="56" spans="1:10">
      <c r="A56" s="290" t="s">
        <v>2700</v>
      </c>
      <c r="B56" s="287">
        <v>2018</v>
      </c>
      <c r="C56" s="287" t="s">
        <v>190</v>
      </c>
      <c r="D56" s="290">
        <v>19</v>
      </c>
      <c r="E56" s="290">
        <v>2655.2</v>
      </c>
      <c r="F56" s="289">
        <v>43633</v>
      </c>
      <c r="G56" s="287" t="s">
        <v>2491</v>
      </c>
      <c r="H56" s="284" t="s">
        <v>2642</v>
      </c>
      <c r="I56" s="284" t="s">
        <v>2643</v>
      </c>
      <c r="J56" s="274">
        <v>46</v>
      </c>
    </row>
    <row r="57" spans="1:10">
      <c r="A57" s="290" t="s">
        <v>2701</v>
      </c>
      <c r="B57" s="287">
        <v>2018</v>
      </c>
      <c r="C57" s="287" t="s">
        <v>190</v>
      </c>
      <c r="D57" s="290">
        <v>20</v>
      </c>
      <c r="E57" s="290">
        <v>2640.6</v>
      </c>
      <c r="F57" s="289">
        <v>43633</v>
      </c>
      <c r="G57" s="287" t="s">
        <v>2491</v>
      </c>
      <c r="H57" s="284" t="s">
        <v>2642</v>
      </c>
      <c r="I57" s="284" t="s">
        <v>2643</v>
      </c>
      <c r="J57" s="274">
        <v>47</v>
      </c>
    </row>
    <row r="58" spans="1:10">
      <c r="A58" s="290" t="s">
        <v>2702</v>
      </c>
      <c r="B58" s="287">
        <v>2018</v>
      </c>
      <c r="C58" s="287" t="s">
        <v>190</v>
      </c>
      <c r="D58" s="290">
        <v>21</v>
      </c>
      <c r="E58" s="290">
        <v>3212.5</v>
      </c>
      <c r="F58" s="289">
        <v>43633</v>
      </c>
      <c r="G58" s="287" t="s">
        <v>2491</v>
      </c>
      <c r="H58" s="284" t="s">
        <v>2642</v>
      </c>
      <c r="I58" s="284" t="s">
        <v>2643</v>
      </c>
      <c r="J58" s="291">
        <v>48</v>
      </c>
    </row>
    <row r="59" spans="1:10">
      <c r="A59" s="284" t="s">
        <v>2703</v>
      </c>
      <c r="B59" s="287">
        <v>2018</v>
      </c>
      <c r="C59" s="287" t="s">
        <v>194</v>
      </c>
      <c r="D59" s="287">
        <v>1</v>
      </c>
      <c r="E59" s="290">
        <v>2885.7</v>
      </c>
      <c r="F59" s="289">
        <v>43633</v>
      </c>
      <c r="G59" s="287" t="s">
        <v>2491</v>
      </c>
      <c r="H59" s="284" t="s">
        <v>2642</v>
      </c>
      <c r="I59" s="284" t="s">
        <v>2643</v>
      </c>
      <c r="J59" s="274">
        <v>49</v>
      </c>
    </row>
    <row r="60" spans="1:10">
      <c r="A60" s="287" t="s">
        <v>2704</v>
      </c>
      <c r="B60" s="287">
        <v>2018</v>
      </c>
      <c r="C60" s="287" t="s">
        <v>194</v>
      </c>
      <c r="D60" s="290">
        <v>2</v>
      </c>
      <c r="E60" s="290">
        <v>3452.4</v>
      </c>
      <c r="F60" s="289">
        <v>43633</v>
      </c>
      <c r="G60" s="287" t="s">
        <v>2491</v>
      </c>
      <c r="H60" s="284" t="s">
        <v>2642</v>
      </c>
      <c r="I60" s="284" t="s">
        <v>2643</v>
      </c>
      <c r="J60" s="274">
        <v>50</v>
      </c>
    </row>
    <row r="61" spans="1:10">
      <c r="A61" s="290" t="s">
        <v>2705</v>
      </c>
      <c r="B61" s="287">
        <v>2018</v>
      </c>
      <c r="C61" s="287" t="s">
        <v>194</v>
      </c>
      <c r="D61" s="290" t="s">
        <v>2675</v>
      </c>
      <c r="E61" s="290">
        <v>3454.6</v>
      </c>
      <c r="F61" s="289">
        <v>43633</v>
      </c>
      <c r="G61" s="287" t="s">
        <v>2491</v>
      </c>
      <c r="H61" s="284" t="s">
        <v>2642</v>
      </c>
      <c r="I61" s="284" t="s">
        <v>2643</v>
      </c>
      <c r="J61" s="274">
        <v>51</v>
      </c>
    </row>
    <row r="62" spans="1:10">
      <c r="A62" s="290" t="s">
        <v>2706</v>
      </c>
      <c r="B62" s="287">
        <v>2018</v>
      </c>
      <c r="C62" s="287" t="s">
        <v>194</v>
      </c>
      <c r="D62" s="290" t="s">
        <v>2677</v>
      </c>
      <c r="E62" s="290">
        <v>2750.9</v>
      </c>
      <c r="F62" s="289">
        <v>43633</v>
      </c>
      <c r="G62" s="287" t="s">
        <v>2491</v>
      </c>
      <c r="H62" s="284" t="s">
        <v>2642</v>
      </c>
      <c r="I62" s="284" t="s">
        <v>2643</v>
      </c>
      <c r="J62" s="274">
        <v>52</v>
      </c>
    </row>
    <row r="63" spans="1:10">
      <c r="A63" s="290" t="s">
        <v>2707</v>
      </c>
      <c r="B63" s="287">
        <v>2018</v>
      </c>
      <c r="C63" s="287" t="s">
        <v>194</v>
      </c>
      <c r="D63" s="290">
        <v>4</v>
      </c>
      <c r="E63" s="290">
        <v>2557.5</v>
      </c>
      <c r="F63" s="289">
        <v>43633</v>
      </c>
      <c r="G63" s="287" t="s">
        <v>2491</v>
      </c>
      <c r="H63" s="284" t="s">
        <v>2642</v>
      </c>
      <c r="I63" s="284" t="s">
        <v>2643</v>
      </c>
      <c r="J63" s="274">
        <v>53</v>
      </c>
    </row>
    <row r="64" spans="1:10">
      <c r="A64" s="290" t="s">
        <v>2708</v>
      </c>
      <c r="B64" s="287">
        <v>2018</v>
      </c>
      <c r="C64" s="287" t="s">
        <v>194</v>
      </c>
      <c r="D64" s="290">
        <v>5</v>
      </c>
      <c r="E64" s="290">
        <v>2818.3</v>
      </c>
      <c r="F64" s="289">
        <v>43633</v>
      </c>
      <c r="G64" s="287" t="s">
        <v>2491</v>
      </c>
      <c r="H64" s="284" t="s">
        <v>2642</v>
      </c>
      <c r="I64" s="284" t="s">
        <v>2643</v>
      </c>
      <c r="J64" s="274">
        <v>54</v>
      </c>
    </row>
    <row r="65" spans="1:10">
      <c r="A65" s="290" t="s">
        <v>2709</v>
      </c>
      <c r="B65" s="287">
        <v>2018</v>
      </c>
      <c r="C65" s="287" t="s">
        <v>194</v>
      </c>
      <c r="D65" s="290">
        <v>6</v>
      </c>
      <c r="E65" s="290">
        <v>2615.1999999999998</v>
      </c>
      <c r="F65" s="289">
        <v>43633</v>
      </c>
      <c r="G65" s="287" t="s">
        <v>2491</v>
      </c>
      <c r="H65" s="284" t="s">
        <v>2642</v>
      </c>
      <c r="I65" s="284" t="s">
        <v>2643</v>
      </c>
      <c r="J65" s="274">
        <v>55</v>
      </c>
    </row>
    <row r="66" spans="1:10">
      <c r="A66" s="290" t="s">
        <v>2710</v>
      </c>
      <c r="B66" s="287">
        <v>2018</v>
      </c>
      <c r="C66" s="287" t="s">
        <v>194</v>
      </c>
      <c r="D66" s="290">
        <v>7</v>
      </c>
      <c r="E66" s="290">
        <v>2817.4</v>
      </c>
      <c r="F66" s="289">
        <v>43633</v>
      </c>
      <c r="G66" s="287" t="s">
        <v>2491</v>
      </c>
      <c r="H66" s="284" t="s">
        <v>2642</v>
      </c>
      <c r="I66" s="284" t="s">
        <v>2643</v>
      </c>
      <c r="J66" s="274">
        <v>56</v>
      </c>
    </row>
    <row r="67" spans="1:10">
      <c r="A67" s="290" t="s">
        <v>2711</v>
      </c>
      <c r="B67" s="287">
        <v>2018</v>
      </c>
      <c r="C67" s="287" t="s">
        <v>194</v>
      </c>
      <c r="D67" s="290" t="s">
        <v>2712</v>
      </c>
      <c r="E67" s="290">
        <v>2699.2</v>
      </c>
      <c r="F67" s="289">
        <v>43633</v>
      </c>
      <c r="G67" s="287" t="s">
        <v>2491</v>
      </c>
      <c r="H67" s="284" t="s">
        <v>2642</v>
      </c>
      <c r="I67" s="284" t="s">
        <v>2643</v>
      </c>
      <c r="J67" s="274">
        <v>57</v>
      </c>
    </row>
    <row r="68" spans="1:10">
      <c r="A68" s="290" t="s">
        <v>2713</v>
      </c>
      <c r="B68" s="287">
        <v>2018</v>
      </c>
      <c r="C68" s="287" t="s">
        <v>194</v>
      </c>
      <c r="D68" s="290" t="s">
        <v>2714</v>
      </c>
      <c r="E68" s="290">
        <v>3069.3</v>
      </c>
      <c r="F68" s="289">
        <v>43633</v>
      </c>
      <c r="G68" s="287" t="s">
        <v>2491</v>
      </c>
      <c r="H68" s="284" t="s">
        <v>2642</v>
      </c>
      <c r="I68" s="284" t="s">
        <v>2643</v>
      </c>
      <c r="J68" s="274">
        <v>58</v>
      </c>
    </row>
    <row r="69" spans="1:10">
      <c r="A69" s="290" t="s">
        <v>2715</v>
      </c>
      <c r="B69" s="290"/>
      <c r="C69" s="284" t="s">
        <v>2716</v>
      </c>
      <c r="D69" s="290"/>
      <c r="E69" s="290">
        <v>617.29999999999995</v>
      </c>
      <c r="F69" s="289">
        <v>43633</v>
      </c>
      <c r="G69" s="287" t="s">
        <v>2491</v>
      </c>
      <c r="H69" s="284" t="s">
        <v>2642</v>
      </c>
      <c r="I69" s="284" t="s">
        <v>2643</v>
      </c>
      <c r="J69" s="274">
        <v>59</v>
      </c>
    </row>
    <row r="70" spans="1:10">
      <c r="A70" s="290" t="s">
        <v>2717</v>
      </c>
      <c r="B70" s="287">
        <v>2018</v>
      </c>
      <c r="C70" s="287" t="s">
        <v>194</v>
      </c>
      <c r="D70" s="290">
        <v>9</v>
      </c>
      <c r="E70" s="290">
        <v>2622.5</v>
      </c>
      <c r="F70" s="289">
        <v>43633</v>
      </c>
      <c r="G70" s="287" t="s">
        <v>2491</v>
      </c>
      <c r="H70" s="284" t="s">
        <v>2642</v>
      </c>
      <c r="I70" s="284" t="s">
        <v>2643</v>
      </c>
      <c r="J70" s="291">
        <v>60</v>
      </c>
    </row>
    <row r="71" spans="1:10">
      <c r="A71" s="284" t="s">
        <v>2718</v>
      </c>
      <c r="B71" s="287">
        <v>2018</v>
      </c>
      <c r="C71" s="287" t="s">
        <v>194</v>
      </c>
      <c r="D71" s="290">
        <v>10</v>
      </c>
      <c r="E71" s="290">
        <v>3294.1</v>
      </c>
      <c r="F71" s="289">
        <v>43633</v>
      </c>
      <c r="G71" s="287" t="s">
        <v>2491</v>
      </c>
      <c r="H71" s="284" t="s">
        <v>2642</v>
      </c>
      <c r="I71" s="284" t="s">
        <v>2643</v>
      </c>
      <c r="J71" s="274">
        <v>61</v>
      </c>
    </row>
    <row r="72" spans="1:10">
      <c r="A72" s="287" t="s">
        <v>2719</v>
      </c>
      <c r="B72" s="287">
        <v>2018</v>
      </c>
      <c r="C72" s="287" t="s">
        <v>194</v>
      </c>
      <c r="D72" s="290">
        <v>11</v>
      </c>
      <c r="E72" s="290">
        <v>2746</v>
      </c>
      <c r="F72" s="289">
        <v>43633</v>
      </c>
      <c r="G72" s="287" t="s">
        <v>2491</v>
      </c>
      <c r="H72" s="284" t="s">
        <v>2642</v>
      </c>
      <c r="I72" s="284" t="s">
        <v>2643</v>
      </c>
      <c r="J72" s="274">
        <v>62</v>
      </c>
    </row>
    <row r="73" spans="1:10">
      <c r="A73" s="290" t="s">
        <v>2720</v>
      </c>
      <c r="B73" s="287">
        <v>2018</v>
      </c>
      <c r="C73" s="287" t="s">
        <v>194</v>
      </c>
      <c r="D73" s="290">
        <v>12</v>
      </c>
      <c r="E73" s="290">
        <v>3498.2</v>
      </c>
      <c r="F73" s="289">
        <v>43633</v>
      </c>
      <c r="G73" s="287" t="s">
        <v>2491</v>
      </c>
      <c r="H73" s="284" t="s">
        <v>2642</v>
      </c>
      <c r="I73" s="284" t="s">
        <v>2643</v>
      </c>
      <c r="J73" s="274">
        <v>63</v>
      </c>
    </row>
    <row r="74" spans="1:10">
      <c r="A74" s="290" t="s">
        <v>2721</v>
      </c>
      <c r="B74" s="287">
        <v>2018</v>
      </c>
      <c r="C74" s="287" t="s">
        <v>194</v>
      </c>
      <c r="D74" s="290">
        <v>13</v>
      </c>
      <c r="E74" s="290">
        <v>2632.2</v>
      </c>
      <c r="F74" s="289">
        <v>43633</v>
      </c>
      <c r="G74" s="287" t="s">
        <v>2491</v>
      </c>
      <c r="H74" s="284" t="s">
        <v>2642</v>
      </c>
      <c r="I74" s="284" t="s">
        <v>2643</v>
      </c>
      <c r="J74" s="274">
        <v>64</v>
      </c>
    </row>
    <row r="75" spans="1:10">
      <c r="A75" s="290" t="s">
        <v>2722</v>
      </c>
      <c r="B75" s="287">
        <v>2018</v>
      </c>
      <c r="C75" s="287" t="s">
        <v>194</v>
      </c>
      <c r="D75" s="290">
        <v>14</v>
      </c>
      <c r="E75" s="290">
        <v>2783</v>
      </c>
      <c r="F75" s="289">
        <v>43633</v>
      </c>
      <c r="G75" s="287" t="s">
        <v>2491</v>
      </c>
      <c r="H75" s="284" t="s">
        <v>2642</v>
      </c>
      <c r="I75" s="284" t="s">
        <v>2643</v>
      </c>
      <c r="J75" s="274">
        <v>65</v>
      </c>
    </row>
    <row r="76" spans="1:10">
      <c r="A76" s="290" t="s">
        <v>2723</v>
      </c>
      <c r="B76" s="290"/>
      <c r="C76" s="287" t="s">
        <v>2724</v>
      </c>
      <c r="D76" s="290"/>
      <c r="E76" s="290">
        <v>3506.8</v>
      </c>
      <c r="F76" s="289">
        <v>43633</v>
      </c>
      <c r="G76" s="287" t="s">
        <v>2491</v>
      </c>
      <c r="H76" s="284" t="s">
        <v>2642</v>
      </c>
      <c r="I76" s="284" t="s">
        <v>2643</v>
      </c>
      <c r="J76" s="274">
        <v>66</v>
      </c>
    </row>
    <row r="77" spans="1:10">
      <c r="A77" s="290" t="s">
        <v>2725</v>
      </c>
      <c r="B77" s="290"/>
      <c r="C77" s="287" t="s">
        <v>2726</v>
      </c>
      <c r="D77" s="290"/>
      <c r="E77" s="290">
        <v>3931.8</v>
      </c>
      <c r="F77" s="289">
        <v>43633</v>
      </c>
      <c r="G77" s="287" t="s">
        <v>2491</v>
      </c>
      <c r="H77" s="284" t="s">
        <v>2642</v>
      </c>
      <c r="I77" s="284" t="s">
        <v>2643</v>
      </c>
      <c r="J77" s="274">
        <v>67</v>
      </c>
    </row>
    <row r="78" spans="1:10">
      <c r="A78" s="290" t="s">
        <v>2727</v>
      </c>
      <c r="B78" s="287">
        <v>2018</v>
      </c>
      <c r="C78" s="287" t="s">
        <v>194</v>
      </c>
      <c r="D78" s="290">
        <v>15</v>
      </c>
      <c r="E78" s="290">
        <v>2954.5</v>
      </c>
      <c r="F78" s="289">
        <v>43633</v>
      </c>
      <c r="G78" s="287" t="s">
        <v>2491</v>
      </c>
      <c r="H78" s="284" t="s">
        <v>2642</v>
      </c>
      <c r="I78" s="284" t="s">
        <v>2643</v>
      </c>
      <c r="J78" s="274">
        <v>68</v>
      </c>
    </row>
    <row r="79" spans="1:10">
      <c r="A79" s="290" t="s">
        <v>2728</v>
      </c>
      <c r="B79" s="287">
        <v>2018</v>
      </c>
      <c r="C79" s="287" t="s">
        <v>194</v>
      </c>
      <c r="D79" s="290">
        <v>16</v>
      </c>
      <c r="E79" s="290">
        <v>3295.8</v>
      </c>
      <c r="F79" s="289">
        <v>43633</v>
      </c>
      <c r="G79" s="287" t="s">
        <v>2491</v>
      </c>
      <c r="H79" s="284" t="s">
        <v>2642</v>
      </c>
      <c r="I79" s="284" t="s">
        <v>2643</v>
      </c>
      <c r="J79" s="274">
        <v>69</v>
      </c>
    </row>
    <row r="80" spans="1:10">
      <c r="A80" s="290" t="s">
        <v>2729</v>
      </c>
      <c r="B80" s="287">
        <v>2018</v>
      </c>
      <c r="C80" s="287" t="s">
        <v>194</v>
      </c>
      <c r="D80" s="290">
        <v>17</v>
      </c>
      <c r="E80" s="290">
        <v>2632.9</v>
      </c>
      <c r="F80" s="289">
        <v>43633</v>
      </c>
      <c r="G80" s="287" t="s">
        <v>2491</v>
      </c>
      <c r="H80" s="284" t="s">
        <v>2642</v>
      </c>
      <c r="I80" s="284" t="s">
        <v>2643</v>
      </c>
      <c r="J80" s="274">
        <v>70</v>
      </c>
    </row>
    <row r="81" spans="1:10">
      <c r="A81" s="290" t="s">
        <v>2730</v>
      </c>
      <c r="B81" s="287">
        <v>2018</v>
      </c>
      <c r="C81" s="287" t="s">
        <v>194</v>
      </c>
      <c r="D81" s="290">
        <v>18</v>
      </c>
      <c r="E81" s="290">
        <v>2889.9</v>
      </c>
      <c r="F81" s="289">
        <v>43633</v>
      </c>
      <c r="G81" s="287" t="s">
        <v>2491</v>
      </c>
      <c r="H81" s="284" t="s">
        <v>2642</v>
      </c>
      <c r="I81" s="284" t="s">
        <v>2643</v>
      </c>
      <c r="J81" s="274">
        <v>71</v>
      </c>
    </row>
    <row r="82" spans="1:10">
      <c r="A82" s="290" t="s">
        <v>2731</v>
      </c>
      <c r="B82" s="287">
        <v>2018</v>
      </c>
      <c r="C82" s="287" t="s">
        <v>194</v>
      </c>
      <c r="D82" s="290">
        <v>19</v>
      </c>
      <c r="E82" s="290">
        <v>3601.2</v>
      </c>
      <c r="F82" s="289">
        <v>43633</v>
      </c>
      <c r="G82" s="287" t="s">
        <v>2491</v>
      </c>
      <c r="H82" s="284" t="s">
        <v>2642</v>
      </c>
      <c r="I82" s="284" t="s">
        <v>2643</v>
      </c>
      <c r="J82" s="291">
        <v>72</v>
      </c>
    </row>
    <row r="83" spans="1:10">
      <c r="A83" s="284" t="s">
        <v>2732</v>
      </c>
      <c r="B83" s="287">
        <v>2018</v>
      </c>
      <c r="C83" s="287" t="s">
        <v>194</v>
      </c>
      <c r="D83" s="290">
        <v>20</v>
      </c>
      <c r="E83" s="290">
        <v>2960.5</v>
      </c>
      <c r="F83" s="289">
        <v>43633</v>
      </c>
      <c r="G83" s="287" t="s">
        <v>2491</v>
      </c>
      <c r="H83" s="284" t="s">
        <v>2642</v>
      </c>
      <c r="I83" s="284" t="s">
        <v>2643</v>
      </c>
      <c r="J83" s="274">
        <v>73</v>
      </c>
    </row>
    <row r="84" spans="1:10">
      <c r="A84" s="287" t="s">
        <v>2733</v>
      </c>
      <c r="B84" s="287">
        <v>2018</v>
      </c>
      <c r="C84" s="287" t="s">
        <v>194</v>
      </c>
      <c r="D84" s="290">
        <v>21</v>
      </c>
      <c r="E84" s="290">
        <v>2827.7</v>
      </c>
      <c r="F84" s="289">
        <v>43633</v>
      </c>
      <c r="G84" s="287" t="s">
        <v>2491</v>
      </c>
      <c r="H84" s="284" t="s">
        <v>2642</v>
      </c>
      <c r="I84" s="284" t="s">
        <v>2643</v>
      </c>
      <c r="J84" s="274">
        <v>74</v>
      </c>
    </row>
    <row r="85" spans="1:10">
      <c r="A85" s="290" t="s">
        <v>2734</v>
      </c>
      <c r="B85" s="290"/>
      <c r="C85" s="284" t="s">
        <v>2735</v>
      </c>
      <c r="D85" s="290"/>
      <c r="E85" s="290">
        <v>576.9</v>
      </c>
      <c r="F85" s="289">
        <v>43633</v>
      </c>
      <c r="G85" s="287" t="s">
        <v>2491</v>
      </c>
      <c r="H85" s="284" t="s">
        <v>2642</v>
      </c>
      <c r="I85" s="284" t="s">
        <v>2643</v>
      </c>
      <c r="J85" s="274">
        <v>75</v>
      </c>
    </row>
    <row r="86" spans="1:10">
      <c r="A86" s="290" t="s">
        <v>2736</v>
      </c>
      <c r="B86" s="290"/>
      <c r="C86" s="284" t="s">
        <v>2737</v>
      </c>
      <c r="D86" s="290"/>
      <c r="E86" s="290">
        <v>434.1</v>
      </c>
      <c r="F86" s="289">
        <v>43633</v>
      </c>
      <c r="G86" s="287" t="s">
        <v>2491</v>
      </c>
      <c r="H86" s="284" t="s">
        <v>2642</v>
      </c>
      <c r="I86" s="284" t="s">
        <v>2643</v>
      </c>
      <c r="J86" s="274">
        <v>76</v>
      </c>
    </row>
    <row r="87" spans="1:10">
      <c r="B87" s="191"/>
      <c r="J87" s="274"/>
    </row>
    <row r="88" spans="1:10">
      <c r="A88" s="275" t="s">
        <v>2738</v>
      </c>
      <c r="B88" s="292"/>
      <c r="C88" s="293"/>
      <c r="D88" s="293"/>
      <c r="E88" s="293"/>
      <c r="F88" s="293"/>
      <c r="G88" s="293"/>
      <c r="H88" s="293"/>
      <c r="J88" s="274"/>
    </row>
    <row r="89" spans="1:10">
      <c r="A89" s="275" t="s">
        <v>2739</v>
      </c>
      <c r="B89" s="292"/>
      <c r="C89" s="292"/>
      <c r="D89" s="292"/>
      <c r="E89" s="293"/>
      <c r="F89" s="293"/>
      <c r="G89" s="293"/>
      <c r="H89" s="293"/>
      <c r="J89" s="274"/>
    </row>
    <row r="90" spans="1:10">
      <c r="B90" s="191"/>
      <c r="C90" s="191"/>
      <c r="D90" s="191"/>
      <c r="J90" s="274"/>
    </row>
  </sheetData>
  <hyperlinks>
    <hyperlink ref="A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F978-7E69-456C-A75B-CB0145A84D37}">
  <dimension ref="A1:AN414"/>
  <sheetViews>
    <sheetView zoomScale="87" zoomScaleNormal="87" workbookViewId="0">
      <pane ySplit="2385" topLeftCell="A356" activePane="bottomLeft"/>
      <selection activeCell="R4" sqref="R4"/>
      <selection pane="bottomLeft" activeCell="L106" sqref="L106"/>
    </sheetView>
  </sheetViews>
  <sheetFormatPr defaultColWidth="8.83203125" defaultRowHeight="15.5"/>
  <cols>
    <col min="1" max="1" width="16" customWidth="1"/>
    <col min="2" max="2" width="9.1640625" bestFit="1" customWidth="1"/>
    <col min="3" max="3" width="20.1640625" customWidth="1"/>
    <col min="4" max="5" width="9.1640625" bestFit="1" customWidth="1"/>
    <col min="7" max="8" width="10.83203125" bestFit="1" customWidth="1"/>
    <col min="9" max="10" width="9.1640625" bestFit="1" customWidth="1"/>
    <col min="11" max="12" width="11.83203125" bestFit="1" customWidth="1"/>
    <col min="13" max="13" width="12.1640625" customWidth="1"/>
    <col min="14" max="14" width="11.83203125" bestFit="1" customWidth="1"/>
    <col min="15" max="18" width="9.1640625" bestFit="1" customWidth="1"/>
    <col min="21" max="23" width="9.1640625" bestFit="1" customWidth="1"/>
    <col min="24" max="25" width="12.33203125" customWidth="1"/>
    <col min="32" max="32" width="10.33203125" bestFit="1" customWidth="1"/>
    <col min="33" max="33" width="9.6640625" customWidth="1"/>
    <col min="34" max="34" width="9.5" customWidth="1"/>
  </cols>
  <sheetData>
    <row r="1" spans="1:40">
      <c r="A1" s="366" t="s">
        <v>3122</v>
      </c>
      <c r="B1" s="367"/>
      <c r="C1" s="367"/>
      <c r="D1" s="367"/>
      <c r="E1" s="367"/>
      <c r="F1" s="367"/>
      <c r="G1" s="367"/>
      <c r="H1" s="367"/>
      <c r="I1" s="367"/>
      <c r="J1" s="367"/>
      <c r="K1" s="367"/>
      <c r="L1" s="367"/>
      <c r="M1" s="367"/>
      <c r="N1" s="367"/>
      <c r="O1" s="367"/>
      <c r="P1" s="367"/>
      <c r="Q1" s="367"/>
    </row>
    <row r="2" spans="1:40" ht="16" thickBot="1">
      <c r="A2" s="1" t="s">
        <v>2922</v>
      </c>
      <c r="X2" s="146"/>
      <c r="Y2" s="146"/>
      <c r="Z2" s="146"/>
      <c r="AA2" s="146"/>
      <c r="AB2" s="146"/>
      <c r="AC2" s="146"/>
      <c r="AD2" s="146"/>
      <c r="AE2" s="146"/>
      <c r="AF2" s="146"/>
      <c r="AG2" s="146"/>
      <c r="AH2" s="146"/>
      <c r="AI2" s="146"/>
      <c r="AJ2" s="146"/>
      <c r="AK2" s="146"/>
      <c r="AL2" s="146"/>
      <c r="AM2" s="146"/>
    </row>
    <row r="3" spans="1:40">
      <c r="X3" s="418" t="s">
        <v>2976</v>
      </c>
      <c r="Y3" s="419"/>
      <c r="Z3" s="419"/>
      <c r="AA3" s="419"/>
      <c r="AB3" s="420"/>
    </row>
    <row r="4" spans="1:40" ht="62">
      <c r="A4" s="368"/>
      <c r="B4" s="369"/>
      <c r="C4" s="370"/>
      <c r="D4" s="371" t="s">
        <v>2923</v>
      </c>
      <c r="E4" s="372" t="s">
        <v>2924</v>
      </c>
      <c r="F4" s="372" t="s">
        <v>2923</v>
      </c>
      <c r="G4" s="373"/>
      <c r="H4" s="374"/>
      <c r="I4" s="374" t="s">
        <v>2925</v>
      </c>
      <c r="J4" s="375"/>
      <c r="K4" s="687" t="s">
        <v>2926</v>
      </c>
      <c r="L4" s="688"/>
      <c r="M4" s="687" t="s">
        <v>2927</v>
      </c>
      <c r="N4" s="689"/>
      <c r="O4" s="376"/>
      <c r="P4" s="376"/>
      <c r="Q4" s="376"/>
      <c r="R4" s="376"/>
      <c r="S4" s="370"/>
      <c r="T4" s="370"/>
      <c r="U4" s="370"/>
      <c r="V4" s="370"/>
      <c r="W4" s="370"/>
      <c r="X4" s="421" t="s">
        <v>2977</v>
      </c>
      <c r="Y4" s="422" t="s">
        <v>2978</v>
      </c>
      <c r="Z4" s="423" t="s">
        <v>2979</v>
      </c>
      <c r="AA4" s="423" t="s">
        <v>2980</v>
      </c>
      <c r="AB4" s="498" t="s">
        <v>3174</v>
      </c>
      <c r="AC4" s="424" t="s">
        <v>108</v>
      </c>
      <c r="AD4" s="425" t="s">
        <v>2462</v>
      </c>
      <c r="AE4" s="424" t="s">
        <v>43</v>
      </c>
      <c r="AF4" s="424" t="s">
        <v>2938</v>
      </c>
      <c r="AG4" s="424" t="s">
        <v>2981</v>
      </c>
      <c r="AJ4" s="690" t="s">
        <v>2982</v>
      </c>
      <c r="AK4" s="21"/>
      <c r="AL4" s="21"/>
      <c r="AM4" s="21"/>
      <c r="AN4" s="8"/>
    </row>
    <row r="5" spans="1:40" ht="93">
      <c r="A5" s="377" t="s">
        <v>2928</v>
      </c>
      <c r="B5" s="378" t="s">
        <v>2929</v>
      </c>
      <c r="C5" s="379" t="s">
        <v>2930</v>
      </c>
      <c r="D5" s="380" t="s">
        <v>2635</v>
      </c>
      <c r="E5" s="371"/>
      <c r="F5" s="371" t="s">
        <v>2931</v>
      </c>
      <c r="G5" s="371" t="s">
        <v>2932</v>
      </c>
      <c r="H5" s="371" t="s">
        <v>2933</v>
      </c>
      <c r="I5" s="371" t="s">
        <v>2934</v>
      </c>
      <c r="J5" s="371" t="s">
        <v>2935</v>
      </c>
      <c r="K5" s="381" t="s">
        <v>2936</v>
      </c>
      <c r="L5" s="382" t="s">
        <v>2937</v>
      </c>
      <c r="M5" s="371" t="s">
        <v>2936</v>
      </c>
      <c r="N5" s="383" t="s">
        <v>2938</v>
      </c>
      <c r="O5" s="371" t="s">
        <v>2939</v>
      </c>
      <c r="P5" s="371" t="s">
        <v>2940</v>
      </c>
      <c r="Q5" s="371" t="s">
        <v>2941</v>
      </c>
      <c r="R5" s="371" t="s">
        <v>2942</v>
      </c>
      <c r="S5" s="379" t="s">
        <v>2943</v>
      </c>
      <c r="T5" s="379" t="s">
        <v>2944</v>
      </c>
      <c r="U5" s="380" t="s">
        <v>127</v>
      </c>
      <c r="V5" s="426"/>
      <c r="W5" s="426"/>
      <c r="X5" s="465"/>
      <c r="Y5" s="466"/>
      <c r="Z5" s="467">
        <f>MAX(Y14,Y86,Y123,Y161,Y199,Y237,Y271,Y307)</f>
        <v>4.2968791194784623</v>
      </c>
      <c r="AA5" s="467">
        <f>MIN(Y14,Y86,Y123,Y161,Y199,Y237,Y271,Y307)</f>
        <v>2.0886808428742021</v>
      </c>
      <c r="AB5" s="499">
        <f>(Z5/12.01)*100.0869</f>
        <v>35.808602060227223</v>
      </c>
      <c r="AC5" s="424"/>
      <c r="AD5" s="425"/>
      <c r="AE5" s="424"/>
      <c r="AF5" s="424"/>
      <c r="AG5" s="424"/>
      <c r="AJ5" s="690"/>
      <c r="AK5" s="452" t="s">
        <v>2983</v>
      </c>
      <c r="AL5" s="21"/>
      <c r="AM5" s="452"/>
      <c r="AN5" s="8"/>
    </row>
    <row r="6" spans="1:40" ht="16" thickBot="1">
      <c r="U6" s="127"/>
      <c r="V6" s="127"/>
      <c r="W6" s="127"/>
      <c r="X6" s="691" t="s">
        <v>2984</v>
      </c>
      <c r="Y6" s="692"/>
      <c r="Z6" s="468">
        <f>(Z5/AK15)*100</f>
        <v>2.1052157238923024</v>
      </c>
      <c r="AA6" s="468">
        <f>(AA5/AK15)*100</f>
        <v>1.0233296377081007</v>
      </c>
      <c r="AB6" s="500">
        <f>(AB5/((AK15/12.01)*100.0869))*100</f>
        <v>2.1052157238923024</v>
      </c>
      <c r="AC6" s="424"/>
      <c r="AD6" s="425"/>
      <c r="AE6" s="424" t="s">
        <v>2985</v>
      </c>
      <c r="AF6" s="424" t="s">
        <v>2986</v>
      </c>
      <c r="AG6" s="424"/>
      <c r="AJ6" s="690"/>
      <c r="AK6" s="21"/>
      <c r="AL6" s="21"/>
      <c r="AM6" s="452" t="s">
        <v>2987</v>
      </c>
      <c r="AN6" s="8"/>
    </row>
    <row r="7" spans="1:40">
      <c r="A7" s="384" t="s">
        <v>2945</v>
      </c>
      <c r="B7" s="97"/>
      <c r="D7" s="90"/>
      <c r="E7" s="90"/>
      <c r="F7" s="90"/>
      <c r="G7" s="90"/>
      <c r="H7" s="385"/>
      <c r="I7" s="386"/>
      <c r="J7" s="386"/>
      <c r="K7" s="387"/>
      <c r="L7" s="388"/>
      <c r="M7" s="90"/>
      <c r="N7" s="388"/>
      <c r="O7" s="386"/>
      <c r="P7" s="386"/>
      <c r="Q7" s="386"/>
      <c r="R7" s="386"/>
      <c r="U7" s="127"/>
      <c r="V7" s="127"/>
      <c r="W7" s="127"/>
      <c r="X7" s="427">
        <f>A9</f>
        <v>43655</v>
      </c>
      <c r="AJ7" s="452" t="s">
        <v>2582</v>
      </c>
      <c r="AK7" s="33">
        <f>AVERAGE(H9:H11,H17:H19,H22,H28,H34,H36,H80:H82,H88:H90,H93,H99,H105,H107,H116:H118,H124:H126,H129,H135,H141,H143,H154:H156,H162:H164,H167,H173,H179,H181,H192:H194,H200:H202,H205,H211,H217,H219,H229:H231,H237:H239,H242,H247,H253,H263:H265,H271:H273,H276,H282,H288,H290,H299:H301,H307:H309,H312,H318,H324,H326)</f>
        <v>0.92928101265822804</v>
      </c>
      <c r="AL7" s="21"/>
      <c r="AM7" s="33">
        <f>(AK7/AK15)*100</f>
        <v>0.45529253799443981</v>
      </c>
      <c r="AN7" s="8"/>
    </row>
    <row r="8" spans="1:40" ht="93">
      <c r="A8" s="389"/>
      <c r="B8" s="97"/>
      <c r="C8" s="345" t="s">
        <v>2946</v>
      </c>
      <c r="D8" s="90"/>
      <c r="E8" s="90"/>
      <c r="F8" s="90"/>
      <c r="G8" s="90"/>
      <c r="H8" s="385"/>
      <c r="I8" s="386"/>
      <c r="J8" s="386"/>
      <c r="K8" s="387"/>
      <c r="L8" s="388"/>
      <c r="M8" s="90"/>
      <c r="N8" s="388"/>
      <c r="O8" s="386"/>
      <c r="P8" s="386"/>
      <c r="Q8" s="386"/>
      <c r="R8" s="386"/>
      <c r="U8" s="470" t="s">
        <v>3123</v>
      </c>
      <c r="V8" s="470"/>
      <c r="W8" s="470"/>
      <c r="X8" s="90">
        <f>((J11-INDEX(LINEST($J$11:$J$16,$G$11:$G$16),2))/INDEX(LINEST($J$11:$J$16,$G$11:$G$16),1)/100.09)*12.01</f>
        <v>0.35453547204990632</v>
      </c>
      <c r="Y8" s="90">
        <f>(J11-X8)^2</f>
        <v>0.19199190201097524</v>
      </c>
      <c r="AC8" s="228">
        <v>2018</v>
      </c>
      <c r="AD8" s="228" t="s">
        <v>188</v>
      </c>
      <c r="AE8" s="228">
        <v>1</v>
      </c>
      <c r="AF8" s="395">
        <f>L172</f>
        <v>90.314150985944266</v>
      </c>
      <c r="AG8">
        <f>AF8/100</f>
        <v>0.90314150985944264</v>
      </c>
      <c r="AH8" s="470" t="s">
        <v>3150</v>
      </c>
      <c r="AJ8" s="452" t="s">
        <v>2917</v>
      </c>
      <c r="AK8" s="33">
        <f>_xlfn.STDEV.P(H9:H11,H17:H19,H22,H28,H34,H36,H80:H82,H88:H90,H93,H99,H105,H107,H116:H118,H124:H126,H129,H135,H141,H143,H154:H156,H162:H164,H167,H173,H179,H181,H192:H194,H200:H202,H205,H211,H217,H219,H229:H231,H237:H239,H242,H247,H253,H263:H265,H271:H273,H276,H282,H288,H290,H299:H301,H307:H309,H312,H318,H324,H326)</f>
        <v>0.46294444757250786</v>
      </c>
      <c r="AL8" s="21"/>
      <c r="AM8" s="21"/>
      <c r="AN8" s="8"/>
    </row>
    <row r="9" spans="1:40">
      <c r="A9" s="389">
        <v>43655</v>
      </c>
      <c r="B9" s="97">
        <v>1</v>
      </c>
      <c r="C9" t="s">
        <v>2947</v>
      </c>
      <c r="D9" s="90"/>
      <c r="E9" s="90"/>
      <c r="F9" s="90"/>
      <c r="G9" s="90"/>
      <c r="H9">
        <v>0.70330000000000004</v>
      </c>
      <c r="I9" s="386"/>
      <c r="J9" s="386"/>
      <c r="K9" s="387"/>
      <c r="L9" s="388"/>
      <c r="M9" s="90"/>
      <c r="N9" s="388"/>
      <c r="O9" s="390">
        <v>128</v>
      </c>
      <c r="P9" s="390">
        <v>41.7</v>
      </c>
      <c r="Q9" s="386">
        <v>100</v>
      </c>
      <c r="R9" s="386">
        <v>3</v>
      </c>
      <c r="S9" t="s">
        <v>2491</v>
      </c>
      <c r="T9" t="s">
        <v>2491</v>
      </c>
      <c r="X9" s="90">
        <f t="shared" ref="X9:X12" si="0">((J12-INDEX(LINEST($J$11:$J$16,$G$11:$G$16),2))/INDEX(LINEST($J$11:$J$16,$G$11:$G$16),1)/100.09)*12.01</f>
        <v>33.584281404234218</v>
      </c>
      <c r="Y9" s="90">
        <f>(J12-X9)^2</f>
        <v>0.45321808287815224</v>
      </c>
      <c r="AC9" s="228">
        <v>2018</v>
      </c>
      <c r="AD9" s="228" t="s">
        <v>188</v>
      </c>
      <c r="AE9" s="228">
        <v>2</v>
      </c>
      <c r="AF9" s="395">
        <f>L178</f>
        <v>76.935824783728762</v>
      </c>
      <c r="AJ9" s="452" t="s">
        <v>2988</v>
      </c>
      <c r="AK9" s="21">
        <f>COUNT(H9:H11,H17:H19,H22,H28,H34,H36,H80:H82,H88:H90,H93,H99,H105,H107,H116:H118,H124:H126,H129,H135,H141,H143,H154:H156,H162:H164,H167,H173,H179,H181,H192:H194,H200:H202,H205,H211,H217,H219,H229:H231,H237:H239,H242,H247,H253,H263:H265,H271:H273,H276,H282,H288,H290,H299:H301,H307:H309,H312,H318,H324,H326)</f>
        <v>79</v>
      </c>
      <c r="AL9" s="21"/>
      <c r="AM9" s="21"/>
      <c r="AN9" s="8"/>
    </row>
    <row r="10" spans="1:40">
      <c r="A10" s="389">
        <v>43655</v>
      </c>
      <c r="B10" s="97">
        <v>2</v>
      </c>
      <c r="C10" t="s">
        <v>2948</v>
      </c>
      <c r="D10" s="90"/>
      <c r="E10" s="90"/>
      <c r="F10" s="90"/>
      <c r="G10" s="90"/>
      <c r="H10">
        <v>0.85599999999999998</v>
      </c>
      <c r="I10" s="386"/>
      <c r="J10" s="386"/>
      <c r="K10" s="387"/>
      <c r="L10" s="388"/>
      <c r="M10" s="90"/>
      <c r="N10" s="388"/>
      <c r="O10" s="390">
        <v>128</v>
      </c>
      <c r="P10" s="390">
        <v>41.7</v>
      </c>
      <c r="Q10" s="386">
        <v>100</v>
      </c>
      <c r="R10" s="386">
        <v>3</v>
      </c>
      <c r="S10" t="s">
        <v>2491</v>
      </c>
      <c r="T10" t="s">
        <v>2491</v>
      </c>
      <c r="U10" t="s">
        <v>2991</v>
      </c>
      <c r="V10" t="s">
        <v>2934</v>
      </c>
      <c r="X10" s="90">
        <f t="shared" si="0"/>
        <v>118.63346483620143</v>
      </c>
      <c r="Y10" s="90">
        <f t="shared" ref="Y10:Y12" si="1">(J13-X10)^2</f>
        <v>1.6251103730491432</v>
      </c>
      <c r="AC10" s="228">
        <v>2018</v>
      </c>
      <c r="AD10" s="228" t="s">
        <v>188</v>
      </c>
      <c r="AE10" s="228">
        <v>3</v>
      </c>
      <c r="AF10" s="395">
        <f>L206</f>
        <v>95.056545469080149</v>
      </c>
      <c r="AJ10" s="452"/>
      <c r="AK10" s="21"/>
      <c r="AL10" s="21"/>
      <c r="AM10" s="21"/>
      <c r="AN10" s="8"/>
    </row>
    <row r="11" spans="1:40">
      <c r="A11" s="389">
        <v>43655</v>
      </c>
      <c r="B11" s="97">
        <v>3</v>
      </c>
      <c r="C11" t="s">
        <v>2949</v>
      </c>
      <c r="D11" s="90"/>
      <c r="E11" s="90"/>
      <c r="F11" s="90"/>
      <c r="G11" s="90">
        <v>0</v>
      </c>
      <c r="H11">
        <v>0.6542</v>
      </c>
      <c r="I11" s="391">
        <v>0.73783333333333323</v>
      </c>
      <c r="J11" s="386">
        <v>-8.3633333333333226E-2</v>
      </c>
      <c r="K11" s="387"/>
      <c r="L11" s="388"/>
      <c r="M11" s="90"/>
      <c r="N11" s="388"/>
      <c r="O11" s="390">
        <v>128</v>
      </c>
      <c r="P11" s="390">
        <v>41.7</v>
      </c>
      <c r="Q11" s="386">
        <v>100</v>
      </c>
      <c r="R11" s="386">
        <v>3</v>
      </c>
      <c r="S11" t="s">
        <v>2491</v>
      </c>
      <c r="T11" t="s">
        <v>2491</v>
      </c>
      <c r="X11" s="90">
        <f t="shared" si="0"/>
        <v>242.5535964507126</v>
      </c>
      <c r="Y11" s="90">
        <f t="shared" si="1"/>
        <v>4.6282198397231573</v>
      </c>
      <c r="AC11" s="228">
        <v>2018</v>
      </c>
      <c r="AD11" s="228" t="s">
        <v>188</v>
      </c>
      <c r="AE11" s="228">
        <v>4</v>
      </c>
      <c r="AF11" s="395">
        <f>L207</f>
        <v>88.614830630948248</v>
      </c>
      <c r="AL11" s="21"/>
      <c r="AM11" s="21"/>
      <c r="AN11" s="8"/>
    </row>
    <row r="12" spans="1:40">
      <c r="A12" s="389">
        <v>43655</v>
      </c>
      <c r="B12" s="97">
        <v>4</v>
      </c>
      <c r="C12" s="146" t="s">
        <v>2950</v>
      </c>
      <c r="D12" s="90">
        <v>283.8</v>
      </c>
      <c r="F12" s="90"/>
      <c r="G12" s="90">
        <v>283.74324000000001</v>
      </c>
      <c r="H12">
        <v>33.648899999999998</v>
      </c>
      <c r="I12" s="391">
        <v>0.73783333333333323</v>
      </c>
      <c r="J12" s="386">
        <v>32.911066666666663</v>
      </c>
      <c r="K12" s="392">
        <v>279.88765410073296</v>
      </c>
      <c r="L12" s="393">
        <v>98.641170834848069</v>
      </c>
      <c r="M12" s="394">
        <v>274.27715759089648</v>
      </c>
      <c r="N12" s="393">
        <v>96.663856235269776</v>
      </c>
      <c r="O12" s="390">
        <v>128</v>
      </c>
      <c r="P12" s="390">
        <v>41.7</v>
      </c>
      <c r="Q12" s="386">
        <v>100</v>
      </c>
      <c r="R12" s="386">
        <v>3</v>
      </c>
      <c r="S12" t="s">
        <v>2491</v>
      </c>
      <c r="T12" t="s">
        <v>2491</v>
      </c>
      <c r="U12" s="90">
        <f>K12-M12</f>
        <v>5.6104965098364801</v>
      </c>
      <c r="V12" s="90">
        <f>(U12/100.09)*12.01</f>
        <v>0.67321473756755046</v>
      </c>
      <c r="W12" s="90"/>
      <c r="X12" s="90">
        <f t="shared" si="0"/>
        <v>341.28264246580534</v>
      </c>
      <c r="Y12" s="90">
        <f t="shared" si="1"/>
        <v>8.1206521601968369</v>
      </c>
      <c r="AC12" s="228">
        <v>2018</v>
      </c>
      <c r="AD12" s="228" t="s">
        <v>188</v>
      </c>
      <c r="AE12" s="228">
        <v>5</v>
      </c>
      <c r="AF12" s="395" t="s">
        <v>2622</v>
      </c>
      <c r="AJ12" s="21"/>
      <c r="AK12" s="21"/>
      <c r="AL12" s="21"/>
      <c r="AM12" s="21"/>
      <c r="AN12" s="8"/>
    </row>
    <row r="13" spans="1:40">
      <c r="A13" s="389">
        <v>43655</v>
      </c>
      <c r="B13" s="97">
        <v>5</v>
      </c>
      <c r="C13" s="146" t="s">
        <v>2951</v>
      </c>
      <c r="D13" s="90">
        <v>989.9</v>
      </c>
      <c r="F13" s="90"/>
      <c r="G13" s="90">
        <v>989.70201999999995</v>
      </c>
      <c r="H13">
        <v>118.09650000000001</v>
      </c>
      <c r="I13" s="391">
        <v>0.73783333333333323</v>
      </c>
      <c r="J13" s="386">
        <v>117.35866666666668</v>
      </c>
      <c r="K13" s="392">
        <v>988.67805957164046</v>
      </c>
      <c r="L13" s="393">
        <v>99.89653851283849</v>
      </c>
      <c r="M13" s="394">
        <v>978.05403386067189</v>
      </c>
      <c r="N13" s="393">
        <v>98.823081502922662</v>
      </c>
      <c r="O13" s="390">
        <v>128</v>
      </c>
      <c r="P13" s="390">
        <v>41.7</v>
      </c>
      <c r="Q13" s="386">
        <v>100</v>
      </c>
      <c r="R13" s="386">
        <v>3</v>
      </c>
      <c r="S13" t="s">
        <v>2491</v>
      </c>
      <c r="T13" t="s">
        <v>2491</v>
      </c>
      <c r="U13" s="90">
        <f t="shared" ref="U13:U70" si="2">K13-M13</f>
        <v>10.624025710968567</v>
      </c>
      <c r="V13" s="90">
        <f t="shared" ref="V13:V75" si="3">(U13/100.09)*12.01</f>
        <v>1.2747981695347437</v>
      </c>
      <c r="W13" s="90"/>
      <c r="X13" s="90">
        <f>((J16-INDEX(LINEST($J$11:$J$16,$G$11:$G$16),2))/INDEX(LINEST($J$11:$J$16,$G$11:$G$16),1)/100.09)*12.01</f>
        <v>452.57042090761342</v>
      </c>
      <c r="Y13" s="90">
        <f>(J16-X13)^2</f>
        <v>13.226708769892543</v>
      </c>
      <c r="AA13" s="80" t="s">
        <v>2987</v>
      </c>
      <c r="AC13" s="228">
        <v>2018</v>
      </c>
      <c r="AD13" s="228" t="s">
        <v>188</v>
      </c>
      <c r="AE13" s="228">
        <v>6</v>
      </c>
      <c r="AF13" s="395">
        <f>L208</f>
        <v>52.788837032790425</v>
      </c>
      <c r="AJ13" s="21"/>
      <c r="AK13" s="452" t="s">
        <v>2989</v>
      </c>
      <c r="AL13" s="21"/>
      <c r="AM13" s="21"/>
      <c r="AN13" s="8"/>
    </row>
    <row r="14" spans="1:40">
      <c r="A14" s="389">
        <v>43655</v>
      </c>
      <c r="B14" s="97">
        <v>6</v>
      </c>
      <c r="C14" s="146" t="s">
        <v>2952</v>
      </c>
      <c r="D14" s="90">
        <v>2018.5</v>
      </c>
      <c r="F14" s="90"/>
      <c r="G14" s="90">
        <v>2018.0963000000002</v>
      </c>
      <c r="H14">
        <v>241.14009999999999</v>
      </c>
      <c r="I14" s="391">
        <v>0.73783333333333323</v>
      </c>
      <c r="J14" s="386">
        <v>240.40226666666666</v>
      </c>
      <c r="K14" s="392">
        <v>2021.4146102208017</v>
      </c>
      <c r="L14" s="393">
        <v>100.16442774414686</v>
      </c>
      <c r="M14" s="394">
        <v>2003.485667832362</v>
      </c>
      <c r="N14" s="393">
        <v>99.276019079583165</v>
      </c>
      <c r="O14" s="390">
        <v>128</v>
      </c>
      <c r="P14" s="390">
        <v>41.7</v>
      </c>
      <c r="Q14" s="386">
        <v>100</v>
      </c>
      <c r="R14" s="386">
        <v>3</v>
      </c>
      <c r="S14" t="s">
        <v>2491</v>
      </c>
      <c r="T14" t="s">
        <v>2491</v>
      </c>
      <c r="U14" s="90">
        <f t="shared" si="2"/>
        <v>17.928942388439737</v>
      </c>
      <c r="V14" s="90">
        <f t="shared" si="3"/>
        <v>2.1513297840459709</v>
      </c>
      <c r="W14" s="90"/>
      <c r="Y14" s="206">
        <f>SQRT(SUM(Y8:Y13)/(6-2))</f>
        <v>2.6573436514567894</v>
      </c>
      <c r="Z14" s="80" t="s">
        <v>2990</v>
      </c>
      <c r="AA14" s="206">
        <f>(Y14/$AK$15)*100</f>
        <v>1.3019406604836556</v>
      </c>
      <c r="AC14" s="228">
        <v>2018</v>
      </c>
      <c r="AD14" s="228" t="s">
        <v>188</v>
      </c>
      <c r="AE14" s="228">
        <v>7</v>
      </c>
      <c r="AF14" s="395">
        <f>L246</f>
        <v>62.40103589859973</v>
      </c>
      <c r="AJ14" s="21"/>
      <c r="AK14" s="21"/>
      <c r="AL14" s="21"/>
      <c r="AM14" s="21"/>
      <c r="AN14" s="8"/>
    </row>
    <row r="15" spans="1:40">
      <c r="A15" s="389">
        <v>43655</v>
      </c>
      <c r="B15" s="97">
        <v>7</v>
      </c>
      <c r="C15" s="146" t="s">
        <v>2953</v>
      </c>
      <c r="D15" s="90">
        <v>2845.5</v>
      </c>
      <c r="F15" s="90"/>
      <c r="G15" s="90">
        <v>2844.9308999999998</v>
      </c>
      <c r="H15">
        <v>339.17079999999999</v>
      </c>
      <c r="I15" s="391">
        <v>0.73783333333333323</v>
      </c>
      <c r="J15" s="386">
        <v>338.43296666666663</v>
      </c>
      <c r="K15" s="392">
        <v>2844.2114641467492</v>
      </c>
      <c r="L15" s="393">
        <v>99.97471165808453</v>
      </c>
      <c r="M15" s="394">
        <v>2820.4625839855676</v>
      </c>
      <c r="N15" s="393">
        <v>99.139932853397866</v>
      </c>
      <c r="O15" s="390">
        <v>128</v>
      </c>
      <c r="P15" s="390">
        <v>41.7</v>
      </c>
      <c r="Q15" s="386">
        <v>100</v>
      </c>
      <c r="R15" s="386">
        <v>3</v>
      </c>
      <c r="S15" t="s">
        <v>2491</v>
      </c>
      <c r="T15" t="s">
        <v>2491</v>
      </c>
      <c r="U15" s="90">
        <f t="shared" si="2"/>
        <v>23.74888016118166</v>
      </c>
      <c r="V15" s="90">
        <f t="shared" si="3"/>
        <v>2.8496757991386925</v>
      </c>
      <c r="W15" s="90"/>
      <c r="Y15" s="206">
        <f>(Y14/12.01)*100.09</f>
        <v>22.146005501607831</v>
      </c>
      <c r="Z15" s="80" t="s">
        <v>2991</v>
      </c>
      <c r="AC15" s="228">
        <v>2018</v>
      </c>
      <c r="AD15" s="228" t="s">
        <v>188</v>
      </c>
      <c r="AE15" s="228">
        <v>8</v>
      </c>
      <c r="AF15" s="395" t="s">
        <v>2622</v>
      </c>
      <c r="AJ15" s="452" t="s">
        <v>2582</v>
      </c>
      <c r="AK15" s="33">
        <f>AVERAGE(J23:J27,J29:J33,J94:J98,J100:J104,J130:J134,J136:J140,J168:J172,J174:J178,J206:J210,J212:J216,J243:J246,J248:J250,J277:J281,J283:J287,J313:J317,J319:J323)</f>
        <v>204.10635692640687</v>
      </c>
      <c r="AL15" s="21"/>
      <c r="AM15" s="21"/>
      <c r="AN15" s="8"/>
    </row>
    <row r="16" spans="1:40">
      <c r="A16" s="389">
        <v>43655</v>
      </c>
      <c r="B16" s="97">
        <v>8</v>
      </c>
      <c r="C16" s="146" t="s">
        <v>2954</v>
      </c>
      <c r="D16" s="90">
        <v>3773.1</v>
      </c>
      <c r="F16" s="90"/>
      <c r="G16" s="90">
        <v>3772.3453800000002</v>
      </c>
      <c r="H16">
        <v>449.67140000000001</v>
      </c>
      <c r="I16" s="391">
        <v>0.73783333333333323</v>
      </c>
      <c r="J16" s="386">
        <v>448.93356666666665</v>
      </c>
      <c r="K16" s="392">
        <v>3771.6713928928421</v>
      </c>
      <c r="L16" s="393">
        <v>99.982133472965344</v>
      </c>
      <c r="M16" s="394">
        <v>3741.3622554260342</v>
      </c>
      <c r="N16" s="393">
        <v>99.178677415428851</v>
      </c>
      <c r="O16" s="390">
        <v>128</v>
      </c>
      <c r="P16" s="390">
        <v>41.7</v>
      </c>
      <c r="Q16" s="386">
        <v>100</v>
      </c>
      <c r="R16" s="386">
        <v>3</v>
      </c>
      <c r="S16" t="s">
        <v>2491</v>
      </c>
      <c r="T16" t="s">
        <v>2491</v>
      </c>
      <c r="U16" s="90">
        <f t="shared" si="2"/>
        <v>30.309137466807897</v>
      </c>
      <c r="V16" s="90">
        <f t="shared" si="3"/>
        <v>3.6368542409467763</v>
      </c>
      <c r="W16" s="90"/>
      <c r="AC16" s="228">
        <v>2018</v>
      </c>
      <c r="AD16" s="228" t="s">
        <v>188</v>
      </c>
      <c r="AE16" s="228">
        <v>9</v>
      </c>
      <c r="AF16" s="395">
        <f>AVERAGE(L171,L177)</f>
        <v>65.562312598881192</v>
      </c>
      <c r="AG16" t="s">
        <v>2992</v>
      </c>
      <c r="AH16" s="359">
        <f>((L171-L177)/AVERAGE(L171,L177))*100</f>
        <v>-0.72679617541597752</v>
      </c>
      <c r="AJ16" s="452" t="s">
        <v>2917</v>
      </c>
      <c r="AK16" s="21">
        <f>_xlfn.STDEV.P(J23:J27,J29:J33,J94:J98,J100:J104,J130:J134,J136:J140,J168:J172,J174:J178,J206:J210,J212:J216,J243:J246,J248:J250,J277:J281,J283:J287,J313:J317,J319:J323)</f>
        <v>47.844474794314749</v>
      </c>
      <c r="AL16" s="21"/>
      <c r="AM16" s="21"/>
      <c r="AN16" s="8"/>
    </row>
    <row r="17" spans="1:40">
      <c r="A17" s="389">
        <v>43655</v>
      </c>
      <c r="B17" s="97">
        <v>9</v>
      </c>
      <c r="C17" t="s">
        <v>2955</v>
      </c>
      <c r="D17" s="90"/>
      <c r="E17" s="90"/>
      <c r="F17" s="90"/>
      <c r="G17" s="90"/>
      <c r="H17">
        <v>0.79920000000000002</v>
      </c>
      <c r="I17" s="391"/>
      <c r="J17" s="386">
        <v>0.79920000000000002</v>
      </c>
      <c r="K17" s="387"/>
      <c r="L17" s="388"/>
      <c r="M17" s="90"/>
      <c r="N17" s="388"/>
      <c r="O17" s="390">
        <v>128</v>
      </c>
      <c r="P17" s="390">
        <v>41.7</v>
      </c>
      <c r="Q17" s="386">
        <v>100</v>
      </c>
      <c r="R17" s="386">
        <v>3</v>
      </c>
      <c r="S17" t="s">
        <v>2491</v>
      </c>
      <c r="T17" t="s">
        <v>2491</v>
      </c>
      <c r="U17" s="90"/>
      <c r="V17" s="90"/>
      <c r="W17" s="90"/>
      <c r="Y17" s="428"/>
      <c r="AC17" s="228">
        <v>2018</v>
      </c>
      <c r="AD17" s="228" t="s">
        <v>188</v>
      </c>
      <c r="AE17" s="228">
        <v>10</v>
      </c>
      <c r="AF17" s="395">
        <f>L210</f>
        <v>71.277577819822241</v>
      </c>
      <c r="AJ17" s="452" t="s">
        <v>2988</v>
      </c>
      <c r="AK17" s="21">
        <f>COUNT(J23:J27,J29:J33,J94:J98,J100:J104,J130:J134,J136:J140,J168:J172,J174:J178,J206:J210,J212:J216,J243:J246,J248:J250,J277:J281,J283:J287,J313:J317,J319:J323)</f>
        <v>77</v>
      </c>
      <c r="AL17" s="21"/>
      <c r="AM17" s="21"/>
      <c r="AN17" s="8"/>
    </row>
    <row r="18" spans="1:40">
      <c r="A18" s="389">
        <v>43655</v>
      </c>
      <c r="B18" s="97">
        <v>10</v>
      </c>
      <c r="C18" t="s">
        <v>2956</v>
      </c>
      <c r="D18" s="90"/>
      <c r="E18" s="90"/>
      <c r="F18" s="90"/>
      <c r="G18" s="90"/>
      <c r="H18">
        <v>0.83209999999999995</v>
      </c>
      <c r="I18" s="391"/>
      <c r="J18" s="386">
        <v>0.83209999999999995</v>
      </c>
      <c r="K18" s="387"/>
      <c r="L18" s="388"/>
      <c r="M18" s="90"/>
      <c r="N18" s="388"/>
      <c r="O18" s="390">
        <v>128</v>
      </c>
      <c r="P18" s="390">
        <v>41.7</v>
      </c>
      <c r="Q18" s="386">
        <v>100</v>
      </c>
      <c r="R18" s="386">
        <v>3</v>
      </c>
      <c r="S18" t="s">
        <v>2491</v>
      </c>
      <c r="T18" t="s">
        <v>2491</v>
      </c>
      <c r="U18" s="90"/>
      <c r="V18" s="90"/>
      <c r="W18" s="90"/>
      <c r="AC18" s="228">
        <v>2018</v>
      </c>
      <c r="AD18" s="228" t="s">
        <v>188</v>
      </c>
      <c r="AE18" s="228">
        <v>11</v>
      </c>
      <c r="AF18" s="395">
        <f>L212</f>
        <v>60.772920769917285</v>
      </c>
      <c r="AI18" s="452"/>
      <c r="AJ18" s="21"/>
      <c r="AK18" s="21"/>
      <c r="AL18" s="21"/>
      <c r="AM18" s="8"/>
    </row>
    <row r="19" spans="1:40">
      <c r="A19" s="389">
        <v>43655</v>
      </c>
      <c r="B19" s="97">
        <v>11</v>
      </c>
      <c r="C19" t="s">
        <v>2957</v>
      </c>
      <c r="D19" s="90"/>
      <c r="E19" s="90"/>
      <c r="F19" s="90"/>
      <c r="G19" s="90"/>
      <c r="H19">
        <v>0.61990000000000001</v>
      </c>
      <c r="I19" s="391"/>
      <c r="J19" s="386">
        <v>0.61990000000000001</v>
      </c>
      <c r="K19" s="387"/>
      <c r="L19" s="388"/>
      <c r="M19" s="90"/>
      <c r="N19" s="388"/>
      <c r="O19" s="390">
        <v>128</v>
      </c>
      <c r="P19" s="390">
        <v>41.7</v>
      </c>
      <c r="Q19" s="386">
        <v>100</v>
      </c>
      <c r="R19" s="386">
        <v>3</v>
      </c>
      <c r="S19" t="s">
        <v>2491</v>
      </c>
      <c r="T19" t="s">
        <v>2491</v>
      </c>
      <c r="U19" s="90"/>
      <c r="V19" s="90"/>
      <c r="W19" s="80" t="s">
        <v>3124</v>
      </c>
      <c r="AC19" s="228">
        <v>2018</v>
      </c>
      <c r="AD19" s="228" t="s">
        <v>188</v>
      </c>
      <c r="AE19" s="228">
        <v>12</v>
      </c>
      <c r="AF19" s="395">
        <f>L213</f>
        <v>64.764945757710507</v>
      </c>
      <c r="AK19" s="21"/>
      <c r="AL19" s="21"/>
      <c r="AM19" s="8"/>
    </row>
    <row r="20" spans="1:40" s="410" customFormat="1">
      <c r="A20" s="408">
        <v>43655</v>
      </c>
      <c r="B20" s="409">
        <v>12</v>
      </c>
      <c r="C20" s="410" t="s">
        <v>2958</v>
      </c>
      <c r="D20" s="411">
        <v>1062.8</v>
      </c>
      <c r="E20" s="411"/>
      <c r="F20" s="411"/>
      <c r="G20" s="411"/>
      <c r="H20" s="410">
        <v>15.273</v>
      </c>
      <c r="I20" s="412">
        <v>0.75039999999999996</v>
      </c>
      <c r="J20" s="413">
        <v>14.522600000000001</v>
      </c>
      <c r="K20" s="414">
        <v>125.54852848135565</v>
      </c>
      <c r="L20" s="415">
        <v>11.812996658012388</v>
      </c>
      <c r="M20" s="416">
        <v>121.02972805995006</v>
      </c>
      <c r="N20" s="415">
        <v>11.387817845309566</v>
      </c>
      <c r="O20" s="417">
        <v>128</v>
      </c>
      <c r="P20" s="417">
        <v>41.7</v>
      </c>
      <c r="Q20" s="413">
        <v>100</v>
      </c>
      <c r="R20" s="413">
        <v>3</v>
      </c>
      <c r="S20" s="410" t="s">
        <v>2491</v>
      </c>
      <c r="T20" s="410" t="s">
        <v>2491</v>
      </c>
      <c r="U20" s="90">
        <f>K20-M20</f>
        <v>4.5188004214055866</v>
      </c>
      <c r="V20" s="90">
        <f t="shared" si="3"/>
        <v>0.54221993267140667</v>
      </c>
      <c r="W20" s="90">
        <f>(U20/K20)*100</f>
        <v>3.5992460254734433</v>
      </c>
      <c r="X20" s="146"/>
      <c r="Y20"/>
      <c r="Z20"/>
      <c r="AA20"/>
      <c r="AB20"/>
      <c r="AC20" s="228">
        <v>2018</v>
      </c>
      <c r="AD20" s="228" t="s">
        <v>188</v>
      </c>
      <c r="AE20" s="228">
        <v>13</v>
      </c>
      <c r="AF20" s="395">
        <f>L214</f>
        <v>68.129102447720584</v>
      </c>
      <c r="AG20"/>
      <c r="AH20"/>
      <c r="AI20" s="21"/>
      <c r="AJ20" s="21"/>
      <c r="AK20" s="21"/>
      <c r="AL20" s="21"/>
      <c r="AM20"/>
    </row>
    <row r="21" spans="1:40" s="410" customFormat="1">
      <c r="A21" s="408">
        <v>43655</v>
      </c>
      <c r="B21" s="409">
        <v>13</v>
      </c>
      <c r="C21" s="410" t="s">
        <v>2958</v>
      </c>
      <c r="D21" s="411">
        <v>2234.8000000000002</v>
      </c>
      <c r="E21" s="411"/>
      <c r="F21" s="411"/>
      <c r="G21" s="411"/>
      <c r="H21" s="410">
        <v>31.495200000000001</v>
      </c>
      <c r="I21" s="412">
        <v>0.75039999999999996</v>
      </c>
      <c r="J21" s="413">
        <v>30.744800000000001</v>
      </c>
      <c r="K21" s="414">
        <v>261.70562134876872</v>
      </c>
      <c r="L21" s="415">
        <v>11.710471690923962</v>
      </c>
      <c r="M21" s="416">
        <v>256.223732889259</v>
      </c>
      <c r="N21" s="415">
        <v>11.465175089012842</v>
      </c>
      <c r="O21" s="417">
        <v>128</v>
      </c>
      <c r="P21" s="417">
        <v>41.7</v>
      </c>
      <c r="Q21" s="413">
        <v>100</v>
      </c>
      <c r="R21" s="413">
        <v>3</v>
      </c>
      <c r="S21" s="410" t="s">
        <v>2491</v>
      </c>
      <c r="T21" s="410" t="s">
        <v>2491</v>
      </c>
      <c r="U21" s="90">
        <f t="shared" si="2"/>
        <v>5.4818884595097188</v>
      </c>
      <c r="V21" s="90">
        <f t="shared" si="3"/>
        <v>0.65778279946759632</v>
      </c>
      <c r="W21" s="90">
        <f>(U21/K21)*100</f>
        <v>2.094677382647482</v>
      </c>
      <c r="X21" s="146"/>
      <c r="Y21"/>
      <c r="Z21"/>
      <c r="AA21"/>
      <c r="AB21"/>
      <c r="AC21" s="228">
        <v>2018</v>
      </c>
      <c r="AD21" s="228" t="s">
        <v>188</v>
      </c>
      <c r="AE21" s="228">
        <v>14</v>
      </c>
      <c r="AF21" s="395">
        <f>AVERAGE(L209,L215)</f>
        <v>72.674484388031445</v>
      </c>
      <c r="AG21" t="s">
        <v>2992</v>
      </c>
      <c r="AH21" s="359">
        <f>((L209-L215)/AVERAGE(L209,L215))*100</f>
        <v>2.1144345897480576</v>
      </c>
      <c r="AI21"/>
      <c r="AJ21"/>
      <c r="AK21"/>
      <c r="AL21"/>
      <c r="AM21"/>
    </row>
    <row r="22" spans="1:40">
      <c r="A22" s="389">
        <v>43655</v>
      </c>
      <c r="B22" s="97">
        <v>14</v>
      </c>
      <c r="C22" t="s">
        <v>2959</v>
      </c>
      <c r="D22" s="90"/>
      <c r="E22" s="90"/>
      <c r="F22" s="90"/>
      <c r="G22" s="90"/>
      <c r="H22">
        <v>0.70020000000000004</v>
      </c>
      <c r="I22" s="391">
        <v>0.55947500000000006</v>
      </c>
      <c r="J22" s="386">
        <v>0.14072499999999999</v>
      </c>
      <c r="K22" s="392">
        <v>4.8377562074022649</v>
      </c>
      <c r="L22" s="393" t="e">
        <v>#DIV/0!</v>
      </c>
      <c r="M22" s="394">
        <v>1.1727864487926727</v>
      </c>
      <c r="N22" s="393" t="e">
        <v>#DIV/0!</v>
      </c>
      <c r="O22" s="390">
        <v>128</v>
      </c>
      <c r="P22" s="390">
        <v>41.7</v>
      </c>
      <c r="Q22" s="386">
        <v>100</v>
      </c>
      <c r="R22" s="386">
        <v>3</v>
      </c>
      <c r="S22" t="s">
        <v>2491</v>
      </c>
      <c r="T22" t="s">
        <v>2491</v>
      </c>
      <c r="U22" s="90"/>
      <c r="V22" s="90"/>
      <c r="W22" s="90"/>
      <c r="X22" s="146"/>
      <c r="AC22" s="228">
        <v>2018</v>
      </c>
      <c r="AD22" s="228" t="s">
        <v>188</v>
      </c>
      <c r="AE22" s="228">
        <v>15</v>
      </c>
      <c r="AF22" s="395">
        <f>L216</f>
        <v>69.718063936323162</v>
      </c>
    </row>
    <row r="23" spans="1:40">
      <c r="A23" s="389">
        <v>43655</v>
      </c>
      <c r="B23" s="97">
        <v>15</v>
      </c>
      <c r="C23" t="s">
        <v>2960</v>
      </c>
      <c r="D23" s="90">
        <v>2371.1</v>
      </c>
      <c r="E23" s="90">
        <v>2371.1</v>
      </c>
      <c r="F23" s="90"/>
      <c r="G23" s="90"/>
      <c r="H23">
        <v>200.92689999999999</v>
      </c>
      <c r="I23" s="391">
        <v>0.55947500000000006</v>
      </c>
      <c r="J23" s="386">
        <v>200.367425</v>
      </c>
      <c r="K23" s="392">
        <v>1685.3918972262318</v>
      </c>
      <c r="L23" s="393">
        <v>71.080591169762215</v>
      </c>
      <c r="M23" s="394">
        <v>1669.8397642173188</v>
      </c>
      <c r="N23" s="393">
        <v>70.424687453811259</v>
      </c>
      <c r="O23" s="390">
        <v>128</v>
      </c>
      <c r="P23" s="390">
        <v>41.7</v>
      </c>
      <c r="Q23" s="386">
        <v>100</v>
      </c>
      <c r="R23" s="386">
        <v>3</v>
      </c>
      <c r="S23" t="s">
        <v>2491</v>
      </c>
      <c r="T23" t="s">
        <v>2491</v>
      </c>
      <c r="U23" s="90">
        <f>K23-M23</f>
        <v>15.552133008912961</v>
      </c>
      <c r="V23" s="90">
        <f t="shared" si="3"/>
        <v>1.8661316558801544</v>
      </c>
      <c r="W23" s="90">
        <f>(U23/K23)*100</f>
        <v>0.9227606371258934</v>
      </c>
      <c r="X23" s="146"/>
      <c r="AC23" s="228">
        <v>2018</v>
      </c>
      <c r="AD23" s="228" t="s">
        <v>188</v>
      </c>
      <c r="AE23" s="228">
        <v>16</v>
      </c>
      <c r="AF23" s="395">
        <f>L243</f>
        <v>53.863813456594855</v>
      </c>
      <c r="AG23" t="s">
        <v>2992</v>
      </c>
      <c r="AH23" s="359">
        <f>((L243-L280)/AVERAGE(L243,L280))*100</f>
        <v>1.484985964487463</v>
      </c>
      <c r="AI23" t="s">
        <v>3151</v>
      </c>
    </row>
    <row r="24" spans="1:40">
      <c r="A24" s="389">
        <v>43655</v>
      </c>
      <c r="B24" s="97">
        <v>16</v>
      </c>
      <c r="C24" t="s">
        <v>2961</v>
      </c>
      <c r="D24" s="90">
        <v>3394</v>
      </c>
      <c r="E24" s="90">
        <v>3394</v>
      </c>
      <c r="F24" s="90"/>
      <c r="G24" s="90"/>
      <c r="H24">
        <v>291.68200000000002</v>
      </c>
      <c r="I24" s="391">
        <v>0.55947500000000006</v>
      </c>
      <c r="J24" s="386">
        <v>291.122525</v>
      </c>
      <c r="K24" s="392">
        <v>2447.122770898814</v>
      </c>
      <c r="L24" s="393">
        <v>72.101436974036943</v>
      </c>
      <c r="M24" s="394">
        <v>2426.1826417360535</v>
      </c>
      <c r="N24" s="393">
        <v>71.484462042900816</v>
      </c>
      <c r="O24" s="390">
        <v>128</v>
      </c>
      <c r="P24" s="390">
        <v>41.7</v>
      </c>
      <c r="Q24" s="386">
        <v>100</v>
      </c>
      <c r="R24" s="386">
        <v>3</v>
      </c>
      <c r="S24" t="s">
        <v>2491</v>
      </c>
      <c r="T24" t="s">
        <v>2491</v>
      </c>
      <c r="U24" s="90">
        <f t="shared" si="2"/>
        <v>20.940129162760513</v>
      </c>
      <c r="V24" s="90">
        <f t="shared" si="3"/>
        <v>2.5126481291313194</v>
      </c>
      <c r="W24" s="90">
        <f>(U24/K24)*100</f>
        <v>0.85570407058364817</v>
      </c>
      <c r="X24" s="146"/>
      <c r="AC24" s="228">
        <v>2018</v>
      </c>
      <c r="AD24" s="228" t="s">
        <v>188</v>
      </c>
      <c r="AE24" s="228">
        <v>17</v>
      </c>
      <c r="AF24" s="395">
        <f>AVERAGE(L244,L277)</f>
        <v>53.121151206821395</v>
      </c>
      <c r="AG24" t="s">
        <v>2992</v>
      </c>
      <c r="AH24" s="359">
        <f>((L244-L277)/AVERAGE(L244,L277))*100</f>
        <v>0.58158444624895611</v>
      </c>
      <c r="AI24" t="s">
        <v>3151</v>
      </c>
    </row>
    <row r="25" spans="1:40" s="200" customFormat="1">
      <c r="A25" s="399">
        <v>43655</v>
      </c>
      <c r="B25" s="400">
        <v>17</v>
      </c>
      <c r="C25" s="200" t="s">
        <v>2962</v>
      </c>
      <c r="D25" s="401">
        <v>2649.9</v>
      </c>
      <c r="E25" s="401">
        <v>2649.9</v>
      </c>
      <c r="F25" s="401"/>
      <c r="G25" s="401"/>
      <c r="H25" s="200">
        <v>209.3836</v>
      </c>
      <c r="I25" s="402">
        <v>0.55947500000000006</v>
      </c>
      <c r="J25" s="403">
        <v>208.82412500000001</v>
      </c>
      <c r="K25" s="404">
        <v>1756.3711532612858</v>
      </c>
      <c r="L25" s="405">
        <v>66.280657883742251</v>
      </c>
      <c r="M25" s="406">
        <v>1740.3169584721068</v>
      </c>
      <c r="N25" s="405">
        <v>65.674816350507825</v>
      </c>
      <c r="O25" s="407">
        <v>128</v>
      </c>
      <c r="P25" s="407">
        <v>41.7</v>
      </c>
      <c r="Q25" s="403">
        <v>100</v>
      </c>
      <c r="R25" s="403">
        <v>3</v>
      </c>
      <c r="S25" s="200" t="s">
        <v>2491</v>
      </c>
      <c r="T25" s="200" t="s">
        <v>2491</v>
      </c>
      <c r="U25" s="90">
        <f t="shared" si="2"/>
        <v>16.054194789179064</v>
      </c>
      <c r="V25" s="90">
        <f t="shared" si="3"/>
        <v>1.9263750566294391</v>
      </c>
      <c r="W25" s="90">
        <f>(U25/K25)*100</f>
        <v>0.91405479755057029</v>
      </c>
      <c r="X25" s="146"/>
      <c r="Y25"/>
      <c r="Z25"/>
      <c r="AA25"/>
      <c r="AB25"/>
      <c r="AC25" s="228">
        <v>2018</v>
      </c>
      <c r="AD25" s="228" t="s">
        <v>188</v>
      </c>
      <c r="AE25" s="228">
        <v>18</v>
      </c>
      <c r="AF25" s="395">
        <f t="shared" ref="AF25" si="4">L245</f>
        <v>54.888539067690488</v>
      </c>
      <c r="AG25" t="s">
        <v>2992</v>
      </c>
      <c r="AH25" s="359">
        <f>((L245-L278)/AVERAGE(L245,L278))*100</f>
        <v>1.4017754705479601</v>
      </c>
      <c r="AI25" t="s">
        <v>3151</v>
      </c>
      <c r="AJ25"/>
      <c r="AK25"/>
      <c r="AL25"/>
      <c r="AM25"/>
    </row>
    <row r="26" spans="1:40">
      <c r="A26" s="389">
        <v>43655</v>
      </c>
      <c r="B26" s="97">
        <v>18</v>
      </c>
      <c r="C26" t="s">
        <v>2963</v>
      </c>
      <c r="D26" s="90">
        <v>3002.8</v>
      </c>
      <c r="E26" s="90">
        <v>3002.8</v>
      </c>
      <c r="F26" s="90"/>
      <c r="G26" s="90"/>
      <c r="H26">
        <v>254.2199</v>
      </c>
      <c r="I26" s="391">
        <v>0.55947500000000006</v>
      </c>
      <c r="J26" s="386">
        <v>253.660425</v>
      </c>
      <c r="K26" s="392">
        <v>2132.6937397742863</v>
      </c>
      <c r="L26" s="393">
        <v>71.023502723267811</v>
      </c>
      <c r="M26" s="394">
        <v>2113.9776801207331</v>
      </c>
      <c r="N26" s="393">
        <v>70.400215802608656</v>
      </c>
      <c r="O26" s="390">
        <v>128</v>
      </c>
      <c r="P26" s="390">
        <v>41.7</v>
      </c>
      <c r="Q26" s="386">
        <v>100</v>
      </c>
      <c r="R26" s="386">
        <v>3</v>
      </c>
      <c r="S26" t="s">
        <v>2491</v>
      </c>
      <c r="T26" t="s">
        <v>2491</v>
      </c>
      <c r="U26" s="90">
        <f t="shared" si="2"/>
        <v>18.716059653553202</v>
      </c>
      <c r="V26" s="90">
        <f t="shared" si="3"/>
        <v>2.2457775645836144</v>
      </c>
      <c r="W26" s="90">
        <f>(U26/K26)*100</f>
        <v>0.87757840258554964</v>
      </c>
      <c r="X26" s="146"/>
      <c r="AC26" s="228">
        <v>2018</v>
      </c>
      <c r="AD26" s="228" t="s">
        <v>188</v>
      </c>
      <c r="AE26" s="228">
        <v>19</v>
      </c>
      <c r="AF26" s="395">
        <f>L248</f>
        <v>42.521045153292263</v>
      </c>
      <c r="AG26" t="s">
        <v>2992</v>
      </c>
      <c r="AH26" s="359">
        <f>((L248-L279)/AVERAGE(L248,L279))*100</f>
        <v>3.4621582943924247</v>
      </c>
      <c r="AI26" t="s">
        <v>3151</v>
      </c>
    </row>
    <row r="27" spans="1:40">
      <c r="A27" s="389">
        <v>43655</v>
      </c>
      <c r="B27" s="97">
        <v>19</v>
      </c>
      <c r="C27" t="s">
        <v>2964</v>
      </c>
      <c r="D27" s="90">
        <v>2705.7</v>
      </c>
      <c r="E27" s="90">
        <v>2705.7</v>
      </c>
      <c r="F27" s="90"/>
      <c r="G27" s="90"/>
      <c r="H27">
        <v>239.98689999999999</v>
      </c>
      <c r="I27" s="391">
        <v>0.55947500000000006</v>
      </c>
      <c r="J27" s="386">
        <v>239.427425</v>
      </c>
      <c r="K27" s="392">
        <v>2013.2325136285174</v>
      </c>
      <c r="L27" s="393">
        <v>74.407085546384209</v>
      </c>
      <c r="M27" s="394">
        <v>1995.3614461490424</v>
      </c>
      <c r="N27" s="393">
        <v>73.746588540822799</v>
      </c>
      <c r="O27" s="390">
        <v>128</v>
      </c>
      <c r="P27" s="390">
        <v>41.7</v>
      </c>
      <c r="Q27" s="386">
        <v>100</v>
      </c>
      <c r="R27" s="386">
        <v>3</v>
      </c>
      <c r="S27" t="s">
        <v>2491</v>
      </c>
      <c r="T27" t="s">
        <v>2491</v>
      </c>
      <c r="U27" s="90">
        <f t="shared" si="2"/>
        <v>17.871067479474959</v>
      </c>
      <c r="V27" s="90">
        <f t="shared" si="3"/>
        <v>2.1443852575531444</v>
      </c>
      <c r="W27" s="90">
        <f>(U27/K27)*100</f>
        <v>0.88768025344798973</v>
      </c>
      <c r="X27" s="146"/>
      <c r="AC27" s="228">
        <v>2018</v>
      </c>
      <c r="AD27" s="228" t="s">
        <v>188</v>
      </c>
      <c r="AE27" s="228">
        <v>20</v>
      </c>
      <c r="AF27" s="395">
        <f t="shared" ref="AF27:AF28" si="5">L249</f>
        <v>58.033841127246092</v>
      </c>
      <c r="AG27" t="s">
        <v>2992</v>
      </c>
      <c r="AH27" s="359">
        <f>((L249-L284)/AVERAGE(L249,L284))*100</f>
        <v>1.4328117295218299</v>
      </c>
      <c r="AI27" t="s">
        <v>3151</v>
      </c>
    </row>
    <row r="28" spans="1:40">
      <c r="A28" s="389">
        <v>43655</v>
      </c>
      <c r="B28" s="97">
        <v>20</v>
      </c>
      <c r="C28" t="s">
        <v>2965</v>
      </c>
      <c r="D28" s="90"/>
      <c r="E28" s="90"/>
      <c r="F28" s="90"/>
      <c r="G28" s="90"/>
      <c r="H28">
        <v>0.55359999999999998</v>
      </c>
      <c r="I28" s="391">
        <v>0.55947500000000006</v>
      </c>
      <c r="J28" s="386">
        <v>-5.8750000000000746E-3</v>
      </c>
      <c r="K28" s="392">
        <v>3.6073047387751509</v>
      </c>
      <c r="L28" s="393" t="e">
        <v>#DIV/0!</v>
      </c>
      <c r="M28" s="394">
        <v>-4.8961594504580146E-2</v>
      </c>
      <c r="N28" s="393" t="e">
        <v>#DIV/0!</v>
      </c>
      <c r="O28" s="390">
        <v>128</v>
      </c>
      <c r="P28" s="390">
        <v>41.7</v>
      </c>
      <c r="Q28" s="386">
        <v>100</v>
      </c>
      <c r="R28" s="386">
        <v>3</v>
      </c>
      <c r="S28" t="s">
        <v>2491</v>
      </c>
      <c r="T28" t="s">
        <v>2491</v>
      </c>
      <c r="U28" s="90"/>
      <c r="V28" s="90"/>
      <c r="W28" s="90"/>
      <c r="X28" s="146"/>
      <c r="AC28" s="228">
        <v>2018</v>
      </c>
      <c r="AD28" s="228" t="s">
        <v>188</v>
      </c>
      <c r="AE28" s="228">
        <v>21</v>
      </c>
      <c r="AF28" s="395">
        <f t="shared" si="5"/>
        <v>65.025254990167966</v>
      </c>
      <c r="AG28" t="s">
        <v>3153</v>
      </c>
      <c r="AH28" s="359">
        <f>H292</f>
        <v>64.450201806067241</v>
      </c>
      <c r="AI28" t="s">
        <v>2917</v>
      </c>
      <c r="AJ28" s="90">
        <f>I292</f>
        <v>0.49294616905809097</v>
      </c>
      <c r="AK28" t="s">
        <v>3151</v>
      </c>
    </row>
    <row r="29" spans="1:40">
      <c r="A29" s="389">
        <v>43655</v>
      </c>
      <c r="B29" s="97">
        <v>21</v>
      </c>
      <c r="C29" t="s">
        <v>2966</v>
      </c>
      <c r="D29" s="90">
        <v>2415.5</v>
      </c>
      <c r="E29" s="90">
        <v>2415.5</v>
      </c>
      <c r="F29" s="90"/>
      <c r="G29" s="90"/>
      <c r="H29">
        <v>210.74250000000001</v>
      </c>
      <c r="I29" s="391">
        <v>0.55947500000000006</v>
      </c>
      <c r="J29" s="386">
        <v>210.18302500000001</v>
      </c>
      <c r="K29" s="392">
        <v>1767.7767501283895</v>
      </c>
      <c r="L29" s="393">
        <v>73.184713315188958</v>
      </c>
      <c r="M29" s="394">
        <v>1751.6418794546212</v>
      </c>
      <c r="N29" s="393">
        <v>72.516741024823901</v>
      </c>
      <c r="O29" s="390">
        <v>128</v>
      </c>
      <c r="P29" s="390">
        <v>41.7</v>
      </c>
      <c r="Q29" s="386">
        <v>100</v>
      </c>
      <c r="R29" s="386">
        <v>3</v>
      </c>
      <c r="S29" t="s">
        <v>2491</v>
      </c>
      <c r="T29" t="s">
        <v>2491</v>
      </c>
      <c r="U29" s="90">
        <f t="shared" si="2"/>
        <v>16.134870673768319</v>
      </c>
      <c r="V29" s="90">
        <f t="shared" si="3"/>
        <v>1.9360555179534169</v>
      </c>
      <c r="W29" s="90">
        <f>(U29/K29)*100</f>
        <v>0.91272105895704758</v>
      </c>
      <c r="X29" s="146"/>
      <c r="AC29" s="228">
        <v>2018</v>
      </c>
      <c r="AD29" s="228" t="s">
        <v>190</v>
      </c>
      <c r="AE29" s="228">
        <v>1</v>
      </c>
      <c r="AF29" s="395">
        <f>L97</f>
        <v>76.460712308064089</v>
      </c>
    </row>
    <row r="30" spans="1:40" s="200" customFormat="1">
      <c r="A30" s="399">
        <v>43655</v>
      </c>
      <c r="B30" s="400">
        <v>22</v>
      </c>
      <c r="C30" s="200" t="s">
        <v>2967</v>
      </c>
      <c r="D30" s="401">
        <v>2737.7</v>
      </c>
      <c r="E30" s="401">
        <v>2737.7</v>
      </c>
      <c r="F30" s="401"/>
      <c r="G30" s="401"/>
      <c r="H30" s="200">
        <v>214.77520000000001</v>
      </c>
      <c r="I30" s="402">
        <v>0.55947500000000006</v>
      </c>
      <c r="J30" s="403">
        <v>214.21572500000002</v>
      </c>
      <c r="K30" s="404">
        <v>1801.6242374239732</v>
      </c>
      <c r="L30" s="405">
        <v>65.807949644737306</v>
      </c>
      <c r="M30" s="406">
        <v>1785.2499513114074</v>
      </c>
      <c r="N30" s="405">
        <v>65.209845903912324</v>
      </c>
      <c r="O30" s="407">
        <v>128</v>
      </c>
      <c r="P30" s="407">
        <v>41.7</v>
      </c>
      <c r="Q30" s="403">
        <v>100</v>
      </c>
      <c r="R30" s="403">
        <v>3</v>
      </c>
      <c r="S30" s="200" t="s">
        <v>2491</v>
      </c>
      <c r="T30" s="200" t="s">
        <v>2491</v>
      </c>
      <c r="U30" s="90">
        <f t="shared" si="2"/>
        <v>16.374286112565869</v>
      </c>
      <c r="V30" s="90">
        <f t="shared" si="3"/>
        <v>1.964783457007854</v>
      </c>
      <c r="W30" s="90">
        <f>(U30/K30)*100</f>
        <v>0.90886244603249833</v>
      </c>
      <c r="X30" s="146"/>
      <c r="Y30"/>
      <c r="Z30"/>
      <c r="AA30"/>
      <c r="AB30"/>
      <c r="AC30" s="228">
        <v>2018</v>
      </c>
      <c r="AD30" s="228" t="s">
        <v>190</v>
      </c>
      <c r="AE30" s="228">
        <v>2</v>
      </c>
      <c r="AF30" s="395">
        <f>L100</f>
        <v>65.755428283319191</v>
      </c>
      <c r="AG30"/>
      <c r="AH30"/>
      <c r="AI30"/>
      <c r="AJ30"/>
      <c r="AK30"/>
      <c r="AL30"/>
      <c r="AM30"/>
    </row>
    <row r="31" spans="1:40">
      <c r="A31" s="389">
        <v>43655</v>
      </c>
      <c r="B31" s="97">
        <v>23</v>
      </c>
      <c r="C31" t="s">
        <v>2968</v>
      </c>
      <c r="D31" s="90">
        <v>2760.3</v>
      </c>
      <c r="E31" s="90">
        <v>2760.3</v>
      </c>
      <c r="F31" s="90"/>
      <c r="G31" s="90"/>
      <c r="H31">
        <v>245.23570000000001</v>
      </c>
      <c r="I31" s="391">
        <v>0.55947500000000006</v>
      </c>
      <c r="J31" s="386">
        <v>244.67622500000002</v>
      </c>
      <c r="K31" s="392">
        <v>2057.2870406989814</v>
      </c>
      <c r="L31" s="393">
        <v>74.531284306016786</v>
      </c>
      <c r="M31" s="394">
        <v>2039.1043597210662</v>
      </c>
      <c r="N31" s="393">
        <v>73.872563117091119</v>
      </c>
      <c r="O31" s="390">
        <v>128</v>
      </c>
      <c r="P31" s="390">
        <v>41.7</v>
      </c>
      <c r="Q31" s="386">
        <v>100</v>
      </c>
      <c r="R31" s="386">
        <v>3</v>
      </c>
      <c r="S31" t="s">
        <v>2491</v>
      </c>
      <c r="T31" t="s">
        <v>2491</v>
      </c>
      <c r="U31" s="90">
        <f t="shared" si="2"/>
        <v>18.182680977915197</v>
      </c>
      <c r="V31" s="90">
        <f t="shared" si="3"/>
        <v>2.1817763866995854</v>
      </c>
      <c r="W31" s="90">
        <f>(U31/K31)*100</f>
        <v>0.88381837916684058</v>
      </c>
      <c r="X31" s="146"/>
      <c r="AC31" s="228">
        <v>2018</v>
      </c>
      <c r="AD31" s="228" t="s">
        <v>190</v>
      </c>
      <c r="AE31" s="228">
        <v>3</v>
      </c>
      <c r="AF31" s="395">
        <f>AVERAGE(L98,L101)</f>
        <v>66.076046730741837</v>
      </c>
      <c r="AG31" t="s">
        <v>2992</v>
      </c>
      <c r="AH31" s="359">
        <f>((L98-L101)/AVERAGE(L98,L101))*100</f>
        <v>-1.1142891382785642</v>
      </c>
    </row>
    <row r="32" spans="1:40">
      <c r="A32" s="389">
        <v>43655</v>
      </c>
      <c r="B32" s="97">
        <v>24</v>
      </c>
      <c r="C32" t="s">
        <v>2969</v>
      </c>
      <c r="D32" s="90">
        <v>2543</v>
      </c>
      <c r="E32" s="90">
        <v>2543</v>
      </c>
      <c r="F32" s="90"/>
      <c r="G32" s="90"/>
      <c r="H32">
        <v>227.1353</v>
      </c>
      <c r="I32" s="391">
        <v>0.55947500000000006</v>
      </c>
      <c r="J32" s="386">
        <v>226.57582500000001</v>
      </c>
      <c r="K32" s="392">
        <v>1905.36573263119</v>
      </c>
      <c r="L32" s="393">
        <v>74.925903760565873</v>
      </c>
      <c r="M32" s="394">
        <v>1888.2576456494589</v>
      </c>
      <c r="N32" s="393">
        <v>74.253151618146234</v>
      </c>
      <c r="O32" s="390">
        <v>128</v>
      </c>
      <c r="P32" s="390">
        <v>41.7</v>
      </c>
      <c r="Q32" s="386">
        <v>100</v>
      </c>
      <c r="R32" s="386">
        <v>3</v>
      </c>
      <c r="S32" t="s">
        <v>2491</v>
      </c>
      <c r="T32" t="s">
        <v>2491</v>
      </c>
      <c r="U32" s="90">
        <f t="shared" si="2"/>
        <v>17.108086981731049</v>
      </c>
      <c r="V32" s="90">
        <f t="shared" si="3"/>
        <v>2.0528336961793374</v>
      </c>
      <c r="W32" s="90">
        <f>(U32/K32)*100</f>
        <v>0.89788992678617452</v>
      </c>
      <c r="AC32" s="228">
        <v>2018</v>
      </c>
      <c r="AD32" s="228" t="s">
        <v>190</v>
      </c>
      <c r="AE32" s="228">
        <v>4</v>
      </c>
      <c r="AF32" s="395">
        <f>L102</f>
        <v>69.214721987207426</v>
      </c>
    </row>
    <row r="33" spans="1:39">
      <c r="A33" s="389">
        <v>43655</v>
      </c>
      <c r="B33" s="97">
        <v>25</v>
      </c>
      <c r="C33" t="s">
        <v>2970</v>
      </c>
      <c r="D33" s="90">
        <v>2477.5</v>
      </c>
      <c r="E33" s="90">
        <v>2477.5</v>
      </c>
      <c r="F33" s="90"/>
      <c r="G33" s="90"/>
      <c r="H33">
        <v>208.01169999999999</v>
      </c>
      <c r="I33" s="391">
        <v>0.55947500000000006</v>
      </c>
      <c r="J33" s="386">
        <v>207.452225</v>
      </c>
      <c r="K33" s="392">
        <v>1744.8564440538539</v>
      </c>
      <c r="L33" s="393">
        <v>70.428110758985014</v>
      </c>
      <c r="M33" s="394">
        <v>1728.88369694005</v>
      </c>
      <c r="N33" s="393">
        <v>69.783398463775981</v>
      </c>
      <c r="O33" s="390">
        <v>128</v>
      </c>
      <c r="P33" s="390">
        <v>41.7</v>
      </c>
      <c r="Q33" s="386">
        <v>100</v>
      </c>
      <c r="R33" s="386">
        <v>3</v>
      </c>
      <c r="S33" t="s">
        <v>2491</v>
      </c>
      <c r="T33" t="s">
        <v>2491</v>
      </c>
      <c r="U33" s="90">
        <f t="shared" si="2"/>
        <v>15.972747113803962</v>
      </c>
      <c r="V33" s="90">
        <f t="shared" si="3"/>
        <v>1.9166019865799337</v>
      </c>
      <c r="W33" s="90">
        <f>(U33/K33)*100</f>
        <v>0.91541898293330159</v>
      </c>
      <c r="AC33" s="228">
        <v>2018</v>
      </c>
      <c r="AD33" s="228" t="s">
        <v>190</v>
      </c>
      <c r="AE33" s="228">
        <v>5</v>
      </c>
      <c r="AF33" s="395">
        <f t="shared" ref="AF33:AF34" si="6">L103</f>
        <v>70.751824067911755</v>
      </c>
    </row>
    <row r="34" spans="1:39">
      <c r="A34" s="389">
        <v>43655</v>
      </c>
      <c r="B34" s="97">
        <v>26</v>
      </c>
      <c r="C34" t="s">
        <v>2971</v>
      </c>
      <c r="D34" s="90"/>
      <c r="E34" s="90"/>
      <c r="F34" s="90"/>
      <c r="G34" s="90"/>
      <c r="H34">
        <v>0.50890000000000002</v>
      </c>
      <c r="I34" s="391">
        <v>0.55947500000000006</v>
      </c>
      <c r="J34" s="386">
        <v>-5.0575000000000037E-2</v>
      </c>
      <c r="K34" s="392">
        <v>3.2321261531842103</v>
      </c>
      <c r="L34" s="393" t="e">
        <v>#DIV/0!</v>
      </c>
      <c r="M34" s="394">
        <v>-0.42148640716069974</v>
      </c>
      <c r="N34" s="393" t="e">
        <v>#DIV/0!</v>
      </c>
      <c r="O34" s="390">
        <v>128</v>
      </c>
      <c r="P34" s="390">
        <v>41.7</v>
      </c>
      <c r="Q34" s="386">
        <v>100</v>
      </c>
      <c r="R34" s="386">
        <v>3</v>
      </c>
      <c r="S34" t="s">
        <v>2491</v>
      </c>
      <c r="T34" t="s">
        <v>2491</v>
      </c>
      <c r="U34" s="90"/>
      <c r="V34" s="90"/>
      <c r="W34" s="90"/>
      <c r="AC34" s="228">
        <v>2018</v>
      </c>
      <c r="AD34" s="228" t="s">
        <v>190</v>
      </c>
      <c r="AE34" s="228">
        <v>6</v>
      </c>
      <c r="AF34" s="395">
        <f t="shared" si="6"/>
        <v>77.291264097712428</v>
      </c>
    </row>
    <row r="35" spans="1:39">
      <c r="A35" s="389">
        <v>43655</v>
      </c>
      <c r="B35" s="97">
        <v>27</v>
      </c>
      <c r="C35" s="146" t="s">
        <v>2972</v>
      </c>
      <c r="D35" s="90">
        <v>2156.4</v>
      </c>
      <c r="E35" s="90"/>
      <c r="F35" s="90"/>
      <c r="G35" s="90">
        <v>2155.9687200000003</v>
      </c>
      <c r="H35">
        <v>257.24549999999999</v>
      </c>
      <c r="I35" s="391">
        <v>0.55947500000000006</v>
      </c>
      <c r="J35" s="386">
        <v>256.68602499999997</v>
      </c>
      <c r="K35" s="392">
        <v>2158.0883779971932</v>
      </c>
      <c r="L35" s="393">
        <v>100.09831580474847</v>
      </c>
      <c r="M35" s="394">
        <v>2139.1926929433803</v>
      </c>
      <c r="N35" s="393">
        <v>99.221879849137153</v>
      </c>
      <c r="O35" s="390">
        <v>128</v>
      </c>
      <c r="P35" s="390">
        <v>41.7</v>
      </c>
      <c r="Q35" s="386">
        <v>100</v>
      </c>
      <c r="R35" s="386">
        <v>3</v>
      </c>
      <c r="S35" t="s">
        <v>2491</v>
      </c>
      <c r="T35" t="s">
        <v>2491</v>
      </c>
      <c r="U35" s="90">
        <f t="shared" si="2"/>
        <v>18.89568505381294</v>
      </c>
      <c r="V35" s="90">
        <f t="shared" si="3"/>
        <v>2.2673311769037205</v>
      </c>
      <c r="W35" s="90">
        <f>(U35/K35)*100</f>
        <v>0.87557512687914185</v>
      </c>
      <c r="AC35" s="228">
        <v>2018</v>
      </c>
      <c r="AD35" s="228" t="s">
        <v>190</v>
      </c>
      <c r="AE35" s="228">
        <v>7</v>
      </c>
      <c r="AF35" s="395">
        <f>L130</f>
        <v>72.003198413578801</v>
      </c>
    </row>
    <row r="36" spans="1:39">
      <c r="A36" s="389">
        <v>43655</v>
      </c>
      <c r="B36" s="97">
        <v>28</v>
      </c>
      <c r="C36" t="s">
        <v>2973</v>
      </c>
      <c r="D36" s="90"/>
      <c r="E36" s="90"/>
      <c r="F36" s="90"/>
      <c r="G36" s="90"/>
      <c r="H36">
        <v>0.47520000000000001</v>
      </c>
      <c r="I36" s="391">
        <v>0.55947500000000006</v>
      </c>
      <c r="J36" s="386">
        <v>-8.4275000000000044E-2</v>
      </c>
      <c r="K36" s="392">
        <v>2.949273394025044</v>
      </c>
      <c r="L36" s="393" t="e">
        <v>#DIV/0!</v>
      </c>
      <c r="M36" s="394">
        <v>-0.70233844712739424</v>
      </c>
      <c r="N36" s="393" t="e">
        <v>#DIV/0!</v>
      </c>
      <c r="O36" s="390">
        <v>128</v>
      </c>
      <c r="P36" s="390">
        <v>41.7</v>
      </c>
      <c r="Q36" s="386">
        <v>100</v>
      </c>
      <c r="R36" s="386">
        <v>3</v>
      </c>
      <c r="S36" t="s">
        <v>2491</v>
      </c>
      <c r="T36" t="s">
        <v>2491</v>
      </c>
      <c r="U36" s="90"/>
      <c r="V36" s="90"/>
      <c r="W36" s="90"/>
      <c r="AC36" s="228">
        <v>2018</v>
      </c>
      <c r="AD36" s="228" t="s">
        <v>190</v>
      </c>
      <c r="AE36" s="228">
        <v>8</v>
      </c>
      <c r="AF36" s="395">
        <f t="shared" ref="AF36:AF38" si="7">L131</f>
        <v>69.064882638943757</v>
      </c>
    </row>
    <row r="37" spans="1:39">
      <c r="A37" s="389"/>
      <c r="B37" s="396" t="s">
        <v>2974</v>
      </c>
      <c r="D37" s="90"/>
      <c r="E37" s="90"/>
      <c r="F37" s="90"/>
      <c r="G37" s="90"/>
      <c r="H37" s="385"/>
      <c r="I37" s="386"/>
      <c r="J37" s="386"/>
      <c r="K37" s="387"/>
      <c r="L37" s="388"/>
      <c r="M37" s="90"/>
      <c r="N37" s="388"/>
      <c r="O37" s="386"/>
      <c r="P37" s="386"/>
      <c r="Q37" s="386"/>
      <c r="R37" s="386"/>
      <c r="U37" s="90"/>
      <c r="V37" s="90"/>
      <c r="W37" s="90"/>
      <c r="AC37" s="228">
        <v>2018</v>
      </c>
      <c r="AD37" s="228" t="s">
        <v>190</v>
      </c>
      <c r="AE37" s="228">
        <v>9</v>
      </c>
      <c r="AF37" s="395">
        <f t="shared" si="7"/>
        <v>70.955305839225673</v>
      </c>
    </row>
    <row r="38" spans="1:39">
      <c r="A38" s="389"/>
      <c r="B38" s="97"/>
      <c r="D38" s="90"/>
      <c r="E38" s="90"/>
      <c r="F38" s="350"/>
      <c r="G38" s="350"/>
      <c r="H38" s="397" t="s">
        <v>2975</v>
      </c>
      <c r="I38" s="398"/>
      <c r="J38" s="386"/>
      <c r="K38" s="387"/>
      <c r="L38" s="388"/>
      <c r="M38" s="90"/>
      <c r="N38" s="388"/>
      <c r="O38" s="386"/>
      <c r="P38" s="386"/>
      <c r="Q38" s="386"/>
      <c r="R38" s="386"/>
      <c r="U38" s="90"/>
      <c r="V38" s="90"/>
      <c r="W38" s="90"/>
      <c r="AC38" s="228">
        <v>2018</v>
      </c>
      <c r="AD38" s="228" t="s">
        <v>190</v>
      </c>
      <c r="AE38" s="228">
        <v>10</v>
      </c>
      <c r="AF38" s="395">
        <f t="shared" si="7"/>
        <v>69.040640282371555</v>
      </c>
    </row>
    <row r="39" spans="1:39">
      <c r="A39" s="389"/>
      <c r="B39" s="97"/>
      <c r="D39" s="90"/>
      <c r="E39" s="90"/>
      <c r="F39" s="350" t="s">
        <v>2962</v>
      </c>
      <c r="G39" s="350"/>
      <c r="H39" s="397">
        <v>0.71532995624861073</v>
      </c>
      <c r="I39" s="398"/>
      <c r="J39" s="386"/>
      <c r="K39" s="387"/>
      <c r="L39" s="388"/>
      <c r="M39" s="90"/>
      <c r="N39" s="388"/>
      <c r="O39" s="386"/>
      <c r="P39" s="386"/>
      <c r="Q39" s="386"/>
      <c r="R39" s="386"/>
      <c r="U39" s="90"/>
      <c r="V39" s="90"/>
      <c r="W39" s="90"/>
      <c r="AC39" s="228">
        <v>2018</v>
      </c>
      <c r="AD39" s="228" t="s">
        <v>190</v>
      </c>
      <c r="AE39" s="228">
        <v>11</v>
      </c>
      <c r="AF39" s="395">
        <f>L136</f>
        <v>67.776995108616362</v>
      </c>
    </row>
    <row r="40" spans="1:39">
      <c r="A40" s="389"/>
      <c r="B40" s="97"/>
      <c r="D40" s="90"/>
      <c r="E40" s="90"/>
      <c r="F40" s="350" t="s">
        <v>2967</v>
      </c>
      <c r="G40" s="350"/>
      <c r="H40" s="397"/>
      <c r="I40" s="398"/>
      <c r="J40" s="386"/>
      <c r="K40" s="387"/>
      <c r="L40" s="388"/>
      <c r="M40" s="90"/>
      <c r="N40" s="388"/>
      <c r="O40" s="386"/>
      <c r="P40" s="386"/>
      <c r="Q40" s="386"/>
      <c r="R40" s="386"/>
      <c r="U40" s="90"/>
      <c r="V40" s="90"/>
      <c r="W40" s="90"/>
      <c r="AC40" s="228">
        <v>2018</v>
      </c>
      <c r="AD40" s="228" t="s">
        <v>190</v>
      </c>
      <c r="AE40" s="228">
        <v>12</v>
      </c>
      <c r="AF40" s="395">
        <f>L137</f>
        <v>66.445680366956879</v>
      </c>
    </row>
    <row r="41" spans="1:39">
      <c r="U41" s="90"/>
      <c r="V41" s="90"/>
      <c r="W41" s="90"/>
      <c r="AC41" s="228">
        <v>2018</v>
      </c>
      <c r="AD41" s="228" t="s">
        <v>190</v>
      </c>
      <c r="AE41" s="228">
        <v>13</v>
      </c>
      <c r="AF41" s="395">
        <f>L139</f>
        <v>67.590204655428948</v>
      </c>
    </row>
    <row r="42" spans="1:39">
      <c r="A42" s="8" t="s">
        <v>3167</v>
      </c>
      <c r="B42" s="8"/>
      <c r="C42" s="8"/>
      <c r="D42" s="8"/>
      <c r="E42" s="8"/>
      <c r="F42" s="8"/>
      <c r="G42" s="8"/>
      <c r="H42" s="8"/>
      <c r="I42" s="8"/>
      <c r="J42" s="8"/>
      <c r="K42" s="8"/>
      <c r="L42" s="8"/>
      <c r="M42" s="8"/>
      <c r="N42" s="8"/>
      <c r="O42" s="8"/>
      <c r="P42" s="8"/>
      <c r="Q42" s="8"/>
      <c r="R42" s="8"/>
      <c r="S42" s="8"/>
      <c r="T42" s="8"/>
      <c r="U42" s="486"/>
      <c r="V42" s="486"/>
      <c r="W42" s="486"/>
      <c r="AC42" s="228">
        <v>2018</v>
      </c>
      <c r="AD42" s="228" t="s">
        <v>190</v>
      </c>
      <c r="AE42" s="228">
        <v>14</v>
      </c>
      <c r="AF42" s="395">
        <f>L140</f>
        <v>66.632919837869395</v>
      </c>
    </row>
    <row r="43" spans="1:39">
      <c r="A43" s="8"/>
      <c r="B43" s="8"/>
      <c r="C43" s="229" t="s">
        <v>2946</v>
      </c>
      <c r="D43" s="8"/>
      <c r="E43" s="8"/>
      <c r="F43" s="8"/>
      <c r="G43" s="8"/>
      <c r="H43" s="8"/>
      <c r="I43" s="8"/>
      <c r="J43" s="8"/>
      <c r="K43" s="8"/>
      <c r="L43" s="8"/>
      <c r="M43" s="8"/>
      <c r="N43" s="8"/>
      <c r="O43" s="8"/>
      <c r="P43" s="8"/>
      <c r="Q43" s="8"/>
      <c r="R43" s="8"/>
      <c r="S43" s="8"/>
      <c r="T43" s="8"/>
      <c r="U43" s="486"/>
      <c r="V43" s="486"/>
      <c r="W43" s="486"/>
      <c r="AC43" s="228">
        <v>2018</v>
      </c>
      <c r="AD43" s="228" t="s">
        <v>190</v>
      </c>
      <c r="AE43" s="228">
        <v>15</v>
      </c>
      <c r="AF43" s="395">
        <f>L168</f>
        <v>78.515368335862746</v>
      </c>
    </row>
    <row r="44" spans="1:39">
      <c r="A44" s="487">
        <v>43657</v>
      </c>
      <c r="B44" s="8">
        <v>1</v>
      </c>
      <c r="C44" s="8" t="s">
        <v>2947</v>
      </c>
      <c r="D44" s="8"/>
      <c r="E44" s="8"/>
      <c r="F44" s="8"/>
      <c r="G44" s="8"/>
      <c r="H44" s="8">
        <v>0.79239999999999999</v>
      </c>
      <c r="I44" s="8"/>
      <c r="J44" s="8"/>
      <c r="K44" s="8"/>
      <c r="L44" s="8"/>
      <c r="M44" s="8"/>
      <c r="N44" s="8"/>
      <c r="O44" s="8">
        <v>128</v>
      </c>
      <c r="P44" s="8">
        <v>41.7</v>
      </c>
      <c r="Q44" s="8">
        <v>100</v>
      </c>
      <c r="R44" s="8">
        <v>3</v>
      </c>
      <c r="S44" s="8" t="s">
        <v>2491</v>
      </c>
      <c r="T44" s="8" t="s">
        <v>2491</v>
      </c>
      <c r="U44" s="486"/>
      <c r="V44" s="486"/>
      <c r="W44" s="486"/>
      <c r="AC44" s="228">
        <v>2018</v>
      </c>
      <c r="AD44" s="228" t="s">
        <v>190</v>
      </c>
      <c r="AE44" s="228">
        <v>16</v>
      </c>
      <c r="AF44" s="395">
        <f>L169</f>
        <v>76.947655061320717</v>
      </c>
    </row>
    <row r="45" spans="1:39">
      <c r="A45" s="487">
        <v>43657</v>
      </c>
      <c r="B45" s="8">
        <v>2</v>
      </c>
      <c r="C45" s="8" t="s">
        <v>2948</v>
      </c>
      <c r="D45" s="8"/>
      <c r="E45" s="8"/>
      <c r="F45" s="8"/>
      <c r="G45" s="8"/>
      <c r="H45" s="8">
        <v>0.6956</v>
      </c>
      <c r="I45" s="8"/>
      <c r="J45" s="8"/>
      <c r="K45" s="8"/>
      <c r="L45" s="8"/>
      <c r="M45" s="8"/>
      <c r="N45" s="8"/>
      <c r="O45" s="8">
        <v>128</v>
      </c>
      <c r="P45" s="8">
        <v>41.7</v>
      </c>
      <c r="Q45" s="8">
        <v>100</v>
      </c>
      <c r="R45" s="8">
        <v>3</v>
      </c>
      <c r="S45" s="8" t="s">
        <v>2491</v>
      </c>
      <c r="T45" s="8" t="s">
        <v>2491</v>
      </c>
      <c r="U45" s="486"/>
      <c r="V45" s="486"/>
      <c r="W45" s="486"/>
      <c r="AC45" s="228">
        <v>2018</v>
      </c>
      <c r="AD45" s="228" t="s">
        <v>190</v>
      </c>
      <c r="AE45" s="228">
        <v>17</v>
      </c>
      <c r="AF45" s="395">
        <f>AVERAGE(L134,L138)</f>
        <v>77.17781049289664</v>
      </c>
      <c r="AG45" t="s">
        <v>2992</v>
      </c>
      <c r="AH45" s="359">
        <f>((L134-L138)/AVERAGE(L134,L138))*100</f>
        <v>-0.7988019227389469</v>
      </c>
    </row>
    <row r="46" spans="1:39">
      <c r="A46" s="487">
        <v>43657</v>
      </c>
      <c r="B46" s="8">
        <v>3</v>
      </c>
      <c r="C46" s="8" t="s">
        <v>2949</v>
      </c>
      <c r="D46" s="8"/>
      <c r="E46" s="8"/>
      <c r="F46" s="8"/>
      <c r="G46" s="8">
        <v>0</v>
      </c>
      <c r="H46" s="8">
        <v>0.63980000000000004</v>
      </c>
      <c r="I46" s="8">
        <v>0.70926666666666671</v>
      </c>
      <c r="J46" s="8">
        <v>-6.9466666666666677E-2</v>
      </c>
      <c r="K46" s="8"/>
      <c r="L46" s="8"/>
      <c r="M46" s="8"/>
      <c r="N46" s="8"/>
      <c r="O46" s="8">
        <v>128</v>
      </c>
      <c r="P46" s="8">
        <v>41.7</v>
      </c>
      <c r="Q46" s="8">
        <v>100</v>
      </c>
      <c r="R46" s="8">
        <v>3</v>
      </c>
      <c r="S46" s="8" t="s">
        <v>2491</v>
      </c>
      <c r="T46" s="8" t="s">
        <v>2491</v>
      </c>
      <c r="U46" s="486"/>
      <c r="V46" s="486"/>
      <c r="W46" s="486"/>
      <c r="X46" s="495">
        <v>43657</v>
      </c>
      <c r="Y46" s="8"/>
      <c r="Z46" s="8"/>
      <c r="AA46" s="8"/>
      <c r="AB46" s="8"/>
      <c r="AC46" s="228">
        <v>2018</v>
      </c>
      <c r="AD46" s="228" t="s">
        <v>190</v>
      </c>
      <c r="AE46" s="228">
        <v>18</v>
      </c>
      <c r="AF46" s="395">
        <f>L170</f>
        <v>74.998076386991769</v>
      </c>
    </row>
    <row r="47" spans="1:39">
      <c r="A47" s="487">
        <v>43657</v>
      </c>
      <c r="B47" s="8">
        <v>4</v>
      </c>
      <c r="C47" s="8" t="s">
        <v>2993</v>
      </c>
      <c r="D47" s="8">
        <v>241.2</v>
      </c>
      <c r="E47" s="8"/>
      <c r="F47" s="8"/>
      <c r="G47" s="8">
        <v>241.15176</v>
      </c>
      <c r="H47" s="8">
        <v>27.7209</v>
      </c>
      <c r="I47" s="8">
        <v>0.70926666666666671</v>
      </c>
      <c r="J47" s="8">
        <v>27.011633333333332</v>
      </c>
      <c r="K47" s="8">
        <v>241.58926943545072</v>
      </c>
      <c r="L47" s="8">
        <v>100.18142493981827</v>
      </c>
      <c r="M47" s="8">
        <v>225.11193841243409</v>
      </c>
      <c r="N47" s="490">
        <v>93.348660782087634</v>
      </c>
      <c r="O47" s="8">
        <v>128</v>
      </c>
      <c r="P47" s="8">
        <v>41.7</v>
      </c>
      <c r="Q47" s="8">
        <v>100</v>
      </c>
      <c r="R47" s="8">
        <v>3</v>
      </c>
      <c r="S47" s="8" t="s">
        <v>2491</v>
      </c>
      <c r="T47" s="8" t="s">
        <v>2491</v>
      </c>
      <c r="U47" s="486">
        <f t="shared" si="2"/>
        <v>16.477331023016632</v>
      </c>
      <c r="V47" s="486">
        <f t="shared" si="3"/>
        <v>1.9771480226439178</v>
      </c>
      <c r="W47" s="486">
        <f>(U47/K47)*100</f>
        <v>6.8203902687901232</v>
      </c>
      <c r="X47" s="486">
        <f t="shared" ref="X47:X52" si="8">((J46-INDEX(LINEST($J$46:$J$51,$G$46:$G$51),2))/INDEX(LINEST($J$46:$J$51,$G$46:$G$51),1)/100.09)*12.01</f>
        <v>-0.35054453771953525</v>
      </c>
      <c r="Y47" s="486">
        <f t="shared" ref="Y47:Y52" si="9">(J46-X47)^2</f>
        <v>7.900476959561302E-2</v>
      </c>
      <c r="Z47" s="8"/>
      <c r="AA47" s="8"/>
      <c r="AB47" s="8"/>
      <c r="AC47" s="228">
        <v>2018</v>
      </c>
      <c r="AD47" s="228" t="s">
        <v>190</v>
      </c>
      <c r="AE47" s="228">
        <v>19</v>
      </c>
      <c r="AF47" s="395">
        <f>L174</f>
        <v>68.215712572762769</v>
      </c>
      <c r="AG47" s="146"/>
      <c r="AH47" s="146"/>
      <c r="AI47" s="146"/>
      <c r="AJ47" s="146"/>
      <c r="AK47" s="146"/>
      <c r="AL47" s="146"/>
      <c r="AM47" s="146"/>
    </row>
    <row r="48" spans="1:39">
      <c r="A48" s="487">
        <v>43657</v>
      </c>
      <c r="B48" s="8">
        <v>5</v>
      </c>
      <c r="C48" s="8" t="s">
        <v>2994</v>
      </c>
      <c r="D48" s="8">
        <v>1147.8</v>
      </c>
      <c r="E48" s="8"/>
      <c r="F48" s="8"/>
      <c r="G48" s="8">
        <v>1147.57044</v>
      </c>
      <c r="H48" s="8">
        <v>128.19409999999999</v>
      </c>
      <c r="I48" s="8">
        <v>0.70926666666666671</v>
      </c>
      <c r="J48" s="8">
        <v>127.48483333333333</v>
      </c>
      <c r="K48" s="8">
        <v>1148.7447874336347</v>
      </c>
      <c r="L48" s="8">
        <v>100.10233336383558</v>
      </c>
      <c r="M48" s="8">
        <v>1062.4443770469054</v>
      </c>
      <c r="N48" s="490">
        <v>92.58206206905308</v>
      </c>
      <c r="O48" s="8">
        <v>128</v>
      </c>
      <c r="P48" s="8">
        <v>41.7</v>
      </c>
      <c r="Q48" s="8">
        <v>100</v>
      </c>
      <c r="R48" s="8">
        <v>3</v>
      </c>
      <c r="S48" s="8" t="s">
        <v>2491</v>
      </c>
      <c r="T48" s="8" t="s">
        <v>2491</v>
      </c>
      <c r="U48" s="486">
        <f t="shared" si="2"/>
        <v>86.300410386729254</v>
      </c>
      <c r="V48" s="486">
        <f t="shared" si="3"/>
        <v>10.355359463928647</v>
      </c>
      <c r="W48" s="486">
        <f>(U48/K48)*100</f>
        <v>7.5125834154625064</v>
      </c>
      <c r="X48" s="486">
        <f t="shared" si="8"/>
        <v>28.988781355977252</v>
      </c>
      <c r="Y48" s="486">
        <f t="shared" si="9"/>
        <v>3.9091143034447637</v>
      </c>
      <c r="Z48" s="8"/>
      <c r="AA48" s="8"/>
      <c r="AB48" s="8"/>
      <c r="AC48" s="228">
        <v>2018</v>
      </c>
      <c r="AD48" s="228" t="s">
        <v>190</v>
      </c>
      <c r="AE48" s="228">
        <v>20</v>
      </c>
      <c r="AF48" s="395">
        <f t="shared" ref="AF48:AF49" si="10">L175</f>
        <v>66.631008322156049</v>
      </c>
      <c r="AG48" s="146"/>
      <c r="AH48" s="146"/>
      <c r="AI48" s="146"/>
      <c r="AJ48" s="146"/>
      <c r="AK48" s="146"/>
      <c r="AL48" s="146"/>
      <c r="AM48" s="146"/>
    </row>
    <row r="49" spans="1:40">
      <c r="A49" s="487">
        <v>43657</v>
      </c>
      <c r="B49" s="8">
        <v>6</v>
      </c>
      <c r="C49" s="8" t="s">
        <v>2995</v>
      </c>
      <c r="D49" s="8">
        <v>2114.3000000000002</v>
      </c>
      <c r="E49" s="8"/>
      <c r="F49" s="8"/>
      <c r="G49" s="8">
        <v>2113.8771400000001</v>
      </c>
      <c r="H49" s="8">
        <v>235.79230000000001</v>
      </c>
      <c r="I49" s="8">
        <v>0.70926666666666671</v>
      </c>
      <c r="J49" s="8">
        <v>235.08303333333333</v>
      </c>
      <c r="K49" s="8">
        <v>2120.230724545941</v>
      </c>
      <c r="L49" s="8">
        <v>100.3005654598233</v>
      </c>
      <c r="M49" s="8">
        <v>1959.1557707188454</v>
      </c>
      <c r="N49" s="490">
        <v>92.680682980414147</v>
      </c>
      <c r="O49" s="8">
        <v>128</v>
      </c>
      <c r="P49" s="8">
        <v>41.7</v>
      </c>
      <c r="Q49" s="8">
        <v>100</v>
      </c>
      <c r="R49" s="8">
        <v>3</v>
      </c>
      <c r="S49" s="8" t="s">
        <v>2491</v>
      </c>
      <c r="T49" s="8" t="s">
        <v>2491</v>
      </c>
      <c r="U49" s="486">
        <f t="shared" si="2"/>
        <v>161.07495382709567</v>
      </c>
      <c r="V49" s="486">
        <f t="shared" si="3"/>
        <v>19.327707018317703</v>
      </c>
      <c r="W49" s="486">
        <f>(U49/K49)*100</f>
        <v>7.5970483760247713</v>
      </c>
      <c r="X49" s="486">
        <f t="shared" si="8"/>
        <v>137.84019279726198</v>
      </c>
      <c r="Y49" s="486">
        <f t="shared" si="9"/>
        <v>107.23346962717666</v>
      </c>
      <c r="Z49" s="8"/>
      <c r="AA49" s="8"/>
      <c r="AB49" s="8"/>
      <c r="AC49" s="228">
        <v>2018</v>
      </c>
      <c r="AD49" s="228" t="s">
        <v>190</v>
      </c>
      <c r="AE49" s="228">
        <v>21</v>
      </c>
      <c r="AF49" s="395">
        <f t="shared" si="10"/>
        <v>67.106526977103215</v>
      </c>
    </row>
    <row r="50" spans="1:40">
      <c r="A50" s="487">
        <v>43657</v>
      </c>
      <c r="B50" s="8">
        <v>7</v>
      </c>
      <c r="C50" s="8" t="s">
        <v>2996</v>
      </c>
      <c r="D50" s="8">
        <v>2921.6</v>
      </c>
      <c r="E50" s="8"/>
      <c r="F50" s="8"/>
      <c r="G50" s="8">
        <v>2921.01568</v>
      </c>
      <c r="H50" s="8">
        <v>323.94159999999999</v>
      </c>
      <c r="I50" s="8">
        <v>0.70926666666666671</v>
      </c>
      <c r="J50" s="8">
        <v>323.23233333333332</v>
      </c>
      <c r="K50" s="8">
        <v>2916.1158352289617</v>
      </c>
      <c r="L50" s="8">
        <v>99.832255444413136</v>
      </c>
      <c r="M50" s="8">
        <v>2693.7822017762974</v>
      </c>
      <c r="N50" s="490">
        <v>92.220737472258193</v>
      </c>
      <c r="O50" s="8">
        <v>128</v>
      </c>
      <c r="P50" s="8">
        <v>41.7</v>
      </c>
      <c r="Q50" s="8">
        <v>100</v>
      </c>
      <c r="R50" s="8">
        <v>3</v>
      </c>
      <c r="S50" s="8" t="s">
        <v>2491</v>
      </c>
      <c r="T50" s="8" t="s">
        <v>2491</v>
      </c>
      <c r="U50" s="486">
        <f t="shared" si="2"/>
        <v>222.33363345266434</v>
      </c>
      <c r="V50" s="486">
        <f t="shared" si="3"/>
        <v>26.678258944614832</v>
      </c>
      <c r="W50" s="486">
        <f>(U50/K50)*100</f>
        <v>7.6243073326066142</v>
      </c>
      <c r="X50" s="486">
        <f t="shared" si="8"/>
        <v>254.41074035165101</v>
      </c>
      <c r="Y50" s="486">
        <f t="shared" si="9"/>
        <v>373.56025858592659</v>
      </c>
      <c r="Z50" s="8"/>
      <c r="AA50" s="8"/>
      <c r="AB50" s="8"/>
      <c r="AC50" s="228">
        <v>2018</v>
      </c>
      <c r="AD50" s="228" t="s">
        <v>194</v>
      </c>
      <c r="AE50" s="228">
        <v>1</v>
      </c>
      <c r="AF50" s="395">
        <f>L23</f>
        <v>71.080591169762215</v>
      </c>
    </row>
    <row r="51" spans="1:40">
      <c r="A51" s="487">
        <v>43657</v>
      </c>
      <c r="B51" s="8">
        <v>8</v>
      </c>
      <c r="C51" s="8" t="s">
        <v>2997</v>
      </c>
      <c r="D51" s="8">
        <v>3962.9</v>
      </c>
      <c r="E51" s="8"/>
      <c r="F51" s="8"/>
      <c r="G51" s="8">
        <v>3962.1074200000003</v>
      </c>
      <c r="H51" s="8">
        <v>439.7758</v>
      </c>
      <c r="I51" s="8">
        <v>0.70926666666666671</v>
      </c>
      <c r="J51" s="8">
        <v>439.06653333333333</v>
      </c>
      <c r="K51" s="8">
        <v>3961.9632224218176</v>
      </c>
      <c r="L51" s="8">
        <v>99.99636058382832</v>
      </c>
      <c r="M51" s="8">
        <v>3659.1315005273386</v>
      </c>
      <c r="N51" s="490">
        <v>92.353162411920124</v>
      </c>
      <c r="O51" s="8">
        <v>128</v>
      </c>
      <c r="P51" s="8">
        <v>41.7</v>
      </c>
      <c r="Q51" s="8">
        <v>100</v>
      </c>
      <c r="R51" s="8">
        <v>3</v>
      </c>
      <c r="S51" s="8" t="s">
        <v>2491</v>
      </c>
      <c r="T51" s="8" t="s">
        <v>2491</v>
      </c>
      <c r="U51" s="486">
        <f t="shared" si="2"/>
        <v>302.83172189447896</v>
      </c>
      <c r="V51" s="486">
        <f t="shared" si="3"/>
        <v>36.337386151990131</v>
      </c>
      <c r="W51" s="486">
        <f>(U51/K51)*100</f>
        <v>7.6434763498225493</v>
      </c>
      <c r="X51" s="486">
        <f t="shared" si="8"/>
        <v>349.91059227794813</v>
      </c>
      <c r="Y51" s="486">
        <f t="shared" si="9"/>
        <v>711.72950031592018</v>
      </c>
      <c r="Z51" s="8"/>
      <c r="AA51" s="8"/>
      <c r="AB51" s="8"/>
      <c r="AC51" s="228">
        <v>2018</v>
      </c>
      <c r="AD51" s="228" t="s">
        <v>194</v>
      </c>
      <c r="AE51" s="228">
        <v>2</v>
      </c>
      <c r="AF51" s="395">
        <f>L24</f>
        <v>72.101436974036943</v>
      </c>
    </row>
    <row r="52" spans="1:40">
      <c r="A52" s="487">
        <v>43657</v>
      </c>
      <c r="B52" s="8">
        <v>9</v>
      </c>
      <c r="C52" s="8" t="s">
        <v>2955</v>
      </c>
      <c r="D52" s="8"/>
      <c r="E52" s="8"/>
      <c r="F52" s="8"/>
      <c r="G52" s="8"/>
      <c r="H52" s="8">
        <v>0.61199999999999999</v>
      </c>
      <c r="I52" s="8"/>
      <c r="J52" s="8">
        <v>0.61199999999999999</v>
      </c>
      <c r="K52" s="8"/>
      <c r="L52" s="8"/>
      <c r="M52" s="8"/>
      <c r="N52" s="8"/>
      <c r="O52" s="8">
        <v>128</v>
      </c>
      <c r="P52" s="8">
        <v>41.7</v>
      </c>
      <c r="Q52" s="8">
        <v>100</v>
      </c>
      <c r="R52" s="8">
        <v>3</v>
      </c>
      <c r="S52" s="8" t="s">
        <v>2491</v>
      </c>
      <c r="T52" s="8" t="s">
        <v>2491</v>
      </c>
      <c r="U52" s="486"/>
      <c r="V52" s="486">
        <f t="shared" si="3"/>
        <v>0</v>
      </c>
      <c r="W52" s="8"/>
      <c r="X52" s="486">
        <f t="shared" si="8"/>
        <v>475.40391948532346</v>
      </c>
      <c r="Y52" s="486">
        <f t="shared" si="9"/>
        <v>1320.4056323588441</v>
      </c>
      <c r="Z52" s="8"/>
      <c r="AA52" s="229" t="s">
        <v>2987</v>
      </c>
      <c r="AB52" s="8"/>
      <c r="AC52" s="228">
        <v>2018</v>
      </c>
      <c r="AD52" s="228" t="s">
        <v>194</v>
      </c>
      <c r="AE52" s="228">
        <v>3</v>
      </c>
      <c r="AF52" s="395">
        <f>AVERAGE(L25,L30)</f>
        <v>66.044303764239771</v>
      </c>
    </row>
    <row r="53" spans="1:40">
      <c r="A53" s="487">
        <v>43657</v>
      </c>
      <c r="B53" s="8">
        <v>10</v>
      </c>
      <c r="C53" s="8" t="s">
        <v>2956</v>
      </c>
      <c r="D53" s="8"/>
      <c r="E53" s="8"/>
      <c r="F53" s="8"/>
      <c r="G53" s="8"/>
      <c r="H53" s="8">
        <v>0.51229999999999998</v>
      </c>
      <c r="I53" s="8"/>
      <c r="J53" s="8">
        <v>0.51229999999999998</v>
      </c>
      <c r="K53" s="8"/>
      <c r="L53" s="8"/>
      <c r="M53" s="8"/>
      <c r="N53" s="8"/>
      <c r="O53" s="8">
        <v>128</v>
      </c>
      <c r="P53" s="8">
        <v>41.7</v>
      </c>
      <c r="Q53" s="8">
        <v>100</v>
      </c>
      <c r="R53" s="8">
        <v>3</v>
      </c>
      <c r="S53" s="8" t="s">
        <v>2491</v>
      </c>
      <c r="T53" s="8" t="s">
        <v>2491</v>
      </c>
      <c r="U53" s="486"/>
      <c r="V53" s="486">
        <f t="shared" si="3"/>
        <v>0</v>
      </c>
      <c r="W53" s="8"/>
      <c r="X53" s="8"/>
      <c r="Y53" s="488">
        <f>SQRT(SUM(Y47:Y52)/(6-2))</f>
        <v>25.084442289798414</v>
      </c>
      <c r="Z53" s="229" t="s">
        <v>2990</v>
      </c>
      <c r="AA53" s="489">
        <f>(Y53/$AK$15)*100</f>
        <v>12.289887815127152</v>
      </c>
      <c r="AB53" s="8"/>
      <c r="AC53" s="228">
        <v>2018</v>
      </c>
      <c r="AD53" s="228" t="s">
        <v>194</v>
      </c>
      <c r="AE53" s="228">
        <v>4</v>
      </c>
      <c r="AF53" s="395">
        <f>L26</f>
        <v>71.023502723267811</v>
      </c>
    </row>
    <row r="54" spans="1:40">
      <c r="A54" s="487">
        <v>43657</v>
      </c>
      <c r="B54" s="8">
        <v>11</v>
      </c>
      <c r="C54" s="8" t="s">
        <v>2957</v>
      </c>
      <c r="D54" s="8"/>
      <c r="E54" s="8"/>
      <c r="F54" s="8"/>
      <c r="G54" s="8"/>
      <c r="H54" s="8">
        <v>0.60389999999999999</v>
      </c>
      <c r="I54" s="8"/>
      <c r="J54" s="8">
        <v>0.60389999999999999</v>
      </c>
      <c r="K54" s="8"/>
      <c r="L54" s="8"/>
      <c r="M54" s="8"/>
      <c r="N54" s="8"/>
      <c r="O54" s="8">
        <v>128</v>
      </c>
      <c r="P54" s="8">
        <v>41.7</v>
      </c>
      <c r="Q54" s="8">
        <v>100</v>
      </c>
      <c r="R54" s="8">
        <v>3</v>
      </c>
      <c r="S54" s="8" t="s">
        <v>2491</v>
      </c>
      <c r="T54" s="8" t="s">
        <v>2491</v>
      </c>
      <c r="U54" s="486"/>
      <c r="V54" s="486">
        <f t="shared" si="3"/>
        <v>0</v>
      </c>
      <c r="W54" s="8"/>
      <c r="X54" s="8"/>
      <c r="Y54" s="489">
        <f>(Y53/12.01)*100.09</f>
        <v>209.0509432794274</v>
      </c>
      <c r="Z54" s="229" t="s">
        <v>2991</v>
      </c>
      <c r="AA54" s="8"/>
      <c r="AB54" s="8"/>
      <c r="AC54" s="228">
        <v>2018</v>
      </c>
      <c r="AD54" s="228" t="s">
        <v>194</v>
      </c>
      <c r="AE54" s="228">
        <v>5</v>
      </c>
      <c r="AF54" s="395">
        <f>L27</f>
        <v>74.407085546384209</v>
      </c>
    </row>
    <row r="55" spans="1:40">
      <c r="A55" s="491">
        <v>43657</v>
      </c>
      <c r="B55" s="492">
        <v>12</v>
      </c>
      <c r="C55" s="492" t="s">
        <v>2958</v>
      </c>
      <c r="D55" s="492">
        <v>1184.5999999999999</v>
      </c>
      <c r="E55" s="492"/>
      <c r="F55" s="492"/>
      <c r="G55" s="492"/>
      <c r="H55" s="492">
        <v>16.1831</v>
      </c>
      <c r="I55" s="492">
        <v>0.57606666666666662</v>
      </c>
      <c r="J55" s="492">
        <v>15.607033333333334</v>
      </c>
      <c r="K55" s="492">
        <v>138.61906623139146</v>
      </c>
      <c r="L55" s="492">
        <v>11.701761457993539</v>
      </c>
      <c r="M55" s="492">
        <v>130.06727446572302</v>
      </c>
      <c r="N55" s="492">
        <v>10.979847582789382</v>
      </c>
      <c r="O55" s="492">
        <v>128</v>
      </c>
      <c r="P55" s="492">
        <v>41.7</v>
      </c>
      <c r="Q55" s="492">
        <v>100</v>
      </c>
      <c r="R55" s="492">
        <v>3</v>
      </c>
      <c r="S55" s="492" t="s">
        <v>2491</v>
      </c>
      <c r="T55" s="492" t="s">
        <v>2491</v>
      </c>
      <c r="U55" s="486">
        <f t="shared" si="2"/>
        <v>8.5517917656684403</v>
      </c>
      <c r="V55" s="486">
        <f t="shared" si="3"/>
        <v>1.0261466590636223</v>
      </c>
      <c r="W55" s="486">
        <f>(U55/K55)*100</f>
        <v>6.169275265058606</v>
      </c>
      <c r="X55" s="8"/>
      <c r="Y55" s="8"/>
      <c r="AC55" s="228">
        <v>2018</v>
      </c>
      <c r="AD55" s="228" t="s">
        <v>194</v>
      </c>
      <c r="AE55" s="228">
        <v>6</v>
      </c>
      <c r="AF55" s="395">
        <f>L29</f>
        <v>73.184713315188958</v>
      </c>
    </row>
    <row r="56" spans="1:40">
      <c r="A56" s="491">
        <v>43657</v>
      </c>
      <c r="B56" s="492">
        <v>13</v>
      </c>
      <c r="C56" s="492" t="s">
        <v>2958</v>
      </c>
      <c r="D56" s="492">
        <v>2270.3000000000002</v>
      </c>
      <c r="E56" s="492"/>
      <c r="F56" s="492"/>
      <c r="G56" s="492"/>
      <c r="H56" s="492">
        <v>33.5991</v>
      </c>
      <c r="I56" s="492">
        <v>0.57606666666666662</v>
      </c>
      <c r="J56" s="492">
        <v>33.023033333333331</v>
      </c>
      <c r="K56" s="492">
        <v>295.86518262318913</v>
      </c>
      <c r="L56" s="492">
        <v>13.031986196678371</v>
      </c>
      <c r="M56" s="492">
        <v>275.21027529836249</v>
      </c>
      <c r="N56" s="492">
        <v>12.12219862125545</v>
      </c>
      <c r="O56" s="492">
        <v>128</v>
      </c>
      <c r="P56" s="492">
        <v>41.7</v>
      </c>
      <c r="Q56" s="492">
        <v>100</v>
      </c>
      <c r="R56" s="492">
        <v>3</v>
      </c>
      <c r="S56" s="492" t="s">
        <v>2491</v>
      </c>
      <c r="T56" s="492" t="s">
        <v>2491</v>
      </c>
      <c r="U56" s="486">
        <f t="shared" si="2"/>
        <v>20.654907324826638</v>
      </c>
      <c r="V56" s="486">
        <f t="shared" si="3"/>
        <v>2.4784237883022073</v>
      </c>
      <c r="W56" s="486">
        <f>(U56/K56)*100</f>
        <v>6.9811889123609774</v>
      </c>
      <c r="X56" s="8"/>
      <c r="Y56" s="8"/>
      <c r="AC56" s="228">
        <v>2018</v>
      </c>
      <c r="AD56" s="228" t="s">
        <v>194</v>
      </c>
      <c r="AE56" s="228">
        <v>7</v>
      </c>
      <c r="AF56" s="395">
        <f>L31</f>
        <v>74.531284306016786</v>
      </c>
    </row>
    <row r="57" spans="1:40">
      <c r="A57" s="487">
        <v>43657</v>
      </c>
      <c r="B57" s="8">
        <v>14</v>
      </c>
      <c r="C57" s="8" t="s">
        <v>2959</v>
      </c>
      <c r="D57" s="8"/>
      <c r="E57" s="8"/>
      <c r="F57" s="8"/>
      <c r="G57" s="8"/>
      <c r="H57" s="8">
        <v>0.47199999999999998</v>
      </c>
      <c r="I57" s="8">
        <v>0.4889</v>
      </c>
      <c r="J57" s="8">
        <v>-1.6900000000000026E-2</v>
      </c>
      <c r="K57" s="8">
        <v>-2.4467835292322135</v>
      </c>
      <c r="L57" s="8"/>
      <c r="M57" s="8">
        <v>-0.14084271440466301</v>
      </c>
      <c r="N57" s="8"/>
      <c r="O57" s="8">
        <v>128</v>
      </c>
      <c r="P57" s="8">
        <v>41.7</v>
      </c>
      <c r="Q57" s="8">
        <v>100</v>
      </c>
      <c r="R57" s="8">
        <v>3</v>
      </c>
      <c r="S57" s="8" t="s">
        <v>2491</v>
      </c>
      <c r="T57" s="8" t="s">
        <v>2491</v>
      </c>
      <c r="U57" s="486"/>
      <c r="V57" s="486">
        <f t="shared" si="3"/>
        <v>0</v>
      </c>
      <c r="W57" s="8"/>
      <c r="X57" s="8"/>
      <c r="Y57" s="8"/>
      <c r="AC57" s="228">
        <v>2018</v>
      </c>
      <c r="AD57" s="228" t="s">
        <v>194</v>
      </c>
      <c r="AE57" s="483">
        <v>8</v>
      </c>
      <c r="AF57">
        <f>L313</f>
        <v>74.080943714550642</v>
      </c>
      <c r="AH57" s="395">
        <f>AVERAGE(L60,L65)</f>
        <v>79.548749209338737</v>
      </c>
      <c r="AI57" t="s">
        <v>3164</v>
      </c>
      <c r="AJ57" s="362">
        <f>E332</f>
        <v>7.1181623691677034</v>
      </c>
      <c r="AL57" s="90"/>
      <c r="AN57" s="80" t="s">
        <v>3165</v>
      </c>
    </row>
    <row r="58" spans="1:40">
      <c r="A58" s="487">
        <v>43657</v>
      </c>
      <c r="B58" s="8">
        <v>15</v>
      </c>
      <c r="C58" s="8" t="s">
        <v>2998</v>
      </c>
      <c r="D58" s="8">
        <v>2107.9</v>
      </c>
      <c r="E58" s="8">
        <v>2107.9</v>
      </c>
      <c r="F58" s="8"/>
      <c r="G58" s="8"/>
      <c r="H58" s="8">
        <v>177.07050000000001</v>
      </c>
      <c r="I58" s="8">
        <v>0.4889</v>
      </c>
      <c r="J58" s="8">
        <v>176.58160000000001</v>
      </c>
      <c r="K58" s="8">
        <v>1592.0311841795926</v>
      </c>
      <c r="L58" s="8">
        <v>75.526883826537912</v>
      </c>
      <c r="M58" s="8">
        <v>1471.6113525395504</v>
      </c>
      <c r="N58" s="8">
        <v>69.814097089024628</v>
      </c>
      <c r="O58" s="8">
        <v>128</v>
      </c>
      <c r="P58" s="8">
        <v>41.7</v>
      </c>
      <c r="Q58" s="8">
        <v>100</v>
      </c>
      <c r="R58" s="8">
        <v>3</v>
      </c>
      <c r="S58" s="8" t="s">
        <v>2491</v>
      </c>
      <c r="T58" s="8" t="s">
        <v>2491</v>
      </c>
      <c r="U58" s="486">
        <f t="shared" si="2"/>
        <v>120.41983164004228</v>
      </c>
      <c r="V58" s="486">
        <f t="shared" si="3"/>
        <v>14.449417304395121</v>
      </c>
      <c r="W58" s="486">
        <f>(U58/K58)*100</f>
        <v>7.5639116140867033</v>
      </c>
      <c r="X58" s="8"/>
      <c r="Y58" s="8"/>
      <c r="AC58" s="228">
        <v>2018</v>
      </c>
      <c r="AD58" s="228" t="s">
        <v>194</v>
      </c>
      <c r="AE58" s="228">
        <v>9</v>
      </c>
      <c r="AF58" s="395">
        <f>L32</f>
        <v>74.925903760565873</v>
      </c>
    </row>
    <row r="59" spans="1:40">
      <c r="A59" s="487">
        <v>43657</v>
      </c>
      <c r="B59" s="8">
        <v>16</v>
      </c>
      <c r="C59" s="8" t="s">
        <v>2999</v>
      </c>
      <c r="D59" s="8">
        <v>2677.2</v>
      </c>
      <c r="E59" s="8">
        <v>2677.2</v>
      </c>
      <c r="F59" s="8"/>
      <c r="G59" s="8"/>
      <c r="H59" s="8">
        <v>230.40629999999999</v>
      </c>
      <c r="I59" s="8">
        <v>0.4889</v>
      </c>
      <c r="J59" s="8">
        <v>229.91739999999999</v>
      </c>
      <c r="K59" s="8">
        <v>2073.5910954479459</v>
      </c>
      <c r="L59" s="8">
        <v>77.45372387001143</v>
      </c>
      <c r="M59" s="8">
        <v>1916.1059588676103</v>
      </c>
      <c r="N59" s="8">
        <v>71.571266953070761</v>
      </c>
      <c r="O59" s="8">
        <v>128</v>
      </c>
      <c r="P59" s="8">
        <v>41.7</v>
      </c>
      <c r="Q59" s="8">
        <v>100</v>
      </c>
      <c r="R59" s="8">
        <v>3</v>
      </c>
      <c r="S59" s="8" t="s">
        <v>2491</v>
      </c>
      <c r="T59" s="8" t="s">
        <v>2491</v>
      </c>
      <c r="U59" s="486">
        <f t="shared" si="2"/>
        <v>157.48513658033562</v>
      </c>
      <c r="V59" s="486">
        <f t="shared" si="3"/>
        <v>18.896957641421029</v>
      </c>
      <c r="W59" s="486">
        <f>(U59/K59)*100</f>
        <v>7.5948019320711353</v>
      </c>
      <c r="X59" s="8"/>
      <c r="Y59" s="8"/>
      <c r="AC59" s="228">
        <v>2018</v>
      </c>
      <c r="AD59" s="228" t="s">
        <v>194</v>
      </c>
      <c r="AE59" s="228">
        <v>10</v>
      </c>
      <c r="AF59" s="395">
        <f>L33</f>
        <v>70.428110758985014</v>
      </c>
    </row>
    <row r="60" spans="1:40">
      <c r="A60" s="493">
        <v>43657</v>
      </c>
      <c r="B60" s="494">
        <v>17</v>
      </c>
      <c r="C60" s="494" t="s">
        <v>3000</v>
      </c>
      <c r="D60" s="494">
        <v>2276</v>
      </c>
      <c r="E60" s="494">
        <v>2276</v>
      </c>
      <c r="F60" s="494"/>
      <c r="G60" s="494"/>
      <c r="H60" s="494">
        <v>200.95670000000001</v>
      </c>
      <c r="I60" s="494">
        <v>0.4889</v>
      </c>
      <c r="J60" s="494">
        <v>200.46780000000001</v>
      </c>
      <c r="K60" s="494">
        <v>1807.6956413085406</v>
      </c>
      <c r="L60" s="494">
        <v>79.424237315840969</v>
      </c>
      <c r="M60" s="494">
        <v>1670.6762782681101</v>
      </c>
      <c r="N60" s="494">
        <v>73.404054405452996</v>
      </c>
      <c r="O60" s="494">
        <v>128</v>
      </c>
      <c r="P60" s="494">
        <v>41.7</v>
      </c>
      <c r="Q60" s="494">
        <v>100</v>
      </c>
      <c r="R60" s="494">
        <v>3</v>
      </c>
      <c r="S60" s="494" t="s">
        <v>2491</v>
      </c>
      <c r="T60" s="494" t="s">
        <v>2491</v>
      </c>
      <c r="U60" s="486">
        <f t="shared" si="2"/>
        <v>137.01936304043056</v>
      </c>
      <c r="V60" s="486">
        <f t="shared" si="3"/>
        <v>16.441228395599669</v>
      </c>
      <c r="W60" s="486">
        <f>(U60/K60)*100</f>
        <v>7.5797805730861896</v>
      </c>
      <c r="X60" s="8"/>
      <c r="Y60" s="8"/>
      <c r="AC60" s="228">
        <v>2018</v>
      </c>
      <c r="AD60" s="228" t="s">
        <v>194</v>
      </c>
      <c r="AE60" s="483">
        <v>11</v>
      </c>
      <c r="AF60">
        <f>L315</f>
        <v>75.002610374996266</v>
      </c>
      <c r="AH60" s="395">
        <f>L58</f>
        <v>75.526883826537912</v>
      </c>
      <c r="AI60" s="21" t="s">
        <v>2992</v>
      </c>
      <c r="AJ60" s="482">
        <f>((L315-L58)/AVERAGE(L315,L58))*100</f>
        <v>-0.69657239509451885</v>
      </c>
      <c r="AK60" s="21" t="s">
        <v>3151</v>
      </c>
      <c r="AN60" s="80" t="s">
        <v>3165</v>
      </c>
    </row>
    <row r="61" spans="1:40">
      <c r="A61" s="487">
        <v>43657</v>
      </c>
      <c r="B61" s="8">
        <v>18</v>
      </c>
      <c r="C61" s="8" t="s">
        <v>3001</v>
      </c>
      <c r="D61" s="8">
        <v>2446.3000000000002</v>
      </c>
      <c r="E61" s="8">
        <v>2446.3000000000002</v>
      </c>
      <c r="F61" s="8"/>
      <c r="G61" s="8"/>
      <c r="H61" s="8">
        <v>207.65790000000001</v>
      </c>
      <c r="I61" s="8">
        <v>0.4889</v>
      </c>
      <c r="J61" s="8">
        <v>207.16900000000001</v>
      </c>
      <c r="K61" s="8">
        <v>1868.1996419496013</v>
      </c>
      <c r="L61" s="8">
        <v>76.36837844702616</v>
      </c>
      <c r="M61" s="8">
        <v>1726.523331390508</v>
      </c>
      <c r="N61" s="8">
        <v>70.576925617892655</v>
      </c>
      <c r="O61" s="8">
        <v>128</v>
      </c>
      <c r="P61" s="8">
        <v>41.7</v>
      </c>
      <c r="Q61" s="8">
        <v>100</v>
      </c>
      <c r="R61" s="8">
        <v>3</v>
      </c>
      <c r="S61" s="8" t="s">
        <v>2491</v>
      </c>
      <c r="T61" s="8" t="s">
        <v>2491</v>
      </c>
      <c r="U61" s="486">
        <f t="shared" si="2"/>
        <v>141.67631055909328</v>
      </c>
      <c r="V61" s="486">
        <f t="shared" si="3"/>
        <v>17.000024875758921</v>
      </c>
      <c r="W61" s="486">
        <f>(U61/K61)*100</f>
        <v>7.5835744412863617</v>
      </c>
      <c r="X61" s="8"/>
      <c r="Y61" s="8"/>
      <c r="AC61" s="228">
        <v>2018</v>
      </c>
      <c r="AD61" s="228" t="s">
        <v>194</v>
      </c>
      <c r="AE61" s="483">
        <v>12</v>
      </c>
      <c r="AF61">
        <f>L316</f>
        <v>73.719778465474207</v>
      </c>
      <c r="AH61" s="395">
        <f>L59</f>
        <v>77.45372387001143</v>
      </c>
      <c r="AI61" s="21" t="s">
        <v>2992</v>
      </c>
      <c r="AJ61" s="482">
        <f>((L316-L59)/AVERAGE(L316,L59))*100</f>
        <v>-4.9399469442082751</v>
      </c>
      <c r="AK61" s="21" t="s">
        <v>3151</v>
      </c>
      <c r="AN61" s="80" t="s">
        <v>3165</v>
      </c>
    </row>
    <row r="62" spans="1:40">
      <c r="A62" s="487">
        <v>43657</v>
      </c>
      <c r="B62" s="8">
        <v>19</v>
      </c>
      <c r="C62" s="8" t="s">
        <v>3002</v>
      </c>
      <c r="D62" s="8">
        <v>3252.1</v>
      </c>
      <c r="E62" s="8">
        <v>3252.1</v>
      </c>
      <c r="F62" s="8"/>
      <c r="G62" s="8"/>
      <c r="H62" s="8">
        <v>285.35559999999998</v>
      </c>
      <c r="I62" s="8">
        <v>0.4889</v>
      </c>
      <c r="J62" s="8">
        <v>284.86669999999998</v>
      </c>
      <c r="K62" s="8">
        <v>2569.7190251360375</v>
      </c>
      <c r="L62" s="8">
        <v>79.017220415609529</v>
      </c>
      <c r="M62" s="8">
        <v>2374.0472941715238</v>
      </c>
      <c r="N62" s="8">
        <v>73.000439536653971</v>
      </c>
      <c r="O62" s="8">
        <v>128</v>
      </c>
      <c r="P62" s="8">
        <v>41.7</v>
      </c>
      <c r="Q62" s="8">
        <v>100</v>
      </c>
      <c r="R62" s="8">
        <v>3</v>
      </c>
      <c r="S62" s="8" t="s">
        <v>2491</v>
      </c>
      <c r="T62" s="8" t="s">
        <v>2491</v>
      </c>
      <c r="U62" s="486">
        <f t="shared" si="2"/>
        <v>195.6717309645137</v>
      </c>
      <c r="V62" s="486">
        <f t="shared" si="3"/>
        <v>23.479043749463578</v>
      </c>
      <c r="W62" s="486">
        <f>(U62/K62)*100</f>
        <v>7.6145185154690251</v>
      </c>
      <c r="X62" s="8"/>
      <c r="Y62" s="8"/>
      <c r="AC62" s="484">
        <v>2018</v>
      </c>
      <c r="AD62" s="484" t="s">
        <v>194</v>
      </c>
      <c r="AE62" s="485">
        <v>13</v>
      </c>
      <c r="AF62" s="90">
        <f>L287</f>
        <v>71.766218858351621</v>
      </c>
      <c r="AH62" s="481">
        <f>L61</f>
        <v>76.36837844702616</v>
      </c>
      <c r="AI62" s="8" t="s">
        <v>2992</v>
      </c>
      <c r="AJ62" s="362">
        <f>((L287-L61)/AVERAGE(L287,L61))*100</f>
        <v>-6.2134837808175751</v>
      </c>
      <c r="AK62" s="8" t="s">
        <v>3151</v>
      </c>
      <c r="AN62" s="80" t="s">
        <v>3165</v>
      </c>
    </row>
    <row r="63" spans="1:40">
      <c r="A63" s="487">
        <v>43657</v>
      </c>
      <c r="B63" s="8">
        <v>20</v>
      </c>
      <c r="C63" s="8" t="s">
        <v>2965</v>
      </c>
      <c r="D63" s="8"/>
      <c r="E63" s="8"/>
      <c r="F63" s="8"/>
      <c r="G63" s="8"/>
      <c r="H63" s="8">
        <v>0.73429999999999995</v>
      </c>
      <c r="I63" s="8">
        <v>0.4889</v>
      </c>
      <c r="J63" s="8">
        <v>0.24539999999999995</v>
      </c>
      <c r="K63" s="8">
        <v>-7.8521222757217041E-2</v>
      </c>
      <c r="L63" s="8"/>
      <c r="M63" s="8">
        <v>2.0451362198168193</v>
      </c>
      <c r="N63" s="8"/>
      <c r="O63" s="8">
        <v>128</v>
      </c>
      <c r="P63" s="8">
        <v>41.7</v>
      </c>
      <c r="Q63" s="8">
        <v>100</v>
      </c>
      <c r="R63" s="8">
        <v>3</v>
      </c>
      <c r="S63" s="8" t="s">
        <v>2491</v>
      </c>
      <c r="T63" s="8" t="s">
        <v>2491</v>
      </c>
      <c r="U63" s="486"/>
      <c r="V63" s="486">
        <f t="shared" si="3"/>
        <v>0</v>
      </c>
      <c r="W63" s="8"/>
      <c r="X63" s="8"/>
      <c r="Y63" s="8"/>
      <c r="AC63" s="484">
        <v>2018</v>
      </c>
      <c r="AD63" s="484" t="s">
        <v>194</v>
      </c>
      <c r="AE63" s="485">
        <v>14</v>
      </c>
      <c r="AF63" s="90">
        <f>L285</f>
        <v>74.196587883549412</v>
      </c>
      <c r="AH63" s="481">
        <f>L62</f>
        <v>79.017220415609529</v>
      </c>
      <c r="AI63" s="8" t="s">
        <v>2992</v>
      </c>
      <c r="AJ63" s="362">
        <f>((L285-L62)/AVERAGE(L285,L62))*100</f>
        <v>-6.2926867827050534</v>
      </c>
      <c r="AK63" s="8" t="s">
        <v>3151</v>
      </c>
      <c r="AN63" s="80" t="s">
        <v>3165</v>
      </c>
    </row>
    <row r="64" spans="1:40">
      <c r="A64" s="487">
        <v>43657</v>
      </c>
      <c r="B64" s="8">
        <v>21</v>
      </c>
      <c r="C64" s="8" t="s">
        <v>3003</v>
      </c>
      <c r="D64" s="8">
        <v>3026.3</v>
      </c>
      <c r="E64" s="8">
        <v>3026.3</v>
      </c>
      <c r="F64" s="8"/>
      <c r="G64" s="8"/>
      <c r="H64" s="8">
        <v>282.61020000000002</v>
      </c>
      <c r="I64" s="8">
        <v>0.4889</v>
      </c>
      <c r="J64" s="8">
        <v>282.12130000000002</v>
      </c>
      <c r="K64" s="8">
        <v>2544.9312731871387</v>
      </c>
      <c r="L64" s="8">
        <v>84.093819951331284</v>
      </c>
      <c r="M64" s="8">
        <v>2351.1674368859285</v>
      </c>
      <c r="N64" s="8">
        <v>77.691155433563381</v>
      </c>
      <c r="O64" s="8">
        <v>128</v>
      </c>
      <c r="P64" s="8">
        <v>41.7</v>
      </c>
      <c r="Q64" s="8">
        <v>100</v>
      </c>
      <c r="R64" s="8">
        <v>3</v>
      </c>
      <c r="S64" s="8" t="s">
        <v>2491</v>
      </c>
      <c r="T64" s="8" t="s">
        <v>2491</v>
      </c>
      <c r="U64" s="486">
        <f t="shared" si="2"/>
        <v>193.76383630121018</v>
      </c>
      <c r="V64" s="486">
        <f t="shared" si="3"/>
        <v>23.250111639299973</v>
      </c>
      <c r="W64" s="486">
        <f>(U64/K64)*100</f>
        <v>7.6137158729064804</v>
      </c>
      <c r="X64" s="8"/>
      <c r="Y64" s="8"/>
      <c r="AC64" s="228">
        <v>2018</v>
      </c>
      <c r="AD64" s="228" t="s">
        <v>194</v>
      </c>
      <c r="AE64" s="483">
        <v>15</v>
      </c>
      <c r="AF64" s="90">
        <f>D328</f>
        <v>78.183310486830635</v>
      </c>
      <c r="AH64" s="395">
        <f>L64</f>
        <v>84.093819951331284</v>
      </c>
      <c r="AI64" t="s">
        <v>3153</v>
      </c>
      <c r="AJ64" s="362">
        <f>E329</f>
        <v>7.2844638656621248</v>
      </c>
      <c r="AL64" s="90"/>
      <c r="AN64" s="80" t="s">
        <v>3165</v>
      </c>
    </row>
    <row r="65" spans="1:40">
      <c r="A65" s="493">
        <v>43657</v>
      </c>
      <c r="B65" s="494">
        <v>22</v>
      </c>
      <c r="C65" s="494" t="s">
        <v>3004</v>
      </c>
      <c r="D65" s="494">
        <v>2582.1999999999998</v>
      </c>
      <c r="E65" s="494">
        <v>2582.1999999999998</v>
      </c>
      <c r="F65" s="494"/>
      <c r="G65" s="494"/>
      <c r="H65" s="494">
        <v>228.6045</v>
      </c>
      <c r="I65" s="494">
        <v>0.4889</v>
      </c>
      <c r="J65" s="494">
        <v>228.1156</v>
      </c>
      <c r="K65" s="494">
        <v>2057.322948197444</v>
      </c>
      <c r="L65" s="494">
        <v>79.673261102836506</v>
      </c>
      <c r="M65" s="494">
        <v>1901.0899587010827</v>
      </c>
      <c r="N65" s="494">
        <v>73.622878115602305</v>
      </c>
      <c r="O65" s="494">
        <v>128</v>
      </c>
      <c r="P65" s="494">
        <v>41.7</v>
      </c>
      <c r="Q65" s="494">
        <v>100</v>
      </c>
      <c r="R65" s="494">
        <v>3</v>
      </c>
      <c r="S65" s="494" t="s">
        <v>2491</v>
      </c>
      <c r="T65" s="494" t="s">
        <v>2491</v>
      </c>
      <c r="U65" s="486">
        <f t="shared" si="2"/>
        <v>156.23298949636137</v>
      </c>
      <c r="V65" s="486">
        <f t="shared" si="3"/>
        <v>18.746709999513438</v>
      </c>
      <c r="W65" s="486">
        <f>(U65/K65)*100</f>
        <v>7.5939944009883025</v>
      </c>
      <c r="X65" s="8"/>
      <c r="Y65" s="8"/>
      <c r="AC65" s="228">
        <v>2018</v>
      </c>
      <c r="AD65" s="228" t="s">
        <v>194</v>
      </c>
      <c r="AE65" s="483">
        <v>16</v>
      </c>
      <c r="AF65">
        <f>L319</f>
        <v>78.511001225444204</v>
      </c>
      <c r="AH65" s="395">
        <f>L66</f>
        <v>84.173390060257987</v>
      </c>
      <c r="AI65" s="8" t="s">
        <v>2992</v>
      </c>
      <c r="AJ65" s="362">
        <f>((L319-L66)/AVERAGE(L319,L66))*100</f>
        <v>-6.961194973978345</v>
      </c>
      <c r="AK65" s="8" t="s">
        <v>3151</v>
      </c>
      <c r="AN65" s="80" t="s">
        <v>3165</v>
      </c>
    </row>
    <row r="66" spans="1:40">
      <c r="A66" s="487">
        <v>43657</v>
      </c>
      <c r="B66" s="8">
        <v>23</v>
      </c>
      <c r="C66" s="8" t="s">
        <v>3005</v>
      </c>
      <c r="D66" s="8">
        <v>2767.2</v>
      </c>
      <c r="E66" s="8">
        <v>2767.2</v>
      </c>
      <c r="F66" s="8"/>
      <c r="G66" s="8"/>
      <c r="H66" s="8">
        <v>258.7217</v>
      </c>
      <c r="I66" s="8">
        <v>0.4889</v>
      </c>
      <c r="J66" s="8">
        <v>258.2328</v>
      </c>
      <c r="K66" s="8">
        <v>2329.2460497474585</v>
      </c>
      <c r="L66" s="8">
        <v>84.173390060257987</v>
      </c>
      <c r="M66" s="8">
        <v>2152.0833432139884</v>
      </c>
      <c r="N66" s="8">
        <v>77.771152905969515</v>
      </c>
      <c r="O66" s="8">
        <v>128</v>
      </c>
      <c r="P66" s="8">
        <v>41.7</v>
      </c>
      <c r="Q66" s="8">
        <v>100</v>
      </c>
      <c r="R66" s="8">
        <v>3</v>
      </c>
      <c r="S66" s="8" t="s">
        <v>2491</v>
      </c>
      <c r="T66" s="8" t="s">
        <v>2491</v>
      </c>
      <c r="U66" s="486">
        <f t="shared" si="2"/>
        <v>177.1627065334701</v>
      </c>
      <c r="V66" s="486">
        <f t="shared" si="3"/>
        <v>21.258108756788648</v>
      </c>
      <c r="W66" s="486">
        <f>(U66/K66)*100</f>
        <v>7.6060108185083504</v>
      </c>
      <c r="X66" s="8"/>
      <c r="Y66" s="8"/>
      <c r="AC66" s="228">
        <v>2018</v>
      </c>
      <c r="AD66" s="228" t="s">
        <v>194</v>
      </c>
      <c r="AE66" s="483">
        <v>17</v>
      </c>
      <c r="AF66">
        <f>L321</f>
        <v>79.722816754527287</v>
      </c>
      <c r="AH66" s="395">
        <f>L67</f>
        <v>85.586729267335159</v>
      </c>
      <c r="AI66" s="8" t="s">
        <v>2992</v>
      </c>
      <c r="AJ66" s="362">
        <f>((L321-L67)/AVERAGE(L321,L67))*100</f>
        <v>-7.0944632707809392</v>
      </c>
      <c r="AK66" s="8" t="s">
        <v>3151</v>
      </c>
      <c r="AN66" s="80" t="s">
        <v>3165</v>
      </c>
    </row>
    <row r="67" spans="1:40">
      <c r="A67" s="487">
        <v>43657</v>
      </c>
      <c r="B67" s="8">
        <v>24</v>
      </c>
      <c r="C67" s="8" t="s">
        <v>3006</v>
      </c>
      <c r="D67" s="8">
        <v>2927.7</v>
      </c>
      <c r="E67" s="8">
        <v>2927.7</v>
      </c>
      <c r="F67" s="8"/>
      <c r="G67" s="8"/>
      <c r="H67" s="8">
        <v>278.26760000000002</v>
      </c>
      <c r="I67" s="8">
        <v>0.4889</v>
      </c>
      <c r="J67" s="8">
        <v>277.77870000000001</v>
      </c>
      <c r="K67" s="8">
        <v>2505.7226727597713</v>
      </c>
      <c r="L67" s="8">
        <v>85.586729267335159</v>
      </c>
      <c r="M67" s="8">
        <v>2314.9766930058286</v>
      </c>
      <c r="N67" s="8">
        <v>79.071513235844819</v>
      </c>
      <c r="O67" s="8">
        <v>128</v>
      </c>
      <c r="P67" s="8">
        <v>41.7</v>
      </c>
      <c r="Q67" s="8">
        <v>100</v>
      </c>
      <c r="R67" s="8">
        <v>3</v>
      </c>
      <c r="S67" s="8" t="s">
        <v>2491</v>
      </c>
      <c r="T67" s="8" t="s">
        <v>2491</v>
      </c>
      <c r="U67" s="486">
        <f t="shared" si="2"/>
        <v>190.74597975394272</v>
      </c>
      <c r="V67" s="486">
        <f t="shared" si="3"/>
        <v>22.887992974771226</v>
      </c>
      <c r="W67" s="486">
        <f>(U67/K67)*100</f>
        <v>7.612413848810232</v>
      </c>
      <c r="X67" s="8"/>
      <c r="Y67" s="8"/>
      <c r="AC67" s="228">
        <v>2018</v>
      </c>
      <c r="AD67" s="228" t="s">
        <v>194</v>
      </c>
      <c r="AE67" s="483">
        <v>18</v>
      </c>
      <c r="AF67">
        <f>L322</f>
        <v>78.874750676926311</v>
      </c>
      <c r="AH67" s="395">
        <f>L68</f>
        <v>84.86450710855506</v>
      </c>
      <c r="AI67" s="8" t="s">
        <v>2992</v>
      </c>
      <c r="AJ67" s="362">
        <f>((L322-L68)/AVERAGE(L322,L68))*100</f>
        <v>-7.3162129994213956</v>
      </c>
      <c r="AK67" s="8" t="s">
        <v>3151</v>
      </c>
      <c r="AN67" s="80" t="s">
        <v>3165</v>
      </c>
    </row>
    <row r="68" spans="1:40">
      <c r="A68" s="487">
        <v>43657</v>
      </c>
      <c r="B68" s="8">
        <v>25</v>
      </c>
      <c r="C68" s="8" t="s">
        <v>3007</v>
      </c>
      <c r="D68" s="8">
        <v>2985.1</v>
      </c>
      <c r="E68" s="8">
        <v>2985.1</v>
      </c>
      <c r="F68" s="8"/>
      <c r="G68" s="8"/>
      <c r="H68" s="8">
        <v>281.32089999999999</v>
      </c>
      <c r="I68" s="8">
        <v>0.4889</v>
      </c>
      <c r="J68" s="8">
        <v>280.83199999999999</v>
      </c>
      <c r="K68" s="8">
        <v>2533.2904016974767</v>
      </c>
      <c r="L68" s="8">
        <v>84.86450710855506</v>
      </c>
      <c r="M68" s="8">
        <v>2340.4225545378854</v>
      </c>
      <c r="N68" s="8">
        <v>78.403489147361412</v>
      </c>
      <c r="O68" s="8">
        <v>128</v>
      </c>
      <c r="P68" s="8">
        <v>41.7</v>
      </c>
      <c r="Q68" s="8">
        <v>100</v>
      </c>
      <c r="R68" s="8">
        <v>3</v>
      </c>
      <c r="S68" s="8" t="s">
        <v>2491</v>
      </c>
      <c r="T68" s="8" t="s">
        <v>2491</v>
      </c>
      <c r="U68" s="486">
        <f t="shared" si="2"/>
        <v>192.86784715959129</v>
      </c>
      <c r="V68" s="486">
        <f t="shared" si="3"/>
        <v>23.142600103773518</v>
      </c>
      <c r="W68" s="486">
        <f>(U68/K68)*100</f>
        <v>7.6133335140083718</v>
      </c>
      <c r="X68" s="8"/>
      <c r="Y68" s="8"/>
      <c r="AC68" s="228">
        <v>2018</v>
      </c>
      <c r="AD68" s="228" t="s">
        <v>194</v>
      </c>
      <c r="AE68" s="228">
        <v>19</v>
      </c>
      <c r="AF68" s="395">
        <f>L94</f>
        <v>81.595685163621795</v>
      </c>
    </row>
    <row r="69" spans="1:40">
      <c r="A69" s="487">
        <v>43657</v>
      </c>
      <c r="B69" s="8">
        <v>26</v>
      </c>
      <c r="C69" s="8" t="s">
        <v>2971</v>
      </c>
      <c r="D69" s="8"/>
      <c r="E69" s="8"/>
      <c r="F69" s="8"/>
      <c r="G69" s="8"/>
      <c r="H69" s="8">
        <v>0.32550000000000001</v>
      </c>
      <c r="I69" s="8">
        <v>0.4889</v>
      </c>
      <c r="J69" s="8">
        <v>-0.16339999999999999</v>
      </c>
      <c r="K69" s="8">
        <v>-3.769507234526102</v>
      </c>
      <c r="L69" s="8"/>
      <c r="M69" s="8">
        <v>-1.3617573688592839</v>
      </c>
      <c r="N69" s="8"/>
      <c r="O69" s="8">
        <v>128</v>
      </c>
      <c r="P69" s="8">
        <v>41.7</v>
      </c>
      <c r="Q69" s="8">
        <v>100</v>
      </c>
      <c r="R69" s="8">
        <v>3</v>
      </c>
      <c r="S69" s="8" t="s">
        <v>2491</v>
      </c>
      <c r="T69" s="8" t="s">
        <v>2491</v>
      </c>
      <c r="U69" s="486"/>
      <c r="V69" s="486">
        <f t="shared" si="3"/>
        <v>0</v>
      </c>
      <c r="W69" s="486"/>
      <c r="X69" s="8"/>
      <c r="Y69" s="8"/>
      <c r="AC69" s="228">
        <v>2018</v>
      </c>
      <c r="AD69" s="228" t="s">
        <v>194</v>
      </c>
      <c r="AE69" s="228">
        <v>20</v>
      </c>
      <c r="AF69" s="395">
        <f>L95</f>
        <v>75.42864664184728</v>
      </c>
    </row>
    <row r="70" spans="1:40">
      <c r="A70" s="487">
        <v>43657</v>
      </c>
      <c r="B70" s="8">
        <v>27</v>
      </c>
      <c r="C70" s="8" t="s">
        <v>3008</v>
      </c>
      <c r="D70" s="8">
        <v>1195.4000000000001</v>
      </c>
      <c r="E70" s="8"/>
      <c r="F70" s="8"/>
      <c r="G70" s="8">
        <v>1195.16092</v>
      </c>
      <c r="H70" s="8">
        <v>142.84229999999999</v>
      </c>
      <c r="I70" s="8">
        <v>0.4889</v>
      </c>
      <c r="J70" s="8">
        <v>142.35339999999999</v>
      </c>
      <c r="K70" s="8">
        <v>1282.9905594045733</v>
      </c>
      <c r="L70" s="8">
        <v>107.3487710261287</v>
      </c>
      <c r="M70" s="8">
        <v>1186.3573527060782</v>
      </c>
      <c r="N70" s="8">
        <v>99.263398999532058</v>
      </c>
      <c r="O70" s="8">
        <v>128</v>
      </c>
      <c r="P70" s="8">
        <v>41.7</v>
      </c>
      <c r="Q70" s="8">
        <v>100</v>
      </c>
      <c r="R70" s="8">
        <v>3</v>
      </c>
      <c r="S70" s="8" t="s">
        <v>2491</v>
      </c>
      <c r="T70" s="8" t="s">
        <v>2491</v>
      </c>
      <c r="U70" s="486">
        <f t="shared" si="2"/>
        <v>96.633206698495087</v>
      </c>
      <c r="V70" s="486">
        <f t="shared" si="3"/>
        <v>11.59521243329929</v>
      </c>
      <c r="W70" s="486"/>
      <c r="X70" s="8"/>
      <c r="Y70" s="8"/>
      <c r="AC70" s="228">
        <v>2018</v>
      </c>
      <c r="AD70" s="228" t="s">
        <v>194</v>
      </c>
      <c r="AE70" s="228">
        <v>21</v>
      </c>
      <c r="AF70" s="395">
        <f>L96</f>
        <v>72.726973129339044</v>
      </c>
    </row>
    <row r="71" spans="1:40">
      <c r="A71" s="487">
        <v>43657</v>
      </c>
      <c r="B71" s="8">
        <v>28</v>
      </c>
      <c r="C71" s="8" t="s">
        <v>2973</v>
      </c>
      <c r="D71" s="8"/>
      <c r="E71" s="8"/>
      <c r="F71" s="8"/>
      <c r="G71" s="8">
        <v>0</v>
      </c>
      <c r="H71" s="8">
        <v>0.42380000000000001</v>
      </c>
      <c r="I71" s="8">
        <v>0.4889</v>
      </c>
      <c r="J71" s="8">
        <v>-6.5099999999999991E-2</v>
      </c>
      <c r="K71" s="8">
        <v>-2.8819731715200319</v>
      </c>
      <c r="L71" s="8"/>
      <c r="M71" s="8">
        <v>-0.54253613655287258</v>
      </c>
      <c r="N71" s="8"/>
      <c r="O71" s="8">
        <v>128</v>
      </c>
      <c r="P71" s="8">
        <v>41.7</v>
      </c>
      <c r="Q71" s="8">
        <v>100</v>
      </c>
      <c r="R71" s="8">
        <v>3</v>
      </c>
      <c r="S71" s="8" t="s">
        <v>2491</v>
      </c>
      <c r="T71" s="8" t="s">
        <v>2491</v>
      </c>
      <c r="U71" s="486"/>
      <c r="V71" s="486">
        <f t="shared" si="3"/>
        <v>0</v>
      </c>
      <c r="W71" s="486"/>
      <c r="X71" s="8"/>
      <c r="Y71" s="8"/>
    </row>
    <row r="72" spans="1:40">
      <c r="A72" s="8"/>
      <c r="B72" s="229" t="s">
        <v>2974</v>
      </c>
      <c r="C72" s="229"/>
      <c r="D72" s="229"/>
      <c r="E72" s="229"/>
      <c r="F72" s="229"/>
      <c r="G72" s="229"/>
      <c r="H72" s="229"/>
      <c r="I72" s="229"/>
      <c r="J72" s="229"/>
      <c r="K72" s="8"/>
      <c r="L72" s="8"/>
      <c r="M72" s="8"/>
      <c r="N72" s="8"/>
      <c r="O72" s="8"/>
      <c r="P72" s="8"/>
      <c r="Q72" s="8"/>
      <c r="R72" s="8"/>
      <c r="S72" s="8"/>
      <c r="T72" s="8"/>
      <c r="U72" s="486"/>
      <c r="V72" s="486">
        <f t="shared" si="3"/>
        <v>0</v>
      </c>
      <c r="W72" s="486"/>
      <c r="X72" s="8"/>
      <c r="Y72" s="8"/>
    </row>
    <row r="73" spans="1:40">
      <c r="B73" s="80"/>
      <c r="C73" s="80"/>
      <c r="D73" s="80"/>
      <c r="E73" s="80"/>
      <c r="F73" s="80"/>
      <c r="G73" s="80"/>
      <c r="H73" s="80" t="s">
        <v>2975</v>
      </c>
      <c r="I73" s="80"/>
      <c r="J73" s="80"/>
      <c r="U73" s="90"/>
      <c r="V73" s="90">
        <f t="shared" si="3"/>
        <v>0</v>
      </c>
      <c r="W73" s="90"/>
    </row>
    <row r="74" spans="1:40">
      <c r="B74" s="80"/>
      <c r="C74" s="80"/>
      <c r="D74" s="80"/>
      <c r="E74" s="80"/>
      <c r="F74" s="80" t="s">
        <v>3000</v>
      </c>
      <c r="G74" s="80"/>
      <c r="H74" s="80">
        <v>-0.31479010850742301</v>
      </c>
      <c r="I74" s="80"/>
      <c r="J74" s="80"/>
      <c r="U74" s="90"/>
      <c r="V74" s="90">
        <f t="shared" si="3"/>
        <v>0</v>
      </c>
      <c r="W74" s="90"/>
    </row>
    <row r="75" spans="1:40">
      <c r="B75" s="80"/>
      <c r="C75" s="80"/>
      <c r="D75" s="80"/>
      <c r="E75" s="80"/>
      <c r="F75" s="80" t="s">
        <v>3004</v>
      </c>
      <c r="G75" s="80"/>
      <c r="H75" s="80"/>
      <c r="I75" s="80"/>
      <c r="J75" s="80"/>
      <c r="U75" s="90"/>
      <c r="V75" s="90">
        <f t="shared" si="3"/>
        <v>0</v>
      </c>
      <c r="W75" s="90"/>
    </row>
    <row r="76" spans="1:40">
      <c r="U76" s="90"/>
      <c r="V76" s="90"/>
      <c r="W76" s="90"/>
    </row>
    <row r="77" spans="1:40">
      <c r="U77" s="90"/>
      <c r="V77" s="90"/>
      <c r="W77" s="90"/>
    </row>
    <row r="78" spans="1:40">
      <c r="A78" s="384" t="s">
        <v>3009</v>
      </c>
      <c r="B78" s="97"/>
      <c r="C78" s="431" t="s">
        <v>3010</v>
      </c>
      <c r="D78" s="401"/>
      <c r="E78" s="401"/>
      <c r="F78" s="401"/>
      <c r="G78" s="401"/>
      <c r="H78" s="448"/>
      <c r="I78" s="386"/>
      <c r="J78" s="386"/>
      <c r="K78" s="387"/>
      <c r="L78" s="388"/>
      <c r="M78" s="90"/>
      <c r="N78" s="388"/>
      <c r="O78" s="386"/>
      <c r="P78" s="386"/>
      <c r="Q78" s="386"/>
      <c r="R78" s="386"/>
      <c r="U78" s="90"/>
      <c r="V78" s="90"/>
      <c r="W78" s="90"/>
      <c r="AC78" s="146"/>
      <c r="AD78" s="146"/>
      <c r="AE78" s="146"/>
      <c r="AF78" s="146"/>
      <c r="AG78" s="146"/>
      <c r="AH78" s="146"/>
      <c r="AI78" s="146"/>
      <c r="AJ78" s="146"/>
      <c r="AK78" s="146"/>
      <c r="AL78" s="146"/>
      <c r="AM78" s="146"/>
    </row>
    <row r="79" spans="1:40">
      <c r="A79" s="389"/>
      <c r="B79" s="97"/>
      <c r="C79" s="345" t="s">
        <v>3011</v>
      </c>
      <c r="D79" s="90"/>
      <c r="E79" s="90"/>
      <c r="F79" s="90"/>
      <c r="G79" s="90"/>
      <c r="H79" s="385"/>
      <c r="I79" s="386"/>
      <c r="J79" s="386"/>
      <c r="K79" s="387"/>
      <c r="L79" s="388"/>
      <c r="M79" s="90"/>
      <c r="N79" s="388"/>
      <c r="O79" s="386"/>
      <c r="P79" s="386"/>
      <c r="Q79" s="386"/>
      <c r="R79" s="386"/>
      <c r="U79" s="90"/>
      <c r="V79" s="90"/>
      <c r="W79" s="90"/>
      <c r="X79" s="429">
        <f>A80</f>
        <v>43661</v>
      </c>
      <c r="AC79" s="146"/>
      <c r="AD79" s="146"/>
      <c r="AE79" s="146"/>
      <c r="AF79" s="146"/>
      <c r="AG79" s="146"/>
      <c r="AH79" s="146"/>
      <c r="AI79" s="146"/>
      <c r="AJ79" s="146"/>
      <c r="AK79" s="146"/>
      <c r="AL79" s="146"/>
      <c r="AM79" s="146"/>
    </row>
    <row r="80" spans="1:40">
      <c r="A80" s="389">
        <v>43661</v>
      </c>
      <c r="B80" s="97">
        <v>1</v>
      </c>
      <c r="C80" t="s">
        <v>2947</v>
      </c>
      <c r="D80" s="90"/>
      <c r="E80" s="90"/>
      <c r="F80" s="90"/>
      <c r="G80" s="90"/>
      <c r="H80">
        <v>0.85089999999999999</v>
      </c>
      <c r="I80" s="386"/>
      <c r="J80" s="386"/>
      <c r="K80" s="387"/>
      <c r="L80" s="388"/>
      <c r="M80" s="90"/>
      <c r="N80" s="388"/>
      <c r="O80" s="390">
        <v>128</v>
      </c>
      <c r="P80" s="390">
        <v>41.7</v>
      </c>
      <c r="Q80" s="386">
        <v>100</v>
      </c>
      <c r="R80" s="386">
        <v>3</v>
      </c>
      <c r="S80" t="s">
        <v>2491</v>
      </c>
      <c r="T80" t="s">
        <v>2491</v>
      </c>
      <c r="U80" s="90"/>
      <c r="V80" s="90"/>
      <c r="W80" s="90"/>
      <c r="X80" s="447">
        <f>((J82-INDEX(LINEST($J$82:$J$87,$G$82:$G$87),2))/INDEX(LINEST($J$82:$J$87,$G$82:$G$87),1)/100.09)*12.01</f>
        <v>0.44240531143101008</v>
      </c>
      <c r="Y80" s="90">
        <f>(J82-X80)^2</f>
        <v>0.22829791563168453</v>
      </c>
    </row>
    <row r="81" spans="1:28">
      <c r="A81" s="389">
        <v>43661</v>
      </c>
      <c r="B81" s="97">
        <v>2</v>
      </c>
      <c r="C81" t="s">
        <v>2948</v>
      </c>
      <c r="D81" s="90"/>
      <c r="E81" s="90"/>
      <c r="F81" s="90"/>
      <c r="G81" s="90"/>
      <c r="H81">
        <v>1.2015</v>
      </c>
      <c r="I81" s="386"/>
      <c r="J81" s="386"/>
      <c r="K81" s="387"/>
      <c r="L81" s="388"/>
      <c r="M81" s="90"/>
      <c r="N81" s="388"/>
      <c r="O81" s="390">
        <v>128</v>
      </c>
      <c r="P81" s="390">
        <v>41.7</v>
      </c>
      <c r="Q81" s="386">
        <v>100</v>
      </c>
      <c r="R81" s="386">
        <v>3</v>
      </c>
      <c r="S81" t="s">
        <v>2491</v>
      </c>
      <c r="T81" t="s">
        <v>2491</v>
      </c>
      <c r="U81" s="90"/>
      <c r="V81" s="90"/>
      <c r="W81" s="90"/>
      <c r="X81" s="447">
        <f>((J83-INDEX(LINEST($J$82:$J$87,$G$82:$G$87),2))/INDEX(LINEST($J$82:$J$87,$G$82:$G$87),1)/100.09)*12.01</f>
        <v>40.090752090198393</v>
      </c>
      <c r="Y81" s="90">
        <f t="shared" ref="Y81:Y85" si="11">(J83-X81)^2</f>
        <v>0.73043019528048125</v>
      </c>
    </row>
    <row r="82" spans="1:28">
      <c r="A82" s="389">
        <v>43661</v>
      </c>
      <c r="B82" s="97">
        <v>3</v>
      </c>
      <c r="C82" t="s">
        <v>2949</v>
      </c>
      <c r="D82" s="90"/>
      <c r="E82" s="90"/>
      <c r="F82" s="90"/>
      <c r="G82" s="90">
        <v>0</v>
      </c>
      <c r="H82">
        <v>0.97309999999999997</v>
      </c>
      <c r="I82" s="386">
        <v>1.0085</v>
      </c>
      <c r="J82" s="386">
        <v>-3.5399999999999987E-2</v>
      </c>
      <c r="K82" s="387"/>
      <c r="L82" s="388"/>
      <c r="M82" s="90"/>
      <c r="N82" s="388"/>
      <c r="O82" s="390">
        <v>128</v>
      </c>
      <c r="P82" s="390">
        <v>41.7</v>
      </c>
      <c r="Q82" s="386">
        <v>100</v>
      </c>
      <c r="R82" s="386">
        <v>3</v>
      </c>
      <c r="S82" t="s">
        <v>2491</v>
      </c>
      <c r="T82" t="s">
        <v>2491</v>
      </c>
      <c r="U82" s="90"/>
      <c r="V82" s="90"/>
      <c r="W82" s="90"/>
      <c r="X82" s="447">
        <f>((J84-INDEX(LINEST($J$82:$J$87,$G$82:$G$87),2))/INDEX(LINEST($J$82:$J$87,$G$82:$G$87),1)/100.09)*12.01</f>
        <v>160.71828405291703</v>
      </c>
      <c r="Y82" s="90">
        <f t="shared" si="11"/>
        <v>4.0047376136494703</v>
      </c>
    </row>
    <row r="83" spans="1:28">
      <c r="A83" s="389">
        <v>43661</v>
      </c>
      <c r="B83" s="97">
        <v>4</v>
      </c>
      <c r="C83" s="146" t="s">
        <v>3022</v>
      </c>
      <c r="D83" s="90">
        <v>331.1</v>
      </c>
      <c r="E83" s="90"/>
      <c r="F83" s="90"/>
      <c r="G83" s="90">
        <v>331.03378000000004</v>
      </c>
      <c r="H83">
        <v>40.244599999999998</v>
      </c>
      <c r="I83" s="391">
        <v>1.0085</v>
      </c>
      <c r="J83" s="386">
        <v>39.2361</v>
      </c>
      <c r="K83" s="392">
        <v>334.11185484662423</v>
      </c>
      <c r="L83" s="393">
        <v>100.92983708388437</v>
      </c>
      <c r="M83" s="394">
        <v>326.98927968359703</v>
      </c>
      <c r="N83" s="393">
        <v>98.778221269018829</v>
      </c>
      <c r="O83" s="390">
        <v>128</v>
      </c>
      <c r="P83" s="390">
        <v>41.7</v>
      </c>
      <c r="Q83" s="386">
        <v>100</v>
      </c>
      <c r="R83" s="386">
        <v>3</v>
      </c>
      <c r="S83" t="s">
        <v>2491</v>
      </c>
      <c r="T83" t="s">
        <v>2491</v>
      </c>
      <c r="U83" s="90">
        <f t="shared" ref="U83:U140" si="12">K83-M83</f>
        <v>7.122575163027193</v>
      </c>
      <c r="V83" s="90">
        <f t="shared" ref="V83:V87" si="13">(U83/100.09)*12.01</f>
        <v>0.85465209019838717</v>
      </c>
      <c r="W83" s="90">
        <f>(U83/K83)*100</f>
        <v>2.1317936073524981</v>
      </c>
      <c r="X83" s="447">
        <f t="shared" ref="X83:X84" si="14">((J85-INDEX(LINEST($J$82:$J$87,$G$82:$G$87),2))/INDEX(LINEST($J$82:$J$87,$G$82:$G$87),1)/100.09)*12.01</f>
        <v>271.79110104219239</v>
      </c>
      <c r="Y83" s="90">
        <f t="shared" si="11"/>
        <v>9.3446439817570273</v>
      </c>
    </row>
    <row r="84" spans="1:28">
      <c r="A84" s="389">
        <v>43661</v>
      </c>
      <c r="B84" s="97">
        <v>5</v>
      </c>
      <c r="C84" s="146" t="s">
        <v>3023</v>
      </c>
      <c r="D84" s="90">
        <v>1344.2</v>
      </c>
      <c r="E84" s="90"/>
      <c r="F84" s="90"/>
      <c r="G84" s="90">
        <v>1343.9311600000001</v>
      </c>
      <c r="H84">
        <v>159.72559999999999</v>
      </c>
      <c r="I84" s="391">
        <v>1.0085</v>
      </c>
      <c r="J84" s="386">
        <v>158.71709999999999</v>
      </c>
      <c r="K84" s="392">
        <v>1339.4082473652345</v>
      </c>
      <c r="L84" s="393">
        <v>99.663456524457288</v>
      </c>
      <c r="M84" s="394">
        <v>1322.7306027477102</v>
      </c>
      <c r="N84" s="393">
        <v>98.422496785304858</v>
      </c>
      <c r="O84" s="390">
        <v>128</v>
      </c>
      <c r="P84" s="390">
        <v>41.7</v>
      </c>
      <c r="Q84" s="386">
        <v>100</v>
      </c>
      <c r="R84" s="386">
        <v>3</v>
      </c>
      <c r="S84" t="s">
        <v>2491</v>
      </c>
      <c r="T84" t="s">
        <v>2491</v>
      </c>
      <c r="U84" s="90">
        <f t="shared" si="12"/>
        <v>16.677644617524265</v>
      </c>
      <c r="V84" s="90">
        <f t="shared" si="13"/>
        <v>2.001184052917039</v>
      </c>
      <c r="W84" s="90">
        <f t="shared" ref="W84:W87" si="15">(U84/K84)*100</f>
        <v>1.245150210948085</v>
      </c>
      <c r="X84" s="447">
        <f t="shared" si="14"/>
        <v>359.16870142661008</v>
      </c>
      <c r="Y84" s="90">
        <f t="shared" si="11"/>
        <v>15.111889851610218</v>
      </c>
    </row>
    <row r="85" spans="1:28">
      <c r="A85" s="389">
        <v>43661</v>
      </c>
      <c r="B85" s="97">
        <v>6</v>
      </c>
      <c r="C85" s="146" t="s">
        <v>3024</v>
      </c>
      <c r="D85" s="90">
        <v>2279.1</v>
      </c>
      <c r="E85" s="90"/>
      <c r="F85" s="90"/>
      <c r="G85" s="90">
        <v>2278.6441799999998</v>
      </c>
      <c r="H85">
        <v>269.74270000000001</v>
      </c>
      <c r="I85" s="391">
        <v>1.0085</v>
      </c>
      <c r="J85" s="386">
        <v>268.73419999999999</v>
      </c>
      <c r="K85" s="392">
        <v>2265.0767113499614</v>
      </c>
      <c r="L85" s="393">
        <v>99.404581515221992</v>
      </c>
      <c r="M85" s="394">
        <v>2239.6008391340551</v>
      </c>
      <c r="N85" s="393">
        <v>98.286553854760044</v>
      </c>
      <c r="O85" s="390">
        <v>128</v>
      </c>
      <c r="P85" s="390">
        <v>41.7</v>
      </c>
      <c r="Q85" s="386">
        <v>100</v>
      </c>
      <c r="R85" s="386">
        <v>3</v>
      </c>
      <c r="S85" t="s">
        <v>2491</v>
      </c>
      <c r="T85" t="s">
        <v>2491</v>
      </c>
      <c r="U85" s="90">
        <f t="shared" si="12"/>
        <v>25.475872215906293</v>
      </c>
      <c r="V85" s="90">
        <f t="shared" si="13"/>
        <v>3.0569010421923726</v>
      </c>
      <c r="W85" s="90">
        <f t="shared" si="15"/>
        <v>1.1247244779062227</v>
      </c>
      <c r="X85" s="447">
        <f>((J87-INDEX(LINEST($J$82:$J$87,$G$82:$G$87),2))/INDEX(LINEST($J$82:$J$87,$G$82:$G$87),1)/100.09)*12.01</f>
        <v>453.0300278680391</v>
      </c>
      <c r="Y85" s="90">
        <f t="shared" si="11"/>
        <v>22.843886641362488</v>
      </c>
      <c r="AA85" s="80" t="s">
        <v>2987</v>
      </c>
    </row>
    <row r="86" spans="1:28">
      <c r="A86" s="389">
        <v>43661</v>
      </c>
      <c r="B86" s="97">
        <v>7</v>
      </c>
      <c r="C86" s="146" t="s">
        <v>3025</v>
      </c>
      <c r="D86" s="90">
        <v>2985.3</v>
      </c>
      <c r="E86" s="90"/>
      <c r="F86" s="90"/>
      <c r="G86" s="90">
        <v>2984.7029400000001</v>
      </c>
      <c r="H86">
        <v>356.28980000000001</v>
      </c>
      <c r="I86" s="391">
        <v>1.0085</v>
      </c>
      <c r="J86" s="386">
        <v>355.28129999999999</v>
      </c>
      <c r="K86" s="392">
        <v>2993.2718839125232</v>
      </c>
      <c r="L86" s="393">
        <v>100.28709536877807</v>
      </c>
      <c r="M86" s="394">
        <v>2960.8747141548711</v>
      </c>
      <c r="N86" s="393">
        <v>99.201655028184177</v>
      </c>
      <c r="O86" s="390">
        <v>128</v>
      </c>
      <c r="P86" s="390">
        <v>41.7</v>
      </c>
      <c r="Q86" s="386">
        <v>100</v>
      </c>
      <c r="R86" s="386">
        <v>3</v>
      </c>
      <c r="S86" t="s">
        <v>2491</v>
      </c>
      <c r="T86" t="s">
        <v>2491</v>
      </c>
      <c r="U86" s="90">
        <f t="shared" si="12"/>
        <v>32.397169757652136</v>
      </c>
      <c r="V86" s="90">
        <f t="shared" si="13"/>
        <v>3.8874014266100723</v>
      </c>
      <c r="W86" s="90">
        <f>(U86/K86)*100</f>
        <v>1.0823330126398543</v>
      </c>
      <c r="Y86" s="80">
        <f>SQRT(SUM(Y80:Y85)/(6-2))</f>
        <v>3.6146883060400716</v>
      </c>
      <c r="Z86" s="80" t="s">
        <v>2990</v>
      </c>
      <c r="AA86" s="206">
        <f>(Y86/$AK$15)*100</f>
        <v>1.7709827172817518</v>
      </c>
    </row>
    <row r="87" spans="1:28">
      <c r="A87" s="389">
        <v>43661</v>
      </c>
      <c r="B87" s="97">
        <v>8</v>
      </c>
      <c r="C87" s="146" t="s">
        <v>3026</v>
      </c>
      <c r="D87" s="90">
        <v>3773.5</v>
      </c>
      <c r="E87" s="90"/>
      <c r="F87" s="90"/>
      <c r="G87" s="90">
        <v>3772.7453</v>
      </c>
      <c r="H87">
        <v>449.25900000000001</v>
      </c>
      <c r="I87" s="391">
        <v>1.0085</v>
      </c>
      <c r="J87" s="386">
        <v>448.25049999999999</v>
      </c>
      <c r="K87" s="392">
        <v>3775.5017060209852</v>
      </c>
      <c r="L87" s="393">
        <v>100.07306101530324</v>
      </c>
      <c r="M87" s="394">
        <v>3735.6696540383018</v>
      </c>
      <c r="N87" s="393">
        <v>99.017276730509792</v>
      </c>
      <c r="O87" s="390">
        <v>128</v>
      </c>
      <c r="P87" s="390">
        <v>41.7</v>
      </c>
      <c r="Q87" s="386">
        <v>100</v>
      </c>
      <c r="R87" s="386">
        <v>3</v>
      </c>
      <c r="S87" t="s">
        <v>2491</v>
      </c>
      <c r="T87" t="s">
        <v>2491</v>
      </c>
      <c r="U87" s="90">
        <f t="shared" si="12"/>
        <v>39.832051982683424</v>
      </c>
      <c r="V87" s="90">
        <f t="shared" si="13"/>
        <v>4.7795278680390441</v>
      </c>
      <c r="W87" s="90">
        <f t="shared" si="15"/>
        <v>1.0550134812324734</v>
      </c>
      <c r="Y87" s="206">
        <f>(Y86/12.01)*100.09</f>
        <v>30.124409038430539</v>
      </c>
      <c r="Z87" s="80" t="s">
        <v>2991</v>
      </c>
    </row>
    <row r="88" spans="1:28">
      <c r="A88" s="389">
        <v>43661</v>
      </c>
      <c r="B88" s="97">
        <v>9</v>
      </c>
      <c r="C88" t="s">
        <v>2955</v>
      </c>
      <c r="D88" s="90"/>
      <c r="E88" s="90"/>
      <c r="F88" s="90"/>
      <c r="G88" s="90"/>
      <c r="H88">
        <v>1.0346</v>
      </c>
      <c r="I88" s="391"/>
      <c r="J88" s="386">
        <v>1.0346</v>
      </c>
      <c r="K88" s="392"/>
      <c r="L88" s="388"/>
      <c r="M88" s="90"/>
      <c r="N88" s="388"/>
      <c r="O88" s="390">
        <v>128</v>
      </c>
      <c r="P88" s="390">
        <v>41.7</v>
      </c>
      <c r="Q88" s="386">
        <v>100</v>
      </c>
      <c r="R88" s="386">
        <v>3</v>
      </c>
      <c r="S88" t="s">
        <v>2491</v>
      </c>
      <c r="T88" t="s">
        <v>2491</v>
      </c>
      <c r="U88" s="90"/>
      <c r="V88" s="90"/>
      <c r="W88" s="90"/>
      <c r="X88" s="146"/>
      <c r="Y88" s="146"/>
      <c r="Z88" s="146"/>
      <c r="AA88" s="146"/>
      <c r="AB88" s="146"/>
    </row>
    <row r="89" spans="1:28">
      <c r="A89" s="389">
        <v>43661</v>
      </c>
      <c r="B89" s="97">
        <v>10</v>
      </c>
      <c r="C89" t="s">
        <v>2956</v>
      </c>
      <c r="D89" s="90"/>
      <c r="E89" s="90"/>
      <c r="F89" s="90"/>
      <c r="G89" s="90"/>
      <c r="H89">
        <v>0.87429999999999997</v>
      </c>
      <c r="I89" s="390"/>
      <c r="J89" s="386">
        <v>0.87429999999999997</v>
      </c>
      <c r="K89" s="392"/>
      <c r="L89" s="388"/>
      <c r="M89" s="90"/>
      <c r="N89" s="388"/>
      <c r="O89" s="390">
        <v>128</v>
      </c>
      <c r="P89" s="390">
        <v>41.7</v>
      </c>
      <c r="Q89" s="386">
        <v>100</v>
      </c>
      <c r="R89" s="386">
        <v>3</v>
      </c>
      <c r="S89" t="s">
        <v>2491</v>
      </c>
      <c r="T89" t="s">
        <v>2491</v>
      </c>
      <c r="U89" s="90"/>
      <c r="V89" s="90"/>
      <c r="W89" s="90"/>
      <c r="X89" s="146"/>
      <c r="Y89" s="146"/>
      <c r="Z89" s="146"/>
      <c r="AA89" s="146"/>
      <c r="AB89" s="146"/>
    </row>
    <row r="90" spans="1:28">
      <c r="A90" s="389">
        <v>43661</v>
      </c>
      <c r="B90" s="97">
        <v>11</v>
      </c>
      <c r="C90" t="s">
        <v>2957</v>
      </c>
      <c r="D90" s="90"/>
      <c r="E90" s="90"/>
      <c r="F90" s="90"/>
      <c r="G90" s="90"/>
      <c r="H90">
        <v>0.61040000000000005</v>
      </c>
      <c r="I90" s="390"/>
      <c r="J90" s="386">
        <v>0.61040000000000005</v>
      </c>
      <c r="K90" s="392"/>
      <c r="L90" s="388"/>
      <c r="M90" s="90"/>
      <c r="N90" s="388"/>
      <c r="O90" s="390">
        <v>128</v>
      </c>
      <c r="P90" s="390">
        <v>41.7</v>
      </c>
      <c r="Q90" s="386">
        <v>100</v>
      </c>
      <c r="R90" s="386">
        <v>3</v>
      </c>
      <c r="S90" t="s">
        <v>2491</v>
      </c>
      <c r="T90" t="s">
        <v>2491</v>
      </c>
      <c r="U90" s="90"/>
      <c r="V90" s="90"/>
      <c r="W90" s="90"/>
    </row>
    <row r="91" spans="1:28">
      <c r="A91" s="430">
        <v>43661</v>
      </c>
      <c r="B91" s="432">
        <v>12</v>
      </c>
      <c r="C91" s="295" t="s">
        <v>2958</v>
      </c>
      <c r="D91" s="294">
        <v>1411.3</v>
      </c>
      <c r="E91" s="294"/>
      <c r="F91" s="294"/>
      <c r="G91" s="294"/>
      <c r="H91" s="295">
        <v>20.114000000000001</v>
      </c>
      <c r="I91" s="433">
        <v>0.83976666666666677</v>
      </c>
      <c r="J91" s="434">
        <v>19.274233333333335</v>
      </c>
      <c r="K91" s="435">
        <v>166.15550573724704</v>
      </c>
      <c r="L91" s="436">
        <v>11.7732236758483</v>
      </c>
      <c r="M91" s="437">
        <v>160.62931010269222</v>
      </c>
      <c r="N91" s="436">
        <v>11.381655927350119</v>
      </c>
      <c r="O91" s="438">
        <v>128</v>
      </c>
      <c r="P91" s="438">
        <v>41.7</v>
      </c>
      <c r="Q91" s="434">
        <v>100</v>
      </c>
      <c r="R91" s="434">
        <v>3</v>
      </c>
      <c r="S91" s="295" t="s">
        <v>2491</v>
      </c>
      <c r="T91" s="295" t="s">
        <v>2491</v>
      </c>
      <c r="U91" s="90">
        <f t="shared" si="12"/>
        <v>5.5261956345548242</v>
      </c>
      <c r="V91" s="90">
        <f t="shared" ref="V91:V106" si="16">(U91/100.09)*12.01</f>
        <v>0.66309930633433345</v>
      </c>
      <c r="W91" s="90">
        <f>(U91/K91)*100</f>
        <v>3.3259178563085183</v>
      </c>
    </row>
    <row r="92" spans="1:28">
      <c r="A92" s="430">
        <v>43661</v>
      </c>
      <c r="B92" s="432">
        <v>13</v>
      </c>
      <c r="C92" s="295" t="s">
        <v>2958</v>
      </c>
      <c r="D92" s="294">
        <v>2345</v>
      </c>
      <c r="E92" s="294"/>
      <c r="F92" s="294"/>
      <c r="G92" s="294"/>
      <c r="H92" s="295">
        <v>33.914299999999997</v>
      </c>
      <c r="I92" s="433">
        <v>0.83976666666666677</v>
      </c>
      <c r="J92" s="434">
        <v>33.074533333333328</v>
      </c>
      <c r="K92" s="435">
        <v>296.09686044725515</v>
      </c>
      <c r="L92" s="436">
        <v>12.626731788795528</v>
      </c>
      <c r="M92" s="437">
        <v>275.6394705523175</v>
      </c>
      <c r="N92" s="436">
        <v>11.754348424405864</v>
      </c>
      <c r="O92" s="438">
        <v>128</v>
      </c>
      <c r="P92" s="438">
        <v>41.7</v>
      </c>
      <c r="Q92" s="434">
        <v>100</v>
      </c>
      <c r="R92" s="434">
        <v>3</v>
      </c>
      <c r="S92" s="295" t="s">
        <v>2491</v>
      </c>
      <c r="T92" s="295" t="s">
        <v>2491</v>
      </c>
      <c r="U92" s="90">
        <f t="shared" si="12"/>
        <v>20.457389894937648</v>
      </c>
      <c r="V92" s="90">
        <f t="shared" si="16"/>
        <v>2.4547232754341208</v>
      </c>
      <c r="W92" s="90">
        <f t="shared" ref="W92" si="17">(U92/K92)*100</f>
        <v>6.9090195228806897</v>
      </c>
    </row>
    <row r="93" spans="1:28">
      <c r="A93" s="389">
        <v>43661</v>
      </c>
      <c r="B93" s="97">
        <v>14</v>
      </c>
      <c r="C93" t="s">
        <v>2959</v>
      </c>
      <c r="D93" s="90"/>
      <c r="E93" s="90"/>
      <c r="F93" s="90"/>
      <c r="G93" s="90"/>
      <c r="H93">
        <v>0.70189999999999997</v>
      </c>
      <c r="I93" s="391">
        <v>0.72199999999999998</v>
      </c>
      <c r="J93" s="386">
        <v>-2.0100000000000007E-2</v>
      </c>
      <c r="K93" s="392">
        <v>-2.735801887208301</v>
      </c>
      <c r="L93" s="393" t="e">
        <v>#DIV/0!</v>
      </c>
      <c r="M93" s="394">
        <v>-0.16751115736885935</v>
      </c>
      <c r="N93" s="436" t="e">
        <v>#DIV/0!</v>
      </c>
      <c r="O93" s="390">
        <v>128</v>
      </c>
      <c r="P93" s="390">
        <v>41.7</v>
      </c>
      <c r="Q93" s="386">
        <v>100</v>
      </c>
      <c r="R93" s="386">
        <v>3</v>
      </c>
      <c r="S93" t="s">
        <v>2491</v>
      </c>
      <c r="T93" t="s">
        <v>2491</v>
      </c>
      <c r="U93" s="90"/>
      <c r="V93" s="90"/>
      <c r="W93" s="90"/>
    </row>
    <row r="94" spans="1:28">
      <c r="A94" s="389">
        <v>43661</v>
      </c>
      <c r="B94" s="97">
        <v>15</v>
      </c>
      <c r="C94" t="s">
        <v>3012</v>
      </c>
      <c r="D94" s="90">
        <v>2446.1</v>
      </c>
      <c r="E94" s="90">
        <v>2446.1</v>
      </c>
      <c r="F94" s="90"/>
      <c r="G94" s="90"/>
      <c r="H94">
        <v>222.04490000000001</v>
      </c>
      <c r="I94" s="391">
        <v>0.72199999999999998</v>
      </c>
      <c r="J94" s="386">
        <v>221.3229</v>
      </c>
      <c r="K94" s="392">
        <v>1995.9120547873529</v>
      </c>
      <c r="L94" s="393">
        <v>81.595685163621795</v>
      </c>
      <c r="M94" s="394">
        <v>1844.480354787677</v>
      </c>
      <c r="N94" s="436">
        <v>75.404944801425827</v>
      </c>
      <c r="O94" s="390">
        <v>128</v>
      </c>
      <c r="P94" s="390">
        <v>41.7</v>
      </c>
      <c r="Q94" s="386">
        <v>100</v>
      </c>
      <c r="R94" s="386">
        <v>3</v>
      </c>
      <c r="S94" t="s">
        <v>2491</v>
      </c>
      <c r="T94" t="s">
        <v>2491</v>
      </c>
      <c r="U94" s="90">
        <f t="shared" si="12"/>
        <v>151.43169999967586</v>
      </c>
      <c r="V94" s="90">
        <f t="shared" si="16"/>
        <v>18.170593635688949</v>
      </c>
      <c r="W94" s="90">
        <f>(U94/K94)*100</f>
        <v>7.587092809848758</v>
      </c>
    </row>
    <row r="95" spans="1:28">
      <c r="A95" s="389">
        <v>43661</v>
      </c>
      <c r="B95" s="97">
        <v>16</v>
      </c>
      <c r="C95" t="s">
        <v>3013</v>
      </c>
      <c r="D95" s="90">
        <v>2276.6</v>
      </c>
      <c r="E95" s="90">
        <v>2276.6</v>
      </c>
      <c r="F95" s="90"/>
      <c r="G95" s="90"/>
      <c r="H95">
        <v>191.17949999999999</v>
      </c>
      <c r="I95" s="391">
        <v>0.72199999999999998</v>
      </c>
      <c r="J95" s="386">
        <v>190.45749999999998</v>
      </c>
      <c r="K95" s="392">
        <v>1717.2085694482951</v>
      </c>
      <c r="L95" s="393">
        <v>75.42864664184728</v>
      </c>
      <c r="M95" s="394">
        <v>1587.2515549542047</v>
      </c>
      <c r="N95" s="436">
        <v>69.72026508627799</v>
      </c>
      <c r="O95" s="390">
        <v>128</v>
      </c>
      <c r="P95" s="390">
        <v>41.7</v>
      </c>
      <c r="Q95" s="386">
        <v>100</v>
      </c>
      <c r="R95" s="386">
        <v>3</v>
      </c>
      <c r="S95" t="s">
        <v>2491</v>
      </c>
      <c r="T95" t="s">
        <v>2491</v>
      </c>
      <c r="U95" s="90">
        <f t="shared" si="12"/>
        <v>129.95701449409034</v>
      </c>
      <c r="V95" s="90">
        <f t="shared" si="16"/>
        <v>15.593803018024028</v>
      </c>
      <c r="W95" s="90">
        <f t="shared" ref="W95:W98" si="18">(U95/K95)*100</f>
        <v>7.56792254628935</v>
      </c>
    </row>
    <row r="96" spans="1:28">
      <c r="A96" s="439">
        <v>43661</v>
      </c>
      <c r="B96" s="440">
        <v>17</v>
      </c>
      <c r="C96" s="146" t="s">
        <v>3014</v>
      </c>
      <c r="D96" s="395">
        <v>2469.6</v>
      </c>
      <c r="E96" s="90">
        <v>2469.6</v>
      </c>
      <c r="F96" s="395"/>
      <c r="G96" s="395"/>
      <c r="H96">
        <v>199.9126</v>
      </c>
      <c r="I96" s="391">
        <v>0.72199999999999998</v>
      </c>
      <c r="J96" s="386">
        <v>199.19059999999999</v>
      </c>
      <c r="K96" s="441">
        <v>1796.0653284021569</v>
      </c>
      <c r="L96" s="442">
        <v>72.726973129339044</v>
      </c>
      <c r="M96" s="443">
        <v>1660.0322359700249</v>
      </c>
      <c r="N96" s="436">
        <v>67.218668447117949</v>
      </c>
      <c r="O96" s="444">
        <v>128</v>
      </c>
      <c r="P96" s="444">
        <v>41.7</v>
      </c>
      <c r="Q96" s="445">
        <v>100</v>
      </c>
      <c r="R96" s="445">
        <v>3</v>
      </c>
      <c r="S96" s="146" t="s">
        <v>2491</v>
      </c>
      <c r="T96" s="146" t="s">
        <v>2491</v>
      </c>
      <c r="U96" s="90">
        <f t="shared" si="12"/>
        <v>136.03309243213198</v>
      </c>
      <c r="V96" s="90">
        <f t="shared" si="16"/>
        <v>16.322883805673946</v>
      </c>
      <c r="W96" s="90">
        <f t="shared" si="18"/>
        <v>7.5739501387264028</v>
      </c>
    </row>
    <row r="97" spans="1:39">
      <c r="A97" s="389">
        <v>43661</v>
      </c>
      <c r="B97" s="97">
        <v>18</v>
      </c>
      <c r="C97" t="s">
        <v>3015</v>
      </c>
      <c r="D97" s="90">
        <v>2119.4</v>
      </c>
      <c r="E97" s="90">
        <v>2119.4</v>
      </c>
      <c r="F97" s="90"/>
      <c r="G97" s="90"/>
      <c r="H97">
        <v>180.47030000000001</v>
      </c>
      <c r="I97" s="391">
        <v>0.72199999999999998</v>
      </c>
      <c r="J97" s="386">
        <v>179.7483</v>
      </c>
      <c r="K97" s="441">
        <v>1620.5083366571105</v>
      </c>
      <c r="L97" s="442">
        <v>76.460712308064089</v>
      </c>
      <c r="M97" s="443">
        <v>1498.0022770191506</v>
      </c>
      <c r="N97" s="436">
        <v>70.680488676943966</v>
      </c>
      <c r="O97" s="444">
        <v>128</v>
      </c>
      <c r="P97" s="444">
        <v>41.7</v>
      </c>
      <c r="Q97" s="445">
        <v>100</v>
      </c>
      <c r="R97" s="445">
        <v>3</v>
      </c>
      <c r="S97" s="146" t="s">
        <v>2491</v>
      </c>
      <c r="T97" s="146" t="s">
        <v>2491</v>
      </c>
      <c r="U97" s="90">
        <f t="shared" si="12"/>
        <v>122.50605963795988</v>
      </c>
      <c r="V97" s="90">
        <f t="shared" si="16"/>
        <v>14.699747989328586</v>
      </c>
      <c r="W97" s="90">
        <f>(U97/K97)*100</f>
        <v>7.559730293685087</v>
      </c>
      <c r="X97" s="80"/>
    </row>
    <row r="98" spans="1:39">
      <c r="A98" s="399">
        <v>43661</v>
      </c>
      <c r="B98" s="400">
        <v>19</v>
      </c>
      <c r="C98" s="200" t="s">
        <v>3016</v>
      </c>
      <c r="D98" s="401">
        <v>2338.4</v>
      </c>
      <c r="E98" s="401">
        <v>2338.4</v>
      </c>
      <c r="F98" s="401"/>
      <c r="G98" s="401"/>
      <c r="H98">
        <v>171.16820000000001</v>
      </c>
      <c r="I98" s="391">
        <v>0.72199999999999998</v>
      </c>
      <c r="J98" s="386">
        <v>170.4462</v>
      </c>
      <c r="K98" s="404">
        <v>1536.5137119001838</v>
      </c>
      <c r="L98" s="405">
        <v>65.707907624879567</v>
      </c>
      <c r="M98" s="406">
        <v>1420.4796134887595</v>
      </c>
      <c r="N98" s="436">
        <v>60.745792571363303</v>
      </c>
      <c r="O98" s="444">
        <v>128</v>
      </c>
      <c r="P98" s="444">
        <v>41.7</v>
      </c>
      <c r="Q98" s="445">
        <v>100</v>
      </c>
      <c r="R98" s="445">
        <v>3</v>
      </c>
      <c r="S98" s="146" t="s">
        <v>2491</v>
      </c>
      <c r="T98" s="146" t="s">
        <v>2491</v>
      </c>
      <c r="U98" s="90">
        <f t="shared" si="12"/>
        <v>116.03409841142434</v>
      </c>
      <c r="V98" s="90">
        <f t="shared" si="16"/>
        <v>13.923164371277911</v>
      </c>
      <c r="W98" s="90">
        <f t="shared" si="18"/>
        <v>7.5517776061969979</v>
      </c>
    </row>
    <row r="99" spans="1:39">
      <c r="A99" s="389">
        <v>43661</v>
      </c>
      <c r="B99" s="97">
        <v>20</v>
      </c>
      <c r="C99" t="s">
        <v>2965</v>
      </c>
      <c r="D99" s="90"/>
      <c r="E99" s="90"/>
      <c r="F99" s="90"/>
      <c r="G99" s="90"/>
      <c r="H99">
        <v>0.69399999999999995</v>
      </c>
      <c r="I99" s="391">
        <v>0.72199999999999998</v>
      </c>
      <c r="J99" s="386">
        <v>-2.8000000000000025E-2</v>
      </c>
      <c r="K99" s="441">
        <v>-2.8071360521366207</v>
      </c>
      <c r="L99" s="442" t="e">
        <v>#DIV/0!</v>
      </c>
      <c r="M99" s="443">
        <v>-0.23334887593671963</v>
      </c>
      <c r="N99" s="436" t="e">
        <v>#DIV/0!</v>
      </c>
      <c r="O99" s="444">
        <v>128</v>
      </c>
      <c r="P99" s="444">
        <v>41.7</v>
      </c>
      <c r="Q99" s="445">
        <v>100</v>
      </c>
      <c r="R99" s="445">
        <v>3</v>
      </c>
      <c r="S99" s="146" t="s">
        <v>2491</v>
      </c>
      <c r="T99" s="146" t="s">
        <v>2491</v>
      </c>
      <c r="U99" s="90"/>
      <c r="V99" s="90"/>
      <c r="W99" s="90"/>
    </row>
    <row r="100" spans="1:39">
      <c r="A100" s="389">
        <v>43661</v>
      </c>
      <c r="B100" s="97">
        <v>21</v>
      </c>
      <c r="C100" t="s">
        <v>3017</v>
      </c>
      <c r="D100" s="90">
        <v>2582.8000000000002</v>
      </c>
      <c r="E100" s="90">
        <v>2582.8000000000002</v>
      </c>
      <c r="F100" s="90"/>
      <c r="G100" s="90"/>
      <c r="H100">
        <v>189.0889</v>
      </c>
      <c r="I100" s="391">
        <v>0.72199999999999998</v>
      </c>
      <c r="J100" s="386">
        <v>188.36689999999999</v>
      </c>
      <c r="K100" s="441">
        <v>1698.331201701568</v>
      </c>
      <c r="L100" s="442">
        <v>65.755428283319191</v>
      </c>
      <c r="M100" s="443">
        <v>1569.8287278101582</v>
      </c>
      <c r="N100" s="436">
        <v>60.780111809282872</v>
      </c>
      <c r="O100" s="444">
        <v>128</v>
      </c>
      <c r="P100" s="444">
        <v>41.7</v>
      </c>
      <c r="Q100" s="445">
        <v>100</v>
      </c>
      <c r="R100" s="445">
        <v>3</v>
      </c>
      <c r="S100" s="146" t="s">
        <v>2491</v>
      </c>
      <c r="T100" s="146" t="s">
        <v>2491</v>
      </c>
      <c r="U100" s="90">
        <f t="shared" si="12"/>
        <v>128.50247389140986</v>
      </c>
      <c r="V100" s="90">
        <f t="shared" si="16"/>
        <v>15.419269771563917</v>
      </c>
      <c r="W100" s="90">
        <f t="shared" ref="W100:W104" si="19">(U100/K100)*100</f>
        <v>7.5663965758070315</v>
      </c>
    </row>
    <row r="101" spans="1:39">
      <c r="A101" s="399">
        <v>43661</v>
      </c>
      <c r="B101" s="400">
        <v>22</v>
      </c>
      <c r="C101" s="200" t="s">
        <v>3018</v>
      </c>
      <c r="D101" s="401">
        <v>2672.8</v>
      </c>
      <c r="E101" s="401">
        <v>2672.8</v>
      </c>
      <c r="F101" s="401"/>
      <c r="G101" s="401"/>
      <c r="H101">
        <v>197.6816</v>
      </c>
      <c r="I101" s="391">
        <v>0.72199999999999998</v>
      </c>
      <c r="J101" s="386">
        <v>196.95959999999999</v>
      </c>
      <c r="K101" s="404">
        <v>1775.9201990407544</v>
      </c>
      <c r="L101" s="405">
        <v>66.444185836604092</v>
      </c>
      <c r="M101" s="406">
        <v>1641.4393308909243</v>
      </c>
      <c r="N101" s="436">
        <v>61.412725639438946</v>
      </c>
      <c r="O101" s="444">
        <v>128</v>
      </c>
      <c r="P101" s="444">
        <v>41.7</v>
      </c>
      <c r="Q101" s="445">
        <v>100</v>
      </c>
      <c r="R101" s="445">
        <v>3</v>
      </c>
      <c r="S101" s="146" t="s">
        <v>2491</v>
      </c>
      <c r="T101" s="146" t="s">
        <v>2491</v>
      </c>
      <c r="U101" s="90">
        <f t="shared" si="12"/>
        <v>134.48086814983003</v>
      </c>
      <c r="V101" s="90">
        <f t="shared" si="16"/>
        <v>16.136629298426001</v>
      </c>
      <c r="W101" s="90">
        <f t="shared" si="19"/>
        <v>7.572461207573884</v>
      </c>
    </row>
    <row r="102" spans="1:39">
      <c r="A102" s="389">
        <v>43661</v>
      </c>
      <c r="B102" s="97">
        <v>23</v>
      </c>
      <c r="C102" t="s">
        <v>3019</v>
      </c>
      <c r="D102" s="90">
        <v>2276.4</v>
      </c>
      <c r="E102" s="90">
        <v>2276.4</v>
      </c>
      <c r="F102" s="90"/>
      <c r="G102" s="90"/>
      <c r="H102">
        <v>175.4973</v>
      </c>
      <c r="I102" s="391">
        <v>0.72199999999999998</v>
      </c>
      <c r="J102" s="386">
        <v>174.77529999999999</v>
      </c>
      <c r="K102" s="441">
        <v>1575.6039313167898</v>
      </c>
      <c r="L102" s="442">
        <v>69.214721987207426</v>
      </c>
      <c r="M102" s="443">
        <v>1456.557849875104</v>
      </c>
      <c r="N102" s="436">
        <v>63.985145399538922</v>
      </c>
      <c r="O102" s="444">
        <v>128</v>
      </c>
      <c r="P102" s="444">
        <v>41.7</v>
      </c>
      <c r="Q102" s="445">
        <v>100</v>
      </c>
      <c r="R102" s="445">
        <v>3</v>
      </c>
      <c r="S102" s="146" t="s">
        <v>2491</v>
      </c>
      <c r="T102" s="146" t="s">
        <v>2491</v>
      </c>
      <c r="U102" s="90">
        <f t="shared" si="12"/>
        <v>119.04608144168583</v>
      </c>
      <c r="V102" s="90">
        <f t="shared" si="16"/>
        <v>14.284578260711825</v>
      </c>
      <c r="W102" s="90">
        <f t="shared" si="19"/>
        <v>7.5555841842939966</v>
      </c>
    </row>
    <row r="103" spans="1:39">
      <c r="A103" s="389">
        <v>43661</v>
      </c>
      <c r="B103" s="97">
        <v>24</v>
      </c>
      <c r="C103" t="s">
        <v>3020</v>
      </c>
      <c r="D103" s="90">
        <v>2166.9</v>
      </c>
      <c r="E103" s="90">
        <v>2166.9</v>
      </c>
      <c r="F103" s="90"/>
      <c r="G103" s="90"/>
      <c r="H103">
        <v>170.79249999999999</v>
      </c>
      <c r="I103" s="391">
        <v>0.72199999999999998</v>
      </c>
      <c r="J103" s="386">
        <v>170.07049999999998</v>
      </c>
      <c r="K103" s="392">
        <v>1533.1212757275798</v>
      </c>
      <c r="L103" s="393">
        <v>70.751824067911755</v>
      </c>
      <c r="M103" s="394">
        <v>1417.3485716069943</v>
      </c>
      <c r="N103" s="436">
        <v>65.409043869444574</v>
      </c>
      <c r="O103" s="390">
        <v>128</v>
      </c>
      <c r="P103" s="390">
        <v>41.7</v>
      </c>
      <c r="Q103" s="386">
        <v>100</v>
      </c>
      <c r="R103" s="386">
        <v>3</v>
      </c>
      <c r="S103" t="s">
        <v>2491</v>
      </c>
      <c r="T103" t="s">
        <v>2491</v>
      </c>
      <c r="U103" s="90">
        <f t="shared" si="12"/>
        <v>115.77270412058556</v>
      </c>
      <c r="V103" s="90">
        <f t="shared" si="16"/>
        <v>13.891799145651239</v>
      </c>
      <c r="W103" s="90">
        <f t="shared" si="19"/>
        <v>7.5514380990925085</v>
      </c>
      <c r="AC103" s="146"/>
      <c r="AD103" s="146"/>
      <c r="AE103" s="146"/>
      <c r="AF103" s="146"/>
      <c r="AG103" s="146"/>
      <c r="AH103" s="146"/>
      <c r="AI103" s="146"/>
      <c r="AJ103" s="146"/>
      <c r="AK103" s="146"/>
      <c r="AL103" s="146"/>
      <c r="AM103" s="146"/>
    </row>
    <row r="104" spans="1:39">
      <c r="A104" s="389">
        <v>43661</v>
      </c>
      <c r="B104" s="97">
        <v>25</v>
      </c>
      <c r="C104" t="s">
        <v>3021</v>
      </c>
      <c r="D104" s="90">
        <v>2162.1999999999998</v>
      </c>
      <c r="E104" s="90">
        <v>2162.1999999999998</v>
      </c>
      <c r="F104" s="90"/>
      <c r="G104" s="90"/>
      <c r="H104">
        <v>186.08330000000001</v>
      </c>
      <c r="I104" s="391">
        <v>0.72199999999999998</v>
      </c>
      <c r="J104" s="386">
        <v>185.3613</v>
      </c>
      <c r="K104" s="392">
        <v>1671.1917123207381</v>
      </c>
      <c r="L104" s="393">
        <v>77.291264097712428</v>
      </c>
      <c r="M104" s="394">
        <v>1544.7803927560369</v>
      </c>
      <c r="N104" s="436">
        <v>71.444842880216314</v>
      </c>
      <c r="O104" s="390">
        <v>128</v>
      </c>
      <c r="P104" s="390">
        <v>41.7</v>
      </c>
      <c r="Q104" s="386">
        <v>100</v>
      </c>
      <c r="R104" s="386">
        <v>3</v>
      </c>
      <c r="S104" t="s">
        <v>2491</v>
      </c>
      <c r="T104" t="s">
        <v>2491</v>
      </c>
      <c r="U104" s="90">
        <f t="shared" si="12"/>
        <v>126.41131956470122</v>
      </c>
      <c r="V104" s="90">
        <f t="shared" si="16"/>
        <v>15.168347966550721</v>
      </c>
      <c r="W104" s="90">
        <f t="shared" si="19"/>
        <v>7.56414232028217</v>
      </c>
      <c r="AC104" s="146"/>
      <c r="AD104" s="146"/>
      <c r="AE104" s="146"/>
      <c r="AF104" s="146"/>
      <c r="AG104" s="146"/>
      <c r="AH104" s="146"/>
      <c r="AI104" s="146"/>
      <c r="AJ104" s="146"/>
      <c r="AK104" s="146"/>
      <c r="AL104" s="146"/>
      <c r="AM104" s="146"/>
    </row>
    <row r="105" spans="1:39">
      <c r="A105" s="389">
        <v>43661</v>
      </c>
      <c r="B105" s="97">
        <v>26</v>
      </c>
      <c r="C105" t="s">
        <v>2971</v>
      </c>
      <c r="D105" s="90"/>
      <c r="E105" s="90"/>
      <c r="F105" s="90"/>
      <c r="G105" s="90"/>
      <c r="H105">
        <v>0.80210000000000004</v>
      </c>
      <c r="I105" s="391">
        <v>0.72199999999999998</v>
      </c>
      <c r="J105" s="386">
        <v>8.010000000000006E-2</v>
      </c>
      <c r="K105" s="392">
        <v>-1.8310318459655639</v>
      </c>
      <c r="L105" s="393" t="e">
        <v>#DIV/0!</v>
      </c>
      <c r="M105" s="394">
        <v>0.66754446294754421</v>
      </c>
      <c r="N105" s="436" t="e">
        <v>#DIV/0!</v>
      </c>
      <c r="O105" s="390">
        <v>128</v>
      </c>
      <c r="P105" s="390">
        <v>41.7</v>
      </c>
      <c r="Q105" s="386">
        <v>100</v>
      </c>
      <c r="R105" s="386">
        <v>3</v>
      </c>
      <c r="S105" t="s">
        <v>2491</v>
      </c>
      <c r="T105" t="s">
        <v>2491</v>
      </c>
      <c r="U105" s="90"/>
      <c r="V105" s="90"/>
      <c r="W105" s="90"/>
    </row>
    <row r="106" spans="1:39">
      <c r="A106" s="389">
        <v>43661</v>
      </c>
      <c r="B106" s="97">
        <v>27</v>
      </c>
      <c r="C106" s="146" t="s">
        <v>3060</v>
      </c>
      <c r="D106" s="90">
        <v>2172.9</v>
      </c>
      <c r="E106" s="90"/>
      <c r="F106" s="90"/>
      <c r="G106" s="90">
        <v>2172.46542</v>
      </c>
      <c r="H106">
        <v>258.38010000000003</v>
      </c>
      <c r="I106" s="391">
        <v>0.72199999999999998</v>
      </c>
      <c r="J106" s="386">
        <v>257.65810000000005</v>
      </c>
      <c r="K106" s="392">
        <v>2324.005871180198</v>
      </c>
      <c r="L106" s="393">
        <v>106.97550579102879</v>
      </c>
      <c r="M106" s="394">
        <v>2147.2938575353878</v>
      </c>
      <c r="N106" s="436">
        <v>98.821568297454448</v>
      </c>
      <c r="O106" s="390">
        <v>128</v>
      </c>
      <c r="P106" s="390">
        <v>41.7</v>
      </c>
      <c r="Q106" s="386">
        <v>100</v>
      </c>
      <c r="R106" s="386">
        <v>3</v>
      </c>
      <c r="S106" t="s">
        <v>2491</v>
      </c>
      <c r="T106" t="s">
        <v>2491</v>
      </c>
      <c r="U106" s="90">
        <f t="shared" si="12"/>
        <v>176.71201364481021</v>
      </c>
      <c r="V106" s="90">
        <f t="shared" si="16"/>
        <v>21.2040292124505</v>
      </c>
      <c r="W106" s="90">
        <f>(U106/K106)*100</f>
        <v>7.6037679524049873</v>
      </c>
    </row>
    <row r="107" spans="1:39">
      <c r="A107" s="389">
        <v>43661</v>
      </c>
      <c r="B107" s="97">
        <v>28</v>
      </c>
      <c r="C107" t="s">
        <v>2973</v>
      </c>
      <c r="D107" s="90"/>
      <c r="E107" s="90"/>
      <c r="F107" s="90"/>
      <c r="G107" s="90"/>
      <c r="H107">
        <v>0.69</v>
      </c>
      <c r="I107" s="391">
        <v>0.72199999999999998</v>
      </c>
      <c r="J107" s="386">
        <v>-3.2000000000000028E-2</v>
      </c>
      <c r="K107" s="392">
        <v>-2.8432546166572887</v>
      </c>
      <c r="L107" s="393" t="e">
        <v>#DIV/0!</v>
      </c>
      <c r="M107" s="394">
        <v>-0.26668442964196531</v>
      </c>
      <c r="N107" s="436" t="e">
        <v>#DIV/0!</v>
      </c>
      <c r="O107" s="390">
        <v>128</v>
      </c>
      <c r="P107" s="390">
        <v>41.7</v>
      </c>
      <c r="Q107" s="386">
        <v>100</v>
      </c>
      <c r="R107" s="386">
        <v>3</v>
      </c>
      <c r="S107" t="s">
        <v>2491</v>
      </c>
      <c r="T107" t="s">
        <v>2491</v>
      </c>
      <c r="U107" s="90"/>
      <c r="V107" s="90"/>
      <c r="W107" s="90"/>
    </row>
    <row r="108" spans="1:39">
      <c r="A108" s="389"/>
      <c r="B108" s="446" t="s">
        <v>2974</v>
      </c>
      <c r="D108" s="90"/>
      <c r="E108" s="90"/>
      <c r="F108" s="90"/>
      <c r="G108" s="90"/>
      <c r="H108" s="385"/>
      <c r="I108" s="386"/>
      <c r="J108" s="386"/>
      <c r="K108" s="392"/>
      <c r="L108" s="393"/>
      <c r="M108" s="394"/>
      <c r="N108" s="393"/>
      <c r="O108" s="390"/>
      <c r="P108" s="390"/>
      <c r="Q108" s="386"/>
      <c r="R108" s="386"/>
      <c r="U108" s="90"/>
      <c r="V108" s="90"/>
      <c r="W108" s="90"/>
    </row>
    <row r="109" spans="1:39">
      <c r="A109" s="389"/>
      <c r="B109" s="97"/>
      <c r="D109" s="90"/>
      <c r="E109" s="90"/>
      <c r="F109" s="350"/>
      <c r="G109" s="350"/>
      <c r="H109" s="397" t="s">
        <v>2975</v>
      </c>
      <c r="I109" s="398"/>
      <c r="J109" s="386"/>
      <c r="K109" s="387"/>
      <c r="L109" s="388"/>
      <c r="M109" s="90"/>
      <c r="N109" s="388"/>
      <c r="O109" s="386"/>
      <c r="P109" s="386"/>
      <c r="Q109" s="386"/>
      <c r="R109" s="386"/>
      <c r="U109" s="90"/>
      <c r="V109" s="90"/>
      <c r="W109" s="90"/>
    </row>
    <row r="110" spans="1:39">
      <c r="A110" s="389"/>
      <c r="B110" s="97"/>
      <c r="D110" s="90"/>
      <c r="E110" s="90"/>
      <c r="F110" s="350" t="s">
        <v>3016</v>
      </c>
      <c r="G110" s="350"/>
      <c r="H110" s="397">
        <v>-1.1142891382785642</v>
      </c>
      <c r="I110" s="398"/>
      <c r="J110" s="386"/>
      <c r="K110" s="387"/>
      <c r="L110" s="388"/>
      <c r="M110" s="90"/>
      <c r="N110" s="388"/>
      <c r="O110" s="386"/>
      <c r="P110" s="386"/>
      <c r="Q110" s="386"/>
      <c r="R110" s="386"/>
      <c r="U110" s="90"/>
      <c r="V110" s="90"/>
      <c r="W110" s="90"/>
    </row>
    <row r="111" spans="1:39">
      <c r="A111" s="389"/>
      <c r="B111" s="97"/>
      <c r="D111" s="90"/>
      <c r="E111" s="90"/>
      <c r="F111" s="350" t="s">
        <v>3018</v>
      </c>
      <c r="G111" s="350"/>
      <c r="H111" s="397"/>
      <c r="I111" s="398"/>
      <c r="J111" s="386"/>
      <c r="K111" s="387"/>
      <c r="L111" s="388"/>
      <c r="M111" s="90"/>
      <c r="N111" s="388"/>
      <c r="O111" s="386"/>
      <c r="P111" s="386"/>
      <c r="Q111" s="386"/>
      <c r="R111" s="386"/>
      <c r="U111" s="90"/>
      <c r="V111" s="90"/>
      <c r="W111" s="90"/>
    </row>
    <row r="112" spans="1:39">
      <c r="U112" s="90"/>
      <c r="V112" s="90"/>
      <c r="W112" s="90"/>
    </row>
    <row r="113" spans="1:27">
      <c r="U113" s="90"/>
      <c r="V113" s="90"/>
      <c r="W113" s="90"/>
    </row>
    <row r="114" spans="1:27">
      <c r="A114" s="384" t="s">
        <v>2945</v>
      </c>
      <c r="B114" s="97"/>
      <c r="C114" s="431" t="s">
        <v>3010</v>
      </c>
      <c r="D114" s="401"/>
      <c r="E114" s="401"/>
      <c r="F114" s="401"/>
      <c r="G114" s="401"/>
      <c r="H114" s="385"/>
      <c r="I114" s="386"/>
      <c r="J114" s="386"/>
      <c r="K114" s="387"/>
      <c r="L114" s="388"/>
      <c r="M114" s="90"/>
      <c r="N114" s="388"/>
      <c r="O114" s="386"/>
      <c r="P114" s="386"/>
      <c r="Q114" s="386"/>
      <c r="R114" s="386"/>
      <c r="U114" s="90"/>
      <c r="V114" s="90"/>
      <c r="W114" s="90"/>
    </row>
    <row r="115" spans="1:27">
      <c r="A115" s="389"/>
      <c r="B115" s="97"/>
      <c r="C115" s="345" t="s">
        <v>3011</v>
      </c>
      <c r="D115" s="90"/>
      <c r="E115" s="90"/>
      <c r="F115" s="90"/>
      <c r="G115" s="90"/>
      <c r="H115" s="385"/>
      <c r="I115" s="386"/>
      <c r="J115" s="386"/>
      <c r="K115" s="387"/>
      <c r="L115" s="388"/>
      <c r="M115" s="90"/>
      <c r="N115" s="388"/>
      <c r="O115" s="386"/>
      <c r="P115" s="386"/>
      <c r="Q115" s="386"/>
      <c r="R115" s="386"/>
      <c r="U115" s="90"/>
      <c r="V115" s="90"/>
      <c r="W115" s="90"/>
    </row>
    <row r="116" spans="1:27">
      <c r="A116" s="389">
        <v>43662</v>
      </c>
      <c r="B116" s="97">
        <v>1</v>
      </c>
      <c r="C116" t="s">
        <v>2947</v>
      </c>
      <c r="D116" s="90"/>
      <c r="E116" s="90"/>
      <c r="F116" s="90"/>
      <c r="G116" s="90"/>
      <c r="H116">
        <v>1.5810999999999999</v>
      </c>
      <c r="I116" s="386"/>
      <c r="J116" s="386"/>
      <c r="K116" s="387"/>
      <c r="L116" s="388"/>
      <c r="M116" s="90"/>
      <c r="N116" s="388"/>
      <c r="O116" s="390">
        <v>128</v>
      </c>
      <c r="P116" s="390">
        <v>41.7</v>
      </c>
      <c r="Q116" s="386">
        <v>100</v>
      </c>
      <c r="R116" s="386">
        <v>3</v>
      </c>
      <c r="S116" t="s">
        <v>2491</v>
      </c>
      <c r="T116" t="s">
        <v>2491</v>
      </c>
      <c r="U116" s="90"/>
      <c r="V116" s="90"/>
      <c r="W116" s="90"/>
      <c r="X116" s="429">
        <f>A116</f>
        <v>43662</v>
      </c>
    </row>
    <row r="117" spans="1:27">
      <c r="A117" s="389">
        <v>43662</v>
      </c>
      <c r="B117" s="97">
        <v>2</v>
      </c>
      <c r="C117" t="s">
        <v>2948</v>
      </c>
      <c r="D117" s="90"/>
      <c r="E117" s="90"/>
      <c r="F117" s="90"/>
      <c r="G117" s="90"/>
      <c r="H117">
        <v>1.8508</v>
      </c>
      <c r="I117" s="386"/>
      <c r="J117" s="386"/>
      <c r="K117" s="387"/>
      <c r="L117" s="388"/>
      <c r="M117" s="90"/>
      <c r="N117" s="388"/>
      <c r="O117" s="390">
        <v>128</v>
      </c>
      <c r="P117" s="390">
        <v>41.7</v>
      </c>
      <c r="Q117" s="386">
        <v>100</v>
      </c>
      <c r="R117" s="386">
        <v>3</v>
      </c>
      <c r="S117" t="s">
        <v>2491</v>
      </c>
      <c r="T117" t="s">
        <v>2491</v>
      </c>
      <c r="U117" s="90"/>
      <c r="V117" s="90"/>
      <c r="W117" s="90"/>
      <c r="X117" s="90">
        <f>((J118-INDEX(LINEST($J$118:$J$123,$G$118:$G$123),2))/INDEX(LINEST($J$118:$J$123,$G$118:$G$123),1)/100.09)*12.01</f>
        <v>0.42003164644911223</v>
      </c>
      <c r="Y117" s="90">
        <f>(J118-X117)^2</f>
        <v>0.19612939031770585</v>
      </c>
    </row>
    <row r="118" spans="1:27">
      <c r="A118" s="389">
        <v>43662</v>
      </c>
      <c r="B118" s="97">
        <v>3</v>
      </c>
      <c r="C118" t="s">
        <v>2949</v>
      </c>
      <c r="D118" s="90"/>
      <c r="E118" s="90"/>
      <c r="F118" s="90"/>
      <c r="G118" s="90">
        <v>0</v>
      </c>
      <c r="H118">
        <v>1.6817</v>
      </c>
      <c r="I118" s="386">
        <v>1.7045333333333332</v>
      </c>
      <c r="J118" s="386">
        <v>-2.2833333333333261E-2</v>
      </c>
      <c r="K118" s="387"/>
      <c r="L118" s="388"/>
      <c r="M118" s="90"/>
      <c r="N118" s="388"/>
      <c r="O118" s="390">
        <v>128</v>
      </c>
      <c r="P118" s="390">
        <v>41.7</v>
      </c>
      <c r="Q118" s="386">
        <v>100</v>
      </c>
      <c r="R118" s="386">
        <v>3</v>
      </c>
      <c r="S118" t="s">
        <v>2491</v>
      </c>
      <c r="T118" t="s">
        <v>2491</v>
      </c>
      <c r="U118" s="90"/>
      <c r="V118" s="90"/>
      <c r="W118" s="90"/>
      <c r="X118" s="90">
        <f t="shared" ref="X118:X122" si="20">((J119-INDEX(LINEST($J$118:$J$123,$G$118:$G$123),2))/INDEX(LINEST($J$118:$J$123,$G$118:$G$123),1)/100.09)*12.01</f>
        <v>28.017409679927301</v>
      </c>
      <c r="Y118" s="90">
        <f t="shared" ref="Y118:Y122" si="21">(J119-X118)^2</f>
        <v>0.46942094861986311</v>
      </c>
    </row>
    <row r="119" spans="1:27">
      <c r="A119" s="389">
        <v>43662</v>
      </c>
      <c r="B119" s="97">
        <v>4</v>
      </c>
      <c r="C119" s="146" t="s">
        <v>3037</v>
      </c>
      <c r="D119" s="90">
        <v>228.5</v>
      </c>
      <c r="E119" s="90"/>
      <c r="F119" s="90"/>
      <c r="G119" s="90">
        <v>228.45430000000002</v>
      </c>
      <c r="H119">
        <v>29.036799999999999</v>
      </c>
      <c r="I119" s="391">
        <v>1.7045333333333332</v>
      </c>
      <c r="J119" s="386">
        <v>27.332266666666666</v>
      </c>
      <c r="K119" s="392">
        <v>233.49396626677131</v>
      </c>
      <c r="L119" s="393">
        <v>102.20598442085411</v>
      </c>
      <c r="M119" s="394">
        <v>227.78406083819041</v>
      </c>
      <c r="N119" s="393">
        <v>99.706620027808796</v>
      </c>
      <c r="O119" s="390">
        <v>128</v>
      </c>
      <c r="P119" s="390">
        <v>41.7</v>
      </c>
      <c r="Q119" s="386">
        <v>100</v>
      </c>
      <c r="R119" s="386">
        <v>3</v>
      </c>
      <c r="S119" t="s">
        <v>2491</v>
      </c>
      <c r="T119" t="s">
        <v>2491</v>
      </c>
      <c r="U119" s="90">
        <f t="shared" si="12"/>
        <v>5.7099054285808961</v>
      </c>
      <c r="V119" s="90">
        <f t="shared" ref="V119:V123" si="22">(U119/100.09)*12.01</f>
        <v>0.68514301326063098</v>
      </c>
      <c r="W119" s="90">
        <f>(U119/K119)*100</f>
        <v>2.4454188345309191</v>
      </c>
      <c r="X119" s="90">
        <f t="shared" si="20"/>
        <v>127.01420488285977</v>
      </c>
      <c r="Y119" s="90">
        <f t="shared" si="21"/>
        <v>2.4156564326751058</v>
      </c>
    </row>
    <row r="120" spans="1:27">
      <c r="A120" s="389">
        <v>43662</v>
      </c>
      <c r="B120" s="97">
        <v>5</v>
      </c>
      <c r="C120" s="146" t="s">
        <v>3038</v>
      </c>
      <c r="D120" s="90">
        <v>1071.0999999999999</v>
      </c>
      <c r="E120" s="90"/>
      <c r="F120" s="90"/>
      <c r="G120" s="90">
        <v>1070.8857799999998</v>
      </c>
      <c r="H120">
        <v>127.1645</v>
      </c>
      <c r="I120" s="391">
        <v>1.7045333333333332</v>
      </c>
      <c r="J120" s="386">
        <v>125.45996666666667</v>
      </c>
      <c r="K120" s="392">
        <v>1058.5222120504109</v>
      </c>
      <c r="L120" s="393">
        <v>98.845482106449396</v>
      </c>
      <c r="M120" s="394">
        <v>1045.5693641687485</v>
      </c>
      <c r="N120" s="393">
        <v>97.635936875429294</v>
      </c>
      <c r="O120" s="390">
        <v>128</v>
      </c>
      <c r="P120" s="390">
        <v>41.7</v>
      </c>
      <c r="Q120" s="386">
        <v>100</v>
      </c>
      <c r="R120" s="386">
        <v>3</v>
      </c>
      <c r="S120" t="s">
        <v>2491</v>
      </c>
      <c r="T120" t="s">
        <v>2491</v>
      </c>
      <c r="U120" s="90">
        <f t="shared" si="12"/>
        <v>12.952847881662365</v>
      </c>
      <c r="V120" s="90">
        <f t="shared" si="22"/>
        <v>1.5542382161930761</v>
      </c>
      <c r="W120" s="90">
        <f t="shared" ref="W120:W123" si="23">(U120/K120)*100</f>
        <v>1.2236727518992772</v>
      </c>
      <c r="X120" s="90">
        <f t="shared" si="20"/>
        <v>253.84243289164436</v>
      </c>
      <c r="Y120" s="90">
        <f t="shared" si="21"/>
        <v>7.11644308788674</v>
      </c>
    </row>
    <row r="121" spans="1:27">
      <c r="A121" s="389">
        <v>43662</v>
      </c>
      <c r="B121" s="97">
        <v>6</v>
      </c>
      <c r="C121" s="146" t="s">
        <v>3039</v>
      </c>
      <c r="D121" s="90">
        <v>2115.4</v>
      </c>
      <c r="E121" s="90"/>
      <c r="F121" s="90"/>
      <c r="G121" s="90">
        <v>2114.9769200000001</v>
      </c>
      <c r="H121">
        <v>252.8793</v>
      </c>
      <c r="I121" s="391">
        <v>1.7045333333333332</v>
      </c>
      <c r="J121" s="386">
        <v>251.17476666666667</v>
      </c>
      <c r="K121" s="392">
        <v>2115.494513582405</v>
      </c>
      <c r="L121" s="393">
        <v>100.02447277686628</v>
      </c>
      <c r="M121" s="394">
        <v>2093.2624809048016</v>
      </c>
      <c r="N121" s="393">
        <v>98.973301368451885</v>
      </c>
      <c r="O121" s="390">
        <v>128</v>
      </c>
      <c r="P121" s="390">
        <v>41.7</v>
      </c>
      <c r="Q121" s="386">
        <v>100</v>
      </c>
      <c r="R121" s="386">
        <v>3</v>
      </c>
      <c r="S121" t="s">
        <v>2491</v>
      </c>
      <c r="T121" t="s">
        <v>2491</v>
      </c>
      <c r="U121" s="90">
        <f t="shared" si="12"/>
        <v>22.232032677603456</v>
      </c>
      <c r="V121" s="90">
        <f t="shared" si="22"/>
        <v>2.6676662249776948</v>
      </c>
      <c r="W121" s="90">
        <f t="shared" si="23"/>
        <v>1.0509142205221536</v>
      </c>
      <c r="X121" s="90">
        <f t="shared" si="20"/>
        <v>363.40922232352705</v>
      </c>
      <c r="Y121" s="90">
        <f t="shared" si="21"/>
        <v>13.173674266247463</v>
      </c>
    </row>
    <row r="122" spans="1:27">
      <c r="A122" s="389">
        <v>43662</v>
      </c>
      <c r="B122" s="97">
        <v>7</v>
      </c>
      <c r="C122" s="146" t="s">
        <v>3040</v>
      </c>
      <c r="D122" s="90">
        <v>3027</v>
      </c>
      <c r="E122" s="90"/>
      <c r="F122" s="90"/>
      <c r="G122" s="90">
        <v>3026.3946000000001</v>
      </c>
      <c r="H122">
        <v>361.48419999999999</v>
      </c>
      <c r="I122" s="391">
        <v>1.7045333333333332</v>
      </c>
      <c r="J122" s="386">
        <v>359.77966666666663</v>
      </c>
      <c r="K122" s="392">
        <v>3028.6119119368714</v>
      </c>
      <c r="L122" s="393">
        <v>100.07326579081497</v>
      </c>
      <c r="M122" s="394">
        <v>2998.3636000555093</v>
      </c>
      <c r="N122" s="393">
        <v>99.073782383021353</v>
      </c>
      <c r="O122" s="390">
        <v>128</v>
      </c>
      <c r="P122" s="390">
        <v>41.7</v>
      </c>
      <c r="Q122" s="386">
        <v>100</v>
      </c>
      <c r="R122" s="386">
        <v>3</v>
      </c>
      <c r="S122" t="s">
        <v>2491</v>
      </c>
      <c r="T122" t="s">
        <v>2491</v>
      </c>
      <c r="U122" s="90">
        <f t="shared" si="12"/>
        <v>30.248311881362042</v>
      </c>
      <c r="V122" s="90">
        <f t="shared" si="22"/>
        <v>3.6295556568604064</v>
      </c>
      <c r="W122" s="90">
        <f t="shared" si="23"/>
        <v>0.99875166448835317</v>
      </c>
      <c r="X122" s="90">
        <f t="shared" si="20"/>
        <v>472.32469381987255</v>
      </c>
      <c r="Y122" s="90">
        <f t="shared" si="21"/>
        <v>21.028893523650229</v>
      </c>
      <c r="AA122" s="80" t="s">
        <v>2987</v>
      </c>
    </row>
    <row r="123" spans="1:27">
      <c r="A123" s="389">
        <v>43662</v>
      </c>
      <c r="B123" s="97">
        <v>8</v>
      </c>
      <c r="C123" s="146" t="s">
        <v>3041</v>
      </c>
      <c r="D123" s="90">
        <v>3936</v>
      </c>
      <c r="E123" s="90"/>
      <c r="F123" s="90"/>
      <c r="G123" s="90">
        <v>3935.2128000000002</v>
      </c>
      <c r="H123">
        <v>469.44349999999997</v>
      </c>
      <c r="I123" s="391">
        <v>1.7045333333333332</v>
      </c>
      <c r="J123" s="386">
        <v>467.73896666666661</v>
      </c>
      <c r="K123" s="392">
        <v>3936.3012992865151</v>
      </c>
      <c r="L123" s="393">
        <v>100.02766049364635</v>
      </c>
      <c r="M123" s="394">
        <v>3898.0843608381902</v>
      </c>
      <c r="N123" s="393">
        <v>99.056507460999057</v>
      </c>
      <c r="O123" s="390">
        <v>128</v>
      </c>
      <c r="P123" s="390">
        <v>41.7</v>
      </c>
      <c r="Q123" s="386">
        <v>100</v>
      </c>
      <c r="R123" s="386">
        <v>3</v>
      </c>
      <c r="S123" t="s">
        <v>2491</v>
      </c>
      <c r="T123" t="s">
        <v>2491</v>
      </c>
      <c r="U123" s="90">
        <f t="shared" si="12"/>
        <v>38.216938448324981</v>
      </c>
      <c r="V123" s="90">
        <f t="shared" si="22"/>
        <v>4.5857271532059443</v>
      </c>
      <c r="W123" s="90">
        <f t="shared" si="23"/>
        <v>0.97088448120706861</v>
      </c>
      <c r="Y123" s="80">
        <f>SQRT(SUM(Y117:Y122)/(6-2))</f>
        <v>3.3316744157179099</v>
      </c>
      <c r="Z123" s="80" t="s">
        <v>2990</v>
      </c>
      <c r="AA123" s="206">
        <f>(Y123/$AK$15)*100</f>
        <v>1.6323227095367672</v>
      </c>
    </row>
    <row r="124" spans="1:27">
      <c r="A124" s="389">
        <v>43662</v>
      </c>
      <c r="B124" s="97">
        <v>9</v>
      </c>
      <c r="C124" t="s">
        <v>2955</v>
      </c>
      <c r="D124" s="90"/>
      <c r="E124" s="90"/>
      <c r="F124" s="90"/>
      <c r="G124" s="90"/>
      <c r="H124">
        <v>1.1133</v>
      </c>
      <c r="I124" s="391"/>
      <c r="J124" s="386">
        <v>1.1133</v>
      </c>
      <c r="K124" s="392"/>
      <c r="L124" s="388"/>
      <c r="M124" s="90"/>
      <c r="N124" s="388"/>
      <c r="O124" s="390">
        <v>128</v>
      </c>
      <c r="P124" s="390">
        <v>41.7</v>
      </c>
      <c r="Q124" s="386">
        <v>100</v>
      </c>
      <c r="R124" s="386">
        <v>3</v>
      </c>
      <c r="S124" t="s">
        <v>2491</v>
      </c>
      <c r="T124" t="s">
        <v>2491</v>
      </c>
      <c r="U124" s="90"/>
      <c r="V124" s="90"/>
      <c r="W124" s="90"/>
      <c r="Y124" s="206">
        <f>(Y123/12.01)*100.09</f>
        <v>27.765802853389314</v>
      </c>
      <c r="Z124" s="80" t="s">
        <v>2991</v>
      </c>
    </row>
    <row r="125" spans="1:27">
      <c r="A125" s="389">
        <v>43662</v>
      </c>
      <c r="B125" s="97">
        <v>10</v>
      </c>
      <c r="C125" t="s">
        <v>2956</v>
      </c>
      <c r="D125" s="90"/>
      <c r="E125" s="90"/>
      <c r="F125" s="90"/>
      <c r="G125" s="90"/>
      <c r="H125">
        <v>1.2117</v>
      </c>
      <c r="I125" s="390"/>
      <c r="J125" s="386">
        <v>1.2117</v>
      </c>
      <c r="K125" s="392"/>
      <c r="L125" s="388"/>
      <c r="M125" s="90"/>
      <c r="N125" s="388"/>
      <c r="O125" s="390">
        <v>128</v>
      </c>
      <c r="P125" s="390">
        <v>41.7</v>
      </c>
      <c r="Q125" s="386">
        <v>100</v>
      </c>
      <c r="R125" s="386">
        <v>3</v>
      </c>
      <c r="S125" t="s">
        <v>2491</v>
      </c>
      <c r="T125" t="s">
        <v>2491</v>
      </c>
      <c r="U125" s="90"/>
      <c r="V125" s="90"/>
      <c r="W125" s="90"/>
    </row>
    <row r="126" spans="1:27">
      <c r="A126" s="389">
        <v>43662</v>
      </c>
      <c r="B126" s="97">
        <v>11</v>
      </c>
      <c r="C126" t="s">
        <v>2957</v>
      </c>
      <c r="D126" s="90"/>
      <c r="E126" s="90"/>
      <c r="F126" s="90"/>
      <c r="G126" s="90"/>
      <c r="H126">
        <v>1.1811</v>
      </c>
      <c r="I126" s="390"/>
      <c r="J126" s="386">
        <v>1.1811</v>
      </c>
      <c r="K126" s="392"/>
      <c r="L126" s="388"/>
      <c r="M126" s="90"/>
      <c r="N126" s="388"/>
      <c r="O126" s="390">
        <v>128</v>
      </c>
      <c r="P126" s="390">
        <v>41.7</v>
      </c>
      <c r="Q126" s="386">
        <v>100</v>
      </c>
      <c r="R126" s="386">
        <v>3</v>
      </c>
      <c r="S126" t="s">
        <v>2491</v>
      </c>
      <c r="T126" t="s">
        <v>2491</v>
      </c>
      <c r="U126" s="90"/>
      <c r="V126" s="90"/>
      <c r="W126" s="90"/>
    </row>
    <row r="127" spans="1:27">
      <c r="A127" s="389">
        <v>43662</v>
      </c>
      <c r="B127" s="432">
        <v>12</v>
      </c>
      <c r="C127" s="295" t="s">
        <v>2958</v>
      </c>
      <c r="D127" s="294">
        <v>1215.5</v>
      </c>
      <c r="E127" s="294"/>
      <c r="F127" s="294"/>
      <c r="G127" s="294"/>
      <c r="H127">
        <v>18.370699999999999</v>
      </c>
      <c r="I127" s="433">
        <v>1.1687000000000001</v>
      </c>
      <c r="J127" s="434">
        <v>17.201999999999998</v>
      </c>
      <c r="K127" s="392">
        <v>148.32172502071666</v>
      </c>
      <c r="L127" s="436">
        <v>12.202527768055669</v>
      </c>
      <c r="M127" s="437">
        <v>143.35954870940881</v>
      </c>
      <c r="N127" s="436">
        <v>11.794286195755559</v>
      </c>
      <c r="O127" s="438">
        <v>128</v>
      </c>
      <c r="P127" s="438">
        <v>41.7</v>
      </c>
      <c r="Q127" s="434">
        <v>100</v>
      </c>
      <c r="R127" s="434">
        <v>3</v>
      </c>
      <c r="S127" s="295" t="s">
        <v>2491</v>
      </c>
      <c r="T127" s="295" t="s">
        <v>2491</v>
      </c>
      <c r="U127" s="90">
        <f t="shared" si="12"/>
        <v>4.962176311307843</v>
      </c>
      <c r="V127" s="90">
        <f t="shared" ref="V127:V128" si="24">(U127/100.09)*12.01</f>
        <v>0.59542149564199409</v>
      </c>
      <c r="W127" s="90">
        <f t="shared" ref="W127:W128" si="25">(U127/K127)*100</f>
        <v>3.3455492178335691</v>
      </c>
    </row>
    <row r="128" spans="1:27">
      <c r="A128" s="389">
        <v>43662</v>
      </c>
      <c r="B128" s="432">
        <v>13</v>
      </c>
      <c r="C128" s="295" t="s">
        <v>2958</v>
      </c>
      <c r="D128" s="294">
        <v>2068.5</v>
      </c>
      <c r="E128" s="294"/>
      <c r="F128" s="294"/>
      <c r="G128" s="294"/>
      <c r="H128">
        <v>31.2318</v>
      </c>
      <c r="I128" s="433">
        <v>1.1687000000000001</v>
      </c>
      <c r="J128" s="434">
        <v>30.063099999999999</v>
      </c>
      <c r="K128" s="392">
        <v>256.45399319624676</v>
      </c>
      <c r="L128" s="436">
        <v>12.398065902646689</v>
      </c>
      <c r="M128" s="437">
        <v>250.54252114904247</v>
      </c>
      <c r="N128" s="436">
        <v>12.112280451972079</v>
      </c>
      <c r="O128" s="438">
        <v>128</v>
      </c>
      <c r="P128" s="438">
        <v>41.7</v>
      </c>
      <c r="Q128" s="434">
        <v>100</v>
      </c>
      <c r="R128" s="434">
        <v>3</v>
      </c>
      <c r="S128" s="295" t="s">
        <v>2491</v>
      </c>
      <c r="T128" s="295" t="s">
        <v>2491</v>
      </c>
      <c r="U128" s="90">
        <f t="shared" si="12"/>
        <v>5.9114720472042848</v>
      </c>
      <c r="V128" s="90">
        <f t="shared" si="24"/>
        <v>0.70932939641246329</v>
      </c>
      <c r="W128" s="90">
        <f t="shared" si="25"/>
        <v>2.305080912770439</v>
      </c>
    </row>
    <row r="129" spans="1:23">
      <c r="A129" s="389">
        <v>43662</v>
      </c>
      <c r="B129" s="97">
        <v>14</v>
      </c>
      <c r="C129" t="s">
        <v>2959</v>
      </c>
      <c r="D129" s="90"/>
      <c r="E129" s="90"/>
      <c r="F129" s="90"/>
      <c r="G129" s="90"/>
      <c r="H129">
        <v>0.87990000000000002</v>
      </c>
      <c r="I129" s="391">
        <v>0.73669999999999991</v>
      </c>
      <c r="J129" s="386">
        <v>0.1432000000000001</v>
      </c>
      <c r="K129" s="392"/>
      <c r="L129" s="393" t="e">
        <v>#DIV/0!</v>
      </c>
      <c r="M129" s="394">
        <v>1.1934128226477945</v>
      </c>
      <c r="N129" s="436" t="e">
        <v>#DIV/0!</v>
      </c>
      <c r="O129" s="390">
        <v>128</v>
      </c>
      <c r="P129" s="390">
        <v>41.7</v>
      </c>
      <c r="Q129" s="386">
        <v>100</v>
      </c>
      <c r="R129" s="386">
        <v>3</v>
      </c>
      <c r="S129" t="s">
        <v>2491</v>
      </c>
      <c r="T129" t="s">
        <v>2491</v>
      </c>
      <c r="U129" s="90"/>
      <c r="V129" s="90"/>
      <c r="W129" s="90"/>
    </row>
    <row r="130" spans="1:23">
      <c r="A130" s="389">
        <v>43662</v>
      </c>
      <c r="B130" s="97">
        <v>15</v>
      </c>
      <c r="C130" t="s">
        <v>3027</v>
      </c>
      <c r="D130" s="90">
        <v>3076.3</v>
      </c>
      <c r="E130" s="90">
        <v>3076.3</v>
      </c>
      <c r="F130" s="90"/>
      <c r="G130" s="90"/>
      <c r="H130">
        <v>263.75060000000002</v>
      </c>
      <c r="I130" s="391">
        <v>0.73669999999999991</v>
      </c>
      <c r="J130" s="386">
        <v>263.01390000000004</v>
      </c>
      <c r="K130" s="392">
        <v>2215.0343927969247</v>
      </c>
      <c r="L130" s="393">
        <v>72.003198413578801</v>
      </c>
      <c r="M130" s="394">
        <v>2191.9284971690263</v>
      </c>
      <c r="N130" s="436">
        <v>71.252104709196956</v>
      </c>
      <c r="O130" s="390">
        <v>128</v>
      </c>
      <c r="P130" s="390">
        <v>41.7</v>
      </c>
      <c r="Q130" s="386">
        <v>100</v>
      </c>
      <c r="R130" s="386">
        <v>3</v>
      </c>
      <c r="S130" t="s">
        <v>2491</v>
      </c>
      <c r="T130" t="s">
        <v>2491</v>
      </c>
      <c r="U130" s="90">
        <f t="shared" si="12"/>
        <v>23.105895627898462</v>
      </c>
      <c r="V130" s="90">
        <f t="shared" ref="V130:V134" si="26">(U130/100.09)*12.01</f>
        <v>2.7725227943956492</v>
      </c>
      <c r="W130" s="90">
        <f t="shared" ref="W130:W134" si="27">(U130/K130)*100</f>
        <v>1.0431393617650622</v>
      </c>
    </row>
    <row r="131" spans="1:23">
      <c r="A131" s="389">
        <v>43662</v>
      </c>
      <c r="B131" s="97">
        <v>16</v>
      </c>
      <c r="C131" t="s">
        <v>3028</v>
      </c>
      <c r="D131" s="90">
        <v>2531.6</v>
      </c>
      <c r="E131" s="90">
        <v>2531.6</v>
      </c>
      <c r="F131" s="90"/>
      <c r="G131" s="90"/>
      <c r="H131">
        <v>208.25530000000001</v>
      </c>
      <c r="I131" s="391">
        <v>0.73669999999999991</v>
      </c>
      <c r="J131" s="386">
        <v>207.51859999999999</v>
      </c>
      <c r="K131" s="392">
        <v>1748.4465688875002</v>
      </c>
      <c r="L131" s="393">
        <v>69.064882638943757</v>
      </c>
      <c r="M131" s="394">
        <v>1729.4368587843464</v>
      </c>
      <c r="N131" s="436">
        <v>68.313985573722022</v>
      </c>
      <c r="O131" s="390">
        <v>128</v>
      </c>
      <c r="P131" s="390">
        <v>41.7</v>
      </c>
      <c r="Q131" s="386">
        <v>100</v>
      </c>
      <c r="R131" s="386">
        <v>3</v>
      </c>
      <c r="S131" t="s">
        <v>2491</v>
      </c>
      <c r="T131" t="s">
        <v>2491</v>
      </c>
      <c r="U131" s="90">
        <f t="shared" si="12"/>
        <v>19.009710103153793</v>
      </c>
      <c r="V131" s="90">
        <f t="shared" si="26"/>
        <v>2.2810132714444706</v>
      </c>
      <c r="W131" s="90">
        <f t="shared" si="27"/>
        <v>1.0872342593373769</v>
      </c>
    </row>
    <row r="132" spans="1:23">
      <c r="A132" s="389">
        <v>43662</v>
      </c>
      <c r="B132" s="440">
        <v>17</v>
      </c>
      <c r="C132" t="s">
        <v>3029</v>
      </c>
      <c r="D132" s="395">
        <v>2335.9</v>
      </c>
      <c r="E132" s="90">
        <v>2335.9</v>
      </c>
      <c r="F132" s="395"/>
      <c r="G132" s="395"/>
      <c r="H132">
        <v>197.43170000000001</v>
      </c>
      <c r="I132" s="391">
        <v>0.73669999999999991</v>
      </c>
      <c r="J132" s="386">
        <v>196.69499999999999</v>
      </c>
      <c r="K132" s="392">
        <v>1657.4449890984724</v>
      </c>
      <c r="L132" s="442">
        <v>70.955305839225673</v>
      </c>
      <c r="M132" s="443">
        <v>1639.2341840133224</v>
      </c>
      <c r="N132" s="436">
        <v>70.175700330207732</v>
      </c>
      <c r="O132" s="444">
        <v>128</v>
      </c>
      <c r="P132" s="444">
        <v>41.7</v>
      </c>
      <c r="Q132" s="445">
        <v>100</v>
      </c>
      <c r="R132" s="445">
        <v>3</v>
      </c>
      <c r="S132" s="146" t="s">
        <v>2491</v>
      </c>
      <c r="T132" s="146" t="s">
        <v>2491</v>
      </c>
      <c r="U132" s="90">
        <f t="shared" si="12"/>
        <v>18.210805085150014</v>
      </c>
      <c r="V132" s="90">
        <f t="shared" si="26"/>
        <v>2.1851510547772168</v>
      </c>
      <c r="W132" s="90">
        <f t="shared" si="27"/>
        <v>1.0987275719512926</v>
      </c>
    </row>
    <row r="133" spans="1:23">
      <c r="A133" s="389">
        <v>43662</v>
      </c>
      <c r="B133" s="97">
        <v>18</v>
      </c>
      <c r="C133" t="s">
        <v>3030</v>
      </c>
      <c r="D133" s="90">
        <v>2503.1</v>
      </c>
      <c r="E133" s="90">
        <v>2503.1</v>
      </c>
      <c r="F133" s="90"/>
      <c r="G133" s="90"/>
      <c r="H133">
        <v>205.84200000000001</v>
      </c>
      <c r="I133" s="391">
        <v>0.73669999999999991</v>
      </c>
      <c r="J133" s="386">
        <v>205.1053</v>
      </c>
      <c r="K133" s="392">
        <v>1728.1562669080424</v>
      </c>
      <c r="L133" s="442">
        <v>69.040640282371555</v>
      </c>
      <c r="M133" s="443">
        <v>1709.3246858451291</v>
      </c>
      <c r="N133" s="436">
        <v>68.288309929492598</v>
      </c>
      <c r="O133" s="444">
        <v>128</v>
      </c>
      <c r="P133" s="444">
        <v>41.7</v>
      </c>
      <c r="Q133" s="445">
        <v>100</v>
      </c>
      <c r="R133" s="445">
        <v>3</v>
      </c>
      <c r="S133" s="146" t="s">
        <v>2491</v>
      </c>
      <c r="T133" s="146" t="s">
        <v>2491</v>
      </c>
      <c r="U133" s="90">
        <f t="shared" si="12"/>
        <v>18.831581062913301</v>
      </c>
      <c r="V133" s="90">
        <f t="shared" si="26"/>
        <v>2.2596392103665575</v>
      </c>
      <c r="W133" s="90">
        <f t="shared" si="27"/>
        <v>1.089692027481179</v>
      </c>
    </row>
    <row r="134" spans="1:23">
      <c r="A134" s="389">
        <v>43662</v>
      </c>
      <c r="B134" s="400">
        <v>19</v>
      </c>
      <c r="C134" s="200" t="s">
        <v>3031</v>
      </c>
      <c r="D134" s="401">
        <v>2032.1</v>
      </c>
      <c r="E134" s="401">
        <v>2032.1</v>
      </c>
      <c r="F134" s="401"/>
      <c r="G134" s="401"/>
      <c r="H134">
        <v>186.08750000000001</v>
      </c>
      <c r="I134" s="391">
        <v>0.73669999999999991</v>
      </c>
      <c r="J134" s="403">
        <v>185.35079999999999</v>
      </c>
      <c r="K134" s="392">
        <v>1562.0663607823215</v>
      </c>
      <c r="L134" s="405">
        <v>76.869561575824093</v>
      </c>
      <c r="M134" s="406">
        <v>1544.6928869275603</v>
      </c>
      <c r="N134" s="436">
        <v>76.014609858154643</v>
      </c>
      <c r="O134" s="444">
        <v>128</v>
      </c>
      <c r="P134" s="444">
        <v>41.7</v>
      </c>
      <c r="Q134" s="445">
        <v>100</v>
      </c>
      <c r="R134" s="445">
        <v>3</v>
      </c>
      <c r="S134" s="146" t="s">
        <v>2491</v>
      </c>
      <c r="T134" s="146" t="s">
        <v>2491</v>
      </c>
      <c r="U134" s="90">
        <f t="shared" si="12"/>
        <v>17.373473854761187</v>
      </c>
      <c r="V134" s="90">
        <f t="shared" si="26"/>
        <v>2.0846779997570368</v>
      </c>
      <c r="W134" s="90">
        <f t="shared" si="27"/>
        <v>1.1122109976211332</v>
      </c>
    </row>
    <row r="135" spans="1:23">
      <c r="A135" s="389">
        <v>43662</v>
      </c>
      <c r="B135" s="97">
        <v>20</v>
      </c>
      <c r="C135" t="s">
        <v>2965</v>
      </c>
      <c r="D135" s="90"/>
      <c r="E135" s="90"/>
      <c r="F135" s="90"/>
      <c r="G135" s="90"/>
      <c r="H135">
        <v>0.87409999999999999</v>
      </c>
      <c r="I135" s="391">
        <v>0.73669999999999991</v>
      </c>
      <c r="J135" s="386">
        <v>0.13740000000000008</v>
      </c>
      <c r="K135" s="392"/>
      <c r="L135" s="442" t="e">
        <v>#DIV/0!</v>
      </c>
      <c r="M135" s="443">
        <v>1.1450762697751879</v>
      </c>
      <c r="N135" s="436" t="e">
        <v>#DIV/0!</v>
      </c>
      <c r="O135" s="444">
        <v>128</v>
      </c>
      <c r="P135" s="444">
        <v>41.7</v>
      </c>
      <c r="Q135" s="445">
        <v>100</v>
      </c>
      <c r="R135" s="445">
        <v>3</v>
      </c>
      <c r="S135" s="146" t="s">
        <v>2491</v>
      </c>
      <c r="T135" s="146" t="s">
        <v>2491</v>
      </c>
      <c r="U135" s="90"/>
      <c r="V135" s="90"/>
      <c r="W135" s="90"/>
    </row>
    <row r="136" spans="1:23">
      <c r="A136" s="389">
        <v>43662</v>
      </c>
      <c r="B136" s="97">
        <v>21</v>
      </c>
      <c r="C136" t="s">
        <v>3032</v>
      </c>
      <c r="D136" s="90">
        <v>2337.3000000000002</v>
      </c>
      <c r="E136" s="90">
        <v>2337.3000000000002</v>
      </c>
      <c r="F136" s="90"/>
      <c r="G136" s="90"/>
      <c r="H136">
        <v>188.71430000000001</v>
      </c>
      <c r="I136" s="391">
        <v>0.73669999999999991</v>
      </c>
      <c r="J136" s="386">
        <v>187.9776</v>
      </c>
      <c r="K136" s="392">
        <v>1584.1517066736901</v>
      </c>
      <c r="L136" s="442">
        <v>67.776995108616362</v>
      </c>
      <c r="M136" s="443">
        <v>1566.5843450457953</v>
      </c>
      <c r="N136" s="436">
        <v>67.025385917331747</v>
      </c>
      <c r="O136" s="444">
        <v>128</v>
      </c>
      <c r="P136" s="444">
        <v>41.7</v>
      </c>
      <c r="Q136" s="445">
        <v>100</v>
      </c>
      <c r="R136" s="445">
        <v>3</v>
      </c>
      <c r="S136" s="146" t="s">
        <v>2491</v>
      </c>
      <c r="T136" s="146" t="s">
        <v>2491</v>
      </c>
      <c r="U136" s="90">
        <f t="shared" si="12"/>
        <v>17.567361627894797</v>
      </c>
      <c r="V136" s="90">
        <f t="shared" ref="V136:V140" si="28">(U136/100.09)*12.01</f>
        <v>2.1079429828256218</v>
      </c>
      <c r="W136" s="90">
        <f t="shared" ref="W136:W140" si="29">(U136/K136)*100</f>
        <v>1.1089443993202976</v>
      </c>
    </row>
    <row r="137" spans="1:23">
      <c r="A137" s="439">
        <v>43662</v>
      </c>
      <c r="B137" s="440">
        <v>22</v>
      </c>
      <c r="C137" s="146" t="s">
        <v>3033</v>
      </c>
      <c r="D137" s="395">
        <v>2414.8000000000002</v>
      </c>
      <c r="E137" s="90">
        <v>2414.8000000000002</v>
      </c>
      <c r="F137" s="395"/>
      <c r="G137" s="395"/>
      <c r="H137">
        <v>191.13810000000001</v>
      </c>
      <c r="I137" s="391">
        <v>0.73669999999999991</v>
      </c>
      <c r="J137" s="445">
        <v>190.4014</v>
      </c>
      <c r="K137" s="392">
        <v>1604.5302895012749</v>
      </c>
      <c r="L137" s="442">
        <v>66.445680366956879</v>
      </c>
      <c r="M137" s="443">
        <v>1586.7840238134888</v>
      </c>
      <c r="N137" s="442">
        <v>65.710784487886727</v>
      </c>
      <c r="O137" s="444">
        <v>128</v>
      </c>
      <c r="P137" s="444">
        <v>41.7</v>
      </c>
      <c r="Q137" s="445">
        <v>100</v>
      </c>
      <c r="R137" s="445">
        <v>3</v>
      </c>
      <c r="S137" s="146" t="s">
        <v>2491</v>
      </c>
      <c r="T137" s="146" t="s">
        <v>2491</v>
      </c>
      <c r="U137" s="90">
        <f t="shared" si="12"/>
        <v>17.746265687786035</v>
      </c>
      <c r="V137" s="90">
        <f t="shared" si="28"/>
        <v>2.1294100400670422</v>
      </c>
      <c r="W137" s="90">
        <f t="shared" si="29"/>
        <v>1.1060100145134677</v>
      </c>
    </row>
    <row r="138" spans="1:23">
      <c r="A138" s="389">
        <v>43662</v>
      </c>
      <c r="B138" s="400">
        <v>23</v>
      </c>
      <c r="C138" s="200" t="s">
        <v>3034</v>
      </c>
      <c r="D138" s="401">
        <v>2459.6</v>
      </c>
      <c r="E138" s="401">
        <v>2459.6</v>
      </c>
      <c r="F138" s="401"/>
      <c r="G138" s="401"/>
      <c r="H138">
        <v>226.97630000000001</v>
      </c>
      <c r="I138" s="391">
        <v>0.73669999999999991</v>
      </c>
      <c r="J138" s="403">
        <v>226.2396</v>
      </c>
      <c r="K138" s="392">
        <v>1905.8471172476018</v>
      </c>
      <c r="L138" s="405">
        <v>77.486059409969172</v>
      </c>
      <c r="M138" s="406">
        <v>1885.4555840133223</v>
      </c>
      <c r="N138" s="436">
        <v>76.657000488425865</v>
      </c>
      <c r="O138" s="444">
        <v>128</v>
      </c>
      <c r="P138" s="444">
        <v>41.7</v>
      </c>
      <c r="Q138" s="445">
        <v>100</v>
      </c>
      <c r="R138" s="445">
        <v>3</v>
      </c>
      <c r="S138" s="146" t="s">
        <v>2491</v>
      </c>
      <c r="T138" s="146" t="s">
        <v>2491</v>
      </c>
      <c r="U138" s="90">
        <f t="shared" si="12"/>
        <v>20.39153323427945</v>
      </c>
      <c r="V138" s="90">
        <f t="shared" si="28"/>
        <v>2.4468210025346808</v>
      </c>
      <c r="W138" s="90">
        <f t="shared" si="29"/>
        <v>1.069945907504303</v>
      </c>
    </row>
    <row r="139" spans="1:23">
      <c r="A139" s="389">
        <v>43662</v>
      </c>
      <c r="B139" s="97">
        <v>24</v>
      </c>
      <c r="C139" t="s">
        <v>3035</v>
      </c>
      <c r="D139" s="90">
        <v>2751.2</v>
      </c>
      <c r="E139" s="90">
        <v>2751.2</v>
      </c>
      <c r="F139" s="90"/>
      <c r="G139" s="90"/>
      <c r="H139">
        <v>221.46879999999999</v>
      </c>
      <c r="I139" s="391">
        <v>0.73669999999999991</v>
      </c>
      <c r="J139" s="386">
        <v>220.73209999999997</v>
      </c>
      <c r="K139" s="392">
        <v>1859.5417104801609</v>
      </c>
      <c r="L139" s="393">
        <v>67.590204655428948</v>
      </c>
      <c r="M139" s="394">
        <v>1839.5566935054121</v>
      </c>
      <c r="N139" s="436">
        <v>66.863793744744555</v>
      </c>
      <c r="O139" s="390">
        <v>128</v>
      </c>
      <c r="P139" s="390">
        <v>41.7</v>
      </c>
      <c r="Q139" s="386">
        <v>100</v>
      </c>
      <c r="R139" s="386">
        <v>3</v>
      </c>
      <c r="S139" t="s">
        <v>2491</v>
      </c>
      <c r="T139" t="s">
        <v>2491</v>
      </c>
      <c r="U139" s="90">
        <f t="shared" si="12"/>
        <v>19.98501697474876</v>
      </c>
      <c r="V139" s="90">
        <f t="shared" si="28"/>
        <v>2.398042300596789</v>
      </c>
      <c r="W139" s="90">
        <f t="shared" si="29"/>
        <v>1.0747280828451187</v>
      </c>
    </row>
    <row r="140" spans="1:23">
      <c r="A140" s="389">
        <v>43662</v>
      </c>
      <c r="B140" s="97">
        <v>25</v>
      </c>
      <c r="C140" t="s">
        <v>3036</v>
      </c>
      <c r="D140" s="90">
        <v>2370.1</v>
      </c>
      <c r="E140" s="90">
        <v>2370.1</v>
      </c>
      <c r="F140" s="90"/>
      <c r="G140" s="90"/>
      <c r="H140">
        <v>188.13329999999999</v>
      </c>
      <c r="I140" s="391">
        <v>0.73669999999999991</v>
      </c>
      <c r="J140" s="386">
        <v>187.39659999999998</v>
      </c>
      <c r="K140" s="392">
        <v>1579.2668330773427</v>
      </c>
      <c r="L140" s="393">
        <v>66.632919837869395</v>
      </c>
      <c r="M140" s="394">
        <v>1561.7423558701082</v>
      </c>
      <c r="N140" s="436">
        <v>65.89352161807976</v>
      </c>
      <c r="O140" s="390">
        <v>128</v>
      </c>
      <c r="P140" s="390">
        <v>41.7</v>
      </c>
      <c r="Q140" s="386">
        <v>100</v>
      </c>
      <c r="R140" s="386">
        <v>3</v>
      </c>
      <c r="S140" t="s">
        <v>2491</v>
      </c>
      <c r="T140" t="s">
        <v>2491</v>
      </c>
      <c r="U140" s="90">
        <f t="shared" si="12"/>
        <v>17.52447720723444</v>
      </c>
      <c r="V140" s="90">
        <f t="shared" si="28"/>
        <v>2.1027971951132542</v>
      </c>
      <c r="W140" s="90">
        <f t="shared" si="29"/>
        <v>1.1096590417900711</v>
      </c>
    </row>
    <row r="141" spans="1:23">
      <c r="A141" s="389">
        <v>43662</v>
      </c>
      <c r="B141" s="97">
        <v>26</v>
      </c>
      <c r="C141" t="s">
        <v>2971</v>
      </c>
      <c r="D141" s="90"/>
      <c r="E141" s="90"/>
      <c r="F141" s="90"/>
      <c r="G141" s="90"/>
      <c r="H141">
        <v>0.68830000000000002</v>
      </c>
      <c r="I141" s="391">
        <v>0.73669999999999991</v>
      </c>
      <c r="J141" s="386">
        <v>-4.8399999999999888E-2</v>
      </c>
      <c r="K141" s="392"/>
      <c r="L141" s="393" t="e">
        <v>#DIV/0!</v>
      </c>
      <c r="M141" s="394">
        <v>-0.40336019983347116</v>
      </c>
      <c r="N141" s="436" t="e">
        <v>#DIV/0!</v>
      </c>
      <c r="O141" s="390">
        <v>128</v>
      </c>
      <c r="P141" s="390">
        <v>41.7</v>
      </c>
      <c r="Q141" s="386">
        <v>100</v>
      </c>
      <c r="R141" s="386">
        <v>3</v>
      </c>
      <c r="S141" t="s">
        <v>2491</v>
      </c>
      <c r="T141" t="s">
        <v>2491</v>
      </c>
      <c r="U141" s="90"/>
      <c r="V141" s="90"/>
      <c r="W141" s="90"/>
    </row>
    <row r="142" spans="1:23">
      <c r="A142" s="389">
        <v>43662</v>
      </c>
      <c r="B142" s="97">
        <v>27</v>
      </c>
      <c r="C142" s="146" t="s">
        <v>3061</v>
      </c>
      <c r="D142" s="90">
        <v>1873.8</v>
      </c>
      <c r="E142" s="90"/>
      <c r="F142" s="90"/>
      <c r="G142" s="90">
        <v>1873.42524</v>
      </c>
      <c r="H142">
        <v>223.3005</v>
      </c>
      <c r="I142" s="391">
        <v>0.73669999999999991</v>
      </c>
      <c r="J142" s="386">
        <v>222.56379999999999</v>
      </c>
      <c r="K142" s="392">
        <v>1874.9420942433785</v>
      </c>
      <c r="L142" s="393">
        <v>100.08096689480806</v>
      </c>
      <c r="M142" s="394">
        <v>1854.8218769358868</v>
      </c>
      <c r="N142" s="436">
        <v>98.987185235131122</v>
      </c>
      <c r="O142" s="390">
        <v>128</v>
      </c>
      <c r="P142" s="390">
        <v>41.7</v>
      </c>
      <c r="Q142" s="386">
        <v>100</v>
      </c>
      <c r="R142" s="386">
        <v>3</v>
      </c>
      <c r="S142" t="s">
        <v>2491</v>
      </c>
      <c r="T142" t="s">
        <v>2491</v>
      </c>
      <c r="U142" s="90">
        <f t="shared" ref="U142:U204" si="30">K142-M142</f>
        <v>20.120217307491657</v>
      </c>
      <c r="V142" s="90">
        <f t="shared" ref="V142" si="31">(U142/100.09)*12.01</f>
        <v>2.4142652598958416</v>
      </c>
      <c r="W142" s="90">
        <f>(U142/K142)*100</f>
        <v>1.0731113973741706</v>
      </c>
    </row>
    <row r="143" spans="1:23">
      <c r="A143" s="389">
        <v>43662</v>
      </c>
      <c r="B143" s="97">
        <v>28</v>
      </c>
      <c r="C143" t="s">
        <v>2973</v>
      </c>
      <c r="D143" s="90"/>
      <c r="E143" s="90"/>
      <c r="F143" s="90"/>
      <c r="G143" s="90"/>
      <c r="H143">
        <v>0.50449999999999995</v>
      </c>
      <c r="I143" s="391">
        <v>0.73669999999999991</v>
      </c>
      <c r="J143" s="386">
        <v>-0.23219999999999996</v>
      </c>
      <c r="K143" s="392">
        <v>1.7402047910452698</v>
      </c>
      <c r="L143" s="393" t="e">
        <v>#DIV/0!</v>
      </c>
      <c r="M143" s="394">
        <v>-1.9351288925895085</v>
      </c>
      <c r="N143" s="436" t="e">
        <v>#DIV/0!</v>
      </c>
      <c r="O143" s="390">
        <v>128</v>
      </c>
      <c r="P143" s="390">
        <v>41.7</v>
      </c>
      <c r="Q143" s="386">
        <v>100</v>
      </c>
      <c r="R143" s="386">
        <v>3</v>
      </c>
      <c r="S143" t="s">
        <v>2491</v>
      </c>
      <c r="T143" t="s">
        <v>2491</v>
      </c>
      <c r="U143" s="90"/>
      <c r="V143" s="90"/>
      <c r="W143" s="90"/>
    </row>
    <row r="144" spans="1:23">
      <c r="A144" s="389"/>
      <c r="B144" s="446" t="s">
        <v>2974</v>
      </c>
      <c r="D144" s="90"/>
      <c r="E144" s="90"/>
      <c r="F144" s="90"/>
      <c r="G144" s="90"/>
      <c r="H144" s="385"/>
      <c r="I144" s="386"/>
      <c r="J144" s="386"/>
      <c r="K144" s="392"/>
      <c r="L144" s="393"/>
      <c r="M144" s="394"/>
      <c r="N144" s="393"/>
      <c r="O144" s="390"/>
      <c r="P144" s="390"/>
      <c r="Q144" s="386"/>
      <c r="R144" s="386"/>
      <c r="U144" s="90"/>
      <c r="V144" s="90"/>
      <c r="W144" s="90"/>
    </row>
    <row r="145" spans="1:39">
      <c r="A145" s="389"/>
      <c r="B145" s="97"/>
      <c r="D145" s="90"/>
      <c r="E145" s="90"/>
      <c r="F145" s="350"/>
      <c r="G145" s="350"/>
      <c r="H145" s="397" t="s">
        <v>2975</v>
      </c>
      <c r="I145" s="398"/>
      <c r="J145" s="386"/>
      <c r="K145" s="387"/>
      <c r="L145" s="388"/>
      <c r="M145" s="90"/>
      <c r="N145" s="388"/>
      <c r="O145" s="386"/>
      <c r="P145" s="386"/>
      <c r="Q145" s="386"/>
      <c r="R145" s="386"/>
      <c r="U145" s="90"/>
      <c r="V145" s="90"/>
      <c r="W145" s="90"/>
    </row>
    <row r="146" spans="1:39">
      <c r="A146" s="389"/>
      <c r="B146" s="97"/>
      <c r="D146" s="90"/>
      <c r="E146" s="90"/>
      <c r="F146" s="350" t="s">
        <v>3031</v>
      </c>
      <c r="G146" s="350"/>
      <c r="H146" s="397">
        <v>-0.7988019227389469</v>
      </c>
      <c r="I146" s="398"/>
      <c r="J146" s="386"/>
      <c r="K146" s="387"/>
      <c r="L146" s="388"/>
      <c r="M146" s="90"/>
      <c r="N146" s="388"/>
      <c r="O146" s="386"/>
      <c r="P146" s="386"/>
      <c r="Q146" s="386"/>
      <c r="R146" s="386"/>
      <c r="U146" s="90"/>
      <c r="V146" s="90"/>
      <c r="W146" s="90"/>
    </row>
    <row r="147" spans="1:39">
      <c r="A147" s="389"/>
      <c r="B147" s="97"/>
      <c r="D147" s="90"/>
      <c r="E147" s="90"/>
      <c r="F147" s="350" t="s">
        <v>3034</v>
      </c>
      <c r="G147" s="350"/>
      <c r="H147" s="397"/>
      <c r="I147" s="398"/>
      <c r="J147" s="386"/>
      <c r="K147" s="387"/>
      <c r="L147" s="388"/>
      <c r="M147" s="90"/>
      <c r="N147" s="388"/>
      <c r="O147" s="386"/>
      <c r="P147" s="386"/>
      <c r="Q147" s="386"/>
      <c r="R147" s="386"/>
      <c r="U147" s="90"/>
      <c r="V147" s="90"/>
      <c r="W147" s="90"/>
    </row>
    <row r="148" spans="1:39">
      <c r="A148" s="389"/>
      <c r="B148" s="97"/>
      <c r="D148" s="90"/>
      <c r="E148" s="90"/>
      <c r="F148" s="90"/>
      <c r="G148" s="90"/>
      <c r="H148" s="385"/>
      <c r="I148" s="386"/>
      <c r="J148" s="386"/>
      <c r="K148" s="387"/>
      <c r="L148" s="388"/>
      <c r="M148" s="90"/>
      <c r="N148" s="388"/>
      <c r="O148" s="386"/>
      <c r="P148" s="386"/>
      <c r="Q148" s="386"/>
      <c r="R148" s="386"/>
      <c r="U148" s="90"/>
      <c r="V148" s="90"/>
      <c r="W148" s="90"/>
    </row>
    <row r="149" spans="1:39">
      <c r="U149" s="90"/>
      <c r="V149" s="90"/>
      <c r="W149" s="90"/>
    </row>
    <row r="150" spans="1:39">
      <c r="A150" t="s">
        <v>3042</v>
      </c>
      <c r="U150" s="90"/>
      <c r="V150" s="90"/>
      <c r="W150" s="90"/>
    </row>
    <row r="151" spans="1:39">
      <c r="A151" s="67">
        <v>43664</v>
      </c>
      <c r="B151">
        <v>1</v>
      </c>
      <c r="C151" t="s">
        <v>3043</v>
      </c>
      <c r="H151">
        <v>1.8532999999999999</v>
      </c>
      <c r="U151" s="90"/>
      <c r="V151" s="90"/>
      <c r="W151" s="90"/>
    </row>
    <row r="152" spans="1:39">
      <c r="A152" s="67">
        <v>43664</v>
      </c>
      <c r="B152">
        <v>2</v>
      </c>
      <c r="C152" t="s">
        <v>3043</v>
      </c>
      <c r="H152">
        <v>1.4379</v>
      </c>
      <c r="U152" s="90"/>
      <c r="V152" s="90"/>
      <c r="W152" s="90"/>
    </row>
    <row r="153" spans="1:39">
      <c r="A153" s="67">
        <v>43664</v>
      </c>
      <c r="B153">
        <v>3</v>
      </c>
      <c r="C153" t="s">
        <v>3043</v>
      </c>
      <c r="H153">
        <v>1.5744</v>
      </c>
      <c r="U153" s="90"/>
      <c r="V153" s="90"/>
      <c r="W153" s="90"/>
    </row>
    <row r="154" spans="1:39">
      <c r="A154" s="67">
        <v>43664</v>
      </c>
      <c r="B154">
        <v>4</v>
      </c>
      <c r="C154" t="s">
        <v>2947</v>
      </c>
      <c r="D154" t="s">
        <v>3011</v>
      </c>
      <c r="H154">
        <v>1.2494000000000001</v>
      </c>
      <c r="O154">
        <v>128</v>
      </c>
      <c r="P154">
        <v>41.7</v>
      </c>
      <c r="Q154">
        <v>100</v>
      </c>
      <c r="R154">
        <v>3</v>
      </c>
      <c r="S154" t="s">
        <v>2491</v>
      </c>
      <c r="T154" t="s">
        <v>2491</v>
      </c>
      <c r="U154" s="90"/>
      <c r="V154" s="90"/>
      <c r="W154" s="90"/>
      <c r="X154" s="451">
        <f>A151</f>
        <v>43664</v>
      </c>
      <c r="Y154" s="21"/>
      <c r="Z154" s="21"/>
      <c r="AA154" s="21"/>
      <c r="AB154" s="21"/>
      <c r="AC154" s="146"/>
      <c r="AD154" s="146"/>
      <c r="AE154" s="146"/>
      <c r="AF154" s="146"/>
      <c r="AG154" s="146"/>
      <c r="AH154" s="146"/>
      <c r="AI154" s="146"/>
      <c r="AJ154" s="146"/>
      <c r="AK154" s="146"/>
      <c r="AL154" s="146"/>
      <c r="AM154" s="146"/>
    </row>
    <row r="155" spans="1:39">
      <c r="A155" s="67">
        <v>43664</v>
      </c>
      <c r="B155">
        <v>5</v>
      </c>
      <c r="C155" t="s">
        <v>2948</v>
      </c>
      <c r="H155">
        <v>1.6057999999999999</v>
      </c>
      <c r="O155">
        <v>128</v>
      </c>
      <c r="P155">
        <v>41.7</v>
      </c>
      <c r="Q155">
        <v>100</v>
      </c>
      <c r="R155">
        <v>3</v>
      </c>
      <c r="S155" t="s">
        <v>2491</v>
      </c>
      <c r="T155" t="s">
        <v>2491</v>
      </c>
      <c r="U155" s="90"/>
      <c r="V155" s="90"/>
      <c r="W155" s="90"/>
      <c r="X155" s="33">
        <f>((J156-INDEX(LINEST($J$156:$J$161,$G$156:$G$161),2))/INDEX(LINEST($J$156:$J$161,$G$156:$G$161),1)/100.09)*12.01</f>
        <v>0.21802742421830923</v>
      </c>
      <c r="Y155" s="33">
        <f>(J156-X155)^2</f>
        <v>4.4757954135824903E-2</v>
      </c>
      <c r="Z155" s="21"/>
      <c r="AA155" s="21"/>
      <c r="AB155" s="21"/>
      <c r="AC155" s="146"/>
      <c r="AD155" s="146"/>
      <c r="AE155" s="146"/>
      <c r="AF155" s="146"/>
      <c r="AG155" s="146"/>
      <c r="AH155" s="146"/>
      <c r="AI155" s="146"/>
      <c r="AJ155" s="146"/>
      <c r="AK155" s="146"/>
      <c r="AL155" s="146"/>
      <c r="AM155" s="146"/>
    </row>
    <row r="156" spans="1:39">
      <c r="A156" s="67">
        <v>43664</v>
      </c>
      <c r="B156">
        <v>6</v>
      </c>
      <c r="C156" t="s">
        <v>2949</v>
      </c>
      <c r="G156">
        <v>0</v>
      </c>
      <c r="H156">
        <v>1.4373</v>
      </c>
      <c r="I156">
        <v>1.4308333333333334</v>
      </c>
      <c r="J156">
        <v>6.4666666666666206E-3</v>
      </c>
      <c r="O156">
        <v>128</v>
      </c>
      <c r="P156">
        <v>41.7</v>
      </c>
      <c r="Q156">
        <v>100</v>
      </c>
      <c r="R156">
        <v>3</v>
      </c>
      <c r="S156" t="s">
        <v>2491</v>
      </c>
      <c r="T156" t="s">
        <v>2491</v>
      </c>
      <c r="U156" s="90"/>
      <c r="V156" s="90"/>
      <c r="W156" s="90"/>
      <c r="X156" s="33">
        <f t="shared" ref="X156:X160" si="32">((J157-INDEX(LINEST($J$156:$J$161,$G$156:$G$161),2))/INDEX(LINEST($J$156:$J$161,$G$156:$G$161),1)/100.09)*12.01</f>
        <v>38.577728987629236</v>
      </c>
      <c r="Y156" s="33">
        <f t="shared" ref="Y156:Y160" si="33">(J157-X156)^2</f>
        <v>0.39509059133384716</v>
      </c>
      <c r="Z156" s="21"/>
      <c r="AA156" s="21"/>
      <c r="AB156" s="21"/>
    </row>
    <row r="157" spans="1:39">
      <c r="A157" s="67">
        <v>43664</v>
      </c>
      <c r="B157">
        <v>7</v>
      </c>
      <c r="C157" t="s">
        <v>3044</v>
      </c>
      <c r="D157">
        <v>323.39999999999998</v>
      </c>
      <c r="G157">
        <v>323.33531999999997</v>
      </c>
      <c r="H157">
        <v>39.380000000000003</v>
      </c>
      <c r="I157">
        <v>1.4308333333333334</v>
      </c>
      <c r="J157">
        <v>37.94916666666667</v>
      </c>
      <c r="K157">
        <v>321.50248912338139</v>
      </c>
      <c r="L157">
        <v>99.433148572627772</v>
      </c>
      <c r="M157">
        <v>316.264120871496</v>
      </c>
      <c r="N157">
        <v>97.81304463474514</v>
      </c>
      <c r="O157">
        <v>128</v>
      </c>
      <c r="P157">
        <v>41.7</v>
      </c>
      <c r="Q157">
        <v>100</v>
      </c>
      <c r="R157">
        <v>3</v>
      </c>
      <c r="S157" t="s">
        <v>2491</v>
      </c>
      <c r="T157" t="s">
        <v>2491</v>
      </c>
      <c r="U157" s="90">
        <f t="shared" si="30"/>
        <v>5.2383682518853902</v>
      </c>
      <c r="V157" s="90">
        <f t="shared" ref="V157:V161" si="34">(U157/100.09)*12.01</f>
        <v>0.62856232096256903</v>
      </c>
      <c r="W157" s="90">
        <f t="shared" ref="W157:W161" si="35">(U157/K157)*100</f>
        <v>1.6293398742163667</v>
      </c>
      <c r="X157" s="33">
        <f t="shared" si="32"/>
        <v>150.16285120947816</v>
      </c>
      <c r="Y157" s="33">
        <f t="shared" si="33"/>
        <v>3.3914336283222015</v>
      </c>
      <c r="Z157" s="21"/>
      <c r="AA157" s="21"/>
      <c r="AB157" s="21"/>
    </row>
    <row r="158" spans="1:39">
      <c r="A158" s="67">
        <v>43664</v>
      </c>
      <c r="B158">
        <v>8</v>
      </c>
      <c r="C158" t="s">
        <v>3045</v>
      </c>
      <c r="D158">
        <v>1252.9000000000001</v>
      </c>
      <c r="G158">
        <v>1252.6494200000002</v>
      </c>
      <c r="H158">
        <v>149.75210000000001</v>
      </c>
      <c r="I158">
        <v>1.4308333333333334</v>
      </c>
      <c r="J158">
        <v>148.32126666666667</v>
      </c>
      <c r="K158">
        <v>1251.440447756592</v>
      </c>
      <c r="L158">
        <v>99.903486783763626</v>
      </c>
      <c r="M158">
        <v>1236.0928876491812</v>
      </c>
      <c r="N158">
        <v>98.678278847499172</v>
      </c>
      <c r="O158">
        <v>128</v>
      </c>
      <c r="P158">
        <v>41.7</v>
      </c>
      <c r="Q158">
        <v>100</v>
      </c>
      <c r="R158">
        <v>3</v>
      </c>
      <c r="S158" t="s">
        <v>2491</v>
      </c>
      <c r="T158" t="s">
        <v>2491</v>
      </c>
      <c r="U158" s="90">
        <f t="shared" si="30"/>
        <v>15.3475601074108</v>
      </c>
      <c r="V158" s="90">
        <f t="shared" si="34"/>
        <v>1.8415845428115067</v>
      </c>
      <c r="W158" s="90">
        <f t="shared" si="35"/>
        <v>1.2263915662086651</v>
      </c>
      <c r="X158" s="33">
        <f t="shared" si="32"/>
        <v>258.10628528046902</v>
      </c>
      <c r="Y158" s="33">
        <f t="shared" si="33"/>
        <v>9.0903372415745842</v>
      </c>
      <c r="Z158" s="21"/>
      <c r="AA158" s="21"/>
      <c r="AB158" s="21"/>
    </row>
    <row r="159" spans="1:39">
      <c r="A159" s="67">
        <v>43664</v>
      </c>
      <c r="B159">
        <v>9</v>
      </c>
      <c r="C159" t="s">
        <v>3046</v>
      </c>
      <c r="D159">
        <v>2153.1999999999998</v>
      </c>
      <c r="G159">
        <v>2152.7693599999998</v>
      </c>
      <c r="H159">
        <v>256.52210000000002</v>
      </c>
      <c r="I159">
        <v>1.4308333333333334</v>
      </c>
      <c r="J159">
        <v>255.09126666666668</v>
      </c>
      <c r="K159">
        <v>2151.028983657131</v>
      </c>
      <c r="L159">
        <v>99.919156395700995</v>
      </c>
      <c r="M159">
        <v>2125.9021549264503</v>
      </c>
      <c r="N159">
        <v>98.751970110093467</v>
      </c>
      <c r="O159">
        <v>128</v>
      </c>
      <c r="P159">
        <v>41.7</v>
      </c>
      <c r="Q159">
        <v>100</v>
      </c>
      <c r="R159">
        <v>3</v>
      </c>
      <c r="S159" t="s">
        <v>2491</v>
      </c>
      <c r="T159" t="s">
        <v>2491</v>
      </c>
      <c r="U159" s="90">
        <f t="shared" si="30"/>
        <v>25.1268287306807</v>
      </c>
      <c r="V159" s="90">
        <f t="shared" si="34"/>
        <v>3.0150186138023298</v>
      </c>
      <c r="W159" s="90">
        <f t="shared" si="35"/>
        <v>1.1681306445234705</v>
      </c>
      <c r="X159" s="33">
        <f t="shared" si="32"/>
        <v>371.90749823457992</v>
      </c>
      <c r="Y159" s="33">
        <f t="shared" si="33"/>
        <v>18.080622870844298</v>
      </c>
      <c r="Z159" s="21"/>
      <c r="AA159" s="21"/>
      <c r="AB159" s="21"/>
    </row>
    <row r="160" spans="1:39">
      <c r="A160" s="67">
        <v>43664</v>
      </c>
      <c r="B160">
        <v>10</v>
      </c>
      <c r="C160" t="s">
        <v>3047</v>
      </c>
      <c r="D160">
        <v>3092.8</v>
      </c>
      <c r="G160">
        <v>3092.1814400000003</v>
      </c>
      <c r="H160">
        <v>369.08620000000002</v>
      </c>
      <c r="I160">
        <v>1.4308333333333334</v>
      </c>
      <c r="J160">
        <v>367.65536666666668</v>
      </c>
      <c r="K160">
        <v>3099.4355951955959</v>
      </c>
      <c r="L160">
        <v>100.23459668639612</v>
      </c>
      <c r="M160">
        <v>3063.9988051346104</v>
      </c>
      <c r="N160">
        <v>99.088584049408496</v>
      </c>
      <c r="O160">
        <v>128</v>
      </c>
      <c r="P160">
        <v>41.7</v>
      </c>
      <c r="Q160">
        <v>100</v>
      </c>
      <c r="R160">
        <v>3</v>
      </c>
      <c r="S160" t="s">
        <v>2491</v>
      </c>
      <c r="T160" t="s">
        <v>2491</v>
      </c>
      <c r="U160" s="90">
        <f t="shared" si="30"/>
        <v>35.436790060985459</v>
      </c>
      <c r="V160" s="90">
        <f t="shared" si="34"/>
        <v>4.2521315679132314</v>
      </c>
      <c r="W160" s="90">
        <f t="shared" si="35"/>
        <v>1.1433304217037346</v>
      </c>
      <c r="X160" s="33">
        <f t="shared" si="32"/>
        <v>463.26968043521089</v>
      </c>
      <c r="Y160" s="33">
        <f t="shared" si="33"/>
        <v>27.513316530479731</v>
      </c>
      <c r="Z160" s="21"/>
      <c r="AA160" s="452" t="s">
        <v>2987</v>
      </c>
      <c r="AB160" s="21"/>
    </row>
    <row r="161" spans="1:39">
      <c r="A161" s="67">
        <v>43664</v>
      </c>
      <c r="B161">
        <v>11</v>
      </c>
      <c r="C161" t="s">
        <v>3048</v>
      </c>
      <c r="D161">
        <v>3865.9</v>
      </c>
      <c r="G161">
        <v>3865.12682</v>
      </c>
      <c r="H161">
        <v>459.45519999999999</v>
      </c>
      <c r="I161">
        <v>1.4308333333333334</v>
      </c>
      <c r="J161">
        <v>458.02436666666665</v>
      </c>
      <c r="K161">
        <v>3860.8378280399879</v>
      </c>
      <c r="L161">
        <v>99.889033603300703</v>
      </c>
      <c r="M161">
        <v>3817.1239683319459</v>
      </c>
      <c r="N161">
        <v>98.758052351098428</v>
      </c>
      <c r="O161">
        <v>128</v>
      </c>
      <c r="P161">
        <v>41.7</v>
      </c>
      <c r="Q161">
        <v>100</v>
      </c>
      <c r="R161">
        <v>3</v>
      </c>
      <c r="S161" t="s">
        <v>2491</v>
      </c>
      <c r="T161" t="s">
        <v>2491</v>
      </c>
      <c r="U161" s="90">
        <f t="shared" si="30"/>
        <v>43.713859708042037</v>
      </c>
      <c r="V161" s="90">
        <f t="shared" si="34"/>
        <v>5.2453137685441584</v>
      </c>
      <c r="W161" s="90">
        <f t="shared" si="35"/>
        <v>1.1322376555306917</v>
      </c>
      <c r="X161" s="21"/>
      <c r="Y161" s="452">
        <f>SQRT(SUM(Y155:Y160)/(6-2))</f>
        <v>3.8247731572176438</v>
      </c>
      <c r="Z161" s="452" t="s">
        <v>2990</v>
      </c>
      <c r="AA161" s="453">
        <f>(Y161/$AK$15)*100</f>
        <v>1.8739118246065771</v>
      </c>
      <c r="AB161" s="21"/>
    </row>
    <row r="162" spans="1:39">
      <c r="A162" s="67">
        <v>43664</v>
      </c>
      <c r="B162">
        <v>12</v>
      </c>
      <c r="C162" t="s">
        <v>2955</v>
      </c>
      <c r="H162">
        <v>1.1681999999999999</v>
      </c>
      <c r="J162">
        <v>1.1681999999999999</v>
      </c>
      <c r="O162">
        <v>128</v>
      </c>
      <c r="P162">
        <v>41.7</v>
      </c>
      <c r="Q162">
        <v>100</v>
      </c>
      <c r="R162">
        <v>3</v>
      </c>
      <c r="S162" t="s">
        <v>2491</v>
      </c>
      <c r="T162" t="s">
        <v>2491</v>
      </c>
      <c r="U162" s="90"/>
      <c r="V162" s="90"/>
      <c r="W162" s="90"/>
      <c r="X162" s="21"/>
      <c r="Y162" s="453">
        <f>(Y161/12.01)*100.09</f>
        <v>31.875232748202663</v>
      </c>
      <c r="Z162" s="452" t="s">
        <v>2991</v>
      </c>
      <c r="AA162" s="21"/>
      <c r="AB162" s="21"/>
    </row>
    <row r="163" spans="1:39">
      <c r="A163" s="67">
        <v>43664</v>
      </c>
      <c r="B163">
        <v>13</v>
      </c>
      <c r="C163" t="s">
        <v>2956</v>
      </c>
      <c r="H163">
        <v>1.0003</v>
      </c>
      <c r="J163">
        <v>1.0003</v>
      </c>
      <c r="O163">
        <v>128</v>
      </c>
      <c r="P163">
        <v>41.7</v>
      </c>
      <c r="Q163">
        <v>100</v>
      </c>
      <c r="R163">
        <v>3</v>
      </c>
      <c r="S163" t="s">
        <v>2491</v>
      </c>
      <c r="T163" t="s">
        <v>2491</v>
      </c>
      <c r="U163" s="90"/>
      <c r="V163" s="90"/>
      <c r="W163" s="90"/>
    </row>
    <row r="164" spans="1:39">
      <c r="A164" s="67">
        <v>43664</v>
      </c>
      <c r="B164">
        <v>14</v>
      </c>
      <c r="C164" t="s">
        <v>2957</v>
      </c>
      <c r="H164">
        <v>0.92420000000000002</v>
      </c>
      <c r="J164">
        <v>0.92420000000000002</v>
      </c>
      <c r="O164">
        <v>128</v>
      </c>
      <c r="P164">
        <v>41.7</v>
      </c>
      <c r="Q164">
        <v>100</v>
      </c>
      <c r="R164">
        <v>3</v>
      </c>
      <c r="S164" t="s">
        <v>2491</v>
      </c>
      <c r="T164" t="s">
        <v>2491</v>
      </c>
      <c r="U164" s="90"/>
      <c r="V164" s="90"/>
      <c r="W164" s="90"/>
    </row>
    <row r="165" spans="1:39">
      <c r="A165" s="449">
        <v>43664</v>
      </c>
      <c r="B165" s="295">
        <v>15</v>
      </c>
      <c r="C165" s="295" t="s">
        <v>2958</v>
      </c>
      <c r="D165" s="295">
        <v>1449.9</v>
      </c>
      <c r="E165" s="295"/>
      <c r="F165" s="295"/>
      <c r="G165" s="295"/>
      <c r="H165" s="295">
        <v>22.688700000000001</v>
      </c>
      <c r="I165" s="295">
        <v>1.0308999999999999</v>
      </c>
      <c r="J165" s="295">
        <v>21.657800000000002</v>
      </c>
      <c r="K165" s="295">
        <v>184.23989956184244</v>
      </c>
      <c r="L165" s="295">
        <v>12.707076319873261</v>
      </c>
      <c r="M165" s="295">
        <v>180.49368875936725</v>
      </c>
      <c r="N165" s="295">
        <v>12.448699135069125</v>
      </c>
      <c r="O165" s="295">
        <v>128</v>
      </c>
      <c r="P165" s="295">
        <v>41.7</v>
      </c>
      <c r="Q165" s="295">
        <v>100</v>
      </c>
      <c r="R165" s="295">
        <v>3</v>
      </c>
      <c r="S165" s="295" t="s">
        <v>2491</v>
      </c>
      <c r="T165" s="295" t="s">
        <v>2491</v>
      </c>
      <c r="U165" s="90">
        <f t="shared" si="30"/>
        <v>3.7462108024751899</v>
      </c>
      <c r="V165" s="90">
        <f t="shared" ref="V165:V166" si="36">(U165/100.09)*12.01</f>
        <v>0.44951535355906713</v>
      </c>
      <c r="W165" s="90">
        <f t="shared" ref="W165:W166" si="37">(U165/K165)*100</f>
        <v>2.03333306812715</v>
      </c>
    </row>
    <row r="166" spans="1:39">
      <c r="A166" s="449">
        <v>43664</v>
      </c>
      <c r="B166" s="295">
        <v>16</v>
      </c>
      <c r="C166" s="295" t="s">
        <v>2958</v>
      </c>
      <c r="D166" s="295">
        <v>2733</v>
      </c>
      <c r="E166" s="295"/>
      <c r="F166" s="295"/>
      <c r="G166" s="295"/>
      <c r="H166" s="295">
        <v>37.3003</v>
      </c>
      <c r="I166" s="295">
        <v>1.0308999999999999</v>
      </c>
      <c r="J166" s="295">
        <v>36.269399999999997</v>
      </c>
      <c r="K166" s="295">
        <v>307.34964809761385</v>
      </c>
      <c r="L166" s="295">
        <v>11.24587076829908</v>
      </c>
      <c r="M166" s="295">
        <v>302.26513288925895</v>
      </c>
      <c r="N166" s="295">
        <v>11.059829231220599</v>
      </c>
      <c r="O166" s="295">
        <v>128</v>
      </c>
      <c r="P166" s="295">
        <v>41.7</v>
      </c>
      <c r="Q166" s="295">
        <v>100</v>
      </c>
      <c r="R166" s="295">
        <v>3</v>
      </c>
      <c r="S166" s="295" t="s">
        <v>2491</v>
      </c>
      <c r="T166" s="295" t="s">
        <v>2491</v>
      </c>
      <c r="U166" s="90">
        <f t="shared" si="30"/>
        <v>5.084515208354901</v>
      </c>
      <c r="V166" s="90">
        <f t="shared" si="36"/>
        <v>0.61010118545651271</v>
      </c>
      <c r="W166" s="90">
        <f t="shared" si="37"/>
        <v>1.6543097543225642</v>
      </c>
    </row>
    <row r="167" spans="1:39">
      <c r="A167" s="67">
        <v>43664</v>
      </c>
      <c r="B167">
        <v>17</v>
      </c>
      <c r="C167" t="s">
        <v>2959</v>
      </c>
      <c r="H167">
        <v>0.68210000000000004</v>
      </c>
      <c r="I167">
        <v>0.60040000000000004</v>
      </c>
      <c r="J167">
        <v>8.1699999999999995E-2</v>
      </c>
      <c r="M167">
        <v>0.68087868442964194</v>
      </c>
      <c r="O167">
        <v>128</v>
      </c>
      <c r="P167">
        <v>41.7</v>
      </c>
      <c r="Q167">
        <v>100</v>
      </c>
      <c r="R167">
        <v>3</v>
      </c>
      <c r="S167" t="s">
        <v>2491</v>
      </c>
      <c r="T167" t="s">
        <v>2491</v>
      </c>
      <c r="U167" s="90"/>
      <c r="V167" s="90"/>
      <c r="W167" s="90"/>
    </row>
    <row r="168" spans="1:39">
      <c r="A168" s="67">
        <v>43664</v>
      </c>
      <c r="B168">
        <v>18</v>
      </c>
      <c r="C168" t="s">
        <v>3049</v>
      </c>
      <c r="D168">
        <v>2916.4</v>
      </c>
      <c r="E168">
        <v>2916.4</v>
      </c>
      <c r="H168">
        <v>272.16469999999998</v>
      </c>
      <c r="I168">
        <v>0.60040000000000004</v>
      </c>
      <c r="J168">
        <v>271.5643</v>
      </c>
      <c r="K168">
        <v>2289.8222021471011</v>
      </c>
      <c r="L168">
        <v>78.515368335862746</v>
      </c>
      <c r="M168">
        <v>2263.1865767693589</v>
      </c>
      <c r="N168">
        <v>77.602063392173875</v>
      </c>
      <c r="O168">
        <v>128</v>
      </c>
      <c r="P168">
        <v>41.7</v>
      </c>
      <c r="Q168">
        <v>100</v>
      </c>
      <c r="R168">
        <v>3</v>
      </c>
      <c r="S168" t="s">
        <v>2491</v>
      </c>
      <c r="T168" t="s">
        <v>2491</v>
      </c>
      <c r="U168" s="90">
        <f t="shared" si="30"/>
        <v>26.635625377742144</v>
      </c>
      <c r="V168" s="90">
        <f t="shared" ref="V168:V172" si="38">(U168/100.09)*12.01</f>
        <v>3.1960621519300942</v>
      </c>
      <c r="W168" s="90">
        <f t="shared" ref="W168:W172" si="39">(U168/K168)*100</f>
        <v>1.1632180591474168</v>
      </c>
    </row>
    <row r="169" spans="1:39">
      <c r="A169" s="67">
        <v>43664</v>
      </c>
      <c r="B169">
        <v>19</v>
      </c>
      <c r="C169" t="s">
        <v>3050</v>
      </c>
      <c r="D169">
        <v>2125.1</v>
      </c>
      <c r="E169">
        <v>2125.1</v>
      </c>
      <c r="H169">
        <v>194.4709</v>
      </c>
      <c r="I169">
        <v>0.60040000000000004</v>
      </c>
      <c r="J169">
        <v>193.87049999999999</v>
      </c>
      <c r="K169">
        <v>1635.2146177081265</v>
      </c>
      <c r="L169">
        <v>76.947655061320717</v>
      </c>
      <c r="M169">
        <v>1615.6951161532056</v>
      </c>
      <c r="N169">
        <v>76.029133506809359</v>
      </c>
      <c r="O169">
        <v>128</v>
      </c>
      <c r="P169">
        <v>41.7</v>
      </c>
      <c r="Q169">
        <v>100</v>
      </c>
      <c r="R169">
        <v>3</v>
      </c>
      <c r="S169" t="s">
        <v>2491</v>
      </c>
      <c r="T169" t="s">
        <v>2491</v>
      </c>
      <c r="U169" s="90">
        <f t="shared" si="30"/>
        <v>19.519501554920907</v>
      </c>
      <c r="V169" s="90">
        <f t="shared" si="38"/>
        <v>2.3421841709921081</v>
      </c>
      <c r="W169" s="90">
        <f t="shared" si="39"/>
        <v>1.1936966159389477</v>
      </c>
    </row>
    <row r="170" spans="1:39">
      <c r="A170" s="67">
        <v>43664</v>
      </c>
      <c r="B170">
        <v>20</v>
      </c>
      <c r="C170" t="s">
        <v>3051</v>
      </c>
      <c r="D170">
        <v>2116.6</v>
      </c>
      <c r="E170">
        <v>2116.6</v>
      </c>
      <c r="H170">
        <v>188.797</v>
      </c>
      <c r="I170">
        <v>0.60040000000000004</v>
      </c>
      <c r="J170">
        <v>188.19659999999999</v>
      </c>
      <c r="K170">
        <v>1587.4092848070675</v>
      </c>
      <c r="L170">
        <v>74.998076386991769</v>
      </c>
      <c r="M170">
        <v>1568.4094666111573</v>
      </c>
      <c r="N170">
        <v>74.100418908209278</v>
      </c>
      <c r="O170">
        <v>128</v>
      </c>
      <c r="P170">
        <v>41.7</v>
      </c>
      <c r="Q170">
        <v>100</v>
      </c>
      <c r="R170">
        <v>3</v>
      </c>
      <c r="S170" t="s">
        <v>2491</v>
      </c>
      <c r="T170" t="s">
        <v>2491</v>
      </c>
      <c r="U170" s="90">
        <f t="shared" si="30"/>
        <v>18.999818195910166</v>
      </c>
      <c r="V170" s="90">
        <f t="shared" si="38"/>
        <v>2.2798263216393355</v>
      </c>
      <c r="W170" s="90">
        <f t="shared" si="39"/>
        <v>1.1969073368636236</v>
      </c>
    </row>
    <row r="171" spans="1:39">
      <c r="A171" s="450">
        <v>43664</v>
      </c>
      <c r="B171" s="200">
        <v>21</v>
      </c>
      <c r="C171" s="200" t="s">
        <v>3052</v>
      </c>
      <c r="D171" s="200">
        <v>3355.6</v>
      </c>
      <c r="E171" s="200">
        <v>3355.6</v>
      </c>
      <c r="F171" s="200"/>
      <c r="G171" s="200"/>
      <c r="H171" s="200">
        <v>260.55610000000001</v>
      </c>
      <c r="I171" s="200">
        <v>0.60040000000000004</v>
      </c>
      <c r="J171" s="200">
        <v>259.95570000000004</v>
      </c>
      <c r="K171" s="200">
        <v>2192.0141710723146</v>
      </c>
      <c r="L171" s="200">
        <v>65.324060408639724</v>
      </c>
      <c r="M171" s="200">
        <v>2166.4417995836807</v>
      </c>
      <c r="N171" s="200">
        <v>64.561979961368479</v>
      </c>
      <c r="O171" s="200">
        <v>128</v>
      </c>
      <c r="P171" s="200">
        <v>41.7</v>
      </c>
      <c r="Q171" s="200">
        <v>100</v>
      </c>
      <c r="R171" s="200">
        <v>3</v>
      </c>
      <c r="S171" s="200" t="s">
        <v>2491</v>
      </c>
      <c r="T171" s="200" t="s">
        <v>2491</v>
      </c>
      <c r="U171" s="90">
        <f t="shared" si="30"/>
        <v>25.572371488633962</v>
      </c>
      <c r="V171" s="90">
        <f t="shared" si="38"/>
        <v>3.0684801836196809</v>
      </c>
      <c r="W171" s="90">
        <f t="shared" si="39"/>
        <v>1.1666152448332108</v>
      </c>
      <c r="X171" s="80"/>
      <c r="Y171" s="80"/>
      <c r="Z171" s="80"/>
      <c r="AA171" s="80"/>
      <c r="AB171" s="80"/>
      <c r="AC171" s="80"/>
      <c r="AD171" s="80"/>
      <c r="AE171" s="80"/>
      <c r="AF171" s="80"/>
      <c r="AG171" s="80"/>
      <c r="AH171" s="80"/>
      <c r="AI171" s="80"/>
      <c r="AJ171" s="80"/>
      <c r="AK171" s="80"/>
      <c r="AL171" s="80"/>
      <c r="AM171" s="80"/>
    </row>
    <row r="172" spans="1:39">
      <c r="A172" s="67">
        <v>43664</v>
      </c>
      <c r="B172">
        <v>22</v>
      </c>
      <c r="C172" t="s">
        <v>3053</v>
      </c>
      <c r="D172">
        <v>3292.7</v>
      </c>
      <c r="E172">
        <v>3292.7</v>
      </c>
      <c r="H172">
        <v>353.34129999999999</v>
      </c>
      <c r="I172">
        <v>0.60040000000000004</v>
      </c>
      <c r="J172">
        <v>352.74090000000001</v>
      </c>
      <c r="K172">
        <v>2973.7740495141866</v>
      </c>
      <c r="L172">
        <v>90.314150985944266</v>
      </c>
      <c r="M172">
        <v>2939.7033039966695</v>
      </c>
      <c r="N172">
        <v>89.279415191079352</v>
      </c>
      <c r="O172">
        <v>128</v>
      </c>
      <c r="P172">
        <v>41.7</v>
      </c>
      <c r="Q172">
        <v>100</v>
      </c>
      <c r="R172">
        <v>3</v>
      </c>
      <c r="S172" t="s">
        <v>2491</v>
      </c>
      <c r="T172" t="s">
        <v>2491</v>
      </c>
      <c r="U172" s="90">
        <f t="shared" si="30"/>
        <v>34.070745517517025</v>
      </c>
      <c r="V172" s="90">
        <f t="shared" si="38"/>
        <v>4.0882171412266901</v>
      </c>
      <c r="W172" s="90">
        <f t="shared" si="39"/>
        <v>1.1457072713067431</v>
      </c>
      <c r="X172" s="80"/>
      <c r="Y172" s="80"/>
      <c r="Z172" s="80"/>
      <c r="AA172" s="80"/>
      <c r="AB172" s="80"/>
      <c r="AC172" s="80"/>
      <c r="AD172" s="80"/>
      <c r="AE172" s="80"/>
      <c r="AF172" s="80"/>
      <c r="AG172" s="80"/>
      <c r="AH172" s="80"/>
      <c r="AI172" s="80"/>
      <c r="AJ172" s="80"/>
      <c r="AK172" s="80"/>
      <c r="AL172" s="80"/>
      <c r="AM172" s="80"/>
    </row>
    <row r="173" spans="1:39">
      <c r="A173" s="67">
        <v>43664</v>
      </c>
      <c r="B173">
        <v>23</v>
      </c>
      <c r="C173" t="s">
        <v>2965</v>
      </c>
      <c r="H173">
        <v>0.80169999999999997</v>
      </c>
      <c r="I173">
        <v>0.60040000000000004</v>
      </c>
      <c r="J173">
        <v>0.20129999999999992</v>
      </c>
      <c r="O173">
        <v>128</v>
      </c>
      <c r="P173">
        <v>41.7</v>
      </c>
      <c r="Q173">
        <v>100</v>
      </c>
      <c r="R173">
        <v>3</v>
      </c>
      <c r="S173" t="s">
        <v>2491</v>
      </c>
      <c r="T173" t="s">
        <v>2491</v>
      </c>
      <c r="U173" s="90"/>
      <c r="V173" s="90"/>
      <c r="W173" s="90"/>
    </row>
    <row r="174" spans="1:39">
      <c r="A174" s="67">
        <v>43664</v>
      </c>
      <c r="B174">
        <v>24</v>
      </c>
      <c r="C174" t="s">
        <v>3054</v>
      </c>
      <c r="D174">
        <v>2452.8000000000002</v>
      </c>
      <c r="E174">
        <v>2452.8000000000002</v>
      </c>
      <c r="H174">
        <v>198.9787</v>
      </c>
      <c r="I174">
        <v>0.60040000000000004</v>
      </c>
      <c r="J174">
        <v>198.3783</v>
      </c>
      <c r="K174">
        <v>1673.1949979847252</v>
      </c>
      <c r="L174">
        <v>68.215712572762769</v>
      </c>
      <c r="M174">
        <v>1653.2626184013322</v>
      </c>
      <c r="N174">
        <v>67.403074788051697</v>
      </c>
      <c r="O174">
        <v>128</v>
      </c>
      <c r="P174">
        <v>41.7</v>
      </c>
      <c r="Q174">
        <v>100</v>
      </c>
      <c r="R174">
        <v>3</v>
      </c>
      <c r="S174" t="s">
        <v>2491</v>
      </c>
      <c r="T174" t="s">
        <v>2491</v>
      </c>
      <c r="U174" s="90">
        <f t="shared" si="30"/>
        <v>19.932379583392958</v>
      </c>
      <c r="V174" s="90">
        <f t="shared" ref="V174:V178" si="40">(U174/100.09)*12.01</f>
        <v>2.3917262343545747</v>
      </c>
      <c r="W174" s="90">
        <f t="shared" ref="W174:W178" si="41">(U174/K174)*100</f>
        <v>1.1912765462125128</v>
      </c>
    </row>
    <row r="175" spans="1:39">
      <c r="A175" s="67">
        <v>43664</v>
      </c>
      <c r="B175">
        <v>25</v>
      </c>
      <c r="C175" t="s">
        <v>3055</v>
      </c>
      <c r="D175">
        <v>2873.9</v>
      </c>
      <c r="E175">
        <v>2873.9</v>
      </c>
      <c r="H175">
        <v>227.6671</v>
      </c>
      <c r="I175">
        <v>0.60040000000000004</v>
      </c>
      <c r="J175">
        <v>227.0667</v>
      </c>
      <c r="K175">
        <v>1914.9085481704426</v>
      </c>
      <c r="L175">
        <v>66.631008322156049</v>
      </c>
      <c r="M175">
        <v>1892.3485431307245</v>
      </c>
      <c r="N175">
        <v>65.846012148325428</v>
      </c>
      <c r="O175">
        <v>128</v>
      </c>
      <c r="P175">
        <v>41.7</v>
      </c>
      <c r="Q175">
        <v>100</v>
      </c>
      <c r="R175">
        <v>3</v>
      </c>
      <c r="S175" t="s">
        <v>2491</v>
      </c>
      <c r="T175" t="s">
        <v>2491</v>
      </c>
      <c r="U175" s="90">
        <f t="shared" si="30"/>
        <v>22.560005039718135</v>
      </c>
      <c r="V175" s="90">
        <f t="shared" si="40"/>
        <v>2.7070202870118374</v>
      </c>
      <c r="W175" s="90">
        <f t="shared" si="41"/>
        <v>1.1781244102373765</v>
      </c>
    </row>
    <row r="176" spans="1:39">
      <c r="A176" s="67">
        <v>43664</v>
      </c>
      <c r="B176">
        <v>26</v>
      </c>
      <c r="C176" t="s">
        <v>3056</v>
      </c>
      <c r="D176">
        <v>2325.1999999999998</v>
      </c>
      <c r="E176">
        <v>2325.1999999999998</v>
      </c>
      <c r="H176">
        <v>185.58670000000001</v>
      </c>
      <c r="I176">
        <v>0.60040000000000004</v>
      </c>
      <c r="J176">
        <v>184.9863</v>
      </c>
      <c r="K176">
        <v>1560.3609652716036</v>
      </c>
      <c r="L176">
        <v>67.106526977103215</v>
      </c>
      <c r="M176">
        <v>1541.6551845961699</v>
      </c>
      <c r="N176">
        <v>66.302046473256922</v>
      </c>
      <c r="O176">
        <v>128</v>
      </c>
      <c r="P176">
        <v>41.7</v>
      </c>
      <c r="Q176">
        <v>100</v>
      </c>
      <c r="R176">
        <v>3</v>
      </c>
      <c r="S176" t="s">
        <v>2491</v>
      </c>
      <c r="T176" t="s">
        <v>2491</v>
      </c>
      <c r="U176" s="90">
        <f t="shared" si="30"/>
        <v>18.705780675433743</v>
      </c>
      <c r="V176" s="90">
        <f t="shared" si="40"/>
        <v>2.2445441693671619</v>
      </c>
      <c r="W176" s="90">
        <f t="shared" si="41"/>
        <v>1.1988111143358249</v>
      </c>
    </row>
    <row r="177" spans="1:40">
      <c r="A177" s="450">
        <v>43664</v>
      </c>
      <c r="B177" s="200">
        <v>27</v>
      </c>
      <c r="C177" s="200" t="s">
        <v>3057</v>
      </c>
      <c r="D177" s="200">
        <v>2136.6999999999998</v>
      </c>
      <c r="E177" s="200">
        <v>2136.6999999999998</v>
      </c>
      <c r="F177" s="200"/>
      <c r="G177" s="200"/>
      <c r="H177" s="200">
        <v>167.26130000000001</v>
      </c>
      <c r="I177" s="200">
        <v>0.60040000000000004</v>
      </c>
      <c r="J177" s="200">
        <v>166.6609</v>
      </c>
      <c r="K177" s="200">
        <v>1405.9606678491839</v>
      </c>
      <c r="L177" s="200">
        <v>65.80056478912266</v>
      </c>
      <c r="M177" s="200">
        <v>1388.9333456286427</v>
      </c>
      <c r="N177" s="200">
        <v>65.003666664887106</v>
      </c>
      <c r="O177" s="200">
        <v>128</v>
      </c>
      <c r="P177" s="200">
        <v>41.7</v>
      </c>
      <c r="Q177" s="200">
        <v>100</v>
      </c>
      <c r="R177" s="200">
        <v>3</v>
      </c>
      <c r="S177" s="200" t="s">
        <v>2491</v>
      </c>
      <c r="T177" s="200" t="s">
        <v>2491</v>
      </c>
      <c r="U177" s="90">
        <f t="shared" si="30"/>
        <v>17.027322220541237</v>
      </c>
      <c r="V177" s="90">
        <f t="shared" si="40"/>
        <v>2.0431425703736661</v>
      </c>
      <c r="W177" s="90">
        <f t="shared" si="41"/>
        <v>1.2110809789998864</v>
      </c>
    </row>
    <row r="178" spans="1:40">
      <c r="A178" s="67">
        <v>43664</v>
      </c>
      <c r="B178">
        <v>28</v>
      </c>
      <c r="C178" t="s">
        <v>3058</v>
      </c>
      <c r="D178">
        <v>2439</v>
      </c>
      <c r="E178">
        <v>2439</v>
      </c>
      <c r="H178">
        <v>223.10429999999999</v>
      </c>
      <c r="I178">
        <v>0.60040000000000004</v>
      </c>
      <c r="J178">
        <v>222.50389999999999</v>
      </c>
      <c r="K178">
        <v>1876.4647664751444</v>
      </c>
      <c r="L178">
        <v>76.935824783728762</v>
      </c>
      <c r="M178">
        <v>1854.3226770191507</v>
      </c>
      <c r="N178">
        <v>76.027990037685555</v>
      </c>
      <c r="O178">
        <v>128</v>
      </c>
      <c r="P178">
        <v>41.7</v>
      </c>
      <c r="Q178">
        <v>100</v>
      </c>
      <c r="R178">
        <v>3</v>
      </c>
      <c r="S178" t="s">
        <v>2491</v>
      </c>
      <c r="T178" t="s">
        <v>2491</v>
      </c>
      <c r="U178" s="90">
        <f t="shared" si="30"/>
        <v>22.142089455993755</v>
      </c>
      <c r="V178" s="90">
        <f t="shared" si="40"/>
        <v>2.6568737572832952</v>
      </c>
      <c r="W178" s="90">
        <f t="shared" si="41"/>
        <v>1.1799896193940633</v>
      </c>
    </row>
    <row r="179" spans="1:40">
      <c r="A179" s="67">
        <v>43664</v>
      </c>
      <c r="B179">
        <v>29</v>
      </c>
      <c r="C179" t="s">
        <v>2971</v>
      </c>
      <c r="H179">
        <v>0.41170000000000001</v>
      </c>
      <c r="I179">
        <v>0.60040000000000004</v>
      </c>
      <c r="J179">
        <v>-0.18870000000000003</v>
      </c>
      <c r="L179" t="e">
        <v>#DIV/0!</v>
      </c>
      <c r="M179">
        <v>-1.5726047460449628</v>
      </c>
      <c r="N179" t="e">
        <v>#DIV/0!</v>
      </c>
      <c r="O179">
        <v>128</v>
      </c>
      <c r="P179">
        <v>41.7</v>
      </c>
      <c r="Q179">
        <v>100</v>
      </c>
      <c r="R179">
        <v>3</v>
      </c>
      <c r="S179" t="s">
        <v>2491</v>
      </c>
      <c r="T179" t="s">
        <v>2491</v>
      </c>
      <c r="U179" s="90"/>
      <c r="V179" s="90"/>
      <c r="W179" s="90"/>
    </row>
    <row r="180" spans="1:40">
      <c r="A180" s="67">
        <v>43664</v>
      </c>
      <c r="B180">
        <v>30</v>
      </c>
      <c r="C180" t="s">
        <v>3059</v>
      </c>
      <c r="D180">
        <v>1947.1</v>
      </c>
      <c r="G180">
        <v>1946.7105799999999</v>
      </c>
      <c r="H180">
        <v>231.02500000000001</v>
      </c>
      <c r="I180">
        <v>0.60040000000000004</v>
      </c>
      <c r="J180">
        <v>230.4246</v>
      </c>
      <c r="K180">
        <v>1943.2004686040889</v>
      </c>
      <c r="L180">
        <v>99.819690125898887</v>
      </c>
      <c r="M180">
        <v>1920.3329070774355</v>
      </c>
      <c r="N180">
        <v>98.62528411881442</v>
      </c>
      <c r="O180">
        <v>128</v>
      </c>
      <c r="P180">
        <v>41.7</v>
      </c>
      <c r="Q180">
        <v>100</v>
      </c>
      <c r="R180">
        <v>3</v>
      </c>
      <c r="S180" t="s">
        <v>2491</v>
      </c>
      <c r="T180" t="s">
        <v>2491</v>
      </c>
      <c r="U180" s="90">
        <f t="shared" si="30"/>
        <v>22.86756152665339</v>
      </c>
      <c r="V180" s="90">
        <f t="shared" ref="V180" si="42">(U180/100.09)*12.01</f>
        <v>2.7439246072045878</v>
      </c>
      <c r="W180" s="90">
        <f>(U180/K180)*100</f>
        <v>1.1767988890554588</v>
      </c>
    </row>
    <row r="181" spans="1:40">
      <c r="A181" s="67">
        <v>43664</v>
      </c>
      <c r="B181">
        <v>31</v>
      </c>
      <c r="C181" t="s">
        <v>2973</v>
      </c>
      <c r="H181">
        <v>0.50609999999999999</v>
      </c>
      <c r="I181">
        <v>0.60040000000000004</v>
      </c>
      <c r="J181">
        <v>-9.430000000000005E-2</v>
      </c>
      <c r="L181" t="e">
        <v>#DIV/0!</v>
      </c>
      <c r="M181">
        <v>-0.7858856786011662</v>
      </c>
      <c r="N181" t="e">
        <v>#DIV/0!</v>
      </c>
      <c r="O181">
        <v>128</v>
      </c>
      <c r="P181">
        <v>41.7</v>
      </c>
      <c r="Q181">
        <v>100</v>
      </c>
      <c r="R181">
        <v>3</v>
      </c>
      <c r="S181" t="s">
        <v>2491</v>
      </c>
      <c r="T181" t="s">
        <v>2491</v>
      </c>
      <c r="U181" s="90"/>
      <c r="V181" s="90"/>
      <c r="W181" s="90"/>
    </row>
    <row r="182" spans="1:40">
      <c r="B182" s="80" t="s">
        <v>2974</v>
      </c>
      <c r="U182" s="90"/>
      <c r="V182" s="90"/>
      <c r="W182" s="90"/>
    </row>
    <row r="183" spans="1:40">
      <c r="F183" s="80"/>
      <c r="G183" s="80"/>
      <c r="H183" s="80" t="s">
        <v>2975</v>
      </c>
      <c r="I183" s="80"/>
      <c r="J183" s="80"/>
      <c r="U183" s="90"/>
      <c r="V183" s="90"/>
      <c r="W183" s="90"/>
    </row>
    <row r="184" spans="1:40">
      <c r="F184" s="80" t="s">
        <v>3052</v>
      </c>
      <c r="G184" s="80"/>
      <c r="H184" s="80">
        <v>-0.72679617541597752</v>
      </c>
      <c r="I184" s="80"/>
      <c r="J184" s="80"/>
      <c r="U184" s="90"/>
      <c r="V184" s="90"/>
      <c r="W184" s="90"/>
    </row>
    <row r="185" spans="1:40">
      <c r="F185" s="80" t="s">
        <v>3057</v>
      </c>
      <c r="G185" s="80"/>
      <c r="H185" s="80"/>
      <c r="I185" s="80"/>
      <c r="J185" s="80"/>
      <c r="U185" s="90"/>
      <c r="V185" s="90"/>
      <c r="W185" s="90"/>
    </row>
    <row r="186" spans="1:40">
      <c r="F186" s="80"/>
      <c r="G186" s="80"/>
      <c r="H186" s="80"/>
      <c r="I186" s="80"/>
      <c r="J186" s="80"/>
      <c r="U186" s="90"/>
      <c r="V186" s="90"/>
      <c r="W186" s="90"/>
    </row>
    <row r="187" spans="1:40">
      <c r="U187" s="90"/>
      <c r="V187" s="90"/>
      <c r="W187" s="90"/>
    </row>
    <row r="188" spans="1:40">
      <c r="A188" t="s">
        <v>3062</v>
      </c>
      <c r="U188" s="90"/>
      <c r="V188" s="90"/>
      <c r="W188" s="90"/>
    </row>
    <row r="189" spans="1:40">
      <c r="A189" s="67">
        <v>43665</v>
      </c>
      <c r="B189">
        <v>1</v>
      </c>
      <c r="C189" t="s">
        <v>3043</v>
      </c>
      <c r="H189">
        <v>1.8171999999999999</v>
      </c>
      <c r="U189" s="90"/>
      <c r="V189" s="90"/>
      <c r="W189" s="90"/>
    </row>
    <row r="190" spans="1:40">
      <c r="A190" s="67">
        <v>43665</v>
      </c>
      <c r="B190">
        <v>2</v>
      </c>
      <c r="C190" t="s">
        <v>3043</v>
      </c>
      <c r="H190">
        <v>1.7664</v>
      </c>
      <c r="U190" s="90"/>
      <c r="V190" s="90"/>
      <c r="W190" s="90"/>
    </row>
    <row r="191" spans="1:40">
      <c r="A191" s="67">
        <v>43665</v>
      </c>
      <c r="B191">
        <v>3</v>
      </c>
      <c r="C191" t="s">
        <v>3043</v>
      </c>
      <c r="H191">
        <v>1.5024</v>
      </c>
      <c r="U191" s="90"/>
      <c r="V191" s="90"/>
      <c r="W191" s="90"/>
    </row>
    <row r="192" spans="1:40">
      <c r="A192" s="67">
        <v>43665</v>
      </c>
      <c r="B192">
        <v>4</v>
      </c>
      <c r="C192" t="s">
        <v>2947</v>
      </c>
      <c r="D192" t="s">
        <v>3011</v>
      </c>
      <c r="H192">
        <v>1.2984</v>
      </c>
      <c r="O192">
        <v>128</v>
      </c>
      <c r="P192">
        <v>41.7</v>
      </c>
      <c r="Q192">
        <v>100</v>
      </c>
      <c r="R192">
        <v>3</v>
      </c>
      <c r="S192" t="s">
        <v>2491</v>
      </c>
      <c r="T192" t="s">
        <v>2491</v>
      </c>
      <c r="U192" s="90"/>
      <c r="V192" s="90"/>
      <c r="W192" s="90"/>
      <c r="X192" s="429">
        <f>A189</f>
        <v>43665</v>
      </c>
      <c r="AC192" s="146"/>
      <c r="AD192" s="146"/>
      <c r="AE192" s="146"/>
      <c r="AF192" s="146"/>
      <c r="AG192" s="146"/>
      <c r="AH192" s="146"/>
      <c r="AI192" s="146"/>
      <c r="AJ192" s="146"/>
      <c r="AK192" s="146"/>
      <c r="AL192" s="146"/>
      <c r="AM192" s="146"/>
      <c r="AN192" s="146"/>
    </row>
    <row r="193" spans="1:40">
      <c r="A193" s="67">
        <v>43665</v>
      </c>
      <c r="B193">
        <v>5</v>
      </c>
      <c r="C193" t="s">
        <v>2948</v>
      </c>
      <c r="H193">
        <v>1.3057000000000001</v>
      </c>
      <c r="O193">
        <v>128</v>
      </c>
      <c r="P193">
        <v>41.7</v>
      </c>
      <c r="Q193">
        <v>100</v>
      </c>
      <c r="R193">
        <v>3</v>
      </c>
      <c r="S193" t="s">
        <v>2491</v>
      </c>
      <c r="T193" t="s">
        <v>2491</v>
      </c>
      <c r="U193" s="90"/>
      <c r="V193" s="90"/>
      <c r="W193" s="90"/>
      <c r="X193" s="90">
        <f>((J194-INDEX(LINEST($J$194:$J$199,$G$194:$G$199),2))/INDEX(LINEST($J$194:$J$199,$G$194:$G$199),1)/100.09)*12.01</f>
        <v>-0.43591429826708511</v>
      </c>
      <c r="Y193" s="90">
        <f>(J194-X193)^2</f>
        <v>5.057144838953536E-2</v>
      </c>
      <c r="AC193" s="146"/>
      <c r="AD193" s="146"/>
      <c r="AE193" s="146"/>
      <c r="AF193" s="146"/>
      <c r="AG193" s="146"/>
      <c r="AH193" s="146"/>
      <c r="AI193" s="146"/>
      <c r="AJ193" s="146"/>
      <c r="AK193" s="146"/>
      <c r="AL193" s="146"/>
      <c r="AM193" s="146"/>
      <c r="AN193" s="146"/>
    </row>
    <row r="194" spans="1:40">
      <c r="A194" s="67">
        <v>43665</v>
      </c>
      <c r="B194">
        <v>6</v>
      </c>
      <c r="C194" t="s">
        <v>2949</v>
      </c>
      <c r="G194">
        <v>0</v>
      </c>
      <c r="H194">
        <v>0.98550000000000004</v>
      </c>
      <c r="I194">
        <v>1.1965333333333332</v>
      </c>
      <c r="J194">
        <v>-0.21103333333333318</v>
      </c>
      <c r="O194">
        <v>128</v>
      </c>
      <c r="P194">
        <v>41.7</v>
      </c>
      <c r="Q194">
        <v>100</v>
      </c>
      <c r="R194">
        <v>3</v>
      </c>
      <c r="S194" t="s">
        <v>2491</v>
      </c>
      <c r="T194" t="s">
        <v>2491</v>
      </c>
      <c r="U194" s="90"/>
      <c r="V194" s="90"/>
      <c r="W194" s="90"/>
      <c r="X194" s="90">
        <f t="shared" ref="X194:X198" si="43">((J195-INDEX(LINEST($J$194:$J$199,$G$194:$G$199),2))/INDEX(LINEST($J$194:$J$199,$G$194:$G$199),1)/100.09)*12.01</f>
        <v>31.059953266242882</v>
      </c>
      <c r="Y194" s="90">
        <f t="shared" ref="Y194:Y198" si="44">(J195-X194)^2</f>
        <v>3.9994640010058202E-2</v>
      </c>
    </row>
    <row r="195" spans="1:40">
      <c r="A195" s="67">
        <v>43665</v>
      </c>
      <c r="B195">
        <v>7</v>
      </c>
      <c r="C195" t="s">
        <v>3063</v>
      </c>
      <c r="D195">
        <v>260.7</v>
      </c>
      <c r="G195">
        <v>260.64785999999998</v>
      </c>
      <c r="H195">
        <v>32.0565</v>
      </c>
      <c r="I195">
        <v>1.1965333333333332</v>
      </c>
      <c r="J195">
        <v>30.859966666666665</v>
      </c>
      <c r="K195">
        <v>258.85018504731477</v>
      </c>
      <c r="L195">
        <v>99.310305117147252</v>
      </c>
      <c r="M195">
        <v>257.18351903968914</v>
      </c>
      <c r="N195">
        <v>98.67087304675708</v>
      </c>
      <c r="O195">
        <v>128</v>
      </c>
      <c r="P195">
        <v>41.7</v>
      </c>
      <c r="Q195">
        <v>100</v>
      </c>
      <c r="R195">
        <v>3</v>
      </c>
      <c r="S195" t="s">
        <v>2491</v>
      </c>
      <c r="T195" t="s">
        <v>2491</v>
      </c>
      <c r="U195" s="90">
        <f t="shared" si="30"/>
        <v>1.6666660076256221</v>
      </c>
      <c r="V195" s="90">
        <f t="shared" ref="V195:V199" si="45">(U195/100.09)*12.01</f>
        <v>0.19998659957621862</v>
      </c>
      <c r="W195" s="90">
        <f t="shared" ref="W195:W199" si="46">(U195/K195)*100</f>
        <v>0.64387282833928638</v>
      </c>
      <c r="X195" s="90">
        <f t="shared" si="43"/>
        <v>142.6600977982649</v>
      </c>
      <c r="Y195" s="90">
        <f t="shared" si="44"/>
        <v>2.9084953446244253</v>
      </c>
    </row>
    <row r="196" spans="1:40">
      <c r="A196" s="67">
        <v>43665</v>
      </c>
      <c r="B196">
        <v>8</v>
      </c>
      <c r="C196" t="s">
        <v>3064</v>
      </c>
      <c r="D196">
        <v>1186.3</v>
      </c>
      <c r="G196">
        <v>1186.0627400000001</v>
      </c>
      <c r="H196">
        <v>142.15119999999999</v>
      </c>
      <c r="I196">
        <v>1.1965333333333332</v>
      </c>
      <c r="J196">
        <v>140.95466666666667</v>
      </c>
      <c r="K196">
        <v>1188.9133379374134</v>
      </c>
      <c r="L196">
        <v>100.24034124345003</v>
      </c>
      <c r="M196">
        <v>1174.7004651679156</v>
      </c>
      <c r="N196">
        <v>99.042017386695363</v>
      </c>
      <c r="O196">
        <v>128</v>
      </c>
      <c r="P196">
        <v>41.7</v>
      </c>
      <c r="Q196">
        <v>100</v>
      </c>
      <c r="R196">
        <v>3</v>
      </c>
      <c r="S196" t="s">
        <v>2491</v>
      </c>
      <c r="T196" t="s">
        <v>2491</v>
      </c>
      <c r="U196" s="90">
        <f t="shared" si="30"/>
        <v>14.212872769497835</v>
      </c>
      <c r="V196" s="90">
        <f t="shared" si="45"/>
        <v>1.7054311315982515</v>
      </c>
      <c r="W196" s="90">
        <f t="shared" si="46"/>
        <v>1.1954506956877986</v>
      </c>
      <c r="X196" s="90">
        <f t="shared" si="43"/>
        <v>271.83349904142779</v>
      </c>
      <c r="Y196" s="90">
        <f t="shared" si="44"/>
        <v>11.888237660925585</v>
      </c>
    </row>
    <row r="197" spans="1:40">
      <c r="A197" s="67">
        <v>43665</v>
      </c>
      <c r="B197">
        <v>9</v>
      </c>
      <c r="C197" t="s">
        <v>3065</v>
      </c>
      <c r="D197">
        <v>2258.6</v>
      </c>
      <c r="G197">
        <v>2258.1482799999999</v>
      </c>
      <c r="H197">
        <v>269.58210000000003</v>
      </c>
      <c r="I197">
        <v>1.1965333333333332</v>
      </c>
      <c r="J197">
        <v>268.3855666666667</v>
      </c>
      <c r="K197">
        <v>2265.4300515450882</v>
      </c>
      <c r="L197">
        <v>100.3224664921069</v>
      </c>
      <c r="M197">
        <v>2236.6953678323621</v>
      </c>
      <c r="N197">
        <v>99.049977702631736</v>
      </c>
      <c r="O197">
        <v>128</v>
      </c>
      <c r="P197">
        <v>41.7</v>
      </c>
      <c r="Q197">
        <v>100</v>
      </c>
      <c r="R197">
        <v>3</v>
      </c>
      <c r="S197" t="s">
        <v>2491</v>
      </c>
      <c r="T197" t="s">
        <v>2491</v>
      </c>
      <c r="U197" s="90">
        <f t="shared" si="30"/>
        <v>28.73468371272611</v>
      </c>
      <c r="V197" s="90">
        <f t="shared" si="45"/>
        <v>3.447932374761121</v>
      </c>
      <c r="W197" s="90">
        <f t="shared" si="46"/>
        <v>1.2683986289105784</v>
      </c>
      <c r="X197" s="90">
        <f t="shared" si="43"/>
        <v>367.61890866884602</v>
      </c>
      <c r="Y197" s="90">
        <f t="shared" si="44"/>
        <v>22.467998182424292</v>
      </c>
    </row>
    <row r="198" spans="1:40">
      <c r="A198" s="67">
        <v>43665</v>
      </c>
      <c r="B198">
        <v>10</v>
      </c>
      <c r="C198" t="s">
        <v>3066</v>
      </c>
      <c r="D198">
        <v>3062.9</v>
      </c>
      <c r="G198">
        <v>3062.2874200000001</v>
      </c>
      <c r="H198">
        <v>364.0754</v>
      </c>
      <c r="I198">
        <v>1.1965333333333332</v>
      </c>
      <c r="J198">
        <v>362.87886666666668</v>
      </c>
      <c r="K198">
        <v>3063.694968248526</v>
      </c>
      <c r="L198">
        <v>100.04596394967152</v>
      </c>
      <c r="M198">
        <v>3024.1919870663337</v>
      </c>
      <c r="N198">
        <v>98.755981143870983</v>
      </c>
      <c r="O198">
        <v>128</v>
      </c>
      <c r="P198">
        <v>41.7</v>
      </c>
      <c r="Q198">
        <v>100</v>
      </c>
      <c r="R198">
        <v>3</v>
      </c>
      <c r="S198" t="s">
        <v>2491</v>
      </c>
      <c r="T198" t="s">
        <v>2491</v>
      </c>
      <c r="U198" s="90">
        <f t="shared" si="30"/>
        <v>39.502981182192343</v>
      </c>
      <c r="V198" s="90">
        <f t="shared" si="45"/>
        <v>4.7400420021793392</v>
      </c>
      <c r="W198" s="90">
        <f t="shared" si="46"/>
        <v>1.2893901511603709</v>
      </c>
      <c r="X198" s="90">
        <f t="shared" si="43"/>
        <v>464.08297309766868</v>
      </c>
      <c r="Y198" s="90">
        <f t="shared" si="44"/>
        <v>36.497383393266112</v>
      </c>
      <c r="AA198" s="80" t="s">
        <v>2987</v>
      </c>
    </row>
    <row r="199" spans="1:40">
      <c r="A199" s="67">
        <v>43665</v>
      </c>
      <c r="B199">
        <v>11</v>
      </c>
      <c r="C199" t="s">
        <v>3067</v>
      </c>
      <c r="D199">
        <v>3874.5</v>
      </c>
      <c r="G199">
        <v>3873.7251000000001</v>
      </c>
      <c r="H199">
        <v>459.23820000000001</v>
      </c>
      <c r="I199">
        <v>1.1965333333333332</v>
      </c>
      <c r="J199">
        <v>458.04166666666669</v>
      </c>
      <c r="K199">
        <v>3867.615718346849</v>
      </c>
      <c r="L199">
        <v>99.842286649273305</v>
      </c>
      <c r="M199">
        <v>3817.2681446017209</v>
      </c>
      <c r="N199">
        <v>98.542566807379302</v>
      </c>
      <c r="O199">
        <v>128</v>
      </c>
      <c r="P199">
        <v>41.7</v>
      </c>
      <c r="Q199">
        <v>100</v>
      </c>
      <c r="R199">
        <v>3</v>
      </c>
      <c r="S199" t="s">
        <v>2491</v>
      </c>
      <c r="T199" t="s">
        <v>2491</v>
      </c>
      <c r="U199" s="90">
        <f t="shared" si="30"/>
        <v>50.347573745128102</v>
      </c>
      <c r="V199" s="90">
        <f t="shared" si="45"/>
        <v>6.0413064310019831</v>
      </c>
      <c r="W199" s="90">
        <f t="shared" si="46"/>
        <v>1.3017729115716898</v>
      </c>
      <c r="Y199" s="80">
        <f>SQRT(SUM(Y193:Y198)/(6-2))</f>
        <v>4.2968791194784623</v>
      </c>
      <c r="Z199" s="80" t="s">
        <v>2990</v>
      </c>
      <c r="AA199" s="206">
        <f>(Y199/$AK$15)*100</f>
        <v>2.1052157238923024</v>
      </c>
    </row>
    <row r="200" spans="1:40">
      <c r="A200" s="67">
        <v>43665</v>
      </c>
      <c r="B200">
        <v>12</v>
      </c>
      <c r="C200" t="s">
        <v>2955</v>
      </c>
      <c r="H200">
        <v>0.91600000000000004</v>
      </c>
      <c r="J200">
        <v>0.91600000000000004</v>
      </c>
      <c r="O200">
        <v>128</v>
      </c>
      <c r="P200">
        <v>41.7</v>
      </c>
      <c r="Q200">
        <v>100</v>
      </c>
      <c r="R200">
        <v>3</v>
      </c>
      <c r="S200" t="s">
        <v>2491</v>
      </c>
      <c r="T200" t="s">
        <v>2491</v>
      </c>
      <c r="U200" s="90"/>
      <c r="V200" s="90"/>
      <c r="W200" s="90"/>
      <c r="Y200" s="206">
        <f>(Y199/12.01)*100.09</f>
        <v>35.809711163080713</v>
      </c>
      <c r="Z200" s="80" t="s">
        <v>2991</v>
      </c>
    </row>
    <row r="201" spans="1:40">
      <c r="A201" s="67">
        <v>43665</v>
      </c>
      <c r="B201">
        <v>13</v>
      </c>
      <c r="C201" t="s">
        <v>2956</v>
      </c>
      <c r="H201">
        <v>0.92349999999999999</v>
      </c>
      <c r="J201">
        <v>0.92349999999999999</v>
      </c>
      <c r="O201">
        <v>128</v>
      </c>
      <c r="P201">
        <v>41.7</v>
      </c>
      <c r="Q201">
        <v>100</v>
      </c>
      <c r="R201">
        <v>3</v>
      </c>
      <c r="S201" t="s">
        <v>2491</v>
      </c>
      <c r="T201" t="s">
        <v>2491</v>
      </c>
      <c r="U201" s="90"/>
      <c r="V201" s="90"/>
      <c r="W201" s="90"/>
    </row>
    <row r="202" spans="1:40">
      <c r="A202" s="67">
        <v>43665</v>
      </c>
      <c r="B202">
        <v>14</v>
      </c>
      <c r="C202" t="s">
        <v>2957</v>
      </c>
      <c r="H202">
        <v>0.83379999999999999</v>
      </c>
      <c r="J202">
        <v>0.83379999999999999</v>
      </c>
      <c r="O202">
        <v>128</v>
      </c>
      <c r="P202">
        <v>41.7</v>
      </c>
      <c r="Q202">
        <v>100</v>
      </c>
      <c r="R202">
        <v>3</v>
      </c>
      <c r="S202" t="s">
        <v>2491</v>
      </c>
      <c r="T202" t="s">
        <v>2491</v>
      </c>
      <c r="U202" s="90"/>
      <c r="V202" s="90"/>
      <c r="W202" s="90"/>
    </row>
    <row r="203" spans="1:40">
      <c r="A203" s="449">
        <v>43665</v>
      </c>
      <c r="B203" s="295">
        <v>15</v>
      </c>
      <c r="C203" s="295" t="s">
        <v>2958</v>
      </c>
      <c r="D203" s="295">
        <v>1104.7</v>
      </c>
      <c r="E203" s="295"/>
      <c r="F203" s="295"/>
      <c r="G203" s="295"/>
      <c r="H203" s="295">
        <v>18.6585</v>
      </c>
      <c r="I203" s="295">
        <v>0.89110000000000011</v>
      </c>
      <c r="J203" s="295">
        <v>17.767399999999999</v>
      </c>
      <c r="K203" s="295">
        <v>148.24618836605939</v>
      </c>
      <c r="L203" s="295">
        <v>13.419587975564351</v>
      </c>
      <c r="M203" s="295">
        <v>148.07152922564529</v>
      </c>
      <c r="N203" s="295">
        <v>13.403777426056422</v>
      </c>
      <c r="O203">
        <v>128</v>
      </c>
      <c r="P203">
        <v>41.7</v>
      </c>
      <c r="Q203">
        <v>100</v>
      </c>
      <c r="R203">
        <v>3</v>
      </c>
      <c r="S203" t="s">
        <v>2491</v>
      </c>
      <c r="T203" t="s">
        <v>2491</v>
      </c>
      <c r="U203" s="90">
        <f t="shared" si="30"/>
        <v>0.17465914041409292</v>
      </c>
      <c r="V203" s="90">
        <f t="shared" ref="V203:V204" si="47">(U203/100.09)*12.01</f>
        <v>2.0957700832982873E-2</v>
      </c>
      <c r="W203" s="90">
        <f t="shared" ref="W203:W204" si="48">(U203/K203)*100</f>
        <v>0.11781695188196872</v>
      </c>
    </row>
    <row r="204" spans="1:40">
      <c r="A204" s="449">
        <v>43665</v>
      </c>
      <c r="B204" s="295">
        <v>16</v>
      </c>
      <c r="C204" s="295" t="s">
        <v>2958</v>
      </c>
      <c r="D204" s="295">
        <v>2464.6</v>
      </c>
      <c r="E204" s="295"/>
      <c r="F204" s="295"/>
      <c r="G204" s="295"/>
      <c r="H204" s="295">
        <v>35.903599999999997</v>
      </c>
      <c r="I204" s="295">
        <v>0.89110000000000011</v>
      </c>
      <c r="J204" s="295">
        <v>35.012499999999996</v>
      </c>
      <c r="K204" s="295">
        <v>293.93015024528734</v>
      </c>
      <c r="L204" s="295">
        <v>11.926079292594634</v>
      </c>
      <c r="M204" s="295">
        <v>291.79026852622815</v>
      </c>
      <c r="N204" s="295">
        <v>11.839254585986698</v>
      </c>
      <c r="O204">
        <v>128</v>
      </c>
      <c r="P204">
        <v>41.7</v>
      </c>
      <c r="Q204">
        <v>100</v>
      </c>
      <c r="R204">
        <v>3</v>
      </c>
      <c r="S204" t="s">
        <v>2491</v>
      </c>
      <c r="T204" t="s">
        <v>2491</v>
      </c>
      <c r="U204" s="90">
        <f t="shared" si="30"/>
        <v>2.1398817190591899</v>
      </c>
      <c r="V204" s="90">
        <f t="shared" si="47"/>
        <v>0.2567687026266447</v>
      </c>
      <c r="W204" s="90">
        <f t="shared" si="48"/>
        <v>0.72802389182376814</v>
      </c>
    </row>
    <row r="205" spans="1:40">
      <c r="A205" s="67">
        <v>43665</v>
      </c>
      <c r="B205">
        <v>17</v>
      </c>
      <c r="C205" t="s">
        <v>2959</v>
      </c>
      <c r="H205">
        <v>0.5645</v>
      </c>
      <c r="I205">
        <v>0.60389999999999999</v>
      </c>
      <c r="J205">
        <v>-3.9399999999999991E-2</v>
      </c>
      <c r="L205" t="e">
        <v>#DIV/0!</v>
      </c>
      <c r="M205">
        <v>-0.3283552039966694</v>
      </c>
      <c r="N205" t="e">
        <v>#DIV/0!</v>
      </c>
      <c r="O205">
        <v>128</v>
      </c>
      <c r="P205">
        <v>41.7</v>
      </c>
      <c r="Q205">
        <v>100</v>
      </c>
      <c r="R205">
        <v>3</v>
      </c>
      <c r="S205" t="s">
        <v>2491</v>
      </c>
      <c r="T205" t="s">
        <v>2491</v>
      </c>
      <c r="U205" s="90"/>
      <c r="V205" s="90"/>
      <c r="W205" s="90"/>
    </row>
    <row r="206" spans="1:40">
      <c r="A206" s="67">
        <v>43665</v>
      </c>
      <c r="B206">
        <v>18</v>
      </c>
      <c r="C206" t="s">
        <v>3068</v>
      </c>
      <c r="D206">
        <v>3012.5</v>
      </c>
      <c r="E206">
        <v>3012.5</v>
      </c>
      <c r="H206">
        <v>339.79430000000002</v>
      </c>
      <c r="I206">
        <v>0.60389999999999999</v>
      </c>
      <c r="J206">
        <v>339.19040000000001</v>
      </c>
      <c r="K206">
        <v>2863.5784322560394</v>
      </c>
      <c r="L206">
        <v>95.056545469080149</v>
      </c>
      <c r="M206">
        <v>2826.7749488759373</v>
      </c>
      <c r="N206">
        <v>93.834853074719902</v>
      </c>
      <c r="O206">
        <v>128</v>
      </c>
      <c r="P206">
        <v>41.7</v>
      </c>
      <c r="Q206">
        <v>100</v>
      </c>
      <c r="R206">
        <v>3</v>
      </c>
      <c r="S206" t="s">
        <v>2491</v>
      </c>
      <c r="T206" t="s">
        <v>2491</v>
      </c>
      <c r="U206" s="90">
        <f t="shared" ref="U206:U252" si="49">K206-M206</f>
        <v>36.80348338010208</v>
      </c>
      <c r="V206" s="90">
        <f t="shared" ref="V206:V210" si="50">(U206/100.09)*12.01</f>
        <v>4.4161238424920173</v>
      </c>
      <c r="W206" s="90">
        <f t="shared" ref="W206:W210" si="51">(U206/K206)*100</f>
        <v>1.2852270070740424</v>
      </c>
    </row>
    <row r="207" spans="1:40">
      <c r="A207" s="67">
        <v>43665</v>
      </c>
      <c r="B207">
        <v>19</v>
      </c>
      <c r="C207" t="s">
        <v>3069</v>
      </c>
      <c r="D207">
        <v>2524.9</v>
      </c>
      <c r="E207">
        <v>2524.9</v>
      </c>
      <c r="H207">
        <v>265.67570000000001</v>
      </c>
      <c r="I207">
        <v>0.60389999999999999</v>
      </c>
      <c r="J207">
        <v>265.0718</v>
      </c>
      <c r="K207">
        <v>2237.4358586008125</v>
      </c>
      <c r="L207">
        <v>88.614830630948248</v>
      </c>
      <c r="M207">
        <v>2209.0788061615322</v>
      </c>
      <c r="N207">
        <v>87.491734570142654</v>
      </c>
      <c r="O207">
        <v>128</v>
      </c>
      <c r="P207">
        <v>41.7</v>
      </c>
      <c r="Q207">
        <v>100</v>
      </c>
      <c r="R207">
        <v>3</v>
      </c>
      <c r="S207" t="s">
        <v>2491</v>
      </c>
      <c r="T207" t="s">
        <v>2491</v>
      </c>
      <c r="U207" s="90">
        <f t="shared" si="49"/>
        <v>28.357052439280324</v>
      </c>
      <c r="V207" s="90">
        <f t="shared" si="50"/>
        <v>3.4026196402813134</v>
      </c>
      <c r="W207" s="90">
        <f t="shared" si="51"/>
        <v>1.2673906306754865</v>
      </c>
    </row>
    <row r="208" spans="1:40">
      <c r="A208" s="67">
        <v>43665</v>
      </c>
      <c r="B208">
        <v>20</v>
      </c>
      <c r="C208" t="s">
        <v>3070</v>
      </c>
      <c r="D208">
        <v>1415.6</v>
      </c>
      <c r="E208">
        <v>1415.6</v>
      </c>
      <c r="H208">
        <v>89.280799999999999</v>
      </c>
      <c r="I208">
        <v>0.60389999999999999</v>
      </c>
      <c r="J208">
        <v>88.676900000000003</v>
      </c>
      <c r="K208">
        <v>747.27877703618117</v>
      </c>
      <c r="L208">
        <v>52.788837032790425</v>
      </c>
      <c r="M208">
        <v>739.02339059117412</v>
      </c>
      <c r="N208">
        <v>52.205664777562454</v>
      </c>
      <c r="O208">
        <v>128</v>
      </c>
      <c r="P208">
        <v>41.7</v>
      </c>
      <c r="Q208">
        <v>100</v>
      </c>
      <c r="R208">
        <v>3</v>
      </c>
      <c r="S208" t="s">
        <v>2491</v>
      </c>
      <c r="T208" t="s">
        <v>2491</v>
      </c>
      <c r="U208" s="90">
        <f t="shared" si="49"/>
        <v>8.2553864450070478</v>
      </c>
      <c r="V208" s="90">
        <f t="shared" si="50"/>
        <v>0.99058038969462126</v>
      </c>
      <c r="W208" s="90">
        <f t="shared" si="51"/>
        <v>1.1047264687148133</v>
      </c>
    </row>
    <row r="209" spans="1:39">
      <c r="A209" s="450">
        <v>43665</v>
      </c>
      <c r="B209" s="200">
        <v>21</v>
      </c>
      <c r="C209" s="200" t="s">
        <v>3071</v>
      </c>
      <c r="D209" s="200">
        <v>3340.9</v>
      </c>
      <c r="E209" s="200">
        <v>3340.9</v>
      </c>
      <c r="F209" s="200"/>
      <c r="G209" s="200"/>
      <c r="H209" s="200">
        <v>291.26979999999998</v>
      </c>
      <c r="I209" s="200">
        <v>0.60389999999999999</v>
      </c>
      <c r="J209" s="200">
        <v>290.66589999999997</v>
      </c>
      <c r="K209" s="200">
        <v>2453.6508929429242</v>
      </c>
      <c r="L209" s="200">
        <v>73.442811605942239</v>
      </c>
      <c r="M209" s="200">
        <v>2422.3771799333886</v>
      </c>
      <c r="N209" s="200">
        <v>72.506725131952123</v>
      </c>
      <c r="O209">
        <v>128</v>
      </c>
      <c r="P209">
        <v>41.7</v>
      </c>
      <c r="Q209">
        <v>100</v>
      </c>
      <c r="R209">
        <v>3</v>
      </c>
      <c r="S209" t="s">
        <v>2491</v>
      </c>
      <c r="T209" t="s">
        <v>2491</v>
      </c>
      <c r="U209" s="90">
        <f t="shared" si="49"/>
        <v>31.273713009535641</v>
      </c>
      <c r="V209" s="90">
        <f t="shared" si="50"/>
        <v>3.7525955964084625</v>
      </c>
      <c r="W209" s="90">
        <f t="shared" si="51"/>
        <v>1.2745787552533911</v>
      </c>
      <c r="X209" s="80"/>
      <c r="Y209" s="80"/>
      <c r="Z209" s="80"/>
      <c r="AA209" s="80"/>
      <c r="AB209" s="80"/>
      <c r="AC209" s="80"/>
      <c r="AD209" s="80"/>
      <c r="AE209" s="80"/>
      <c r="AF209" s="80"/>
      <c r="AG209" s="80"/>
      <c r="AH209" s="80"/>
      <c r="AI209" s="80"/>
      <c r="AJ209" s="80"/>
      <c r="AK209" s="80"/>
      <c r="AL209" s="80"/>
      <c r="AM209" s="80"/>
    </row>
    <row r="210" spans="1:39">
      <c r="A210" s="67">
        <v>43665</v>
      </c>
      <c r="B210">
        <v>22</v>
      </c>
      <c r="C210" t="s">
        <v>3072</v>
      </c>
      <c r="D210">
        <v>3152.3</v>
      </c>
      <c r="E210">
        <v>3152.3</v>
      </c>
      <c r="H210">
        <v>266.79399999999998</v>
      </c>
      <c r="I210">
        <v>0.60389999999999999</v>
      </c>
      <c r="J210">
        <v>266.19009999999997</v>
      </c>
      <c r="K210">
        <v>2246.8830856142563</v>
      </c>
      <c r="L210">
        <v>71.277577819822241</v>
      </c>
      <c r="M210">
        <v>2218.3985935886758</v>
      </c>
      <c r="N210">
        <v>70.373968010299635</v>
      </c>
      <c r="O210">
        <v>128</v>
      </c>
      <c r="P210">
        <v>41.7</v>
      </c>
      <c r="Q210">
        <v>100</v>
      </c>
      <c r="R210">
        <v>3</v>
      </c>
      <c r="S210" t="s">
        <v>2491</v>
      </c>
      <c r="T210" t="s">
        <v>2491</v>
      </c>
      <c r="U210" s="90">
        <f t="shared" si="49"/>
        <v>28.484492025580494</v>
      </c>
      <c r="V210" s="90">
        <f t="shared" si="50"/>
        <v>3.4179113720373833</v>
      </c>
      <c r="W210" s="90">
        <f t="shared" si="51"/>
        <v>1.2677336087468638</v>
      </c>
      <c r="X210" s="80"/>
      <c r="Y210" s="80"/>
      <c r="Z210" s="80"/>
      <c r="AA210" s="80"/>
      <c r="AB210" s="80"/>
      <c r="AC210" s="80"/>
      <c r="AD210" s="80"/>
      <c r="AE210" s="80"/>
      <c r="AF210" s="80"/>
      <c r="AG210" s="80"/>
      <c r="AH210" s="80"/>
      <c r="AI210" s="80"/>
      <c r="AJ210" s="80"/>
      <c r="AK210" s="80"/>
      <c r="AL210" s="80"/>
      <c r="AM210" s="80"/>
    </row>
    <row r="211" spans="1:39">
      <c r="A211" s="67">
        <v>43665</v>
      </c>
      <c r="B211">
        <v>23</v>
      </c>
      <c r="C211" t="s">
        <v>2965</v>
      </c>
      <c r="H211">
        <v>0.63849999999999996</v>
      </c>
      <c r="I211">
        <v>0.60389999999999999</v>
      </c>
      <c r="J211">
        <v>3.4599999999999964E-2</v>
      </c>
      <c r="L211" t="e">
        <v>#DIV/0!</v>
      </c>
      <c r="M211">
        <v>0.28835253955037438</v>
      </c>
      <c r="N211" t="e">
        <v>#DIV/0!</v>
      </c>
      <c r="O211">
        <v>128</v>
      </c>
      <c r="P211">
        <v>41.7</v>
      </c>
      <c r="Q211">
        <v>100</v>
      </c>
      <c r="R211">
        <v>3</v>
      </c>
      <c r="S211" t="s">
        <v>2491</v>
      </c>
      <c r="T211" t="s">
        <v>2491</v>
      </c>
      <c r="U211" s="90"/>
      <c r="V211" s="90"/>
      <c r="W211" s="90"/>
    </row>
    <row r="212" spans="1:39">
      <c r="A212" s="67">
        <v>43665</v>
      </c>
      <c r="B212">
        <v>24</v>
      </c>
      <c r="C212" t="s">
        <v>3073</v>
      </c>
      <c r="D212">
        <v>2930.3</v>
      </c>
      <c r="E212">
        <v>2930.3</v>
      </c>
      <c r="H212">
        <v>211.62559999999999</v>
      </c>
      <c r="I212">
        <v>0.60389999999999999</v>
      </c>
      <c r="J212">
        <v>211.02169999999998</v>
      </c>
      <c r="K212">
        <v>1780.8288973208862</v>
      </c>
      <c r="L212">
        <v>60.772920769917285</v>
      </c>
      <c r="M212">
        <v>1758.6313033305578</v>
      </c>
      <c r="N212">
        <v>60.015401267124787</v>
      </c>
      <c r="O212">
        <v>128</v>
      </c>
      <c r="P212">
        <v>41.7</v>
      </c>
      <c r="Q212">
        <v>100</v>
      </c>
      <c r="R212">
        <v>3</v>
      </c>
      <c r="S212" t="s">
        <v>2491</v>
      </c>
      <c r="T212" t="s">
        <v>2491</v>
      </c>
      <c r="U212" s="90">
        <f t="shared" si="49"/>
        <v>22.197593990328414</v>
      </c>
      <c r="V212" s="90">
        <f t="shared" ref="V212:V216" si="52">(U212/100.09)*12.01</f>
        <v>2.6635338577664527</v>
      </c>
      <c r="W212" s="90">
        <f t="shared" ref="W212:W216" si="53">(U212/K212)*100</f>
        <v>1.2464753926513046</v>
      </c>
    </row>
    <row r="213" spans="1:39">
      <c r="A213" s="67">
        <v>43665</v>
      </c>
      <c r="B213">
        <v>25</v>
      </c>
      <c r="C213" t="s">
        <v>3074</v>
      </c>
      <c r="D213">
        <v>2457.6999999999998</v>
      </c>
      <c r="E213">
        <v>2457.6999999999998</v>
      </c>
      <c r="H213">
        <v>189.24109999999999</v>
      </c>
      <c r="I213">
        <v>0.60389999999999999</v>
      </c>
      <c r="J213">
        <v>188.63719999999998</v>
      </c>
      <c r="K213">
        <v>1591.7280718872512</v>
      </c>
      <c r="L213">
        <v>64.764945757710507</v>
      </c>
      <c r="M213">
        <v>1572.08137785179</v>
      </c>
      <c r="N213">
        <v>63.965552258281726</v>
      </c>
      <c r="O213">
        <v>128</v>
      </c>
      <c r="P213">
        <v>41.7</v>
      </c>
      <c r="Q213">
        <v>100</v>
      </c>
      <c r="R213">
        <v>3</v>
      </c>
      <c r="S213" t="s">
        <v>2491</v>
      </c>
      <c r="T213" t="s">
        <v>2491</v>
      </c>
      <c r="U213" s="90">
        <f t="shared" si="49"/>
        <v>19.646694035461223</v>
      </c>
      <c r="V213" s="90">
        <f t="shared" si="52"/>
        <v>2.357446252032064</v>
      </c>
      <c r="W213" s="90">
        <f t="shared" si="53"/>
        <v>1.2342996509552595</v>
      </c>
    </row>
    <row r="214" spans="1:39">
      <c r="A214" s="67">
        <v>43665</v>
      </c>
      <c r="B214">
        <v>26</v>
      </c>
      <c r="C214" t="s">
        <v>3075</v>
      </c>
      <c r="D214">
        <v>2161.1</v>
      </c>
      <c r="E214">
        <v>2161.1</v>
      </c>
      <c r="H214">
        <v>175.10849999999999</v>
      </c>
      <c r="I214">
        <v>0.60389999999999999</v>
      </c>
      <c r="J214">
        <v>174.50459999999998</v>
      </c>
      <c r="K214">
        <v>1472.3380329976897</v>
      </c>
      <c r="L214">
        <v>68.129102447720584</v>
      </c>
      <c r="M214">
        <v>1454.3018662781014</v>
      </c>
      <c r="N214">
        <v>67.294519748188492</v>
      </c>
      <c r="O214">
        <v>128</v>
      </c>
      <c r="P214">
        <v>41.7</v>
      </c>
      <c r="Q214">
        <v>100</v>
      </c>
      <c r="R214">
        <v>3</v>
      </c>
      <c r="S214" t="s">
        <v>2491</v>
      </c>
      <c r="T214" t="s">
        <v>2491</v>
      </c>
      <c r="U214" s="90">
        <f t="shared" si="49"/>
        <v>18.036166719588209</v>
      </c>
      <c r="V214" s="90">
        <f t="shared" si="52"/>
        <v>2.1641958467604594</v>
      </c>
      <c r="W214" s="90">
        <f t="shared" si="53"/>
        <v>1.2250017533586672</v>
      </c>
    </row>
    <row r="215" spans="1:39">
      <c r="A215" s="450">
        <v>43665</v>
      </c>
      <c r="B215" s="200">
        <v>27</v>
      </c>
      <c r="C215" s="200" t="s">
        <v>3076</v>
      </c>
      <c r="D215" s="200">
        <v>2023.2</v>
      </c>
      <c r="E215" s="200">
        <v>2023.2</v>
      </c>
      <c r="F215" s="200"/>
      <c r="G215" s="200"/>
      <c r="H215" s="200">
        <v>173.03309999999999</v>
      </c>
      <c r="I215" s="200">
        <v>0.60389999999999999</v>
      </c>
      <c r="J215" s="200">
        <v>172.42919999999998</v>
      </c>
      <c r="K215" s="200">
        <v>1454.8053718658812</v>
      </c>
      <c r="L215" s="200">
        <v>71.90615717012065</v>
      </c>
      <c r="M215" s="200">
        <v>1437.0057142381349</v>
      </c>
      <c r="N215" s="200">
        <v>71.026379707302041</v>
      </c>
      <c r="O215">
        <v>128</v>
      </c>
      <c r="P215">
        <v>41.7</v>
      </c>
      <c r="Q215">
        <v>100</v>
      </c>
      <c r="R215">
        <v>3</v>
      </c>
      <c r="S215" t="s">
        <v>2491</v>
      </c>
      <c r="T215" t="s">
        <v>2491</v>
      </c>
      <c r="U215" s="90">
        <f t="shared" si="49"/>
        <v>17.799657627746228</v>
      </c>
      <c r="V215" s="90">
        <f t="shared" si="52"/>
        <v>2.1358166461108223</v>
      </c>
      <c r="W215" s="90">
        <f t="shared" si="53"/>
        <v>1.2235078294299275</v>
      </c>
    </row>
    <row r="216" spans="1:39">
      <c r="A216" s="67">
        <v>43665</v>
      </c>
      <c r="B216">
        <v>28</v>
      </c>
      <c r="C216" t="s">
        <v>3077</v>
      </c>
      <c r="D216">
        <v>2232.5</v>
      </c>
      <c r="E216">
        <v>2232.5</v>
      </c>
      <c r="H216">
        <v>185.0658</v>
      </c>
      <c r="I216">
        <v>0.60389999999999999</v>
      </c>
      <c r="J216">
        <v>184.46189999999999</v>
      </c>
      <c r="K216">
        <v>1556.4557773784145</v>
      </c>
      <c r="L216">
        <v>69.718063936323162</v>
      </c>
      <c r="M216">
        <v>1537.2848935054119</v>
      </c>
      <c r="N216">
        <v>68.859345733725064</v>
      </c>
      <c r="O216">
        <v>128</v>
      </c>
      <c r="P216">
        <v>41.7</v>
      </c>
      <c r="Q216">
        <v>100</v>
      </c>
      <c r="R216">
        <v>3</v>
      </c>
      <c r="S216" t="s">
        <v>2491</v>
      </c>
      <c r="T216" t="s">
        <v>2491</v>
      </c>
      <c r="U216" s="90">
        <f t="shared" si="49"/>
        <v>19.170883873002595</v>
      </c>
      <c r="V216" s="90">
        <f t="shared" si="52"/>
        <v>2.3003528355955751</v>
      </c>
      <c r="W216" s="90">
        <f t="shared" si="53"/>
        <v>1.2317011605233459</v>
      </c>
    </row>
    <row r="217" spans="1:39">
      <c r="A217" s="67">
        <v>43665</v>
      </c>
      <c r="B217">
        <v>29</v>
      </c>
      <c r="C217" t="s">
        <v>2971</v>
      </c>
      <c r="H217">
        <v>0.499</v>
      </c>
      <c r="I217">
        <v>0.60389999999999999</v>
      </c>
      <c r="J217">
        <v>-0.10489999999999999</v>
      </c>
      <c r="L217" t="e">
        <v>#DIV/0!</v>
      </c>
      <c r="M217">
        <v>-0.87422489592006658</v>
      </c>
      <c r="N217" t="e">
        <v>#DIV/0!</v>
      </c>
      <c r="O217">
        <v>128</v>
      </c>
      <c r="P217">
        <v>41.7</v>
      </c>
      <c r="Q217">
        <v>100</v>
      </c>
      <c r="R217">
        <v>3</v>
      </c>
      <c r="S217" t="s">
        <v>2491</v>
      </c>
      <c r="T217" t="s">
        <v>2491</v>
      </c>
      <c r="U217" s="90"/>
      <c r="V217" s="90"/>
      <c r="W217" s="90"/>
    </row>
    <row r="218" spans="1:39">
      <c r="A218" s="67">
        <v>43665</v>
      </c>
      <c r="B218">
        <v>30</v>
      </c>
      <c r="C218" t="s">
        <v>3078</v>
      </c>
      <c r="D218">
        <v>2106.8000000000002</v>
      </c>
      <c r="G218">
        <v>2106.3786400000004</v>
      </c>
      <c r="H218">
        <v>250.79239999999999</v>
      </c>
      <c r="I218">
        <v>0.60389999999999999</v>
      </c>
      <c r="J218">
        <v>250.18849999999998</v>
      </c>
      <c r="K218">
        <v>2111.7040211607796</v>
      </c>
      <c r="L218">
        <v>100.25282164657629</v>
      </c>
      <c r="M218">
        <v>2085.0430445462111</v>
      </c>
      <c r="N218">
        <v>98.967298488048741</v>
      </c>
      <c r="O218">
        <v>128</v>
      </c>
      <c r="P218">
        <v>41.7</v>
      </c>
      <c r="Q218">
        <v>100</v>
      </c>
      <c r="R218">
        <v>3</v>
      </c>
      <c r="S218" t="s">
        <v>2491</v>
      </c>
      <c r="T218" t="s">
        <v>2491</v>
      </c>
      <c r="U218" s="90">
        <f t="shared" si="49"/>
        <v>26.660976614568426</v>
      </c>
      <c r="V218" s="90">
        <f t="shared" ref="V218" si="54">(U218/100.09)*12.01</f>
        <v>3.1991040977217184</v>
      </c>
      <c r="W218" s="90">
        <f>(U218/K218)*100</f>
        <v>1.262533780653275</v>
      </c>
    </row>
    <row r="219" spans="1:39">
      <c r="A219" s="67">
        <v>43665</v>
      </c>
      <c r="B219">
        <v>31</v>
      </c>
      <c r="C219" t="s">
        <v>2973</v>
      </c>
      <c r="H219">
        <v>0.71360000000000001</v>
      </c>
      <c r="I219">
        <v>0.60389999999999999</v>
      </c>
      <c r="J219">
        <v>0.10970000000000002</v>
      </c>
      <c r="L219" t="e">
        <v>#DIV/0!</v>
      </c>
      <c r="M219">
        <v>0.91422756036636166</v>
      </c>
      <c r="N219" t="e">
        <v>#DIV/0!</v>
      </c>
      <c r="O219">
        <v>128</v>
      </c>
      <c r="P219">
        <v>41.7</v>
      </c>
      <c r="Q219">
        <v>100</v>
      </c>
      <c r="R219">
        <v>3</v>
      </c>
      <c r="S219" t="s">
        <v>2491</v>
      </c>
      <c r="T219" t="s">
        <v>2491</v>
      </c>
      <c r="U219" s="90"/>
      <c r="V219" s="90"/>
      <c r="W219" s="90"/>
    </row>
    <row r="220" spans="1:39">
      <c r="B220" s="80" t="s">
        <v>2974</v>
      </c>
      <c r="C220" s="80"/>
      <c r="D220" s="80"/>
      <c r="E220" s="80"/>
      <c r="F220" s="80"/>
      <c r="G220" s="80"/>
      <c r="H220" s="80"/>
      <c r="I220" s="80"/>
      <c r="J220" s="80"/>
      <c r="U220" s="90"/>
      <c r="V220" s="90"/>
      <c r="W220" s="90"/>
    </row>
    <row r="221" spans="1:39">
      <c r="B221" s="80"/>
      <c r="C221" s="80"/>
      <c r="D221" s="80"/>
      <c r="E221" s="80"/>
      <c r="F221" s="80"/>
      <c r="G221" s="80"/>
      <c r="H221" s="80" t="s">
        <v>2975</v>
      </c>
      <c r="I221" s="80"/>
      <c r="J221" s="80"/>
      <c r="U221" s="90"/>
      <c r="V221" s="90"/>
      <c r="W221" s="90"/>
    </row>
    <row r="222" spans="1:39">
      <c r="B222" s="80"/>
      <c r="C222" s="80"/>
      <c r="D222" s="80"/>
      <c r="E222" s="80"/>
      <c r="F222" s="80" t="s">
        <v>3071</v>
      </c>
      <c r="G222" s="80"/>
      <c r="H222" s="80">
        <v>2.1144345897480576</v>
      </c>
      <c r="I222" s="80"/>
      <c r="J222" s="80"/>
      <c r="U222" s="90"/>
      <c r="V222" s="90"/>
      <c r="W222" s="90"/>
    </row>
    <row r="223" spans="1:39">
      <c r="B223" s="80"/>
      <c r="C223" s="80"/>
      <c r="D223" s="80"/>
      <c r="E223" s="80"/>
      <c r="F223" s="80" t="s">
        <v>3076</v>
      </c>
      <c r="G223" s="80"/>
      <c r="H223" s="80"/>
      <c r="I223" s="80"/>
      <c r="J223" s="80"/>
      <c r="U223" s="90"/>
      <c r="V223" s="90"/>
      <c r="W223" s="90"/>
      <c r="X223" s="146"/>
      <c r="Y223" s="146"/>
      <c r="Z223" s="146"/>
      <c r="AA223" s="146"/>
      <c r="AB223" s="146"/>
      <c r="AC223" s="146"/>
      <c r="AD223" s="146"/>
      <c r="AE223" s="146"/>
      <c r="AF223" s="146"/>
      <c r="AG223" s="146"/>
      <c r="AH223" s="146"/>
      <c r="AI223" s="146"/>
      <c r="AJ223" s="146"/>
      <c r="AK223" s="146"/>
      <c r="AL223" s="146"/>
      <c r="AM223" s="146"/>
    </row>
    <row r="224" spans="1:39">
      <c r="U224" s="90"/>
      <c r="V224" s="90"/>
      <c r="W224" s="90"/>
      <c r="X224" s="146"/>
      <c r="Y224" s="146"/>
      <c r="Z224" s="146"/>
      <c r="AA224" s="146"/>
      <c r="AB224" s="146"/>
      <c r="AC224" s="146"/>
      <c r="AD224" s="146"/>
      <c r="AE224" s="146"/>
      <c r="AF224" s="146"/>
      <c r="AG224" s="146"/>
      <c r="AH224" s="146"/>
      <c r="AI224" s="146"/>
      <c r="AJ224" s="146"/>
      <c r="AK224" s="146"/>
      <c r="AL224" s="146"/>
      <c r="AM224" s="146"/>
    </row>
    <row r="225" spans="1:27">
      <c r="A225" s="384" t="s">
        <v>3042</v>
      </c>
      <c r="B225" s="97"/>
      <c r="C225" s="146"/>
      <c r="D225" s="395"/>
      <c r="E225" s="395"/>
      <c r="F225" s="395"/>
      <c r="G225" s="395"/>
      <c r="H225" s="385"/>
      <c r="I225" s="386"/>
      <c r="J225" s="386"/>
      <c r="K225" s="387"/>
      <c r="L225" s="388"/>
      <c r="M225" s="90"/>
      <c r="N225" s="388"/>
      <c r="O225" s="386"/>
      <c r="P225" s="386"/>
      <c r="Q225" s="386"/>
      <c r="R225" s="386"/>
      <c r="U225" s="90"/>
      <c r="V225" s="90"/>
      <c r="W225" s="90"/>
    </row>
    <row r="226" spans="1:27">
      <c r="A226" s="389">
        <v>43669</v>
      </c>
      <c r="B226" s="97">
        <v>1</v>
      </c>
      <c r="C226" s="460" t="s">
        <v>3043</v>
      </c>
      <c r="D226" s="395"/>
      <c r="E226" s="395"/>
      <c r="F226" s="395"/>
      <c r="H226">
        <v>1.0659000000000001</v>
      </c>
      <c r="I226" s="386"/>
      <c r="J226" s="386"/>
      <c r="K226" s="387"/>
      <c r="L226" s="388"/>
      <c r="M226" s="90"/>
      <c r="N226" s="388"/>
      <c r="O226" s="386"/>
      <c r="P226" s="386"/>
      <c r="Q226" s="386"/>
      <c r="R226" s="386"/>
      <c r="U226" s="90"/>
      <c r="V226" s="90"/>
      <c r="W226" s="90"/>
    </row>
    <row r="227" spans="1:27">
      <c r="A227" s="389">
        <v>43669</v>
      </c>
      <c r="B227" s="97">
        <v>2</v>
      </c>
      <c r="C227" s="460" t="s">
        <v>3043</v>
      </c>
      <c r="D227" s="395"/>
      <c r="E227" s="395"/>
      <c r="F227" s="395"/>
      <c r="H227">
        <v>0.876</v>
      </c>
      <c r="I227" s="386"/>
      <c r="J227" s="386"/>
      <c r="K227" s="387"/>
      <c r="L227" s="388"/>
      <c r="M227" s="90"/>
      <c r="N227" s="388"/>
      <c r="O227" s="386"/>
      <c r="P227" s="386"/>
      <c r="Q227" s="386"/>
      <c r="R227" s="386"/>
      <c r="U227" s="90"/>
      <c r="V227" s="90"/>
      <c r="W227" s="90"/>
    </row>
    <row r="228" spans="1:27">
      <c r="A228" s="389">
        <v>43669</v>
      </c>
      <c r="B228" s="97">
        <v>3</v>
      </c>
      <c r="C228" s="460" t="s">
        <v>3043</v>
      </c>
      <c r="D228" s="395"/>
      <c r="E228" s="395"/>
      <c r="F228" s="395"/>
      <c r="H228">
        <v>0.76139999999999997</v>
      </c>
      <c r="I228" s="386"/>
      <c r="J228" s="386"/>
      <c r="K228" s="387"/>
      <c r="L228" s="388"/>
      <c r="M228" s="90"/>
      <c r="N228" s="388"/>
      <c r="O228" s="386"/>
      <c r="P228" s="386"/>
      <c r="Q228" s="386"/>
      <c r="R228" s="386"/>
      <c r="U228" s="90"/>
      <c r="V228" s="90"/>
      <c r="W228" s="90"/>
    </row>
    <row r="229" spans="1:27">
      <c r="A229" s="389">
        <v>43669</v>
      </c>
      <c r="B229" s="97">
        <v>4</v>
      </c>
      <c r="C229" t="s">
        <v>2947</v>
      </c>
      <c r="D229" s="460" t="s">
        <v>3011</v>
      </c>
      <c r="E229" s="90"/>
      <c r="F229" s="90"/>
      <c r="H229">
        <v>1.6989000000000001</v>
      </c>
      <c r="I229" s="386"/>
      <c r="J229" s="386"/>
      <c r="K229" s="387"/>
      <c r="L229" s="388"/>
      <c r="M229" s="90"/>
      <c r="N229" s="388"/>
      <c r="O229" s="390">
        <v>128</v>
      </c>
      <c r="P229" s="390">
        <v>41.7</v>
      </c>
      <c r="Q229" s="386">
        <v>100</v>
      </c>
      <c r="R229" s="386">
        <v>3</v>
      </c>
      <c r="S229" t="s">
        <v>2491</v>
      </c>
      <c r="T229" t="s">
        <v>2491</v>
      </c>
      <c r="U229" s="90"/>
      <c r="V229" s="90"/>
      <c r="W229" s="90"/>
    </row>
    <row r="230" spans="1:27">
      <c r="A230" s="389">
        <v>43669</v>
      </c>
      <c r="B230" s="97">
        <v>5</v>
      </c>
      <c r="C230" t="s">
        <v>2948</v>
      </c>
      <c r="D230" s="90"/>
      <c r="E230" s="90"/>
      <c r="F230" s="90"/>
      <c r="G230" s="90"/>
      <c r="H230">
        <v>1.4083000000000001</v>
      </c>
      <c r="I230" s="386"/>
      <c r="J230" s="386"/>
      <c r="K230" s="387"/>
      <c r="L230" s="388"/>
      <c r="M230" s="90"/>
      <c r="N230" s="388"/>
      <c r="O230" s="390">
        <v>128</v>
      </c>
      <c r="P230" s="390">
        <v>41.7</v>
      </c>
      <c r="Q230" s="386">
        <v>100</v>
      </c>
      <c r="R230" s="386">
        <v>3</v>
      </c>
      <c r="S230" t="s">
        <v>2491</v>
      </c>
      <c r="T230" t="s">
        <v>2491</v>
      </c>
      <c r="U230" s="90"/>
      <c r="V230" s="90"/>
      <c r="W230" s="90"/>
      <c r="X230" s="429">
        <f>A226</f>
        <v>43669</v>
      </c>
    </row>
    <row r="231" spans="1:27">
      <c r="A231" s="389">
        <v>43669</v>
      </c>
      <c r="B231" s="97">
        <v>6</v>
      </c>
      <c r="C231" t="s">
        <v>2949</v>
      </c>
      <c r="D231" s="90"/>
      <c r="E231" s="90"/>
      <c r="F231" s="90"/>
      <c r="G231" s="90">
        <v>0</v>
      </c>
      <c r="H231">
        <v>1.1343000000000001</v>
      </c>
      <c r="I231" s="391">
        <v>1.4138333333333335</v>
      </c>
      <c r="J231" s="386">
        <v>-0.27953333333333341</v>
      </c>
      <c r="K231" s="387"/>
      <c r="L231" s="388"/>
      <c r="M231" s="90"/>
      <c r="N231" s="388"/>
      <c r="O231" s="390">
        <v>128</v>
      </c>
      <c r="P231" s="390">
        <v>41.7</v>
      </c>
      <c r="Q231" s="386">
        <v>100</v>
      </c>
      <c r="R231" s="386">
        <v>3</v>
      </c>
      <c r="S231" t="s">
        <v>2491</v>
      </c>
      <c r="T231" t="s">
        <v>2491</v>
      </c>
      <c r="U231" s="90"/>
      <c r="V231" s="90"/>
      <c r="W231" s="90"/>
      <c r="X231" s="90">
        <f>((J231-INDEX(LINEST($J$231:$J$236,$G$231:$G$236),2))/INDEX(LINEST($J$231:$J$236,$G$231:$G$236),1)/100.09)*12.01</f>
        <v>0.75223204014855571</v>
      </c>
      <c r="Y231" s="90">
        <f>(J231-X231)^2</f>
        <v>1.064539785916222</v>
      </c>
    </row>
    <row r="232" spans="1:27">
      <c r="A232" s="389">
        <v>43669</v>
      </c>
      <c r="B232" s="97">
        <v>7</v>
      </c>
      <c r="C232" s="146" t="s">
        <v>3116</v>
      </c>
      <c r="D232" s="90">
        <v>334.6</v>
      </c>
      <c r="E232" s="90"/>
      <c r="F232" s="90"/>
      <c r="G232" s="90">
        <v>334.53308000000004</v>
      </c>
      <c r="H232">
        <v>40.1036</v>
      </c>
      <c r="I232" s="391">
        <v>1.4138333333333335</v>
      </c>
      <c r="J232" s="386">
        <v>38.689766666666664</v>
      </c>
      <c r="K232" s="392">
        <v>333.82957812757513</v>
      </c>
      <c r="L232" s="393">
        <v>99.789706335641043</v>
      </c>
      <c r="M232" s="394">
        <v>322.43619864002216</v>
      </c>
      <c r="N232" s="442">
        <v>96.383950621571444</v>
      </c>
      <c r="O232" s="390">
        <v>128</v>
      </c>
      <c r="P232" s="390">
        <v>41.7</v>
      </c>
      <c r="Q232" s="386">
        <v>100</v>
      </c>
      <c r="R232" s="386">
        <v>3</v>
      </c>
      <c r="S232" t="s">
        <v>2491</v>
      </c>
      <c r="T232" t="s">
        <v>2491</v>
      </c>
      <c r="U232" s="90">
        <f t="shared" si="49"/>
        <v>11.393379487552977</v>
      </c>
      <c r="V232" s="90">
        <f t="shared" ref="V232:V236" si="55">(U232/100.09)*12.01</f>
        <v>1.3671144734290264</v>
      </c>
      <c r="W232" s="90">
        <f t="shared" ref="W232:W236" si="56">(U232/K232)*100</f>
        <v>3.4129328957181029</v>
      </c>
      <c r="X232" s="90">
        <f t="shared" ref="X232:X236" si="57">((J232-INDEX(LINEST($J$231:$J$236,$G$231:$G$236),2))/INDEX(LINEST($J$231:$J$236,$G$231:$G$236),1)/100.09)*12.01</f>
        <v>40.056881140095683</v>
      </c>
      <c r="Y232" s="90">
        <f t="shared" ref="Y232:Y236" si="58">(J232-X232)^2</f>
        <v>1.8690019834591052</v>
      </c>
    </row>
    <row r="233" spans="1:27">
      <c r="A233" s="389">
        <v>43669</v>
      </c>
      <c r="B233" s="97">
        <v>8</v>
      </c>
      <c r="C233" s="146" t="s">
        <v>3117</v>
      </c>
      <c r="D233" s="90">
        <v>1022.2</v>
      </c>
      <c r="E233" s="90"/>
      <c r="F233" s="90"/>
      <c r="G233" s="90">
        <v>1021.9955600000001</v>
      </c>
      <c r="H233">
        <v>121.25620000000001</v>
      </c>
      <c r="I233" s="391">
        <v>1.4138333333333335</v>
      </c>
      <c r="J233" s="386">
        <v>119.84236666666668</v>
      </c>
      <c r="K233" s="392">
        <v>1015.9663144935985</v>
      </c>
      <c r="L233" s="393">
        <v>99.41005169274888</v>
      </c>
      <c r="M233" s="394">
        <v>998.75291254510148</v>
      </c>
      <c r="N233" s="442">
        <v>97.725758470526173</v>
      </c>
      <c r="O233" s="390">
        <v>128</v>
      </c>
      <c r="P233" s="390">
        <v>41.7</v>
      </c>
      <c r="Q233" s="386">
        <v>100</v>
      </c>
      <c r="R233" s="386">
        <v>3</v>
      </c>
      <c r="S233" t="s">
        <v>2491</v>
      </c>
      <c r="T233" t="s">
        <v>2491</v>
      </c>
      <c r="U233" s="90">
        <f t="shared" si="49"/>
        <v>17.213401948496994</v>
      </c>
      <c r="V233" s="90">
        <f t="shared" si="55"/>
        <v>2.0654706504291029</v>
      </c>
      <c r="W233" s="90">
        <f t="shared" si="56"/>
        <v>1.6942886494299665</v>
      </c>
      <c r="X233" s="90">
        <f t="shared" si="57"/>
        <v>121.90783731709577</v>
      </c>
      <c r="Y233" s="90">
        <f t="shared" si="58"/>
        <v>4.266169007783974</v>
      </c>
    </row>
    <row r="234" spans="1:27">
      <c r="A234" s="389">
        <v>43669</v>
      </c>
      <c r="B234" s="97">
        <v>9</v>
      </c>
      <c r="C234" s="146" t="s">
        <v>3118</v>
      </c>
      <c r="D234" s="90">
        <v>2035.1</v>
      </c>
      <c r="E234" s="90"/>
      <c r="F234" s="90"/>
      <c r="G234" s="90">
        <v>2034.69298</v>
      </c>
      <c r="H234">
        <v>242.15459999999999</v>
      </c>
      <c r="I234" s="391">
        <v>1.4138333333333335</v>
      </c>
      <c r="J234" s="386">
        <v>240.74076666666664</v>
      </c>
      <c r="K234" s="392">
        <v>2032.1905637212758</v>
      </c>
      <c r="L234" s="393">
        <v>99.877012586010679</v>
      </c>
      <c r="M234" s="394">
        <v>2006.3066890646683</v>
      </c>
      <c r="N234" s="393">
        <v>98.604885787961393</v>
      </c>
      <c r="O234" s="390">
        <v>128</v>
      </c>
      <c r="P234" s="390">
        <v>41.7</v>
      </c>
      <c r="Q234" s="386">
        <v>100</v>
      </c>
      <c r="R234" s="386">
        <v>3</v>
      </c>
      <c r="S234" t="s">
        <v>2491</v>
      </c>
      <c r="T234" t="s">
        <v>2491</v>
      </c>
      <c r="U234" s="90">
        <f t="shared" si="49"/>
        <v>25.883874656607532</v>
      </c>
      <c r="V234" s="90">
        <f t="shared" si="55"/>
        <v>3.1058580739919717</v>
      </c>
      <c r="W234" s="90">
        <f t="shared" si="56"/>
        <v>1.2736932804770971</v>
      </c>
      <c r="X234" s="90">
        <f t="shared" si="57"/>
        <v>243.84662474065863</v>
      </c>
      <c r="Y234" s="90">
        <f t="shared" si="58"/>
        <v>9.6463543757811827</v>
      </c>
    </row>
    <row r="235" spans="1:27">
      <c r="A235" s="389">
        <v>43669</v>
      </c>
      <c r="B235" s="97">
        <v>10</v>
      </c>
      <c r="C235" s="146" t="s">
        <v>3119</v>
      </c>
      <c r="D235" s="90">
        <v>3068</v>
      </c>
      <c r="E235" s="90"/>
      <c r="F235" s="90"/>
      <c r="G235" s="90">
        <v>3067.3863999999999</v>
      </c>
      <c r="H235">
        <v>365.04329999999999</v>
      </c>
      <c r="I235" s="391">
        <v>1.4138333333333335</v>
      </c>
      <c r="J235" s="386">
        <v>363.62946666666664</v>
      </c>
      <c r="K235" s="392">
        <v>3065.1444894644228</v>
      </c>
      <c r="L235" s="393">
        <v>99.926911375248423</v>
      </c>
      <c r="M235" s="394">
        <v>3030.447403719123</v>
      </c>
      <c r="N235" s="393">
        <v>98.795750144785259</v>
      </c>
      <c r="O235" s="390">
        <v>128</v>
      </c>
      <c r="P235" s="390">
        <v>41.7</v>
      </c>
      <c r="Q235" s="386">
        <v>100</v>
      </c>
      <c r="R235" s="386">
        <v>3</v>
      </c>
      <c r="S235" t="s">
        <v>2491</v>
      </c>
      <c r="T235" t="s">
        <v>2491</v>
      </c>
      <c r="U235" s="90">
        <f t="shared" si="49"/>
        <v>34.697085745299773</v>
      </c>
      <c r="V235" s="90">
        <f t="shared" si="55"/>
        <v>4.1633729623443925</v>
      </c>
      <c r="W235" s="90">
        <f t="shared" si="56"/>
        <v>1.131988585352544</v>
      </c>
      <c r="X235" s="90">
        <f t="shared" si="57"/>
        <v>367.79283962901104</v>
      </c>
      <c r="Y235" s="90">
        <f t="shared" si="58"/>
        <v>17.333674423580359</v>
      </c>
    </row>
    <row r="236" spans="1:27">
      <c r="A236" s="389">
        <v>43669</v>
      </c>
      <c r="B236" s="97">
        <v>11</v>
      </c>
      <c r="C236" s="146" t="s">
        <v>3120</v>
      </c>
      <c r="D236" s="90">
        <v>3527.1</v>
      </c>
      <c r="E236" s="90"/>
      <c r="F236" s="90"/>
      <c r="G236" s="90">
        <v>3526.3945800000001</v>
      </c>
      <c r="H236">
        <v>420.53699999999998</v>
      </c>
      <c r="I236" s="391">
        <v>1.4138333333333335</v>
      </c>
      <c r="J236" s="386">
        <v>419.12316666666663</v>
      </c>
      <c r="K236" s="392">
        <v>3531.6026362998314</v>
      </c>
      <c r="L236" s="393">
        <v>100.1476878489256</v>
      </c>
      <c r="M236" s="394">
        <v>3492.9257078823202</v>
      </c>
      <c r="N236" s="393">
        <v>99.050903937196964</v>
      </c>
      <c r="O236" s="390">
        <v>128</v>
      </c>
      <c r="P236" s="390">
        <v>41.7</v>
      </c>
      <c r="Q236" s="386">
        <v>100</v>
      </c>
      <c r="R236" s="386">
        <v>3</v>
      </c>
      <c r="S236" t="s">
        <v>2491</v>
      </c>
      <c r="T236" t="s">
        <v>2491</v>
      </c>
      <c r="U236" s="90">
        <f t="shared" si="49"/>
        <v>38.676928417511135</v>
      </c>
      <c r="V236" s="90">
        <f t="shared" si="55"/>
        <v>4.6409222728974795</v>
      </c>
      <c r="W236" s="90">
        <f t="shared" si="56"/>
        <v>1.0951664839064155</v>
      </c>
      <c r="X236" s="90">
        <f t="shared" si="57"/>
        <v>423.76408893956415</v>
      </c>
      <c r="Y236" s="90">
        <f t="shared" si="58"/>
        <v>21.538159543076212</v>
      </c>
      <c r="AA236" s="80" t="s">
        <v>2987</v>
      </c>
    </row>
    <row r="237" spans="1:27">
      <c r="A237" s="389">
        <v>43669</v>
      </c>
      <c r="B237" s="97">
        <v>12</v>
      </c>
      <c r="C237" t="s">
        <v>2955</v>
      </c>
      <c r="D237" s="90"/>
      <c r="E237" s="90"/>
      <c r="F237" s="90"/>
      <c r="G237" s="90"/>
      <c r="H237">
        <v>0.89180000000000004</v>
      </c>
      <c r="I237" s="391"/>
      <c r="J237" s="386">
        <v>0.89180000000000004</v>
      </c>
      <c r="K237" s="392"/>
      <c r="L237" s="388"/>
      <c r="M237" s="90"/>
      <c r="N237" s="388"/>
      <c r="O237" s="390">
        <v>128</v>
      </c>
      <c r="P237" s="390">
        <v>41.7</v>
      </c>
      <c r="Q237" s="386">
        <v>100</v>
      </c>
      <c r="R237" s="386">
        <v>3</v>
      </c>
      <c r="S237" t="s">
        <v>2491</v>
      </c>
      <c r="T237" t="s">
        <v>2491</v>
      </c>
      <c r="U237" s="90"/>
      <c r="V237" s="90"/>
      <c r="W237" s="90"/>
      <c r="Y237" s="474">
        <f>SQRT(SUM(Y231:Y236)/(6-2))</f>
        <v>3.7322211590283962</v>
      </c>
      <c r="Z237" s="80" t="s">
        <v>2990</v>
      </c>
      <c r="AA237" s="206">
        <f>(Y237/$AK$15)*100</f>
        <v>1.8285668389907601</v>
      </c>
    </row>
    <row r="238" spans="1:27">
      <c r="A238" s="389">
        <v>43669</v>
      </c>
      <c r="B238" s="97">
        <v>13</v>
      </c>
      <c r="C238" t="s">
        <v>2956</v>
      </c>
      <c r="D238" s="90"/>
      <c r="E238" s="90"/>
      <c r="F238" s="90"/>
      <c r="G238" s="90"/>
      <c r="H238">
        <v>0.64600000000000002</v>
      </c>
      <c r="I238" s="391"/>
      <c r="J238" s="386">
        <v>0.64600000000000002</v>
      </c>
      <c r="K238" s="392"/>
      <c r="L238" s="388"/>
      <c r="M238" s="90"/>
      <c r="N238" s="388"/>
      <c r="O238" s="390">
        <v>128</v>
      </c>
      <c r="P238" s="390">
        <v>41.7</v>
      </c>
      <c r="Q238" s="386">
        <v>100</v>
      </c>
      <c r="R238" s="386">
        <v>3</v>
      </c>
      <c r="S238" t="s">
        <v>2491</v>
      </c>
      <c r="T238" t="s">
        <v>2491</v>
      </c>
      <c r="U238" s="90"/>
      <c r="V238" s="90"/>
      <c r="W238" s="90"/>
      <c r="Y238" s="206">
        <f>(Y237/12.01)*100.09</f>
        <v>31.103914721661301</v>
      </c>
      <c r="Z238" s="80" t="s">
        <v>2991</v>
      </c>
    </row>
    <row r="239" spans="1:27">
      <c r="A239" s="389">
        <v>43669</v>
      </c>
      <c r="B239" s="97">
        <v>14</v>
      </c>
      <c r="C239" t="s">
        <v>2957</v>
      </c>
      <c r="D239" s="90"/>
      <c r="E239" s="90"/>
      <c r="F239" s="90"/>
      <c r="G239" s="90"/>
      <c r="H239">
        <v>0.64829999999999999</v>
      </c>
      <c r="I239" s="391"/>
      <c r="J239" s="386">
        <v>0.64829999999999999</v>
      </c>
      <c r="K239" s="392"/>
      <c r="L239" s="388"/>
      <c r="M239" s="90"/>
      <c r="N239" s="388"/>
      <c r="O239" s="390">
        <v>128</v>
      </c>
      <c r="P239" s="390">
        <v>41.7</v>
      </c>
      <c r="Q239" s="386">
        <v>100</v>
      </c>
      <c r="R239" s="386">
        <v>3</v>
      </c>
      <c r="S239" t="s">
        <v>2491</v>
      </c>
      <c r="T239" t="s">
        <v>2491</v>
      </c>
      <c r="U239" s="90"/>
      <c r="V239" s="90"/>
      <c r="W239" s="90"/>
    </row>
    <row r="240" spans="1:27">
      <c r="A240" s="389">
        <v>43669</v>
      </c>
      <c r="B240" s="97">
        <v>15</v>
      </c>
      <c r="C240" s="295" t="s">
        <v>2958</v>
      </c>
      <c r="D240" s="294">
        <v>1195.8</v>
      </c>
      <c r="E240" s="294"/>
      <c r="F240" s="294"/>
      <c r="G240" s="294"/>
      <c r="H240">
        <v>17.508900000000001</v>
      </c>
      <c r="I240" s="391">
        <v>0.72870000000000001</v>
      </c>
      <c r="J240" s="434">
        <v>16.780200000000001</v>
      </c>
      <c r="K240" s="392">
        <v>149.66640527551851</v>
      </c>
      <c r="L240" s="436">
        <v>12.5160064622444</v>
      </c>
      <c r="M240" s="437">
        <v>139.84431457119069</v>
      </c>
      <c r="N240" s="436">
        <v>11.694624065160621</v>
      </c>
      <c r="O240" s="438">
        <v>128</v>
      </c>
      <c r="P240" s="438">
        <v>41.7</v>
      </c>
      <c r="Q240" s="434">
        <v>100</v>
      </c>
      <c r="R240" s="434">
        <v>3</v>
      </c>
      <c r="S240" s="295" t="s">
        <v>2491</v>
      </c>
      <c r="T240" s="295" t="s">
        <v>2491</v>
      </c>
      <c r="U240" s="90">
        <f t="shared" si="49"/>
        <v>9.8220907043278203</v>
      </c>
      <c r="V240" s="90">
        <f t="shared" ref="V240:V250" si="59">(U240/100.09)*12.01</f>
        <v>1.1785723784491668</v>
      </c>
      <c r="W240" s="90">
        <f t="shared" ref="W240:W250" si="60">(U240/K240)*100</f>
        <v>6.5626555847629859</v>
      </c>
    </row>
    <row r="241" spans="1:23">
      <c r="A241" s="389">
        <v>43669</v>
      </c>
      <c r="B241" s="97">
        <v>16</v>
      </c>
      <c r="C241" s="295" t="s">
        <v>2958</v>
      </c>
      <c r="D241" s="294">
        <v>2186.3000000000002</v>
      </c>
      <c r="E241" s="294"/>
      <c r="F241" s="294"/>
      <c r="G241" s="294"/>
      <c r="H241">
        <v>32.028100000000002</v>
      </c>
      <c r="I241" s="391">
        <v>0.72870000000000001</v>
      </c>
      <c r="J241" s="434">
        <v>31.299400000000002</v>
      </c>
      <c r="K241" s="392">
        <v>271.70907184005949</v>
      </c>
      <c r="L241" s="436">
        <v>12.427803679278208</v>
      </c>
      <c r="M241" s="437">
        <v>260.84570741049129</v>
      </c>
      <c r="N241" s="436">
        <v>11.930920157823321</v>
      </c>
      <c r="O241" s="438">
        <v>128</v>
      </c>
      <c r="P241" s="438">
        <v>41.7</v>
      </c>
      <c r="Q241" s="434">
        <v>100</v>
      </c>
      <c r="R241" s="434">
        <v>3</v>
      </c>
      <c r="S241" s="295" t="s">
        <v>2491</v>
      </c>
      <c r="T241" s="295" t="s">
        <v>2491</v>
      </c>
      <c r="U241" s="90">
        <f t="shared" si="49"/>
        <v>10.863364429568207</v>
      </c>
      <c r="V241" s="90">
        <f t="shared" si="59"/>
        <v>1.3035169027786409</v>
      </c>
      <c r="W241" s="90">
        <f t="shared" si="60"/>
        <v>3.9981603691034961</v>
      </c>
    </row>
    <row r="242" spans="1:23">
      <c r="A242" s="389">
        <v>43669</v>
      </c>
      <c r="B242" s="97">
        <v>17</v>
      </c>
      <c r="C242" t="s">
        <v>2959</v>
      </c>
      <c r="D242" s="90"/>
      <c r="E242" s="90"/>
      <c r="F242" s="90"/>
      <c r="G242" s="90"/>
      <c r="H242">
        <v>0.59640000000000004</v>
      </c>
      <c r="I242" s="391">
        <v>0.63686666666666658</v>
      </c>
      <c r="J242" s="386">
        <v>-4.046666666666654E-2</v>
      </c>
      <c r="K242" s="392"/>
      <c r="L242" s="393"/>
      <c r="M242" s="394">
        <v>-0.33724468498473387</v>
      </c>
      <c r="N242" s="436" t="e">
        <v>#DIV/0!</v>
      </c>
      <c r="O242" s="390">
        <v>128</v>
      </c>
      <c r="P242" s="390">
        <v>41.7</v>
      </c>
      <c r="Q242" s="386">
        <v>100</v>
      </c>
      <c r="R242" s="386">
        <v>3</v>
      </c>
      <c r="S242" t="s">
        <v>2491</v>
      </c>
      <c r="T242" t="s">
        <v>2491</v>
      </c>
      <c r="U242" s="90"/>
      <c r="V242" s="90"/>
      <c r="W242" s="90"/>
    </row>
    <row r="243" spans="1:23">
      <c r="A243" s="389">
        <v>43669</v>
      </c>
      <c r="B243" s="97">
        <v>18</v>
      </c>
      <c r="C243" t="s">
        <v>3107</v>
      </c>
      <c r="D243" s="90">
        <v>2327</v>
      </c>
      <c r="E243" s="394">
        <v>2327</v>
      </c>
      <c r="F243" s="90"/>
      <c r="G243" s="90"/>
      <c r="H243">
        <v>148.7276</v>
      </c>
      <c r="I243" s="391">
        <v>0.63686666666666658</v>
      </c>
      <c r="J243" s="386">
        <v>148.09073333333333</v>
      </c>
      <c r="K243" s="392">
        <v>1253.4109391349623</v>
      </c>
      <c r="L243" s="393">
        <v>53.863813456594855</v>
      </c>
      <c r="M243" s="394">
        <v>1234.1716485706356</v>
      </c>
      <c r="N243" s="436">
        <v>53.037028301273551</v>
      </c>
      <c r="O243" s="390">
        <v>128</v>
      </c>
      <c r="P243" s="390">
        <v>41.7</v>
      </c>
      <c r="Q243" s="386">
        <v>100</v>
      </c>
      <c r="R243" s="386">
        <v>3</v>
      </c>
      <c r="S243" t="s">
        <v>2491</v>
      </c>
      <c r="T243" t="s">
        <v>2491</v>
      </c>
      <c r="U243" s="90">
        <f t="shared" si="49"/>
        <v>19.239290564326666</v>
      </c>
      <c r="V243" s="90">
        <f t="shared" si="59"/>
        <v>2.3085610917930186</v>
      </c>
      <c r="W243" s="90">
        <f t="shared" si="60"/>
        <v>1.5349547354042246</v>
      </c>
    </row>
    <row r="244" spans="1:23">
      <c r="A244" s="389">
        <v>43669</v>
      </c>
      <c r="B244" s="97">
        <v>19</v>
      </c>
      <c r="C244" t="s">
        <v>3108</v>
      </c>
      <c r="D244" s="90">
        <v>2133.6999999999998</v>
      </c>
      <c r="E244" s="394">
        <v>2133.6999999999998</v>
      </c>
      <c r="F244" s="90"/>
      <c r="G244" s="90"/>
      <c r="H244">
        <v>134.8477</v>
      </c>
      <c r="I244" s="391">
        <v>0.63686666666666658</v>
      </c>
      <c r="J244" s="386">
        <v>134.21083333333334</v>
      </c>
      <c r="K244" s="392">
        <v>1136.7419761308595</v>
      </c>
      <c r="L244" s="393">
        <v>53.275623383365023</v>
      </c>
      <c r="M244" s="394">
        <v>1118.498110602276</v>
      </c>
      <c r="N244" s="436">
        <v>52.420589145722268</v>
      </c>
      <c r="O244" s="390">
        <v>128</v>
      </c>
      <c r="P244" s="390">
        <v>41.7</v>
      </c>
      <c r="Q244" s="386">
        <v>100</v>
      </c>
      <c r="R244" s="386">
        <v>3</v>
      </c>
      <c r="S244" t="s">
        <v>2491</v>
      </c>
      <c r="T244" t="s">
        <v>2491</v>
      </c>
      <c r="U244" s="90">
        <f t="shared" si="49"/>
        <v>18.243865528583456</v>
      </c>
      <c r="V244" s="90">
        <f t="shared" si="59"/>
        <v>2.189118043743504</v>
      </c>
      <c r="W244" s="90">
        <f t="shared" si="60"/>
        <v>1.6049258241241597</v>
      </c>
    </row>
    <row r="245" spans="1:23">
      <c r="A245" s="389">
        <v>43669</v>
      </c>
      <c r="B245" s="97">
        <v>20</v>
      </c>
      <c r="C245" t="s">
        <v>3109</v>
      </c>
      <c r="D245" s="395">
        <v>2338.1999999999998</v>
      </c>
      <c r="E245" s="394">
        <v>2338.1999999999998</v>
      </c>
      <c r="F245" s="395"/>
      <c r="G245" s="395"/>
      <c r="H245">
        <v>152.29580000000001</v>
      </c>
      <c r="I245" s="391">
        <v>0.63686666666666658</v>
      </c>
      <c r="J245" s="386">
        <v>151.65893333333335</v>
      </c>
      <c r="K245" s="392">
        <v>1283.4038204807389</v>
      </c>
      <c r="L245" s="442">
        <v>54.888539067690488</v>
      </c>
      <c r="M245" s="443">
        <v>1263.9086292534002</v>
      </c>
      <c r="N245" s="436">
        <v>54.054769876546075</v>
      </c>
      <c r="O245" s="444">
        <v>128</v>
      </c>
      <c r="P245" s="444">
        <v>41.7</v>
      </c>
      <c r="Q245" s="445">
        <v>100</v>
      </c>
      <c r="R245" s="445">
        <v>3</v>
      </c>
      <c r="S245" s="146" t="s">
        <v>2491</v>
      </c>
      <c r="T245" s="146" t="s">
        <v>2491</v>
      </c>
      <c r="U245" s="90">
        <f t="shared" si="49"/>
        <v>19.495191227338637</v>
      </c>
      <c r="V245" s="90">
        <f t="shared" si="59"/>
        <v>2.3392671259899793</v>
      </c>
      <c r="W245" s="90">
        <f t="shared" si="60"/>
        <v>1.5190223775425653</v>
      </c>
    </row>
    <row r="246" spans="1:23">
      <c r="A246" s="439">
        <v>43669</v>
      </c>
      <c r="B246" s="440">
        <v>21</v>
      </c>
      <c r="C246" s="146" t="s">
        <v>3110</v>
      </c>
      <c r="D246" s="395">
        <v>2487.1999999999998</v>
      </c>
      <c r="E246" s="443">
        <v>2487.1999999999998</v>
      </c>
      <c r="F246" s="395"/>
      <c r="G246" s="395"/>
      <c r="H246">
        <v>184.25479999999999</v>
      </c>
      <c r="I246" s="461">
        <v>0.63686666666666658</v>
      </c>
      <c r="J246" s="445">
        <v>183.61793333333333</v>
      </c>
      <c r="K246" s="392">
        <v>1552.0385648699723</v>
      </c>
      <c r="L246" s="442">
        <v>62.40103589859973</v>
      </c>
      <c r="M246" s="443">
        <v>1530.2513694698862</v>
      </c>
      <c r="N246" s="442">
        <v>61.525063101877059</v>
      </c>
      <c r="O246" s="444">
        <v>128</v>
      </c>
      <c r="P246" s="444">
        <v>41.7</v>
      </c>
      <c r="Q246" s="445">
        <v>100</v>
      </c>
      <c r="R246" s="445">
        <v>3</v>
      </c>
      <c r="S246" s="146" t="s">
        <v>2491</v>
      </c>
      <c r="T246" s="146" t="s">
        <v>2491</v>
      </c>
      <c r="U246" s="90">
        <f t="shared" si="49"/>
        <v>21.787195400086148</v>
      </c>
      <c r="V246" s="90">
        <f t="shared" si="59"/>
        <v>2.6142893071738897</v>
      </c>
      <c r="W246" s="90">
        <f t="shared" si="60"/>
        <v>1.40377925479651</v>
      </c>
    </row>
    <row r="247" spans="1:23">
      <c r="A247" s="389">
        <v>43669</v>
      </c>
      <c r="B247" s="97">
        <v>22</v>
      </c>
      <c r="C247" t="s">
        <v>2965</v>
      </c>
      <c r="D247" s="395"/>
      <c r="E247" s="462"/>
      <c r="F247" s="395"/>
      <c r="G247" s="395"/>
      <c r="H247">
        <v>0.56999999999999995</v>
      </c>
      <c r="I247" s="391">
        <v>0.63686666666666658</v>
      </c>
      <c r="J247" s="445">
        <v>-6.686666666666663E-2</v>
      </c>
      <c r="K247" s="392"/>
      <c r="L247" s="442"/>
      <c r="M247" s="443">
        <v>-0.55725933943935579</v>
      </c>
      <c r="N247" s="436" t="e">
        <v>#DIV/0!</v>
      </c>
      <c r="O247" s="444">
        <v>128</v>
      </c>
      <c r="P247" s="444">
        <v>41.7</v>
      </c>
      <c r="Q247" s="445">
        <v>100</v>
      </c>
      <c r="R247" s="445">
        <v>3</v>
      </c>
      <c r="S247" s="146" t="s">
        <v>2491</v>
      </c>
      <c r="T247" s="146" t="s">
        <v>2491</v>
      </c>
      <c r="U247" s="90"/>
      <c r="V247" s="90"/>
      <c r="W247" s="90"/>
    </row>
    <row r="248" spans="1:23">
      <c r="A248" s="389">
        <v>43669</v>
      </c>
      <c r="B248" s="97">
        <v>23</v>
      </c>
      <c r="C248" t="s">
        <v>3111</v>
      </c>
      <c r="D248" s="90">
        <v>2854.7</v>
      </c>
      <c r="E248" s="394">
        <v>2854.7</v>
      </c>
      <c r="F248" s="90"/>
      <c r="G248" s="90"/>
      <c r="H248">
        <v>144.02090000000001</v>
      </c>
      <c r="I248" s="391">
        <v>0.63686666666666658</v>
      </c>
      <c r="J248" s="386">
        <v>143.38403333333335</v>
      </c>
      <c r="K248" s="392">
        <v>1213.8482759910341</v>
      </c>
      <c r="L248" s="442">
        <v>42.521045153292263</v>
      </c>
      <c r="M248" s="443">
        <v>1194.9465359145158</v>
      </c>
      <c r="N248" s="436">
        <v>41.858918132010928</v>
      </c>
      <c r="O248" s="444">
        <v>128</v>
      </c>
      <c r="P248" s="444">
        <v>41.7</v>
      </c>
      <c r="Q248" s="445">
        <v>100</v>
      </c>
      <c r="R248" s="445">
        <v>3</v>
      </c>
      <c r="S248" s="146" t="s">
        <v>2491</v>
      </c>
      <c r="T248" s="146" t="s">
        <v>2491</v>
      </c>
      <c r="U248" s="90">
        <f t="shared" si="49"/>
        <v>18.901740076518308</v>
      </c>
      <c r="V248" s="90">
        <f t="shared" si="59"/>
        <v>2.2680577312317403</v>
      </c>
      <c r="W248" s="90">
        <f t="shared" si="60"/>
        <v>1.5571748504635947</v>
      </c>
    </row>
    <row r="249" spans="1:23">
      <c r="A249" s="389">
        <v>43669</v>
      </c>
      <c r="B249" s="97">
        <v>24</v>
      </c>
      <c r="C249" t="s">
        <v>3112</v>
      </c>
      <c r="D249" s="90">
        <v>2681.6</v>
      </c>
      <c r="E249" s="394">
        <v>2681.6</v>
      </c>
      <c r="F249" s="90"/>
      <c r="G249" s="90"/>
      <c r="H249">
        <v>184.75409999999999</v>
      </c>
      <c r="I249" s="391">
        <v>0.63686666666666658</v>
      </c>
      <c r="J249" s="386">
        <v>184.11723333333333</v>
      </c>
      <c r="K249" s="392">
        <v>1556.2354836682309</v>
      </c>
      <c r="L249" s="442">
        <v>58.033841127246092</v>
      </c>
      <c r="M249" s="443">
        <v>1534.4124799611434</v>
      </c>
      <c r="N249" s="436">
        <v>57.220035798073667</v>
      </c>
      <c r="O249" s="444">
        <v>128</v>
      </c>
      <c r="P249" s="444">
        <v>41.7</v>
      </c>
      <c r="Q249" s="445">
        <v>100</v>
      </c>
      <c r="R249" s="445">
        <v>3</v>
      </c>
      <c r="S249" s="146" t="s">
        <v>2491</v>
      </c>
      <c r="T249" s="146" t="s">
        <v>2491</v>
      </c>
      <c r="U249" s="90">
        <f t="shared" si="49"/>
        <v>21.823003707087537</v>
      </c>
      <c r="V249" s="90">
        <f t="shared" si="59"/>
        <v>2.6185860178051885</v>
      </c>
      <c r="W249" s="90">
        <f t="shared" si="60"/>
        <v>1.4022944429751814</v>
      </c>
    </row>
    <row r="250" spans="1:23">
      <c r="A250" s="389">
        <v>43669</v>
      </c>
      <c r="B250" s="97">
        <v>25</v>
      </c>
      <c r="C250" t="s">
        <v>3113</v>
      </c>
      <c r="D250" s="395">
        <v>2338.6</v>
      </c>
      <c r="E250" s="394">
        <v>2338.6</v>
      </c>
      <c r="F250" s="395"/>
      <c r="G250" s="395"/>
      <c r="H250">
        <v>180.52420000000001</v>
      </c>
      <c r="I250" s="391">
        <v>0.63686666666666658</v>
      </c>
      <c r="J250" s="445">
        <v>179.88733333333334</v>
      </c>
      <c r="K250" s="392">
        <v>1520.6806132000681</v>
      </c>
      <c r="L250" s="442">
        <v>65.025254990167966</v>
      </c>
      <c r="M250" s="443">
        <v>1499.1609653066891</v>
      </c>
      <c r="N250" s="436">
        <v>64.105061374612546</v>
      </c>
      <c r="O250" s="444">
        <v>128</v>
      </c>
      <c r="P250" s="444">
        <v>41.7</v>
      </c>
      <c r="Q250" s="445">
        <v>100</v>
      </c>
      <c r="R250" s="445">
        <v>3</v>
      </c>
      <c r="S250" s="146" t="s">
        <v>2491</v>
      </c>
      <c r="T250" s="146" t="s">
        <v>2491</v>
      </c>
      <c r="U250" s="90">
        <f t="shared" si="49"/>
        <v>21.519647893378988</v>
      </c>
      <c r="V250" s="90">
        <f t="shared" si="59"/>
        <v>2.5821857448244745</v>
      </c>
      <c r="W250" s="90">
        <f t="shared" si="60"/>
        <v>1.415132652220362</v>
      </c>
    </row>
    <row r="251" spans="1:23">
      <c r="A251" s="399">
        <v>43669</v>
      </c>
      <c r="B251" s="400">
        <v>26</v>
      </c>
      <c r="C251" s="200" t="s">
        <v>2971</v>
      </c>
      <c r="D251" s="471" t="s">
        <v>3114</v>
      </c>
      <c r="E251" s="463"/>
      <c r="F251" s="401"/>
      <c r="G251" s="401"/>
      <c r="H251" s="200">
        <v>0</v>
      </c>
      <c r="I251" s="402">
        <v>0.63686666666666658</v>
      </c>
      <c r="J251" s="403">
        <v>-0.63686666666666658</v>
      </c>
      <c r="K251" s="404"/>
      <c r="L251" s="405"/>
      <c r="M251" s="406">
        <v>-5.3075757424368577</v>
      </c>
      <c r="N251" s="405" t="e">
        <v>#VALUE!</v>
      </c>
      <c r="O251" s="407">
        <v>128</v>
      </c>
      <c r="P251" s="407">
        <v>41.7</v>
      </c>
      <c r="Q251" s="403">
        <v>100</v>
      </c>
      <c r="R251" s="403">
        <v>3</v>
      </c>
      <c r="S251" s="200" t="s">
        <v>2491</v>
      </c>
      <c r="T251" s="200" t="s">
        <v>2491</v>
      </c>
      <c r="U251" s="90"/>
      <c r="V251" s="90"/>
      <c r="W251" s="90"/>
    </row>
    <row r="252" spans="1:23">
      <c r="A252" s="439">
        <v>43669</v>
      </c>
      <c r="B252" s="440">
        <v>27</v>
      </c>
      <c r="C252" s="146" t="s">
        <v>3121</v>
      </c>
      <c r="D252" s="395">
        <v>1989.1</v>
      </c>
      <c r="E252" s="462"/>
      <c r="F252" s="395"/>
      <c r="G252" s="90">
        <v>1988.70218</v>
      </c>
      <c r="H252">
        <v>237.07560000000001</v>
      </c>
      <c r="I252" s="461">
        <v>0.63686666666666658</v>
      </c>
      <c r="J252" s="445">
        <v>236.43873333333335</v>
      </c>
      <c r="K252" s="392">
        <v>1996.0293689137425</v>
      </c>
      <c r="L252" s="442">
        <v>100.36844073423514</v>
      </c>
      <c r="M252" s="443">
        <v>1970.4540232583961</v>
      </c>
      <c r="N252" s="442">
        <v>99.082408772659775</v>
      </c>
      <c r="O252" s="444">
        <v>128</v>
      </c>
      <c r="P252" s="444">
        <v>41.7</v>
      </c>
      <c r="Q252" s="445">
        <v>100</v>
      </c>
      <c r="R252" s="445">
        <v>3</v>
      </c>
      <c r="S252" s="146" t="s">
        <v>2491</v>
      </c>
      <c r="T252" s="146" t="s">
        <v>2491</v>
      </c>
      <c r="U252" s="90">
        <f t="shared" si="49"/>
        <v>25.575345655346382</v>
      </c>
      <c r="V252" s="90">
        <f t="shared" ref="V252" si="61">(U252/100.09)*12.01</f>
        <v>3.0688370598532324</v>
      </c>
      <c r="W252" s="90">
        <f>(U252/K252)*100</f>
        <v>1.2813110895890636</v>
      </c>
    </row>
    <row r="253" spans="1:23">
      <c r="A253" s="389">
        <v>43669</v>
      </c>
      <c r="B253" s="97">
        <v>28</v>
      </c>
      <c r="C253" t="s">
        <v>2973</v>
      </c>
      <c r="D253" s="90"/>
      <c r="E253" s="464"/>
      <c r="F253" s="90"/>
      <c r="G253" s="90"/>
      <c r="H253">
        <v>0.74419999999999997</v>
      </c>
      <c r="I253" s="391">
        <v>0.63686666666666658</v>
      </c>
      <c r="J253" s="386">
        <v>0.10733333333333339</v>
      </c>
      <c r="K253" s="392"/>
      <c r="L253" s="393"/>
      <c r="M253" s="394">
        <v>0.8945040244240916</v>
      </c>
      <c r="N253" s="436" t="e">
        <v>#DIV/0!</v>
      </c>
      <c r="O253" s="390">
        <v>128</v>
      </c>
      <c r="P253" s="390">
        <v>41.7</v>
      </c>
      <c r="Q253" s="386">
        <v>100</v>
      </c>
      <c r="R253" s="386">
        <v>3</v>
      </c>
      <c r="S253" t="s">
        <v>2491</v>
      </c>
      <c r="T253" t="s">
        <v>2491</v>
      </c>
      <c r="U253" s="90"/>
      <c r="V253" s="90"/>
      <c r="W253" s="90"/>
    </row>
    <row r="254" spans="1:23">
      <c r="A254" s="389"/>
      <c r="B254" s="446" t="s">
        <v>3115</v>
      </c>
      <c r="D254" s="90"/>
      <c r="E254" s="90"/>
      <c r="F254" s="90"/>
      <c r="G254" s="90"/>
      <c r="H254" s="385"/>
      <c r="I254" s="386"/>
      <c r="J254" s="386"/>
      <c r="K254" s="392"/>
      <c r="L254" s="393"/>
      <c r="M254" s="394"/>
      <c r="N254" s="393"/>
      <c r="O254" s="390"/>
      <c r="P254" s="390"/>
      <c r="Q254" s="386"/>
      <c r="R254" s="386"/>
    </row>
    <row r="259" spans="1:27">
      <c r="A259" s="384" t="s">
        <v>3139</v>
      </c>
      <c r="B259" s="97"/>
      <c r="C259" s="146"/>
      <c r="D259" s="395"/>
      <c r="E259" s="395"/>
      <c r="F259" s="395"/>
      <c r="G259" s="395"/>
      <c r="H259" s="385"/>
      <c r="I259" s="386"/>
      <c r="J259" s="386"/>
      <c r="K259" s="387"/>
      <c r="L259" s="388"/>
      <c r="M259" s="90"/>
      <c r="N259" s="388"/>
      <c r="O259" s="386"/>
      <c r="P259" s="386"/>
      <c r="Q259" s="386"/>
      <c r="R259" s="386"/>
    </row>
    <row r="260" spans="1:27">
      <c r="A260" s="389">
        <v>43676</v>
      </c>
      <c r="B260" s="97">
        <v>1</v>
      </c>
      <c r="C260" s="460" t="s">
        <v>3043</v>
      </c>
      <c r="D260" s="395"/>
      <c r="E260" s="395"/>
      <c r="F260" s="395"/>
      <c r="H260">
        <v>0.50829999999999997</v>
      </c>
      <c r="I260" s="386"/>
      <c r="J260" s="386"/>
      <c r="K260" s="387"/>
      <c r="L260" s="388"/>
      <c r="M260" s="90"/>
      <c r="N260" s="388"/>
      <c r="O260" s="386"/>
      <c r="P260" s="386"/>
      <c r="Q260" s="386"/>
      <c r="R260" s="386"/>
    </row>
    <row r="261" spans="1:27">
      <c r="A261" s="389">
        <v>43676</v>
      </c>
      <c r="B261" s="97">
        <v>2</v>
      </c>
      <c r="C261" s="460" t="s">
        <v>3043</v>
      </c>
      <c r="D261" s="395"/>
      <c r="E261" s="395"/>
      <c r="F261" s="395"/>
      <c r="H261">
        <v>0.60419999999999996</v>
      </c>
      <c r="I261" s="386"/>
      <c r="J261" s="386"/>
      <c r="K261" s="387"/>
      <c r="L261" s="388"/>
      <c r="M261" s="90"/>
      <c r="N261" s="388"/>
      <c r="O261" s="386"/>
      <c r="P261" s="386"/>
      <c r="Q261" s="386"/>
      <c r="R261" s="386"/>
    </row>
    <row r="262" spans="1:27">
      <c r="A262" s="389">
        <v>43676</v>
      </c>
      <c r="B262" s="97">
        <v>3</v>
      </c>
      <c r="C262" s="460" t="s">
        <v>3043</v>
      </c>
      <c r="D262" s="395"/>
      <c r="E262" s="395"/>
      <c r="F262" s="395"/>
      <c r="H262">
        <v>0.46410000000000001</v>
      </c>
      <c r="I262" s="386"/>
      <c r="J262" s="386"/>
      <c r="K262" s="387"/>
      <c r="L262" s="388"/>
      <c r="M262" s="90"/>
      <c r="N262" s="388"/>
      <c r="O262" s="386"/>
      <c r="P262" s="386"/>
      <c r="Q262" s="386"/>
      <c r="R262" s="386"/>
    </row>
    <row r="263" spans="1:27">
      <c r="A263" s="389">
        <v>43676</v>
      </c>
      <c r="B263" s="97">
        <v>4</v>
      </c>
      <c r="C263" t="s">
        <v>2947</v>
      </c>
      <c r="D263" s="460" t="s">
        <v>3011</v>
      </c>
      <c r="E263" s="90"/>
      <c r="F263" s="90"/>
      <c r="H263">
        <v>0.3705</v>
      </c>
      <c r="I263" s="386"/>
      <c r="J263" s="386"/>
      <c r="K263" s="387"/>
      <c r="L263" s="388"/>
      <c r="M263" s="90"/>
      <c r="N263" s="388"/>
      <c r="O263" s="390">
        <v>128</v>
      </c>
      <c r="P263" s="390">
        <v>41.7</v>
      </c>
      <c r="Q263" s="386">
        <v>100</v>
      </c>
      <c r="R263" s="386">
        <v>3</v>
      </c>
      <c r="S263" t="s">
        <v>2491</v>
      </c>
      <c r="T263" t="s">
        <v>2491</v>
      </c>
    </row>
    <row r="264" spans="1:27">
      <c r="A264" s="389">
        <v>43676</v>
      </c>
      <c r="B264" s="97">
        <v>5</v>
      </c>
      <c r="C264" t="s">
        <v>2948</v>
      </c>
      <c r="D264" s="90"/>
      <c r="E264" s="90"/>
      <c r="F264" s="90"/>
      <c r="G264" s="90"/>
      <c r="H264">
        <v>0.47639999999999999</v>
      </c>
      <c r="I264" s="386"/>
      <c r="J264" s="386"/>
      <c r="K264" s="387"/>
      <c r="L264" s="388"/>
      <c r="M264" s="90"/>
      <c r="N264" s="388"/>
      <c r="O264" s="390">
        <v>128</v>
      </c>
      <c r="P264" s="390">
        <v>41.7</v>
      </c>
      <c r="Q264" s="386">
        <v>100</v>
      </c>
      <c r="R264" s="386">
        <v>3</v>
      </c>
      <c r="S264" t="s">
        <v>2491</v>
      </c>
      <c r="T264" t="s">
        <v>2491</v>
      </c>
      <c r="X264" s="429">
        <f>A260</f>
        <v>43676</v>
      </c>
    </row>
    <row r="265" spans="1:27">
      <c r="A265" s="389">
        <v>43676</v>
      </c>
      <c r="B265" s="97">
        <v>6</v>
      </c>
      <c r="C265" t="s">
        <v>2949</v>
      </c>
      <c r="D265" s="90"/>
      <c r="E265" s="90"/>
      <c r="F265" s="90"/>
      <c r="G265" s="90">
        <v>0</v>
      </c>
      <c r="H265">
        <v>0.42599999999999999</v>
      </c>
      <c r="I265" s="391">
        <v>0.42429999999999995</v>
      </c>
      <c r="J265" s="386">
        <v>1.70000000000003E-3</v>
      </c>
      <c r="K265" s="387"/>
      <c r="L265" s="388"/>
      <c r="M265" s="90"/>
      <c r="N265" s="388"/>
      <c r="O265" s="390">
        <v>128</v>
      </c>
      <c r="P265" s="390">
        <v>41.7</v>
      </c>
      <c r="Q265" s="386">
        <v>100</v>
      </c>
      <c r="R265" s="386">
        <v>3</v>
      </c>
      <c r="S265" t="s">
        <v>2491</v>
      </c>
      <c r="T265" t="s">
        <v>2491</v>
      </c>
      <c r="X265" s="90">
        <f>((J265-INDEX(LINEST($J$265:$J$270,$G$265:$G$270),2))/INDEX(LINEST($J$265:$J$270,$G$265:$G$270),1)/100.09)*12.01</f>
        <v>0.50562981987191613</v>
      </c>
      <c r="Y265" s="90">
        <f>(J265-X265)^2</f>
        <v>0.25394526335614181</v>
      </c>
    </row>
    <row r="266" spans="1:27">
      <c r="A266" s="389">
        <v>43676</v>
      </c>
      <c r="B266" s="97">
        <v>7</v>
      </c>
      <c r="C266" s="146" t="s">
        <v>3143</v>
      </c>
      <c r="D266" s="90">
        <v>234.1</v>
      </c>
      <c r="E266" s="90"/>
      <c r="F266" s="90"/>
      <c r="G266" s="90">
        <v>234.05318</v>
      </c>
      <c r="H266">
        <v>28.179400000000001</v>
      </c>
      <c r="I266" s="391">
        <v>0.42429999999999995</v>
      </c>
      <c r="J266" s="386">
        <v>27.755100000000002</v>
      </c>
      <c r="K266" s="392">
        <v>236.64434927745981</v>
      </c>
      <c r="L266" s="393">
        <v>101.10708569627629</v>
      </c>
      <c r="M266" s="394">
        <v>231.30790666111579</v>
      </c>
      <c r="N266" s="393">
        <v>98.82707283067711</v>
      </c>
      <c r="O266" s="390">
        <v>128</v>
      </c>
      <c r="P266" s="390">
        <v>41.7</v>
      </c>
      <c r="Q266" s="386">
        <v>100</v>
      </c>
      <c r="R266" s="386">
        <v>3</v>
      </c>
      <c r="S266" t="s">
        <v>2491</v>
      </c>
      <c r="T266" t="s">
        <v>2491</v>
      </c>
      <c r="X266" s="90">
        <f t="shared" ref="X266:X270" si="62">((J266-INDEX(LINEST($J$265:$J$270,$G$265:$G$270),2))/INDEX(LINEST($J$265:$J$270,$G$265:$G$270),1)/100.09)*12.01</f>
        <v>28.395430460808196</v>
      </c>
      <c r="Y266" s="90">
        <f t="shared" ref="Y266:Y270" si="63">(J266-X266)^2</f>
        <v>0.41002309903883394</v>
      </c>
    </row>
    <row r="267" spans="1:27">
      <c r="A267" s="389">
        <v>43676</v>
      </c>
      <c r="B267" s="97">
        <v>8</v>
      </c>
      <c r="C267" s="146" t="s">
        <v>3144</v>
      </c>
      <c r="D267" s="90">
        <v>1105.5999999999999</v>
      </c>
      <c r="E267" s="90"/>
      <c r="F267" s="90"/>
      <c r="G267" s="90">
        <v>1105.37888</v>
      </c>
      <c r="H267">
        <v>130.85120000000001</v>
      </c>
      <c r="I267" s="391">
        <v>0.42429999999999995</v>
      </c>
      <c r="J267" s="386">
        <v>130.42690000000002</v>
      </c>
      <c r="K267" s="392">
        <v>1096.5049952496622</v>
      </c>
      <c r="L267" s="393">
        <v>99.197208766071427</v>
      </c>
      <c r="M267" s="394">
        <v>1086.9632323896756</v>
      </c>
      <c r="N267" s="393">
        <v>98.333996791188511</v>
      </c>
      <c r="O267" s="390">
        <v>128</v>
      </c>
      <c r="P267" s="390">
        <v>41.7</v>
      </c>
      <c r="Q267" s="386">
        <v>100</v>
      </c>
      <c r="R267" s="386">
        <v>3</v>
      </c>
      <c r="S267" t="s">
        <v>2491</v>
      </c>
      <c r="T267" t="s">
        <v>2491</v>
      </c>
      <c r="X267" s="90">
        <f t="shared" si="62"/>
        <v>131.57183527773446</v>
      </c>
      <c r="Y267" s="90">
        <f t="shared" si="63"/>
        <v>1.3108767902008558</v>
      </c>
    </row>
    <row r="268" spans="1:27">
      <c r="A268" s="389">
        <v>43676</v>
      </c>
      <c r="B268" s="97">
        <v>9</v>
      </c>
      <c r="C268" s="146" t="s">
        <v>3145</v>
      </c>
      <c r="D268" s="90">
        <v>2268.1</v>
      </c>
      <c r="E268" s="90"/>
      <c r="F268" s="90"/>
      <c r="G268" s="90">
        <v>2267.6463800000001</v>
      </c>
      <c r="H268">
        <v>270.6003</v>
      </c>
      <c r="I268" s="391">
        <v>0.42429999999999995</v>
      </c>
      <c r="J268" s="386">
        <v>270.17599999999999</v>
      </c>
      <c r="K268" s="392">
        <v>2266.8823666411627</v>
      </c>
      <c r="L268" s="393">
        <v>99.96630809082157</v>
      </c>
      <c r="M268" s="394">
        <v>2251.6166394671109</v>
      </c>
      <c r="N268" s="393">
        <v>99.293111100819459</v>
      </c>
      <c r="O268" s="390">
        <v>128</v>
      </c>
      <c r="P268" s="390">
        <v>41.7</v>
      </c>
      <c r="Q268" s="386">
        <v>100</v>
      </c>
      <c r="R268" s="386">
        <v>3</v>
      </c>
      <c r="S268" t="s">
        <v>2491</v>
      </c>
      <c r="T268" t="s">
        <v>2491</v>
      </c>
      <c r="X268" s="90">
        <f t="shared" si="62"/>
        <v>272.00776524488322</v>
      </c>
      <c r="Y268" s="90">
        <f t="shared" si="63"/>
        <v>3.3553639123621162</v>
      </c>
    </row>
    <row r="269" spans="1:27">
      <c r="A269" s="389">
        <v>43676</v>
      </c>
      <c r="B269" s="97">
        <v>10</v>
      </c>
      <c r="C269" s="146" t="s">
        <v>3146</v>
      </c>
      <c r="D269" s="90">
        <v>3001</v>
      </c>
      <c r="E269" s="90"/>
      <c r="F269" s="90"/>
      <c r="G269" s="90">
        <v>3000.3998000000001</v>
      </c>
      <c r="H269">
        <v>358.0779</v>
      </c>
      <c r="I269" s="391">
        <v>0.42429999999999995</v>
      </c>
      <c r="J269" s="386">
        <v>357.65359999999998</v>
      </c>
      <c r="K269" s="392">
        <v>2999.4939079221954</v>
      </c>
      <c r="L269" s="393">
        <v>99.969807621044211</v>
      </c>
      <c r="M269" s="394">
        <v>2980.6451976686094</v>
      </c>
      <c r="N269" s="393">
        <v>99.341600998260603</v>
      </c>
      <c r="O269" s="390">
        <v>128</v>
      </c>
      <c r="P269" s="390">
        <v>41.7</v>
      </c>
      <c r="Q269" s="386">
        <v>100</v>
      </c>
      <c r="R269" s="386">
        <v>3</v>
      </c>
      <c r="S269" t="s">
        <v>2491</v>
      </c>
      <c r="T269" t="s">
        <v>2491</v>
      </c>
      <c r="X269" s="90">
        <f t="shared" si="62"/>
        <v>359.91529457633692</v>
      </c>
      <c r="Y269" s="90">
        <f t="shared" si="63"/>
        <v>5.115262356631912</v>
      </c>
    </row>
    <row r="270" spans="1:27">
      <c r="A270" s="389">
        <v>43676</v>
      </c>
      <c r="B270" s="97">
        <v>11</v>
      </c>
      <c r="C270" s="146" t="s">
        <v>3147</v>
      </c>
      <c r="D270" s="90">
        <v>3652.5</v>
      </c>
      <c r="E270" s="90"/>
      <c r="F270" s="90"/>
      <c r="G270" s="90">
        <v>3651.7694999999999</v>
      </c>
      <c r="H270">
        <v>436.40940000000001</v>
      </c>
      <c r="I270" s="391">
        <v>0.42429999999999995</v>
      </c>
      <c r="J270" s="386">
        <v>435.98509999999999</v>
      </c>
      <c r="K270" s="392">
        <v>3655.5082584056927</v>
      </c>
      <c r="L270" s="393">
        <v>100.10238210285979</v>
      </c>
      <c r="M270" s="394">
        <v>3633.4511789342214</v>
      </c>
      <c r="N270" s="393">
        <v>99.498371376786551</v>
      </c>
      <c r="O270" s="390">
        <v>128</v>
      </c>
      <c r="P270" s="390">
        <v>41.7</v>
      </c>
      <c r="Q270" s="386">
        <v>100</v>
      </c>
      <c r="R270" s="386">
        <v>3</v>
      </c>
      <c r="S270" t="s">
        <v>2491</v>
      </c>
      <c r="T270" t="s">
        <v>2491</v>
      </c>
      <c r="X270" s="90">
        <f t="shared" si="62"/>
        <v>438.63177323860896</v>
      </c>
      <c r="Y270" s="90">
        <f t="shared" si="63"/>
        <v>7.0048792319688875</v>
      </c>
      <c r="AA270" s="80" t="s">
        <v>2987</v>
      </c>
    </row>
    <row r="271" spans="1:27">
      <c r="A271" s="389">
        <v>43676</v>
      </c>
      <c r="B271" s="97">
        <v>12</v>
      </c>
      <c r="C271" t="s">
        <v>2955</v>
      </c>
      <c r="D271" s="90"/>
      <c r="E271" s="90"/>
      <c r="F271" s="90"/>
      <c r="G271" s="90"/>
      <c r="H271">
        <v>0.56559999999999999</v>
      </c>
      <c r="I271" s="391"/>
      <c r="J271" s="386">
        <v>0.56559999999999999</v>
      </c>
      <c r="K271" s="392">
        <v>8.9364388905649061</v>
      </c>
      <c r="L271" s="388"/>
      <c r="M271" s="90"/>
      <c r="N271" s="388"/>
      <c r="O271" s="390">
        <v>128</v>
      </c>
      <c r="P271" s="390">
        <v>41.7</v>
      </c>
      <c r="Q271" s="386">
        <v>100</v>
      </c>
      <c r="R271" s="386">
        <v>3</v>
      </c>
      <c r="S271" t="s">
        <v>2491</v>
      </c>
      <c r="T271" t="s">
        <v>2491</v>
      </c>
      <c r="Y271" s="474">
        <f>SQRT(SUM(Y265:Y270)/(6-2))</f>
        <v>2.0886808428742021</v>
      </c>
      <c r="Z271" s="80" t="s">
        <v>2990</v>
      </c>
      <c r="AA271" s="206">
        <f>(Y271/$AK$15)*100</f>
        <v>1.0233296377081007</v>
      </c>
    </row>
    <row r="272" spans="1:27">
      <c r="A272" s="389">
        <v>43676</v>
      </c>
      <c r="B272" s="97">
        <v>13</v>
      </c>
      <c r="C272" t="s">
        <v>2956</v>
      </c>
      <c r="D272" s="90"/>
      <c r="E272" s="90"/>
      <c r="F272" s="90"/>
      <c r="G272" s="90"/>
      <c r="H272">
        <v>0.5141</v>
      </c>
      <c r="I272" s="391"/>
      <c r="J272" s="386">
        <v>0.5141</v>
      </c>
      <c r="K272" s="392">
        <v>8.5051342551385449</v>
      </c>
      <c r="L272" s="388"/>
      <c r="M272" s="90"/>
      <c r="N272" s="388"/>
      <c r="O272" s="390">
        <v>128</v>
      </c>
      <c r="P272" s="390">
        <v>41.7</v>
      </c>
      <c r="Q272" s="386">
        <v>100</v>
      </c>
      <c r="R272" s="386">
        <v>3</v>
      </c>
      <c r="S272" t="s">
        <v>2491</v>
      </c>
      <c r="T272" t="s">
        <v>2491</v>
      </c>
      <c r="Y272" s="206">
        <f>(Y271/12.01)*100.09</f>
        <v>17.406833102687667</v>
      </c>
      <c r="Z272" s="80" t="s">
        <v>2991</v>
      </c>
    </row>
    <row r="273" spans="1:20">
      <c r="A273" s="389">
        <v>43676</v>
      </c>
      <c r="B273" s="97">
        <v>14</v>
      </c>
      <c r="C273" t="s">
        <v>2957</v>
      </c>
      <c r="D273" s="90"/>
      <c r="E273" s="90"/>
      <c r="F273" s="90"/>
      <c r="G273" s="90"/>
      <c r="H273">
        <v>0.27860000000000001</v>
      </c>
      <c r="I273" s="391"/>
      <c r="J273" s="386">
        <v>0.27860000000000001</v>
      </c>
      <c r="K273" s="392">
        <v>6.5328577183830419</v>
      </c>
      <c r="L273" s="388"/>
      <c r="M273" s="90"/>
      <c r="N273" s="388"/>
      <c r="O273" s="390">
        <v>128</v>
      </c>
      <c r="P273" s="390">
        <v>41.7</v>
      </c>
      <c r="Q273" s="386">
        <v>100</v>
      </c>
      <c r="R273" s="386">
        <v>3</v>
      </c>
      <c r="S273" t="s">
        <v>2491</v>
      </c>
      <c r="T273" t="s">
        <v>2491</v>
      </c>
    </row>
    <row r="274" spans="1:20">
      <c r="A274" s="389">
        <v>43676</v>
      </c>
      <c r="B274" s="97">
        <v>15</v>
      </c>
      <c r="C274" s="295" t="s">
        <v>2958</v>
      </c>
      <c r="D274" s="294">
        <v>936.2</v>
      </c>
      <c r="E274" s="294"/>
      <c r="F274" s="294"/>
      <c r="G274" s="294"/>
      <c r="H274">
        <v>13.7287</v>
      </c>
      <c r="I274" s="391">
        <v>0.4527666666666666</v>
      </c>
      <c r="J274" s="434">
        <v>13.275933333333333</v>
      </c>
      <c r="K274" s="392">
        <v>115.38353956009649</v>
      </c>
      <c r="L274" s="436">
        <v>12.324667759036155</v>
      </c>
      <c r="M274" s="437">
        <v>110.6401471551485</v>
      </c>
      <c r="N274" s="436">
        <v>11.81800332783043</v>
      </c>
      <c r="O274" s="438">
        <v>128</v>
      </c>
      <c r="P274" s="438">
        <v>41.7</v>
      </c>
      <c r="Q274" s="434">
        <v>100</v>
      </c>
      <c r="R274" s="434">
        <v>3</v>
      </c>
      <c r="S274" s="295" t="s">
        <v>2491</v>
      </c>
      <c r="T274" s="295" t="s">
        <v>2491</v>
      </c>
    </row>
    <row r="275" spans="1:20">
      <c r="A275" s="389">
        <v>43676</v>
      </c>
      <c r="B275" s="97">
        <v>16</v>
      </c>
      <c r="C275" s="295" t="s">
        <v>2958</v>
      </c>
      <c r="D275" s="294">
        <v>2275.8000000000002</v>
      </c>
      <c r="E275" s="294"/>
      <c r="F275" s="294"/>
      <c r="G275" s="294"/>
      <c r="H275">
        <v>33.527099999999997</v>
      </c>
      <c r="I275" s="391">
        <v>0.4527666666666666</v>
      </c>
      <c r="J275" s="434">
        <v>33.074333333333328</v>
      </c>
      <c r="K275" s="392">
        <v>281.19211614311195</v>
      </c>
      <c r="L275" s="436">
        <v>12.355748138813249</v>
      </c>
      <c r="M275" s="437">
        <v>275.63780377463223</v>
      </c>
      <c r="N275" s="436">
        <v>12.111688363416478</v>
      </c>
      <c r="O275" s="438">
        <v>128</v>
      </c>
      <c r="P275" s="438">
        <v>41.7</v>
      </c>
      <c r="Q275" s="434">
        <v>100</v>
      </c>
      <c r="R275" s="434">
        <v>3</v>
      </c>
      <c r="S275" s="295" t="s">
        <v>2491</v>
      </c>
      <c r="T275" s="295" t="s">
        <v>2491</v>
      </c>
    </row>
    <row r="276" spans="1:20">
      <c r="A276" s="389">
        <v>43676</v>
      </c>
      <c r="B276" s="97">
        <v>17</v>
      </c>
      <c r="C276" t="s">
        <v>2959</v>
      </c>
      <c r="D276" s="90"/>
      <c r="E276" s="90"/>
      <c r="F276" s="90"/>
      <c r="G276" s="90"/>
      <c r="H276">
        <v>0.37069999999999997</v>
      </c>
      <c r="I276" s="391">
        <v>0.38224999999999998</v>
      </c>
      <c r="J276" s="386">
        <v>-1.1550000000000005E-2</v>
      </c>
      <c r="K276" s="392">
        <v>4.1028957772382055</v>
      </c>
      <c r="L276" s="393"/>
      <c r="M276" s="394">
        <v>-9.6256411323896798E-2</v>
      </c>
      <c r="N276" s="436"/>
      <c r="O276" s="390">
        <v>128</v>
      </c>
      <c r="P276" s="390">
        <v>41.7</v>
      </c>
      <c r="Q276" s="386">
        <v>100</v>
      </c>
      <c r="R276" s="386">
        <v>3</v>
      </c>
      <c r="S276" t="s">
        <v>2491</v>
      </c>
      <c r="T276" t="s">
        <v>2491</v>
      </c>
    </row>
    <row r="277" spans="1:20">
      <c r="A277" s="389">
        <v>43676</v>
      </c>
      <c r="B277" s="97">
        <v>18</v>
      </c>
      <c r="C277" t="s">
        <v>3108</v>
      </c>
      <c r="D277" s="90">
        <v>2092.3000000000002</v>
      </c>
      <c r="E277" s="394"/>
      <c r="F277" s="90"/>
      <c r="G277" s="90"/>
      <c r="H277">
        <v>132.20820000000001</v>
      </c>
      <c r="I277" s="391">
        <v>0.38224999999999998</v>
      </c>
      <c r="J277" s="386">
        <v>131.82595000000001</v>
      </c>
      <c r="K277" s="392">
        <v>1108.2218253505018</v>
      </c>
      <c r="L277" s="393">
        <v>52.96667903027776</v>
      </c>
      <c r="M277" s="394">
        <v>1098.6227589925063</v>
      </c>
      <c r="N277" s="436">
        <v>52.507898436768443</v>
      </c>
      <c r="O277" s="390">
        <v>128</v>
      </c>
      <c r="P277" s="390">
        <v>41.7</v>
      </c>
      <c r="Q277" s="386">
        <v>100</v>
      </c>
      <c r="R277" s="386">
        <v>3</v>
      </c>
      <c r="S277" t="s">
        <v>2491</v>
      </c>
      <c r="T277" t="s">
        <v>2491</v>
      </c>
    </row>
    <row r="278" spans="1:20">
      <c r="A278" s="389">
        <v>43676</v>
      </c>
      <c r="B278" s="97">
        <v>19</v>
      </c>
      <c r="C278" t="s">
        <v>3109</v>
      </c>
      <c r="D278" s="90">
        <v>2024.8</v>
      </c>
      <c r="E278" s="394"/>
      <c r="F278" s="90"/>
      <c r="G278" s="90"/>
      <c r="H278">
        <v>130.73840000000001</v>
      </c>
      <c r="I278" s="391">
        <v>0.38224999999999998</v>
      </c>
      <c r="J278" s="386">
        <v>130.35615000000001</v>
      </c>
      <c r="K278" s="392">
        <v>1095.9124748039064</v>
      </c>
      <c r="L278" s="393">
        <v>54.124480185890278</v>
      </c>
      <c r="M278" s="394">
        <v>1086.373609783514</v>
      </c>
      <c r="N278" s="436">
        <v>53.653378594602628</v>
      </c>
      <c r="O278" s="390">
        <v>128</v>
      </c>
      <c r="P278" s="390">
        <v>41.7</v>
      </c>
      <c r="Q278" s="386">
        <v>100</v>
      </c>
      <c r="R278" s="386">
        <v>3</v>
      </c>
      <c r="S278" t="s">
        <v>2491</v>
      </c>
      <c r="T278" t="s">
        <v>2491</v>
      </c>
    </row>
    <row r="279" spans="1:20">
      <c r="A279" s="389">
        <v>43676</v>
      </c>
      <c r="B279" s="97">
        <v>20</v>
      </c>
      <c r="C279" t="s">
        <v>3111</v>
      </c>
      <c r="D279" s="395">
        <v>2352.9</v>
      </c>
      <c r="E279" s="394"/>
      <c r="F279" s="395"/>
      <c r="G279" s="395"/>
      <c r="H279">
        <v>115.2774</v>
      </c>
      <c r="I279" s="391">
        <v>0.38224999999999998</v>
      </c>
      <c r="J279" s="386">
        <v>114.89515</v>
      </c>
      <c r="K279" s="392">
        <v>966.42896085580946</v>
      </c>
      <c r="L279" s="393">
        <v>41.073949630490439</v>
      </c>
      <c r="M279" s="443">
        <v>957.52336082431316</v>
      </c>
      <c r="N279" s="436">
        <v>40.695455005495901</v>
      </c>
      <c r="O279" s="444">
        <v>128</v>
      </c>
      <c r="P279" s="444">
        <v>41.7</v>
      </c>
      <c r="Q279" s="445">
        <v>100</v>
      </c>
      <c r="R279" s="445">
        <v>3</v>
      </c>
      <c r="S279" s="146" t="s">
        <v>2491</v>
      </c>
      <c r="T279" s="146" t="s">
        <v>2491</v>
      </c>
    </row>
    <row r="280" spans="1:20">
      <c r="A280" s="389">
        <v>43676</v>
      </c>
      <c r="B280" s="97">
        <v>21</v>
      </c>
      <c r="C280" t="s">
        <v>3107</v>
      </c>
      <c r="D280" s="395">
        <v>2481.5</v>
      </c>
      <c r="E280" s="443"/>
      <c r="F280" s="395"/>
      <c r="G280" s="395"/>
      <c r="H280">
        <v>157.12880000000001</v>
      </c>
      <c r="I280" s="461">
        <v>0.38224999999999998</v>
      </c>
      <c r="J280" s="445">
        <v>156.74655000000001</v>
      </c>
      <c r="K280" s="392">
        <v>1316.9280447214965</v>
      </c>
      <c r="L280" s="393">
        <v>53.069838594458851</v>
      </c>
      <c r="M280" s="443">
        <v>1306.3082589092423</v>
      </c>
      <c r="N280" s="442">
        <v>52.641880270370436</v>
      </c>
      <c r="O280" s="444">
        <v>128</v>
      </c>
      <c r="P280" s="444">
        <v>41.7</v>
      </c>
      <c r="Q280" s="445">
        <v>100</v>
      </c>
      <c r="R280" s="445">
        <v>3</v>
      </c>
      <c r="S280" s="146" t="s">
        <v>2491</v>
      </c>
      <c r="T280" s="146" t="s">
        <v>2491</v>
      </c>
    </row>
    <row r="281" spans="1:20">
      <c r="A281" s="399">
        <v>43676</v>
      </c>
      <c r="B281" s="400">
        <v>22</v>
      </c>
      <c r="C281" s="200" t="s">
        <v>3140</v>
      </c>
      <c r="D281" s="401">
        <v>1951.8</v>
      </c>
      <c r="E281" s="463"/>
      <c r="F281" s="401"/>
      <c r="G281" s="401"/>
      <c r="H281" s="200">
        <v>150.95939999999999</v>
      </c>
      <c r="I281" s="402">
        <v>0.38224999999999998</v>
      </c>
      <c r="J281" s="403">
        <v>150.57714999999999</v>
      </c>
      <c r="K281" s="404">
        <v>1265.2602618516048</v>
      </c>
      <c r="L281" s="405">
        <v>64.825302892284299</v>
      </c>
      <c r="M281" s="406">
        <v>1254.8931676519567</v>
      </c>
      <c r="N281" s="405">
        <v>64.294147333331111</v>
      </c>
      <c r="O281" s="407">
        <v>128</v>
      </c>
      <c r="P281" s="407">
        <v>41.7</v>
      </c>
      <c r="Q281" s="403">
        <v>100</v>
      </c>
      <c r="R281" s="403">
        <v>3</v>
      </c>
      <c r="S281" s="200" t="s">
        <v>2491</v>
      </c>
      <c r="T281" s="200" t="s">
        <v>2491</v>
      </c>
    </row>
    <row r="282" spans="1:20">
      <c r="A282" s="389">
        <v>43676</v>
      </c>
      <c r="B282" s="97">
        <v>23</v>
      </c>
      <c r="C282" t="s">
        <v>2965</v>
      </c>
      <c r="D282" s="395"/>
      <c r="E282" s="394"/>
      <c r="F282" s="90"/>
      <c r="G282" s="90"/>
      <c r="H282">
        <v>0.41189999999999999</v>
      </c>
      <c r="I282" s="391">
        <v>0.38224999999999998</v>
      </c>
      <c r="J282" s="386">
        <v>2.965000000000001E-2</v>
      </c>
      <c r="K282" s="392">
        <v>4.4479394855792949</v>
      </c>
      <c r="L282" s="393"/>
      <c r="M282" s="443">
        <v>0.24709979184013331</v>
      </c>
      <c r="N282" s="436"/>
      <c r="O282" s="444">
        <v>128</v>
      </c>
      <c r="P282" s="444">
        <v>41.7</v>
      </c>
      <c r="Q282" s="445">
        <v>100</v>
      </c>
      <c r="R282" s="445">
        <v>3</v>
      </c>
      <c r="S282" s="146" t="s">
        <v>2491</v>
      </c>
      <c r="T282" s="146" t="s">
        <v>2491</v>
      </c>
    </row>
    <row r="283" spans="1:20">
      <c r="A283" s="399">
        <v>43676</v>
      </c>
      <c r="B283" s="400">
        <v>24</v>
      </c>
      <c r="C283" s="200" t="s">
        <v>3141</v>
      </c>
      <c r="D283" s="401">
        <v>2233.4</v>
      </c>
      <c r="E283" s="406"/>
      <c r="F283" s="401"/>
      <c r="G283" s="401"/>
      <c r="H283" s="200">
        <v>170.9076</v>
      </c>
      <c r="I283" s="402">
        <v>0.38224999999999998</v>
      </c>
      <c r="J283" s="403">
        <v>170.52535</v>
      </c>
      <c r="K283" s="404">
        <v>1432.3233905586374</v>
      </c>
      <c r="L283" s="405">
        <v>64.131968772214449</v>
      </c>
      <c r="M283" s="406">
        <v>1421.1392407577021</v>
      </c>
      <c r="N283" s="405">
        <v>63.631200893601765</v>
      </c>
      <c r="O283" s="407">
        <v>128</v>
      </c>
      <c r="P283" s="407">
        <v>41.7</v>
      </c>
      <c r="Q283" s="403">
        <v>100</v>
      </c>
      <c r="R283" s="403">
        <v>3</v>
      </c>
      <c r="S283" s="200" t="s">
        <v>2491</v>
      </c>
      <c r="T283" s="200" t="s">
        <v>2491</v>
      </c>
    </row>
    <row r="284" spans="1:20">
      <c r="A284" s="389">
        <v>43676</v>
      </c>
      <c r="B284" s="97">
        <v>25</v>
      </c>
      <c r="C284" t="s">
        <v>3112</v>
      </c>
      <c r="D284" s="90">
        <v>2198.4</v>
      </c>
      <c r="E284" s="394"/>
      <c r="F284" s="395"/>
      <c r="G284" s="395"/>
      <c r="H284">
        <v>150.05260000000001</v>
      </c>
      <c r="I284" s="391">
        <v>0.38224999999999998</v>
      </c>
      <c r="J284" s="445">
        <v>149.67035000000001</v>
      </c>
      <c r="K284" s="392">
        <v>1257.6659503291851</v>
      </c>
      <c r="L284" s="393">
        <v>57.208240098671084</v>
      </c>
      <c r="M284" s="443">
        <v>1247.3359976269778</v>
      </c>
      <c r="N284" s="436">
        <v>56.738355059451315</v>
      </c>
      <c r="O284" s="444">
        <v>128</v>
      </c>
      <c r="P284" s="444">
        <v>41.7</v>
      </c>
      <c r="Q284" s="445">
        <v>100</v>
      </c>
      <c r="R284" s="445">
        <v>3</v>
      </c>
      <c r="S284" s="146" t="s">
        <v>2491</v>
      </c>
      <c r="T284" s="146" t="s">
        <v>2491</v>
      </c>
    </row>
    <row r="285" spans="1:20">
      <c r="A285" s="389">
        <v>43676</v>
      </c>
      <c r="B285" s="97">
        <v>26</v>
      </c>
      <c r="C285" s="367" t="s">
        <v>3002</v>
      </c>
      <c r="D285" s="475">
        <v>2423.5</v>
      </c>
      <c r="E285" s="476"/>
      <c r="F285" s="475"/>
      <c r="G285" s="475"/>
      <c r="H285" s="367">
        <v>214.58969999999999</v>
      </c>
      <c r="I285" s="477">
        <v>0.38224999999999998</v>
      </c>
      <c r="J285" s="478">
        <v>214.20744999999999</v>
      </c>
      <c r="K285" s="479">
        <v>1798.15430735782</v>
      </c>
      <c r="L285" s="469">
        <v>74.196587883549412</v>
      </c>
      <c r="M285" s="480">
        <v>1785.1809883846793</v>
      </c>
      <c r="N285" s="469">
        <v>73.661274536194739</v>
      </c>
      <c r="O285" s="444">
        <v>128</v>
      </c>
      <c r="P285" s="444">
        <v>41.7</v>
      </c>
      <c r="Q285" s="445">
        <v>100</v>
      </c>
      <c r="R285" s="445">
        <v>3</v>
      </c>
      <c r="S285" s="146" t="s">
        <v>2491</v>
      </c>
      <c r="T285" s="146" t="s">
        <v>2491</v>
      </c>
    </row>
    <row r="286" spans="1:20">
      <c r="A286" s="399">
        <v>43676</v>
      </c>
      <c r="B286" s="400">
        <v>27</v>
      </c>
      <c r="C286" s="200" t="s">
        <v>3142</v>
      </c>
      <c r="D286" s="401">
        <v>2346.3000000000002</v>
      </c>
      <c r="E286" s="463"/>
      <c r="F286" s="401"/>
      <c r="G286" s="401"/>
      <c r="H286" s="200">
        <v>178.67429999999999</v>
      </c>
      <c r="I286" s="402">
        <v>0.38224999999999998</v>
      </c>
      <c r="J286" s="403">
        <v>178.29204999999999</v>
      </c>
      <c r="K286" s="404">
        <v>1497.3683170045776</v>
      </c>
      <c r="L286" s="405">
        <v>63.818280569602251</v>
      </c>
      <c r="M286" s="406">
        <v>1485.8660519983346</v>
      </c>
      <c r="N286" s="405" t="e">
        <v>#DIV/0!</v>
      </c>
      <c r="O286" s="407">
        <v>128</v>
      </c>
      <c r="P286" s="407">
        <v>41.7</v>
      </c>
      <c r="Q286" s="403">
        <v>100</v>
      </c>
      <c r="R286" s="403">
        <v>3</v>
      </c>
      <c r="S286" s="200" t="s">
        <v>2491</v>
      </c>
      <c r="T286" s="200" t="s">
        <v>2491</v>
      </c>
    </row>
    <row r="287" spans="1:20">
      <c r="A287" s="389">
        <v>43676</v>
      </c>
      <c r="B287" s="97">
        <v>28</v>
      </c>
      <c r="C287" s="367" t="s">
        <v>3001</v>
      </c>
      <c r="D287" s="475">
        <v>2723.2</v>
      </c>
      <c r="E287" s="476"/>
      <c r="F287" s="475"/>
      <c r="G287" s="475"/>
      <c r="H287" s="367">
        <v>233.2388</v>
      </c>
      <c r="I287" s="477">
        <v>0.38224999999999998</v>
      </c>
      <c r="J287" s="478">
        <v>232.85655</v>
      </c>
      <c r="K287" s="479">
        <v>1954.3376719506314</v>
      </c>
      <c r="L287" s="469">
        <v>71.766218858351621</v>
      </c>
      <c r="M287" s="480">
        <v>1940.6005070358037</v>
      </c>
      <c r="N287" s="469" t="e">
        <v>#DIV/0!</v>
      </c>
      <c r="O287" s="390">
        <v>128</v>
      </c>
      <c r="P287" s="390">
        <v>41.7</v>
      </c>
      <c r="Q287" s="386">
        <v>100</v>
      </c>
      <c r="R287" s="386">
        <v>3</v>
      </c>
      <c r="S287" t="s">
        <v>2491</v>
      </c>
      <c r="T287" t="s">
        <v>2491</v>
      </c>
    </row>
    <row r="288" spans="1:20">
      <c r="A288" s="389">
        <v>43676</v>
      </c>
      <c r="B288" s="97">
        <v>29</v>
      </c>
      <c r="C288" s="146" t="s">
        <v>2971</v>
      </c>
      <c r="D288" s="395"/>
      <c r="E288" s="90"/>
      <c r="F288" s="90"/>
      <c r="G288" s="90"/>
      <c r="H288">
        <v>0.37430000000000002</v>
      </c>
      <c r="I288" s="391">
        <v>0.38224999999999998</v>
      </c>
      <c r="J288" s="386"/>
      <c r="K288" s="392"/>
      <c r="L288" s="393"/>
      <c r="M288" s="443"/>
      <c r="N288" s="442"/>
      <c r="O288" s="390">
        <v>128</v>
      </c>
      <c r="P288" s="390">
        <v>41.7</v>
      </c>
      <c r="Q288" s="386">
        <v>100</v>
      </c>
      <c r="R288" s="386">
        <v>3</v>
      </c>
      <c r="S288" t="s">
        <v>2491</v>
      </c>
      <c r="T288" t="s">
        <v>2491</v>
      </c>
    </row>
    <row r="289" spans="1:25">
      <c r="A289" s="389">
        <v>43676</v>
      </c>
      <c r="B289" s="97">
        <v>30</v>
      </c>
      <c r="C289" s="146" t="s">
        <v>3148</v>
      </c>
      <c r="D289" s="395">
        <v>2096.9</v>
      </c>
      <c r="E289" s="90"/>
      <c r="F289" s="473"/>
      <c r="G289" s="90">
        <v>2096.4806200000003</v>
      </c>
      <c r="H289">
        <v>250.78270000000001</v>
      </c>
      <c r="I289" s="391">
        <v>0.38224999999999998</v>
      </c>
      <c r="J289" s="386">
        <v>250.40045000000001</v>
      </c>
      <c r="K289" s="392">
        <v>2101.2651553187202</v>
      </c>
      <c r="L289" s="393">
        <v>100.2081718402747</v>
      </c>
      <c r="M289" s="443">
        <v>2086.8094121981685</v>
      </c>
      <c r="N289" s="442">
        <v>99.538693193270177</v>
      </c>
      <c r="O289" s="390">
        <v>128</v>
      </c>
      <c r="P289" s="390">
        <v>41.7</v>
      </c>
      <c r="Q289" s="386">
        <v>100</v>
      </c>
      <c r="R289" s="386">
        <v>3</v>
      </c>
      <c r="S289" t="s">
        <v>2491</v>
      </c>
      <c r="T289" t="s">
        <v>2491</v>
      </c>
    </row>
    <row r="290" spans="1:25">
      <c r="A290" s="389">
        <v>43676</v>
      </c>
      <c r="B290" s="97">
        <v>31</v>
      </c>
      <c r="C290" t="s">
        <v>2973</v>
      </c>
      <c r="D290" s="90"/>
      <c r="F290" s="473"/>
      <c r="G290" s="473"/>
      <c r="H290">
        <v>0.37209999999999999</v>
      </c>
      <c r="I290" s="391">
        <v>0.38224999999999998</v>
      </c>
      <c r="J290" s="386"/>
      <c r="K290" s="392"/>
      <c r="L290" s="393"/>
      <c r="M290" s="443"/>
      <c r="N290" s="442"/>
      <c r="O290" s="390">
        <v>128</v>
      </c>
      <c r="P290" s="390">
        <v>41.7</v>
      </c>
      <c r="Q290" s="386">
        <v>100</v>
      </c>
      <c r="R290" s="386">
        <v>3</v>
      </c>
      <c r="S290" t="s">
        <v>2491</v>
      </c>
      <c r="T290" t="s">
        <v>2491</v>
      </c>
    </row>
    <row r="291" spans="1:25">
      <c r="D291" t="s">
        <v>3152</v>
      </c>
      <c r="E291" t="s">
        <v>2917</v>
      </c>
      <c r="F291" t="s">
        <v>2988</v>
      </c>
      <c r="G291" t="s">
        <v>3166</v>
      </c>
      <c r="H291" t="s">
        <v>3152</v>
      </c>
      <c r="I291" t="s">
        <v>2917</v>
      </c>
      <c r="J291" t="s">
        <v>2988</v>
      </c>
    </row>
    <row r="292" spans="1:25">
      <c r="A292" s="389">
        <v>43676</v>
      </c>
      <c r="C292" t="str">
        <f>C281</f>
        <v>2018_47_1000_21_a</v>
      </c>
      <c r="D292" s="90">
        <f>AVERAGE(L281,L283,L286)</f>
        <v>64.258517411367009</v>
      </c>
      <c r="E292" s="90">
        <f>_xlfn.STDEV.P(L281,L283,L286)</f>
        <v>0.4207409402062891</v>
      </c>
      <c r="F292">
        <v>3</v>
      </c>
      <c r="G292" s="90">
        <f>(E292/D292)*100</f>
        <v>0.65476291261563113</v>
      </c>
      <c r="H292" s="90">
        <f>AVERAGE(L250,L281,L283,L286)</f>
        <v>64.450201806067241</v>
      </c>
      <c r="I292" s="90">
        <f>_xlfn.STDEV.P(L250,L281,L283,L286)</f>
        <v>0.49294616905809097</v>
      </c>
      <c r="J292">
        <v>4</v>
      </c>
    </row>
    <row r="293" spans="1:25">
      <c r="A293" s="389">
        <v>43669</v>
      </c>
      <c r="B293" s="97"/>
      <c r="C293" t="s">
        <v>3113</v>
      </c>
      <c r="D293" s="90">
        <v>65.025254990167966</v>
      </c>
      <c r="E293" s="206">
        <f>((D293-D292)/AVERAGE(D293,D292))*100</f>
        <v>1.1861311973781068</v>
      </c>
      <c r="F293" s="80" t="s">
        <v>3149</v>
      </c>
    </row>
    <row r="296" spans="1:25">
      <c r="A296" s="67">
        <v>43678</v>
      </c>
      <c r="B296">
        <v>1</v>
      </c>
      <c r="C296" t="s">
        <v>3043</v>
      </c>
      <c r="H296">
        <v>3.8157000000000001</v>
      </c>
    </row>
    <row r="297" spans="1:25">
      <c r="A297" s="67">
        <v>43678</v>
      </c>
      <c r="B297">
        <v>2</v>
      </c>
      <c r="C297" t="s">
        <v>3043</v>
      </c>
      <c r="H297">
        <v>2.9085999999999999</v>
      </c>
    </row>
    <row r="298" spans="1:25">
      <c r="A298" s="67">
        <v>43678</v>
      </c>
      <c r="B298">
        <v>3</v>
      </c>
      <c r="C298" t="s">
        <v>3043</v>
      </c>
      <c r="H298">
        <v>2.8835000000000002</v>
      </c>
    </row>
    <row r="299" spans="1:25">
      <c r="A299" s="67">
        <v>43678</v>
      </c>
      <c r="B299">
        <v>4</v>
      </c>
      <c r="C299" t="s">
        <v>2947</v>
      </c>
      <c r="D299" t="s">
        <v>3011</v>
      </c>
      <c r="H299">
        <v>2.6520000000000001</v>
      </c>
      <c r="O299">
        <v>128</v>
      </c>
      <c r="P299">
        <v>41.7</v>
      </c>
      <c r="Q299">
        <v>100</v>
      </c>
      <c r="R299">
        <v>3</v>
      </c>
      <c r="S299" t="s">
        <v>2491</v>
      </c>
      <c r="T299" t="s">
        <v>2491</v>
      </c>
    </row>
    <row r="300" spans="1:25">
      <c r="A300" s="67">
        <v>43678</v>
      </c>
      <c r="B300">
        <v>5</v>
      </c>
      <c r="C300" t="s">
        <v>2948</v>
      </c>
      <c r="H300">
        <v>2.0859999999999999</v>
      </c>
      <c r="O300">
        <v>128</v>
      </c>
      <c r="P300">
        <v>41.7</v>
      </c>
      <c r="Q300">
        <v>100</v>
      </c>
      <c r="R300">
        <v>3</v>
      </c>
      <c r="S300" t="s">
        <v>2491</v>
      </c>
      <c r="T300" t="s">
        <v>2491</v>
      </c>
      <c r="X300" s="429">
        <f>A296</f>
        <v>43678</v>
      </c>
    </row>
    <row r="301" spans="1:25">
      <c r="A301" s="67">
        <v>43678</v>
      </c>
      <c r="B301">
        <v>6</v>
      </c>
      <c r="C301" t="s">
        <v>2949</v>
      </c>
      <c r="G301">
        <v>0</v>
      </c>
      <c r="H301">
        <v>2.1657999999999999</v>
      </c>
      <c r="I301">
        <v>2.3012666666666663</v>
      </c>
      <c r="J301">
        <v>-0.1354666666666664</v>
      </c>
      <c r="O301">
        <v>128</v>
      </c>
      <c r="P301">
        <v>41.7</v>
      </c>
      <c r="Q301">
        <v>100</v>
      </c>
      <c r="R301">
        <v>3</v>
      </c>
      <c r="S301" t="s">
        <v>2491</v>
      </c>
      <c r="T301" t="s">
        <v>2491</v>
      </c>
      <c r="X301" s="90">
        <f>((J301-INDEX(LINEST($J$301:$J$306,$G$301:$G$306),2))/INDEX(LINEST($J$301:$J$306,$G$301:$G$306),1)/100.09)*12.01</f>
        <v>0.41328558345250294</v>
      </c>
      <c r="Y301" s="90">
        <f>(J301-X301)^2</f>
        <v>0.30112903201085134</v>
      </c>
    </row>
    <row r="302" spans="1:25">
      <c r="A302" s="67">
        <v>43678</v>
      </c>
      <c r="B302">
        <v>7</v>
      </c>
      <c r="C302" t="s">
        <v>3154</v>
      </c>
      <c r="D302">
        <v>298.89999999999998</v>
      </c>
      <c r="G302">
        <v>298.84021999999999</v>
      </c>
      <c r="H302">
        <v>37.426900000000003</v>
      </c>
      <c r="I302">
        <v>2.3012666666666663</v>
      </c>
      <c r="J302">
        <v>35.12563333333334</v>
      </c>
      <c r="K302">
        <v>299.89839389361998</v>
      </c>
      <c r="L302">
        <v>100.35409353319977</v>
      </c>
      <c r="M302">
        <v>292.7331091035249</v>
      </c>
      <c r="N302">
        <v>97.95639593075019</v>
      </c>
      <c r="O302">
        <v>128</v>
      </c>
      <c r="P302">
        <v>41.7</v>
      </c>
      <c r="Q302">
        <v>100</v>
      </c>
      <c r="R302">
        <v>3</v>
      </c>
      <c r="S302" t="s">
        <v>2491</v>
      </c>
      <c r="T302" t="s">
        <v>2491</v>
      </c>
      <c r="X302" s="90">
        <f t="shared" ref="X302:X306" si="64">((J302-INDEX(LINEST($J$301:$J$306,$G$301:$G$306),2))/INDEX(LINEST($J$301:$J$306,$G$301:$G$306),1)/100.09)*12.01</f>
        <v>35.985410237410086</v>
      </c>
      <c r="Y302" s="90">
        <f t="shared" ref="Y302:Y305" si="65">(J302-X302)^2</f>
        <v>0.73921632478379407</v>
      </c>
    </row>
    <row r="303" spans="1:25">
      <c r="A303" s="67">
        <v>43678</v>
      </c>
      <c r="B303">
        <v>8</v>
      </c>
      <c r="C303" t="s">
        <v>3155</v>
      </c>
      <c r="D303">
        <v>1068.0999999999999</v>
      </c>
      <c r="G303">
        <v>1067.8863799999999</v>
      </c>
      <c r="H303">
        <v>128.08709999999999</v>
      </c>
      <c r="I303">
        <v>2.3012666666666663</v>
      </c>
      <c r="J303">
        <v>125.78583333333333</v>
      </c>
      <c r="K303">
        <v>1057.6367706543977</v>
      </c>
      <c r="L303">
        <v>99.040196640994495</v>
      </c>
      <c r="M303">
        <v>1048.2851006106023</v>
      </c>
      <c r="N303">
        <v>98.164478941158734</v>
      </c>
      <c r="O303">
        <v>128</v>
      </c>
      <c r="P303">
        <v>41.7</v>
      </c>
      <c r="Q303">
        <v>100</v>
      </c>
      <c r="R303">
        <v>3</v>
      </c>
      <c r="S303" t="s">
        <v>2491</v>
      </c>
      <c r="T303" t="s">
        <v>2491</v>
      </c>
      <c r="X303" s="90">
        <f t="shared" si="64"/>
        <v>127.4452891281062</v>
      </c>
      <c r="Y303" s="90">
        <f t="shared" si="65"/>
        <v>2.7537935348052489</v>
      </c>
    </row>
    <row r="304" spans="1:25">
      <c r="A304" s="67">
        <v>43678</v>
      </c>
      <c r="B304">
        <v>9</v>
      </c>
      <c r="C304" t="s">
        <v>3156</v>
      </c>
      <c r="D304">
        <v>2286.8000000000002</v>
      </c>
      <c r="G304">
        <v>2286.3426400000003</v>
      </c>
      <c r="H304">
        <v>273.5256</v>
      </c>
      <c r="I304">
        <v>2.3012666666666663</v>
      </c>
      <c r="J304">
        <v>271.22433333333333</v>
      </c>
      <c r="K304">
        <v>2275.6619982166703</v>
      </c>
      <c r="L304">
        <v>99.53285034375557</v>
      </c>
      <c r="M304">
        <v>2260.3533325006938</v>
      </c>
      <c r="N304">
        <v>98.863280286838091</v>
      </c>
      <c r="O304">
        <v>128</v>
      </c>
      <c r="P304">
        <v>41.7</v>
      </c>
      <c r="Q304">
        <v>100</v>
      </c>
      <c r="R304">
        <v>3</v>
      </c>
      <c r="S304" t="s">
        <v>2491</v>
      </c>
      <c r="T304" t="s">
        <v>2491</v>
      </c>
      <c r="X304" s="90">
        <f t="shared" si="64"/>
        <v>274.16664641658014</v>
      </c>
      <c r="Y304" s="90">
        <f t="shared" si="65"/>
        <v>8.6572062798453011</v>
      </c>
    </row>
    <row r="305" spans="1:27">
      <c r="A305" s="67">
        <v>43678</v>
      </c>
      <c r="B305">
        <v>10</v>
      </c>
      <c r="C305" t="s">
        <v>3157</v>
      </c>
      <c r="D305">
        <v>3201.6</v>
      </c>
      <c r="G305">
        <v>3200.9596799999999</v>
      </c>
      <c r="H305">
        <v>382.733</v>
      </c>
      <c r="I305">
        <v>2.3012666666666663</v>
      </c>
      <c r="J305">
        <v>380.43173333333334</v>
      </c>
      <c r="K305">
        <v>3190.2572961363003</v>
      </c>
      <c r="L305">
        <v>99.665650775591786</v>
      </c>
      <c r="M305">
        <v>3170.4756194282545</v>
      </c>
      <c r="N305">
        <v>99.047658714284537</v>
      </c>
      <c r="O305">
        <v>128</v>
      </c>
      <c r="P305">
        <v>41.7</v>
      </c>
      <c r="Q305">
        <v>100</v>
      </c>
      <c r="R305">
        <v>3</v>
      </c>
      <c r="S305" t="s">
        <v>2491</v>
      </c>
      <c r="T305" t="s">
        <v>2491</v>
      </c>
      <c r="X305" s="90">
        <f t="shared" si="64"/>
        <v>384.33732305272048</v>
      </c>
      <c r="Y305" s="90">
        <f t="shared" si="65"/>
        <v>15.253631056182499</v>
      </c>
    </row>
    <row r="306" spans="1:27">
      <c r="A306" s="67">
        <v>43678</v>
      </c>
      <c r="B306">
        <v>11</v>
      </c>
      <c r="C306" t="s">
        <v>3158</v>
      </c>
      <c r="D306">
        <v>3858.3</v>
      </c>
      <c r="G306">
        <v>3857.5283400000003</v>
      </c>
      <c r="H306">
        <v>460.66160000000002</v>
      </c>
      <c r="I306">
        <v>2.3012666666666663</v>
      </c>
      <c r="J306">
        <v>458.36033333333336</v>
      </c>
      <c r="K306">
        <v>3842.8974206467246</v>
      </c>
      <c r="L306">
        <v>99.620717774084426</v>
      </c>
      <c r="M306">
        <v>3819.923877046906</v>
      </c>
      <c r="N306">
        <v>99.025166903813485</v>
      </c>
      <c r="O306">
        <v>128</v>
      </c>
      <c r="P306">
        <v>41.7</v>
      </c>
      <c r="Q306">
        <v>100</v>
      </c>
      <c r="R306">
        <v>3</v>
      </c>
      <c r="S306" t="s">
        <v>2491</v>
      </c>
      <c r="T306" t="s">
        <v>2491</v>
      </c>
      <c r="X306" s="90">
        <f t="shared" si="64"/>
        <v>462.95330137751461</v>
      </c>
      <c r="Y306" s="90">
        <f>(J306-X306)^2</f>
        <v>21.095355454870116</v>
      </c>
      <c r="AA306" s="80" t="s">
        <v>2987</v>
      </c>
    </row>
    <row r="307" spans="1:27">
      <c r="A307" s="67">
        <v>43678</v>
      </c>
      <c r="B307">
        <v>12</v>
      </c>
      <c r="C307" t="s">
        <v>2955</v>
      </c>
      <c r="H307">
        <v>1.8789</v>
      </c>
      <c r="J307">
        <v>1.8789</v>
      </c>
      <c r="K307">
        <v>19.935125836301644</v>
      </c>
      <c r="O307">
        <v>128</v>
      </c>
      <c r="P307">
        <v>41.7</v>
      </c>
      <c r="Q307">
        <v>100</v>
      </c>
      <c r="R307">
        <v>3</v>
      </c>
      <c r="S307" t="s">
        <v>2491</v>
      </c>
      <c r="T307" t="s">
        <v>2491</v>
      </c>
      <c r="Y307" s="474">
        <f>SQRT(SUM(Y301:Y306)/(6-2))</f>
        <v>3.4928617093472871</v>
      </c>
      <c r="Z307" s="80" t="s">
        <v>2990</v>
      </c>
      <c r="AA307" s="206">
        <f>(Y307/$AK$15)*100</f>
        <v>1.7112949160161057</v>
      </c>
    </row>
    <row r="308" spans="1:27">
      <c r="A308" s="67">
        <v>43678</v>
      </c>
      <c r="B308">
        <v>13</v>
      </c>
      <c r="C308" t="s">
        <v>2956</v>
      </c>
      <c r="H308">
        <v>1.5926</v>
      </c>
      <c r="J308">
        <v>1.5926</v>
      </c>
      <c r="K308">
        <v>17.537407057222662</v>
      </c>
      <c r="O308">
        <v>128</v>
      </c>
      <c r="P308">
        <v>41.7</v>
      </c>
      <c r="Q308">
        <v>100</v>
      </c>
      <c r="R308">
        <v>3</v>
      </c>
      <c r="S308" t="s">
        <v>2491</v>
      </c>
      <c r="T308" t="s">
        <v>2491</v>
      </c>
      <c r="Y308" s="206">
        <f>(Y307/12.01)*100.09</f>
        <v>29.109119774235634</v>
      </c>
      <c r="Z308" s="80" t="s">
        <v>2991</v>
      </c>
    </row>
    <row r="309" spans="1:27">
      <c r="A309" s="67">
        <v>43678</v>
      </c>
      <c r="B309">
        <v>14</v>
      </c>
      <c r="C309" t="s">
        <v>2957</v>
      </c>
      <c r="H309">
        <v>1.1671</v>
      </c>
      <c r="J309">
        <v>1.1671</v>
      </c>
      <c r="K309">
        <v>13.973909535399027</v>
      </c>
      <c r="O309">
        <v>128</v>
      </c>
      <c r="P309">
        <v>41.7</v>
      </c>
      <c r="Q309">
        <v>100</v>
      </c>
      <c r="R309">
        <v>3</v>
      </c>
      <c r="S309" t="s">
        <v>2491</v>
      </c>
      <c r="T309" t="s">
        <v>2491</v>
      </c>
    </row>
    <row r="310" spans="1:27">
      <c r="A310" s="67">
        <v>43678</v>
      </c>
      <c r="B310">
        <v>15</v>
      </c>
      <c r="C310" s="295" t="s">
        <v>2958</v>
      </c>
      <c r="D310" s="295">
        <v>1362.1</v>
      </c>
      <c r="E310" s="295"/>
      <c r="F310" s="295"/>
      <c r="G310" s="295"/>
      <c r="H310" s="295">
        <v>21.070799999999998</v>
      </c>
      <c r="I310" s="295">
        <v>1.5462</v>
      </c>
      <c r="J310" s="295">
        <v>19.5246</v>
      </c>
      <c r="K310" s="295">
        <v>167.71516865849517</v>
      </c>
      <c r="L310" s="295">
        <v>12.312984998054121</v>
      </c>
      <c r="M310" s="295">
        <v>162.71583796835969</v>
      </c>
      <c r="N310" s="295">
        <v>11.945953892398482</v>
      </c>
      <c r="O310" s="295">
        <v>128</v>
      </c>
      <c r="P310" s="295">
        <v>41.7</v>
      </c>
      <c r="Q310" s="295">
        <v>100</v>
      </c>
      <c r="R310" s="295">
        <v>3</v>
      </c>
      <c r="S310" s="295" t="s">
        <v>2491</v>
      </c>
      <c r="T310" s="295" t="s">
        <v>2491</v>
      </c>
    </row>
    <row r="311" spans="1:27">
      <c r="A311" s="67">
        <v>43678</v>
      </c>
      <c r="B311">
        <v>16</v>
      </c>
      <c r="C311" s="295" t="s">
        <v>2958</v>
      </c>
      <c r="D311" s="295">
        <v>1913.2</v>
      </c>
      <c r="E311" s="295"/>
      <c r="F311" s="295"/>
      <c r="G311" s="295"/>
      <c r="H311" s="295">
        <v>28.964400000000001</v>
      </c>
      <c r="I311" s="295">
        <v>1.5462</v>
      </c>
      <c r="J311" s="295">
        <v>27.418200000000002</v>
      </c>
      <c r="K311" s="295">
        <v>233.82286322551531</v>
      </c>
      <c r="L311" s="295">
        <v>12.221558813794443</v>
      </c>
      <c r="M311" s="295">
        <v>228.50021965029146</v>
      </c>
      <c r="N311" s="295">
        <v>11.943352480153223</v>
      </c>
      <c r="O311" s="295">
        <v>128</v>
      </c>
      <c r="P311" s="295">
        <v>41.7</v>
      </c>
      <c r="Q311" s="295">
        <v>100</v>
      </c>
      <c r="R311" s="295">
        <v>3</v>
      </c>
      <c r="S311" s="295" t="s">
        <v>2491</v>
      </c>
      <c r="T311" s="295" t="s">
        <v>2491</v>
      </c>
    </row>
    <row r="312" spans="1:27">
      <c r="A312" s="67">
        <v>43678</v>
      </c>
      <c r="B312">
        <v>17</v>
      </c>
      <c r="C312" t="s">
        <v>2959</v>
      </c>
      <c r="H312">
        <v>1.1927000000000001</v>
      </c>
      <c r="I312">
        <v>1.0513000000000001</v>
      </c>
      <c r="J312">
        <v>0.14139999999999997</v>
      </c>
      <c r="K312">
        <v>5.3838286702180529</v>
      </c>
      <c r="M312">
        <v>1.1784118234804328</v>
      </c>
      <c r="O312">
        <v>128</v>
      </c>
      <c r="P312">
        <v>41.7</v>
      </c>
      <c r="Q312">
        <v>100</v>
      </c>
      <c r="R312">
        <v>3</v>
      </c>
      <c r="S312" t="s">
        <v>2491</v>
      </c>
      <c r="T312" t="s">
        <v>2491</v>
      </c>
    </row>
    <row r="313" spans="1:27">
      <c r="A313" s="67">
        <v>43678</v>
      </c>
      <c r="B313">
        <v>18</v>
      </c>
      <c r="C313" t="s">
        <v>3159</v>
      </c>
      <c r="D313">
        <v>2824.4</v>
      </c>
      <c r="H313">
        <v>250.38630000000001</v>
      </c>
      <c r="I313">
        <v>1.0513000000000001</v>
      </c>
      <c r="J313">
        <v>249.33500000000001</v>
      </c>
      <c r="K313">
        <v>2092.3421742737683</v>
      </c>
      <c r="L313">
        <v>74.080943714550642</v>
      </c>
      <c r="M313">
        <v>2077.930070774355</v>
      </c>
      <c r="N313">
        <v>73.5706723826071</v>
      </c>
      <c r="O313">
        <v>128</v>
      </c>
      <c r="P313">
        <v>41.7</v>
      </c>
      <c r="Q313">
        <v>100</v>
      </c>
      <c r="R313">
        <v>3</v>
      </c>
      <c r="S313" t="s">
        <v>2491</v>
      </c>
      <c r="T313" t="s">
        <v>2491</v>
      </c>
    </row>
    <row r="314" spans="1:27">
      <c r="A314" s="67">
        <v>43678</v>
      </c>
      <c r="B314">
        <v>19</v>
      </c>
      <c r="C314" t="s">
        <v>3110</v>
      </c>
      <c r="D314">
        <v>1808.3</v>
      </c>
      <c r="H314">
        <v>118.6326</v>
      </c>
      <c r="I314">
        <v>1.0513000000000001</v>
      </c>
      <c r="J314">
        <v>117.5813</v>
      </c>
      <c r="K314">
        <v>988.92505690339237</v>
      </c>
      <c r="L314">
        <v>54.688107996648363</v>
      </c>
      <c r="M314">
        <v>979.90943522064947</v>
      </c>
      <c r="N314">
        <v>54.189539082046643</v>
      </c>
      <c r="O314">
        <v>128</v>
      </c>
      <c r="P314">
        <v>41.7</v>
      </c>
      <c r="Q314">
        <v>100</v>
      </c>
      <c r="R314">
        <v>3</v>
      </c>
      <c r="S314" t="s">
        <v>2491</v>
      </c>
      <c r="T314" t="s">
        <v>2491</v>
      </c>
    </row>
    <row r="315" spans="1:27">
      <c r="A315" s="67">
        <v>43678</v>
      </c>
      <c r="B315">
        <v>20</v>
      </c>
      <c r="C315" t="s">
        <v>2998</v>
      </c>
      <c r="D315">
        <v>2280.4</v>
      </c>
      <c r="H315">
        <v>204.7756</v>
      </c>
      <c r="I315">
        <v>1.0513000000000001</v>
      </c>
      <c r="J315">
        <v>203.7243</v>
      </c>
      <c r="K315">
        <v>1710.3595269914149</v>
      </c>
      <c r="L315">
        <v>75.002610374996266</v>
      </c>
      <c r="M315">
        <v>1697.8155859283931</v>
      </c>
      <c r="N315">
        <v>74.452534025977599</v>
      </c>
      <c r="O315">
        <v>128</v>
      </c>
      <c r="P315">
        <v>41.7</v>
      </c>
      <c r="Q315">
        <v>100</v>
      </c>
      <c r="R315">
        <v>3</v>
      </c>
      <c r="S315" t="s">
        <v>2491</v>
      </c>
      <c r="T315" t="s">
        <v>2491</v>
      </c>
    </row>
    <row r="316" spans="1:27">
      <c r="A316" s="67">
        <v>43678</v>
      </c>
      <c r="B316">
        <v>21</v>
      </c>
      <c r="C316" t="s">
        <v>2999</v>
      </c>
      <c r="D316">
        <v>2642.9</v>
      </c>
      <c r="H316">
        <v>233.1917</v>
      </c>
      <c r="I316">
        <v>1.0513000000000001</v>
      </c>
      <c r="J316">
        <v>232.1404</v>
      </c>
      <c r="K316">
        <v>1948.3400250640179</v>
      </c>
      <c r="L316">
        <v>73.719778465474207</v>
      </c>
      <c r="M316">
        <v>1934.6321928393008</v>
      </c>
      <c r="N316">
        <v>73.201112143452292</v>
      </c>
      <c r="O316">
        <v>128</v>
      </c>
      <c r="P316">
        <v>41.7</v>
      </c>
      <c r="Q316">
        <v>100</v>
      </c>
      <c r="R316">
        <v>3</v>
      </c>
      <c r="S316" t="s">
        <v>2491</v>
      </c>
      <c r="T316" t="s">
        <v>2491</v>
      </c>
    </row>
    <row r="317" spans="1:27">
      <c r="A317" s="67">
        <v>43678</v>
      </c>
      <c r="B317">
        <v>22</v>
      </c>
      <c r="C317" s="200" t="s">
        <v>3160</v>
      </c>
      <c r="D317" s="200">
        <v>2653.8</v>
      </c>
      <c r="E317" s="200"/>
      <c r="F317" s="200"/>
      <c r="G317" s="200"/>
      <c r="H317" s="200">
        <v>248.4325</v>
      </c>
      <c r="I317" s="200">
        <v>1.0513000000000001</v>
      </c>
      <c r="J317" s="200">
        <v>247.38120000000001</v>
      </c>
      <c r="K317" s="200">
        <v>2075.9793976388937</v>
      </c>
      <c r="L317" s="200">
        <v>78.226671099513666</v>
      </c>
      <c r="M317" s="200">
        <v>2061.6473195670274</v>
      </c>
      <c r="N317" s="200">
        <v>77.686612388538222</v>
      </c>
      <c r="O317" s="200">
        <v>128</v>
      </c>
      <c r="P317" s="200">
        <v>41.7</v>
      </c>
      <c r="Q317" s="200">
        <v>100</v>
      </c>
      <c r="R317" s="200">
        <v>3</v>
      </c>
      <c r="S317" s="200" t="s">
        <v>2491</v>
      </c>
      <c r="T317" s="200" t="s">
        <v>2491</v>
      </c>
    </row>
    <row r="318" spans="1:27">
      <c r="A318" s="67">
        <v>43678</v>
      </c>
      <c r="B318">
        <v>23</v>
      </c>
      <c r="C318" t="s">
        <v>2965</v>
      </c>
      <c r="H318">
        <v>1.0141</v>
      </c>
      <c r="I318">
        <v>1.0513000000000001</v>
      </c>
      <c r="J318">
        <v>-3.7200000000000122E-2</v>
      </c>
      <c r="K318">
        <v>3.8880809442540065</v>
      </c>
      <c r="M318">
        <v>-0.31002064945878538</v>
      </c>
      <c r="O318">
        <v>128</v>
      </c>
      <c r="P318">
        <v>41.7</v>
      </c>
      <c r="Q318">
        <v>100</v>
      </c>
      <c r="R318">
        <v>3</v>
      </c>
      <c r="S318" t="s">
        <v>2491</v>
      </c>
      <c r="T318" t="s">
        <v>2491</v>
      </c>
    </row>
    <row r="319" spans="1:27">
      <c r="A319" s="67">
        <v>43678</v>
      </c>
      <c r="B319">
        <v>24</v>
      </c>
      <c r="C319" t="s">
        <v>3005</v>
      </c>
      <c r="D319">
        <v>2379.1</v>
      </c>
      <c r="H319">
        <v>223.5814</v>
      </c>
      <c r="I319">
        <v>1.0513000000000001</v>
      </c>
      <c r="J319">
        <v>222.5301</v>
      </c>
      <c r="K319">
        <v>1867.8552301545428</v>
      </c>
      <c r="L319">
        <v>78.511001225444204</v>
      </c>
      <c r="M319">
        <v>1854.5410248959201</v>
      </c>
      <c r="N319">
        <v>77.951369210874702</v>
      </c>
      <c r="O319">
        <v>128</v>
      </c>
      <c r="P319">
        <v>41.7</v>
      </c>
      <c r="Q319">
        <v>100</v>
      </c>
      <c r="R319">
        <v>3</v>
      </c>
      <c r="S319" t="s">
        <v>2491</v>
      </c>
      <c r="T319" t="s">
        <v>2491</v>
      </c>
    </row>
    <row r="320" spans="1:27">
      <c r="A320" s="67">
        <v>43678</v>
      </c>
      <c r="B320">
        <v>25</v>
      </c>
      <c r="C320" s="200" t="s">
        <v>3161</v>
      </c>
      <c r="D320" s="200">
        <v>3009.4</v>
      </c>
      <c r="E320" s="200"/>
      <c r="F320" s="200"/>
      <c r="G320" s="200"/>
      <c r="H320" s="200">
        <v>281.75599999999997</v>
      </c>
      <c r="I320" s="200">
        <v>1.0513000000000001</v>
      </c>
      <c r="J320" s="200">
        <v>280.70469999999995</v>
      </c>
      <c r="K320" s="200">
        <v>2355.0586213016195</v>
      </c>
      <c r="L320" s="200">
        <v>78.25674956142818</v>
      </c>
      <c r="M320" s="200">
        <v>2339.3616505412151</v>
      </c>
      <c r="N320" s="200">
        <v>77.735151543205134</v>
      </c>
      <c r="O320" s="200">
        <v>128</v>
      </c>
      <c r="P320" s="200">
        <v>41.7</v>
      </c>
      <c r="Q320" s="200">
        <v>100</v>
      </c>
      <c r="R320" s="200">
        <v>3</v>
      </c>
      <c r="S320" s="200" t="s">
        <v>2491</v>
      </c>
      <c r="T320" s="200" t="s">
        <v>2491</v>
      </c>
    </row>
    <row r="321" spans="1:22">
      <c r="A321" s="67">
        <v>43678</v>
      </c>
      <c r="B321">
        <v>26</v>
      </c>
      <c r="C321" t="s">
        <v>3006</v>
      </c>
      <c r="D321">
        <v>2950.2</v>
      </c>
      <c r="H321">
        <v>281.38869999999997</v>
      </c>
      <c r="I321">
        <v>1.0513000000000001</v>
      </c>
      <c r="J321">
        <v>280.33739999999995</v>
      </c>
      <c r="K321">
        <v>2351.9825398920639</v>
      </c>
      <c r="L321">
        <v>79.722816754527287</v>
      </c>
      <c r="M321">
        <v>2336.3006133222311</v>
      </c>
      <c r="N321">
        <v>79.191262060952866</v>
      </c>
      <c r="O321">
        <v>128</v>
      </c>
      <c r="P321">
        <v>41.7</v>
      </c>
      <c r="Q321">
        <v>100</v>
      </c>
      <c r="R321">
        <v>3</v>
      </c>
      <c r="S321" t="s">
        <v>2491</v>
      </c>
      <c r="T321" t="s">
        <v>2491</v>
      </c>
    </row>
    <row r="322" spans="1:22">
      <c r="A322" s="67">
        <v>43678</v>
      </c>
      <c r="B322">
        <v>27</v>
      </c>
      <c r="C322" t="s">
        <v>3007</v>
      </c>
      <c r="D322">
        <v>2161.8000000000002</v>
      </c>
      <c r="H322">
        <v>204.14930000000001</v>
      </c>
      <c r="I322">
        <v>1.0513000000000001</v>
      </c>
      <c r="J322">
        <v>203.09800000000001</v>
      </c>
      <c r="K322">
        <v>1705.1143601337931</v>
      </c>
      <c r="L322">
        <v>78.874750676926311</v>
      </c>
      <c r="M322">
        <v>1692.5960716069944</v>
      </c>
      <c r="N322">
        <v>78.295682838698966</v>
      </c>
      <c r="O322">
        <v>128</v>
      </c>
      <c r="P322">
        <v>41.7</v>
      </c>
      <c r="Q322">
        <v>100</v>
      </c>
      <c r="R322">
        <v>3</v>
      </c>
      <c r="S322" t="s">
        <v>2491</v>
      </c>
      <c r="T322" t="s">
        <v>2491</v>
      </c>
    </row>
    <row r="323" spans="1:22">
      <c r="A323" s="67">
        <v>43678</v>
      </c>
      <c r="B323">
        <v>28</v>
      </c>
      <c r="C323" s="200" t="s">
        <v>3162</v>
      </c>
      <c r="D323" s="200">
        <v>2516</v>
      </c>
      <c r="E323" s="200"/>
      <c r="F323" s="200"/>
      <c r="G323" s="200"/>
      <c r="H323" s="200">
        <v>235.07990000000001</v>
      </c>
      <c r="I323" s="200">
        <v>1.0513000000000001</v>
      </c>
      <c r="J323" s="200">
        <v>234.02860000000001</v>
      </c>
      <c r="K323" s="200">
        <v>1964.1534117166793</v>
      </c>
      <c r="L323" s="200">
        <v>78.066510799550045</v>
      </c>
      <c r="M323" s="200">
        <v>1950.3682409658618</v>
      </c>
      <c r="N323" s="200">
        <v>77.518610531234572</v>
      </c>
      <c r="O323" s="200">
        <v>128</v>
      </c>
      <c r="P323" s="200">
        <v>41.7</v>
      </c>
      <c r="Q323" s="200">
        <v>100</v>
      </c>
      <c r="R323" s="200">
        <v>3</v>
      </c>
      <c r="S323" s="200" t="s">
        <v>2491</v>
      </c>
      <c r="T323" s="200" t="s">
        <v>2491</v>
      </c>
    </row>
    <row r="324" spans="1:22">
      <c r="A324" s="67">
        <v>43678</v>
      </c>
      <c r="B324">
        <v>29</v>
      </c>
      <c r="C324" t="s">
        <v>2971</v>
      </c>
      <c r="H324">
        <v>1.0262</v>
      </c>
      <c r="I324">
        <v>1.0513000000000001</v>
      </c>
      <c r="K324">
        <v>4.1996252634357685</v>
      </c>
      <c r="O324">
        <v>128</v>
      </c>
      <c r="P324">
        <v>41.7</v>
      </c>
      <c r="Q324">
        <v>100</v>
      </c>
      <c r="R324">
        <v>3</v>
      </c>
      <c r="S324" t="s">
        <v>2491</v>
      </c>
      <c r="T324" t="s">
        <v>2491</v>
      </c>
    </row>
    <row r="325" spans="1:22">
      <c r="A325" s="67">
        <v>43678</v>
      </c>
      <c r="B325">
        <v>30</v>
      </c>
      <c r="C325" t="s">
        <v>3163</v>
      </c>
      <c r="D325">
        <v>2144.6</v>
      </c>
      <c r="G325">
        <v>2144.1710800000001</v>
      </c>
      <c r="H325">
        <v>254.10409999999999</v>
      </c>
      <c r="I325">
        <v>1.0513000000000001</v>
      </c>
      <c r="J325">
        <v>253.05279999999999</v>
      </c>
      <c r="K325">
        <v>2123.4781815279066</v>
      </c>
      <c r="L325">
        <v>99.01511617681183</v>
      </c>
      <c r="M325">
        <v>2108.9138011656951</v>
      </c>
      <c r="N325">
        <v>98.355668576860722</v>
      </c>
      <c r="O325">
        <v>128</v>
      </c>
      <c r="P325">
        <v>41.7</v>
      </c>
      <c r="Q325">
        <v>100</v>
      </c>
      <c r="R325">
        <v>3</v>
      </c>
      <c r="S325" t="s">
        <v>2491</v>
      </c>
      <c r="T325" t="s">
        <v>2491</v>
      </c>
    </row>
    <row r="326" spans="1:22">
      <c r="A326" s="67">
        <v>43678</v>
      </c>
      <c r="B326">
        <v>31</v>
      </c>
      <c r="C326" t="s">
        <v>2973</v>
      </c>
      <c r="H326">
        <v>0.97219999999999995</v>
      </c>
      <c r="I326">
        <v>1.0513000000000001</v>
      </c>
      <c r="L326" s="517"/>
      <c r="M326" s="474"/>
      <c r="N326" s="146"/>
      <c r="O326" s="146"/>
      <c r="P326" s="146"/>
      <c r="Q326" s="146"/>
      <c r="R326" s="146"/>
      <c r="S326" t="s">
        <v>2491</v>
      </c>
      <c r="T326" t="s">
        <v>2491</v>
      </c>
    </row>
    <row r="327" spans="1:22">
      <c r="D327" t="s">
        <v>3152</v>
      </c>
      <c r="E327" t="s">
        <v>2917</v>
      </c>
      <c r="F327" t="s">
        <v>2988</v>
      </c>
      <c r="G327" t="s">
        <v>3166</v>
      </c>
      <c r="I327" t="s">
        <v>3152</v>
      </c>
      <c r="J327" t="s">
        <v>2917</v>
      </c>
      <c r="K327" t="s">
        <v>2988</v>
      </c>
      <c r="L327" s="517"/>
      <c r="M327" s="474"/>
      <c r="N327" s="474"/>
      <c r="O327" s="474"/>
      <c r="P327" s="474"/>
      <c r="Q327" s="146"/>
      <c r="R327" s="146"/>
    </row>
    <row r="328" spans="1:22">
      <c r="A328" s="389">
        <v>43676</v>
      </c>
      <c r="C328" t="str">
        <f>C317</f>
        <v>2018_47_3800_15_a</v>
      </c>
      <c r="D328" s="90">
        <f>AVERAGE(L317,L320,L323)</f>
        <v>78.183310486830635</v>
      </c>
      <c r="E328" s="90">
        <f>_xlfn.STDEV.P(L317,L320,L323)</f>
        <v>8.3497719247963523E-2</v>
      </c>
      <c r="F328">
        <v>3</v>
      </c>
      <c r="G328" s="90">
        <f>(E328/D328)*100</f>
        <v>0.10679736983256556</v>
      </c>
      <c r="I328" s="90">
        <f>AVERAGE(L64,L317,L320,L323)</f>
        <v>79.660937852955797</v>
      </c>
      <c r="J328" s="90">
        <f>_xlfn.STDEV.P(L64,L317,L319,L322)</f>
        <v>2.4169085249700033</v>
      </c>
      <c r="K328">
        <v>4</v>
      </c>
      <c r="L328" s="517"/>
      <c r="M328" s="501"/>
      <c r="N328" s="501"/>
      <c r="O328" s="474"/>
      <c r="P328" s="501"/>
      <c r="Q328" s="146"/>
      <c r="R328" s="146"/>
    </row>
    <row r="329" spans="1:22">
      <c r="A329" s="389">
        <v>43657</v>
      </c>
      <c r="B329" s="97"/>
      <c r="C329" t="s">
        <v>3003</v>
      </c>
      <c r="D329" s="90">
        <f>L64</f>
        <v>84.093819951331284</v>
      </c>
      <c r="E329" s="206">
        <f>((D329-D328)/AVERAGE(D329,D328))*100</f>
        <v>7.2844638656621248</v>
      </c>
      <c r="F329" s="80" t="s">
        <v>3149</v>
      </c>
      <c r="L329" s="517"/>
      <c r="M329" s="518"/>
      <c r="N329" s="146"/>
      <c r="O329" s="146"/>
      <c r="P329" s="146"/>
      <c r="Q329" s="146"/>
      <c r="R329" s="146"/>
    </row>
    <row r="330" spans="1:22">
      <c r="L330" s="517"/>
      <c r="M330" s="518"/>
      <c r="N330" s="146"/>
      <c r="O330" s="519"/>
      <c r="P330" s="146"/>
      <c r="Q330" s="146"/>
      <c r="R330" s="146"/>
    </row>
    <row r="331" spans="1:22">
      <c r="D331" t="s">
        <v>3152</v>
      </c>
      <c r="E331" t="s">
        <v>2917</v>
      </c>
      <c r="F331" t="s">
        <v>2988</v>
      </c>
      <c r="H331" t="s">
        <v>3152</v>
      </c>
      <c r="I331" t="s">
        <v>2917</v>
      </c>
      <c r="J331" t="s">
        <v>2988</v>
      </c>
      <c r="L331" s="517"/>
      <c r="M331" s="395"/>
      <c r="N331" s="146"/>
      <c r="O331" s="501"/>
      <c r="P331" s="474"/>
      <c r="Q331" s="146"/>
      <c r="R331" s="146"/>
      <c r="S331" s="80"/>
      <c r="T331" s="80"/>
      <c r="U331" s="80"/>
      <c r="V331" s="80"/>
    </row>
    <row r="332" spans="1:22">
      <c r="A332" s="389">
        <v>43676</v>
      </c>
      <c r="C332" t="str">
        <f>C313</f>
        <v>2018_47_3800_08</v>
      </c>
      <c r="D332" s="90">
        <f>L313</f>
        <v>74.080943714550642</v>
      </c>
      <c r="E332" s="206">
        <f>((D333-D332)/AVERAGE(D333,D332))*100</f>
        <v>7.1181623691677034</v>
      </c>
      <c r="F332" s="80" t="s">
        <v>3149</v>
      </c>
      <c r="H332" s="90">
        <f>AVERAGE(L60,L65,L313)</f>
        <v>77.726147377742706</v>
      </c>
      <c r="I332" s="90">
        <f>_xlfn.STDEV.P(L60,L65,L313)</f>
        <v>2.5795523540896301</v>
      </c>
      <c r="J332">
        <v>3</v>
      </c>
      <c r="L332" s="517"/>
      <c r="M332" s="146"/>
      <c r="N332" s="146"/>
      <c r="O332" s="460"/>
      <c r="P332" s="146"/>
      <c r="Q332" s="146"/>
      <c r="R332" s="146"/>
      <c r="S332" s="80"/>
      <c r="T332" s="80"/>
      <c r="U332" s="80"/>
      <c r="V332" s="80"/>
    </row>
    <row r="333" spans="1:22">
      <c r="A333" s="389">
        <v>43657</v>
      </c>
      <c r="B333" s="97"/>
      <c r="C333" t="s">
        <v>3159</v>
      </c>
      <c r="D333" s="90">
        <f>AVERAGE(L60,L65)</f>
        <v>79.548749209338737</v>
      </c>
      <c r="E333">
        <f>_xlfn.STDEV.P(L60,L65)</f>
        <v>0.12451189349776826</v>
      </c>
      <c r="L333" s="517"/>
      <c r="M333" s="146"/>
      <c r="N333" s="146"/>
      <c r="O333" s="520"/>
      <c r="P333" s="474"/>
      <c r="Q333" s="521"/>
      <c r="R333" s="474"/>
    </row>
    <row r="335" spans="1:22">
      <c r="O335" s="452" t="s">
        <v>3169</v>
      </c>
      <c r="P335" s="229"/>
      <c r="Q335" s="496" t="s">
        <v>3170</v>
      </c>
      <c r="R335" s="229"/>
      <c r="S335" s="497" t="s">
        <v>3171</v>
      </c>
    </row>
    <row r="336" spans="1:22">
      <c r="A336" s="80" t="s">
        <v>3168</v>
      </c>
    </row>
    <row r="337" spans="1:37">
      <c r="A337" s="389">
        <f>A20</f>
        <v>43655</v>
      </c>
      <c r="B337" s="90">
        <f t="shared" ref="B337:N337" si="66">B20</f>
        <v>12</v>
      </c>
      <c r="C337" s="90" t="str">
        <f t="shared" si="66"/>
        <v>1999_54_1500_14a</v>
      </c>
      <c r="D337" s="90">
        <f t="shared" si="66"/>
        <v>1062.8</v>
      </c>
      <c r="E337" s="90">
        <f t="shared" si="66"/>
        <v>0</v>
      </c>
      <c r="F337" s="90">
        <f t="shared" si="66"/>
        <v>0</v>
      </c>
      <c r="G337" s="90">
        <f t="shared" si="66"/>
        <v>0</v>
      </c>
      <c r="H337" s="90">
        <f t="shared" si="66"/>
        <v>15.273</v>
      </c>
      <c r="I337" s="90">
        <f t="shared" si="66"/>
        <v>0.75039999999999996</v>
      </c>
      <c r="J337" s="502">
        <f t="shared" si="66"/>
        <v>14.522600000000001</v>
      </c>
      <c r="K337" s="90">
        <f t="shared" si="66"/>
        <v>125.54852848135565</v>
      </c>
      <c r="L337" s="471">
        <f t="shared" si="66"/>
        <v>11.812996658012388</v>
      </c>
      <c r="M337" s="90">
        <f t="shared" si="66"/>
        <v>121.02972805995006</v>
      </c>
      <c r="N337" s="90">
        <f t="shared" si="66"/>
        <v>11.387817845309566</v>
      </c>
      <c r="O337" s="90">
        <f>AVERAGE(L337:L338)</f>
        <v>11.761734174468174</v>
      </c>
      <c r="Q337">
        <f>(L337-L338)/O337</f>
        <v>8.7168240301657637E-3</v>
      </c>
      <c r="S337" s="471">
        <f>_xlfn.STDEV.P(Q337:Q352)</f>
        <v>6.1535937631364598E-2</v>
      </c>
      <c r="T337" s="80" t="s">
        <v>2938</v>
      </c>
    </row>
    <row r="338" spans="1:37">
      <c r="A338" s="389">
        <f>A21</f>
        <v>43655</v>
      </c>
      <c r="B338" s="90">
        <f t="shared" ref="B338:N338" si="67">B21</f>
        <v>13</v>
      </c>
      <c r="C338" s="90" t="str">
        <f t="shared" si="67"/>
        <v>1999_54_1500_14a</v>
      </c>
      <c r="D338" s="90">
        <f t="shared" si="67"/>
        <v>2234.8000000000002</v>
      </c>
      <c r="E338" s="90">
        <f t="shared" si="67"/>
        <v>0</v>
      </c>
      <c r="F338" s="90">
        <f t="shared" si="67"/>
        <v>0</v>
      </c>
      <c r="G338" s="90">
        <f t="shared" si="67"/>
        <v>0</v>
      </c>
      <c r="H338" s="90">
        <f t="shared" si="67"/>
        <v>31.495200000000001</v>
      </c>
      <c r="I338" s="90">
        <f t="shared" si="67"/>
        <v>0.75039999999999996</v>
      </c>
      <c r="J338" s="502">
        <f t="shared" si="67"/>
        <v>30.744800000000001</v>
      </c>
      <c r="K338" s="90">
        <f t="shared" si="67"/>
        <v>261.70562134876872</v>
      </c>
      <c r="L338" s="471">
        <f t="shared" si="67"/>
        <v>11.710471690923962</v>
      </c>
      <c r="M338" s="90">
        <f t="shared" si="67"/>
        <v>256.223732889259</v>
      </c>
      <c r="N338" s="90">
        <f t="shared" si="67"/>
        <v>11.465175089012842</v>
      </c>
    </row>
    <row r="339" spans="1:37">
      <c r="A339" s="389">
        <f>A91</f>
        <v>43661</v>
      </c>
      <c r="B339" s="90">
        <f t="shared" ref="B339:N339" si="68">B91</f>
        <v>12</v>
      </c>
      <c r="C339" s="90" t="str">
        <f t="shared" si="68"/>
        <v>1999_54_1500_14a</v>
      </c>
      <c r="D339" s="90">
        <f t="shared" si="68"/>
        <v>1411.3</v>
      </c>
      <c r="E339" s="90">
        <f t="shared" si="68"/>
        <v>0</v>
      </c>
      <c r="F339" s="90">
        <f t="shared" si="68"/>
        <v>0</v>
      </c>
      <c r="G339" s="90">
        <f t="shared" si="68"/>
        <v>0</v>
      </c>
      <c r="H339" s="90">
        <f t="shared" si="68"/>
        <v>20.114000000000001</v>
      </c>
      <c r="I339" s="90">
        <f t="shared" si="68"/>
        <v>0.83976666666666677</v>
      </c>
      <c r="J339" s="502">
        <f t="shared" si="68"/>
        <v>19.274233333333335</v>
      </c>
      <c r="K339" s="90">
        <f t="shared" si="68"/>
        <v>166.15550573724704</v>
      </c>
      <c r="L339" s="471">
        <f t="shared" si="68"/>
        <v>11.7732236758483</v>
      </c>
      <c r="M339" s="90">
        <f t="shared" si="68"/>
        <v>160.62931010269222</v>
      </c>
      <c r="N339" s="90">
        <f t="shared" si="68"/>
        <v>11.381655927350119</v>
      </c>
      <c r="O339" s="90">
        <f>AVERAGE(L339:L340)</f>
        <v>12.199977732321914</v>
      </c>
      <c r="Q339">
        <f>(L339-L340)/O339</f>
        <v>-6.9959809081125882E-2</v>
      </c>
      <c r="S339" s="80" t="s">
        <v>3172</v>
      </c>
    </row>
    <row r="340" spans="1:37">
      <c r="A340" s="389">
        <f>A92</f>
        <v>43661</v>
      </c>
      <c r="B340" s="90">
        <f t="shared" ref="B340:N340" si="69">B92</f>
        <v>13</v>
      </c>
      <c r="C340" s="90" t="str">
        <f t="shared" si="69"/>
        <v>1999_54_1500_14a</v>
      </c>
      <c r="D340" s="90">
        <f t="shared" si="69"/>
        <v>2345</v>
      </c>
      <c r="E340" s="90">
        <f t="shared" si="69"/>
        <v>0</v>
      </c>
      <c r="F340" s="90">
        <f t="shared" si="69"/>
        <v>0</v>
      </c>
      <c r="G340" s="90">
        <f t="shared" si="69"/>
        <v>0</v>
      </c>
      <c r="H340" s="90">
        <f t="shared" si="69"/>
        <v>33.914299999999997</v>
      </c>
      <c r="I340" s="90">
        <f t="shared" si="69"/>
        <v>0.83976666666666677</v>
      </c>
      <c r="J340" s="502">
        <f t="shared" si="69"/>
        <v>33.074533333333328</v>
      </c>
      <c r="K340" s="90">
        <f t="shared" si="69"/>
        <v>296.09686044725515</v>
      </c>
      <c r="L340" s="471">
        <f t="shared" si="69"/>
        <v>12.626731788795528</v>
      </c>
      <c r="M340" s="90">
        <f t="shared" si="69"/>
        <v>275.6394705523175</v>
      </c>
      <c r="N340" s="90">
        <f t="shared" si="69"/>
        <v>11.754348424405864</v>
      </c>
      <c r="S340" s="471">
        <f>S337/SQRT(2)</f>
        <v>4.3512478785810361E-2</v>
      </c>
      <c r="T340" s="345" t="s">
        <v>3173</v>
      </c>
      <c r="X340" s="80" t="s">
        <v>2938</v>
      </c>
    </row>
    <row r="341" spans="1:37">
      <c r="A341" s="389">
        <f>A127</f>
        <v>43662</v>
      </c>
      <c r="B341" s="90">
        <f t="shared" ref="B341:N341" si="70">B127</f>
        <v>12</v>
      </c>
      <c r="C341" s="90" t="str">
        <f t="shared" si="70"/>
        <v>1999_54_1500_14a</v>
      </c>
      <c r="D341" s="90">
        <f t="shared" si="70"/>
        <v>1215.5</v>
      </c>
      <c r="E341" s="90">
        <f t="shared" si="70"/>
        <v>0</v>
      </c>
      <c r="F341" s="90">
        <f t="shared" si="70"/>
        <v>0</v>
      </c>
      <c r="G341" s="90">
        <f t="shared" si="70"/>
        <v>0</v>
      </c>
      <c r="H341" s="90">
        <f t="shared" si="70"/>
        <v>18.370699999999999</v>
      </c>
      <c r="I341" s="90">
        <f t="shared" si="70"/>
        <v>1.1687000000000001</v>
      </c>
      <c r="J341" s="502">
        <f t="shared" si="70"/>
        <v>17.201999999999998</v>
      </c>
      <c r="K341" s="90">
        <f t="shared" si="70"/>
        <v>148.32172502071666</v>
      </c>
      <c r="L341" s="471">
        <f t="shared" si="70"/>
        <v>12.202527768055669</v>
      </c>
      <c r="M341" s="90">
        <f t="shared" si="70"/>
        <v>143.35954870940881</v>
      </c>
      <c r="N341" s="90">
        <f t="shared" si="70"/>
        <v>11.794286195755559</v>
      </c>
      <c r="O341" s="90">
        <f>AVERAGE(L341:L342)</f>
        <v>12.30029683535118</v>
      </c>
      <c r="Q341">
        <f>(L341-L342)/O341</f>
        <v>-1.5897025674131822E-2</v>
      </c>
    </row>
    <row r="342" spans="1:37">
      <c r="A342" s="389">
        <f>A128</f>
        <v>43662</v>
      </c>
      <c r="B342" s="90">
        <f t="shared" ref="B342:N342" si="71">B128</f>
        <v>13</v>
      </c>
      <c r="C342" s="90" t="str">
        <f t="shared" si="71"/>
        <v>1999_54_1500_14a</v>
      </c>
      <c r="D342" s="90">
        <f t="shared" si="71"/>
        <v>2068.5</v>
      </c>
      <c r="E342" s="90">
        <f t="shared" si="71"/>
        <v>0</v>
      </c>
      <c r="F342" s="90">
        <f t="shared" si="71"/>
        <v>0</v>
      </c>
      <c r="G342" s="90">
        <f t="shared" si="71"/>
        <v>0</v>
      </c>
      <c r="H342" s="90">
        <f t="shared" si="71"/>
        <v>31.2318</v>
      </c>
      <c r="I342" s="90">
        <f t="shared" si="71"/>
        <v>1.1687000000000001</v>
      </c>
      <c r="J342" s="502">
        <f t="shared" si="71"/>
        <v>30.063099999999999</v>
      </c>
      <c r="K342" s="90">
        <f t="shared" si="71"/>
        <v>256.45399319624676</v>
      </c>
      <c r="L342" s="471">
        <f t="shared" si="71"/>
        <v>12.398065902646689</v>
      </c>
      <c r="M342" s="90">
        <f t="shared" si="71"/>
        <v>250.54252114904247</v>
      </c>
      <c r="N342" s="90">
        <f t="shared" si="71"/>
        <v>12.112280451972079</v>
      </c>
      <c r="S342" s="80"/>
      <c r="T342" s="80"/>
      <c r="U342" s="80"/>
      <c r="V342" s="80"/>
    </row>
    <row r="343" spans="1:37">
      <c r="A343" s="67">
        <f>A165</f>
        <v>43664</v>
      </c>
      <c r="B343" s="90">
        <f t="shared" ref="B343:N343" si="72">B165</f>
        <v>15</v>
      </c>
      <c r="C343" s="90" t="str">
        <f t="shared" si="72"/>
        <v>1999_54_1500_14a</v>
      </c>
      <c r="D343" s="90">
        <f t="shared" si="72"/>
        <v>1449.9</v>
      </c>
      <c r="E343" s="90">
        <f t="shared" si="72"/>
        <v>0</v>
      </c>
      <c r="F343" s="90">
        <f t="shared" si="72"/>
        <v>0</v>
      </c>
      <c r="G343" s="90">
        <f t="shared" si="72"/>
        <v>0</v>
      </c>
      <c r="H343" s="90">
        <f t="shared" si="72"/>
        <v>22.688700000000001</v>
      </c>
      <c r="I343" s="90">
        <f t="shared" si="72"/>
        <v>1.0308999999999999</v>
      </c>
      <c r="J343" s="502">
        <f t="shared" si="72"/>
        <v>21.657800000000002</v>
      </c>
      <c r="K343" s="90">
        <f t="shared" si="72"/>
        <v>184.23989956184244</v>
      </c>
      <c r="L343" s="471">
        <f t="shared" si="72"/>
        <v>12.707076319873261</v>
      </c>
      <c r="M343" s="90">
        <f t="shared" si="72"/>
        <v>180.49368875936725</v>
      </c>
      <c r="N343" s="90">
        <f t="shared" si="72"/>
        <v>12.448699135069125</v>
      </c>
      <c r="O343" s="90">
        <f>AVERAGE(L343:L344)</f>
        <v>11.97647354408617</v>
      </c>
      <c r="Q343">
        <f>(L343-L344)/O343</f>
        <v>0.12200632733795885</v>
      </c>
      <c r="S343" s="80"/>
      <c r="T343" s="80"/>
      <c r="U343" s="80"/>
      <c r="V343" s="80"/>
    </row>
    <row r="344" spans="1:37">
      <c r="A344" s="67">
        <f>A166</f>
        <v>43664</v>
      </c>
      <c r="B344" s="90">
        <f t="shared" ref="B344:N344" si="73">B166</f>
        <v>16</v>
      </c>
      <c r="C344" s="90" t="str">
        <f t="shared" si="73"/>
        <v>1999_54_1500_14a</v>
      </c>
      <c r="D344" s="90">
        <f t="shared" si="73"/>
        <v>2733</v>
      </c>
      <c r="E344" s="90">
        <f t="shared" si="73"/>
        <v>0</v>
      </c>
      <c r="F344" s="90">
        <f t="shared" si="73"/>
        <v>0</v>
      </c>
      <c r="G344" s="90">
        <f t="shared" si="73"/>
        <v>0</v>
      </c>
      <c r="H344" s="90">
        <f t="shared" si="73"/>
        <v>37.3003</v>
      </c>
      <c r="I344" s="90">
        <f t="shared" si="73"/>
        <v>1.0308999999999999</v>
      </c>
      <c r="J344" s="502">
        <f t="shared" si="73"/>
        <v>36.269399999999997</v>
      </c>
      <c r="K344" s="90">
        <f t="shared" si="73"/>
        <v>307.34964809761385</v>
      </c>
      <c r="L344" s="471">
        <f t="shared" si="73"/>
        <v>11.24587076829908</v>
      </c>
      <c r="M344" s="90">
        <f t="shared" si="73"/>
        <v>302.26513288925895</v>
      </c>
      <c r="N344" s="90">
        <f t="shared" si="73"/>
        <v>11.059829231220599</v>
      </c>
    </row>
    <row r="345" spans="1:37">
      <c r="A345" s="67">
        <f>A203</f>
        <v>43665</v>
      </c>
      <c r="B345" s="90">
        <f t="shared" ref="B345:N345" si="74">B203</f>
        <v>15</v>
      </c>
      <c r="C345" s="90" t="str">
        <f t="shared" si="74"/>
        <v>1999_54_1500_14a</v>
      </c>
      <c r="D345" s="90">
        <f t="shared" si="74"/>
        <v>1104.7</v>
      </c>
      <c r="E345" s="90">
        <f t="shared" si="74"/>
        <v>0</v>
      </c>
      <c r="F345" s="90">
        <f t="shared" si="74"/>
        <v>0</v>
      </c>
      <c r="G345" s="90">
        <f t="shared" si="74"/>
        <v>0</v>
      </c>
      <c r="H345" s="90">
        <f t="shared" si="74"/>
        <v>18.6585</v>
      </c>
      <c r="I345" s="90">
        <f t="shared" si="74"/>
        <v>0.89110000000000011</v>
      </c>
      <c r="J345" s="502">
        <f t="shared" si="74"/>
        <v>17.767399999999999</v>
      </c>
      <c r="K345" s="90">
        <f t="shared" si="74"/>
        <v>148.24618836605939</v>
      </c>
      <c r="L345" s="471">
        <f t="shared" si="74"/>
        <v>13.419587975564351</v>
      </c>
      <c r="M345" s="90">
        <f t="shared" si="74"/>
        <v>148.07152922564529</v>
      </c>
      <c r="N345" s="90">
        <f t="shared" si="74"/>
        <v>13.403777426056422</v>
      </c>
      <c r="O345" s="90">
        <f>AVERAGE(L345:L346)</f>
        <v>12.672833634079492</v>
      </c>
      <c r="Q345">
        <f>(L345-L346)/O345</f>
        <v>0.11785120250875918</v>
      </c>
    </row>
    <row r="346" spans="1:37">
      <c r="A346" s="67">
        <f>A204</f>
        <v>43665</v>
      </c>
      <c r="B346" s="90">
        <f t="shared" ref="B346:N346" si="75">B204</f>
        <v>16</v>
      </c>
      <c r="C346" s="90" t="str">
        <f t="shared" si="75"/>
        <v>1999_54_1500_14a</v>
      </c>
      <c r="D346" s="90">
        <f t="shared" si="75"/>
        <v>2464.6</v>
      </c>
      <c r="E346" s="90">
        <f t="shared" si="75"/>
        <v>0</v>
      </c>
      <c r="F346" s="90">
        <f t="shared" si="75"/>
        <v>0</v>
      </c>
      <c r="G346" s="90">
        <f t="shared" si="75"/>
        <v>0</v>
      </c>
      <c r="H346" s="90">
        <f t="shared" si="75"/>
        <v>35.903599999999997</v>
      </c>
      <c r="I346" s="90">
        <f t="shared" si="75"/>
        <v>0.89110000000000011</v>
      </c>
      <c r="J346" s="502">
        <f t="shared" si="75"/>
        <v>35.012499999999996</v>
      </c>
      <c r="K346" s="90">
        <f t="shared" si="75"/>
        <v>293.93015024528734</v>
      </c>
      <c r="L346" s="471">
        <f t="shared" si="75"/>
        <v>11.926079292594634</v>
      </c>
      <c r="M346" s="90">
        <f t="shared" si="75"/>
        <v>291.79026852622815</v>
      </c>
      <c r="N346" s="90">
        <f t="shared" si="75"/>
        <v>11.839254585986698</v>
      </c>
    </row>
    <row r="347" spans="1:37">
      <c r="A347" s="389">
        <f>A240</f>
        <v>43669</v>
      </c>
      <c r="B347" s="90">
        <f t="shared" ref="B347:N347" si="76">B240</f>
        <v>15</v>
      </c>
      <c r="C347" s="90" t="str">
        <f t="shared" si="76"/>
        <v>1999_54_1500_14a</v>
      </c>
      <c r="D347" s="90">
        <f t="shared" si="76"/>
        <v>1195.8</v>
      </c>
      <c r="E347" s="90">
        <f t="shared" si="76"/>
        <v>0</v>
      </c>
      <c r="F347" s="90">
        <f t="shared" si="76"/>
        <v>0</v>
      </c>
      <c r="G347" s="90">
        <f t="shared" si="76"/>
        <v>0</v>
      </c>
      <c r="H347" s="90">
        <f t="shared" si="76"/>
        <v>17.508900000000001</v>
      </c>
      <c r="I347" s="90">
        <f t="shared" si="76"/>
        <v>0.72870000000000001</v>
      </c>
      <c r="J347" s="502">
        <f t="shared" si="76"/>
        <v>16.780200000000001</v>
      </c>
      <c r="K347" s="90">
        <f t="shared" si="76"/>
        <v>149.66640527551851</v>
      </c>
      <c r="L347" s="471">
        <f t="shared" si="76"/>
        <v>12.5160064622444</v>
      </c>
      <c r="M347" s="90">
        <f t="shared" si="76"/>
        <v>139.84431457119069</v>
      </c>
      <c r="N347" s="90">
        <f t="shared" si="76"/>
        <v>11.694624065160621</v>
      </c>
      <c r="O347" s="90">
        <f>AVERAGE(L347:L348)</f>
        <v>12.471905070761304</v>
      </c>
      <c r="Q347">
        <f>(L347-L348)/O347</f>
        <v>7.0721178894290757E-3</v>
      </c>
    </row>
    <row r="348" spans="1:37" ht="16" thickBot="1">
      <c r="A348" s="389">
        <f>A241</f>
        <v>43669</v>
      </c>
      <c r="B348" s="90">
        <f t="shared" ref="B348:N348" si="77">B241</f>
        <v>16</v>
      </c>
      <c r="C348" s="90" t="str">
        <f t="shared" si="77"/>
        <v>1999_54_1500_14a</v>
      </c>
      <c r="D348" s="90">
        <f t="shared" si="77"/>
        <v>2186.3000000000002</v>
      </c>
      <c r="E348" s="90">
        <f t="shared" si="77"/>
        <v>0</v>
      </c>
      <c r="F348" s="90">
        <f t="shared" si="77"/>
        <v>0</v>
      </c>
      <c r="G348" s="90">
        <f t="shared" si="77"/>
        <v>0</v>
      </c>
      <c r="H348" s="90">
        <f t="shared" si="77"/>
        <v>32.028100000000002</v>
      </c>
      <c r="I348" s="90">
        <f t="shared" si="77"/>
        <v>0.72870000000000001</v>
      </c>
      <c r="J348" s="502">
        <f t="shared" si="77"/>
        <v>31.299400000000002</v>
      </c>
      <c r="K348" s="90">
        <f t="shared" si="77"/>
        <v>271.70907184005949</v>
      </c>
      <c r="L348" s="471">
        <f t="shared" si="77"/>
        <v>12.427803679278208</v>
      </c>
      <c r="M348" s="90">
        <f t="shared" si="77"/>
        <v>260.84570741049129</v>
      </c>
      <c r="N348" s="90">
        <f t="shared" si="77"/>
        <v>11.930920157823321</v>
      </c>
    </row>
    <row r="349" spans="1:37">
      <c r="A349" s="389">
        <f>A274</f>
        <v>43676</v>
      </c>
      <c r="B349" s="90">
        <f t="shared" ref="B349:N349" si="78">B274</f>
        <v>15</v>
      </c>
      <c r="C349" s="90" t="str">
        <f t="shared" si="78"/>
        <v>1999_54_1500_14a</v>
      </c>
      <c r="D349" s="90">
        <f t="shared" si="78"/>
        <v>936.2</v>
      </c>
      <c r="E349" s="90">
        <f t="shared" si="78"/>
        <v>0</v>
      </c>
      <c r="F349" s="90">
        <f t="shared" si="78"/>
        <v>0</v>
      </c>
      <c r="G349" s="90">
        <f t="shared" si="78"/>
        <v>0</v>
      </c>
      <c r="H349" s="90">
        <f t="shared" si="78"/>
        <v>13.7287</v>
      </c>
      <c r="I349" s="90">
        <f t="shared" si="78"/>
        <v>0.4527666666666666</v>
      </c>
      <c r="J349" s="502">
        <f t="shared" si="78"/>
        <v>13.275933333333333</v>
      </c>
      <c r="K349" s="90">
        <f t="shared" si="78"/>
        <v>115.38353956009649</v>
      </c>
      <c r="L349" s="471">
        <f t="shared" si="78"/>
        <v>12.324667759036155</v>
      </c>
      <c r="M349" s="90">
        <f t="shared" si="78"/>
        <v>110.6401471551485</v>
      </c>
      <c r="N349" s="90">
        <f t="shared" si="78"/>
        <v>11.81800332783043</v>
      </c>
      <c r="O349" s="90">
        <f>AVERAGE(L349:L350)</f>
        <v>12.340207948924702</v>
      </c>
      <c r="Q349">
        <f>(L349-L350)/O349</f>
        <v>-2.5186269069155118E-3</v>
      </c>
      <c r="Y349" s="540"/>
      <c r="Z349" s="541"/>
      <c r="AA349" s="541"/>
      <c r="AB349" s="541"/>
      <c r="AC349" s="541"/>
      <c r="AD349" s="541"/>
      <c r="AE349" s="541"/>
      <c r="AF349" s="541"/>
      <c r="AG349" s="541"/>
      <c r="AH349" s="541"/>
      <c r="AI349" s="541"/>
      <c r="AJ349" s="541"/>
      <c r="AK349" s="542"/>
    </row>
    <row r="350" spans="1:37">
      <c r="A350" s="389">
        <f>A275</f>
        <v>43676</v>
      </c>
      <c r="B350" s="90">
        <f t="shared" ref="B350:N350" si="79">B275</f>
        <v>16</v>
      </c>
      <c r="C350" s="90" t="str">
        <f t="shared" si="79"/>
        <v>1999_54_1500_14a</v>
      </c>
      <c r="D350" s="90">
        <f t="shared" si="79"/>
        <v>2275.8000000000002</v>
      </c>
      <c r="E350" s="90">
        <f t="shared" si="79"/>
        <v>0</v>
      </c>
      <c r="F350" s="90">
        <f t="shared" si="79"/>
        <v>0</v>
      </c>
      <c r="G350" s="90">
        <f t="shared" si="79"/>
        <v>0</v>
      </c>
      <c r="H350" s="90">
        <f t="shared" si="79"/>
        <v>33.527099999999997</v>
      </c>
      <c r="I350" s="90">
        <f t="shared" si="79"/>
        <v>0.4527666666666666</v>
      </c>
      <c r="J350" s="502">
        <f t="shared" si="79"/>
        <v>33.074333333333328</v>
      </c>
      <c r="K350" s="90">
        <f t="shared" si="79"/>
        <v>281.19211614311195</v>
      </c>
      <c r="L350" s="471">
        <f t="shared" si="79"/>
        <v>12.355748138813249</v>
      </c>
      <c r="M350" s="90">
        <f t="shared" si="79"/>
        <v>275.63780377463223</v>
      </c>
      <c r="N350" s="90">
        <f t="shared" si="79"/>
        <v>12.111688363416478</v>
      </c>
      <c r="Y350" s="543"/>
      <c r="Z350" s="544"/>
      <c r="AA350" s="544"/>
      <c r="AB350" s="544"/>
      <c r="AC350" s="544"/>
      <c r="AD350" s="544"/>
      <c r="AE350" s="544"/>
      <c r="AF350" s="544"/>
      <c r="AG350" s="544"/>
      <c r="AH350" s="544"/>
      <c r="AI350" s="544"/>
      <c r="AJ350" s="544"/>
      <c r="AK350" s="545"/>
    </row>
    <row r="351" spans="1:37">
      <c r="A351" s="67">
        <f>A310</f>
        <v>43678</v>
      </c>
      <c r="B351" s="90">
        <f t="shared" ref="B351:N351" si="80">B310</f>
        <v>15</v>
      </c>
      <c r="C351" s="90" t="str">
        <f t="shared" si="80"/>
        <v>1999_54_1500_14a</v>
      </c>
      <c r="D351" s="90">
        <f t="shared" si="80"/>
        <v>1362.1</v>
      </c>
      <c r="E351" s="90">
        <f t="shared" si="80"/>
        <v>0</v>
      </c>
      <c r="F351" s="90">
        <f t="shared" si="80"/>
        <v>0</v>
      </c>
      <c r="G351" s="90">
        <f t="shared" si="80"/>
        <v>0</v>
      </c>
      <c r="H351" s="90">
        <f t="shared" si="80"/>
        <v>21.070799999999998</v>
      </c>
      <c r="I351" s="90">
        <f t="shared" si="80"/>
        <v>1.5462</v>
      </c>
      <c r="J351" s="502">
        <f t="shared" si="80"/>
        <v>19.5246</v>
      </c>
      <c r="K351" s="90">
        <f t="shared" si="80"/>
        <v>167.71516865849517</v>
      </c>
      <c r="L351" s="471">
        <f t="shared" si="80"/>
        <v>12.312984998054121</v>
      </c>
      <c r="M351" s="90">
        <f t="shared" si="80"/>
        <v>162.71583796835969</v>
      </c>
      <c r="N351" s="90">
        <f t="shared" si="80"/>
        <v>11.945953892398482</v>
      </c>
      <c r="O351" s="90">
        <f>AVERAGE(L351:L352)</f>
        <v>12.267271905924282</v>
      </c>
      <c r="Q351">
        <f>(L351-L352)/O351</f>
        <v>7.4528538179320179E-3</v>
      </c>
      <c r="Y351" s="543"/>
      <c r="Z351" s="544"/>
      <c r="AA351" s="544"/>
      <c r="AB351" s="546" t="s">
        <v>3191</v>
      </c>
      <c r="AC351" s="544"/>
      <c r="AD351" s="544"/>
      <c r="AE351" s="544"/>
      <c r="AF351" s="546" t="s">
        <v>3215</v>
      </c>
      <c r="AG351" s="544"/>
      <c r="AH351" s="544"/>
      <c r="AI351" s="544"/>
      <c r="AJ351" s="544"/>
      <c r="AK351" s="545"/>
    </row>
    <row r="352" spans="1:37">
      <c r="A352" s="67">
        <f>A311</f>
        <v>43678</v>
      </c>
      <c r="B352" s="90">
        <f t="shared" ref="B352:N352" si="81">B311</f>
        <v>16</v>
      </c>
      <c r="C352" s="90" t="str">
        <f t="shared" si="81"/>
        <v>1999_54_1500_14a</v>
      </c>
      <c r="D352" s="90">
        <f t="shared" si="81"/>
        <v>1913.2</v>
      </c>
      <c r="E352" s="90">
        <f t="shared" si="81"/>
        <v>0</v>
      </c>
      <c r="F352" s="90">
        <f t="shared" si="81"/>
        <v>0</v>
      </c>
      <c r="G352" s="90">
        <f t="shared" si="81"/>
        <v>0</v>
      </c>
      <c r="H352" s="90">
        <f t="shared" si="81"/>
        <v>28.964400000000001</v>
      </c>
      <c r="I352" s="90">
        <f t="shared" si="81"/>
        <v>1.5462</v>
      </c>
      <c r="J352" s="502">
        <f t="shared" si="81"/>
        <v>27.418200000000002</v>
      </c>
      <c r="K352" s="90">
        <f t="shared" si="81"/>
        <v>233.82286322551531</v>
      </c>
      <c r="L352" s="471">
        <f t="shared" si="81"/>
        <v>12.221558813794443</v>
      </c>
      <c r="M352" s="90">
        <f t="shared" si="81"/>
        <v>228.50021965029146</v>
      </c>
      <c r="N352" s="90">
        <f t="shared" si="81"/>
        <v>11.943352480153223</v>
      </c>
      <c r="Y352" s="543"/>
      <c r="Z352" s="544"/>
      <c r="AA352" s="544"/>
      <c r="AB352" s="546" t="s">
        <v>131</v>
      </c>
      <c r="AC352" s="544"/>
      <c r="AD352" s="544"/>
      <c r="AE352" s="546"/>
      <c r="AF352" s="546" t="s">
        <v>131</v>
      </c>
      <c r="AG352" s="544"/>
      <c r="AH352" s="544"/>
      <c r="AI352" s="544"/>
      <c r="AJ352" s="544"/>
      <c r="AK352" s="545"/>
    </row>
    <row r="353" spans="1:37">
      <c r="O353" s="452" t="s">
        <v>3169</v>
      </c>
      <c r="P353" s="229"/>
      <c r="Q353" s="496" t="s">
        <v>3170</v>
      </c>
      <c r="R353" s="229"/>
      <c r="S353" s="497" t="s">
        <v>3171</v>
      </c>
      <c r="Y353" s="543"/>
      <c r="Z353" s="544"/>
      <c r="AA353" s="544"/>
      <c r="AB353" s="610">
        <f>SQRT(Q370^2+S358^2)</f>
        <v>8.7528769611167744E-3</v>
      </c>
      <c r="AC353" s="413">
        <f>AB353*100</f>
        <v>0.87528769611167745</v>
      </c>
      <c r="AD353" s="544" t="s">
        <v>174</v>
      </c>
      <c r="AE353" s="413"/>
      <c r="AF353" s="547">
        <f>AB353*2</f>
        <v>1.7505753922233549E-2</v>
      </c>
      <c r="AG353" s="413">
        <f>AF353*100</f>
        <v>1.7505753922233549</v>
      </c>
      <c r="AH353" s="544" t="s">
        <v>174</v>
      </c>
      <c r="AI353" s="544"/>
      <c r="AJ353" s="544"/>
      <c r="AK353" s="545"/>
    </row>
    <row r="354" spans="1:37">
      <c r="A354" s="80" t="s">
        <v>3179</v>
      </c>
      <c r="J354" s="90"/>
      <c r="Y354" s="554" t="s">
        <v>3354</v>
      </c>
      <c r="Z354" s="544"/>
      <c r="AA354" s="544"/>
      <c r="AB354" s="544"/>
      <c r="AC354" s="413">
        <f>AVERAGE(AF8:AF70)/100</f>
        <v>0.70699221573479643</v>
      </c>
      <c r="AD354" s="544"/>
      <c r="AE354" s="413"/>
      <c r="AF354" s="544"/>
      <c r="AG354" s="544"/>
      <c r="AH354" s="544"/>
      <c r="AI354" s="544"/>
      <c r="AJ354" s="544"/>
      <c r="AK354" s="545"/>
    </row>
    <row r="355" spans="1:37">
      <c r="A355" s="389">
        <f>A25</f>
        <v>43655</v>
      </c>
      <c r="B355" s="90">
        <f t="shared" ref="B355:N355" si="82">B25</f>
        <v>17</v>
      </c>
      <c r="C355" s="90" t="str">
        <f t="shared" si="82"/>
        <v>2018_47_3800_03_a</v>
      </c>
      <c r="D355" s="90">
        <f t="shared" si="82"/>
        <v>2649.9</v>
      </c>
      <c r="E355" s="90">
        <f t="shared" si="82"/>
        <v>2649.9</v>
      </c>
      <c r="F355" s="90">
        <f t="shared" si="82"/>
        <v>0</v>
      </c>
      <c r="G355" s="90">
        <f t="shared" si="82"/>
        <v>0</v>
      </c>
      <c r="H355" s="90">
        <f t="shared" si="82"/>
        <v>209.3836</v>
      </c>
      <c r="I355" s="90">
        <f t="shared" si="82"/>
        <v>0.55947500000000006</v>
      </c>
      <c r="J355" s="90">
        <f t="shared" si="82"/>
        <v>208.82412500000001</v>
      </c>
      <c r="K355" s="90">
        <f t="shared" si="82"/>
        <v>1756.3711532612858</v>
      </c>
      <c r="L355" s="471">
        <f t="shared" si="82"/>
        <v>66.280657883742251</v>
      </c>
      <c r="M355" s="90">
        <f t="shared" si="82"/>
        <v>1740.3169584721068</v>
      </c>
      <c r="N355" s="90">
        <f t="shared" si="82"/>
        <v>65.674816350507825</v>
      </c>
      <c r="O355" s="90">
        <f>AVERAGE(L355:L356)</f>
        <v>66.044303764239771</v>
      </c>
      <c r="Q355" s="147">
        <f>(L355-L356)/O355</f>
        <v>7.1574414758369571E-3</v>
      </c>
      <c r="S355" s="555">
        <f>_xlfn.STDEV.P(Q355:Q364)</f>
        <v>1.2152233230247717E-2</v>
      </c>
      <c r="T355" s="80" t="s">
        <v>2938</v>
      </c>
      <c r="Y355" s="543"/>
      <c r="Z355" s="544"/>
      <c r="AA355" s="544"/>
      <c r="AB355" s="544"/>
      <c r="AC355" s="544"/>
      <c r="AD355" s="544"/>
      <c r="AE355" s="544"/>
      <c r="AF355" s="544"/>
      <c r="AG355" s="544"/>
      <c r="AH355" s="544"/>
      <c r="AI355" s="544"/>
      <c r="AJ355" s="544"/>
      <c r="AK355" s="545"/>
    </row>
    <row r="356" spans="1:37">
      <c r="A356" s="389">
        <f>A30</f>
        <v>43655</v>
      </c>
      <c r="B356" s="90">
        <f t="shared" ref="B356:N356" si="83">B30</f>
        <v>22</v>
      </c>
      <c r="C356" s="90" t="str">
        <f t="shared" si="83"/>
        <v>2018_47_3800_03_b</v>
      </c>
      <c r="D356" s="90">
        <f t="shared" si="83"/>
        <v>2737.7</v>
      </c>
      <c r="E356" s="90">
        <f t="shared" si="83"/>
        <v>2737.7</v>
      </c>
      <c r="F356" s="90">
        <f t="shared" si="83"/>
        <v>0</v>
      </c>
      <c r="G356" s="90">
        <f t="shared" si="83"/>
        <v>0</v>
      </c>
      <c r="H356" s="90">
        <f t="shared" si="83"/>
        <v>214.77520000000001</v>
      </c>
      <c r="I356" s="90">
        <f t="shared" si="83"/>
        <v>0.55947500000000006</v>
      </c>
      <c r="J356" s="90">
        <f t="shared" si="83"/>
        <v>214.21572500000002</v>
      </c>
      <c r="K356" s="90">
        <f t="shared" si="83"/>
        <v>1801.6242374239732</v>
      </c>
      <c r="L356" s="471">
        <f t="shared" si="83"/>
        <v>65.807949644737306</v>
      </c>
      <c r="M356" s="90">
        <f t="shared" si="83"/>
        <v>1785.2499513114074</v>
      </c>
      <c r="N356" s="90">
        <f t="shared" si="83"/>
        <v>65.209845903912324</v>
      </c>
      <c r="Q356" s="147"/>
      <c r="Y356" s="543"/>
      <c r="Z356" s="546"/>
      <c r="AA356" s="548" t="s">
        <v>3355</v>
      </c>
      <c r="AB356" s="549">
        <f>(AF353/AC354)*100</f>
        <v>2.4760886375586666</v>
      </c>
      <c r="AC356" s="544"/>
      <c r="AD356" s="544"/>
      <c r="AE356" s="544"/>
      <c r="AF356" s="544" t="s">
        <v>3352</v>
      </c>
      <c r="AG356" s="544" t="str">
        <f>CONCATENATE(AD8,"_",AE8)</f>
        <v>47_1000_1</v>
      </c>
      <c r="AH356" s="550" t="s">
        <v>3353</v>
      </c>
      <c r="AI356" s="544" t="str">
        <f>CONCATENATE(TEXT(AG8,"0.0%")," +- ",TEXT(AF353,"0.0%"))</f>
        <v>90.3% +- 1.8%</v>
      </c>
      <c r="AJ356" s="544"/>
      <c r="AK356" s="545"/>
    </row>
    <row r="357" spans="1:37">
      <c r="A357" s="389">
        <f>A98</f>
        <v>43661</v>
      </c>
      <c r="B357" s="90">
        <f t="shared" ref="B357:N357" si="84">B98</f>
        <v>19</v>
      </c>
      <c r="C357" s="90" t="str">
        <f t="shared" si="84"/>
        <v>2018_47_2000_03_a</v>
      </c>
      <c r="D357" s="90">
        <f t="shared" si="84"/>
        <v>2338.4</v>
      </c>
      <c r="E357" s="90">
        <f t="shared" si="84"/>
        <v>2338.4</v>
      </c>
      <c r="F357" s="90">
        <f t="shared" si="84"/>
        <v>0</v>
      </c>
      <c r="G357" s="90">
        <f t="shared" si="84"/>
        <v>0</v>
      </c>
      <c r="H357" s="90">
        <f t="shared" si="84"/>
        <v>171.16820000000001</v>
      </c>
      <c r="I357" s="90">
        <f t="shared" si="84"/>
        <v>0.72199999999999998</v>
      </c>
      <c r="J357" s="90">
        <f t="shared" si="84"/>
        <v>170.4462</v>
      </c>
      <c r="K357" s="90">
        <f t="shared" si="84"/>
        <v>1536.5137119001838</v>
      </c>
      <c r="L357" s="471">
        <f t="shared" si="84"/>
        <v>65.707907624879567</v>
      </c>
      <c r="M357" s="90">
        <f t="shared" si="84"/>
        <v>1420.4796134887595</v>
      </c>
      <c r="N357" s="90">
        <f t="shared" si="84"/>
        <v>60.745792571363303</v>
      </c>
      <c r="O357" s="90">
        <f>AVERAGE(L357:L358)</f>
        <v>66.076046730741837</v>
      </c>
      <c r="Q357" s="147">
        <f>(L357-L358)/O357</f>
        <v>-1.1142891382785642E-2</v>
      </c>
      <c r="S357" s="80" t="s">
        <v>3172</v>
      </c>
      <c r="Y357" s="543"/>
      <c r="Z357" s="544"/>
      <c r="AA357" s="544"/>
      <c r="AB357" s="544"/>
      <c r="AC357" s="544"/>
      <c r="AD357" s="544"/>
      <c r="AE357" s="544"/>
      <c r="AF357" s="544"/>
      <c r="AG357" s="544"/>
      <c r="AH357" s="544"/>
      <c r="AI357" s="544"/>
      <c r="AJ357" s="544"/>
      <c r="AK357" s="545"/>
    </row>
    <row r="358" spans="1:37">
      <c r="A358" s="389">
        <f>A101</f>
        <v>43661</v>
      </c>
      <c r="B358" s="90">
        <f t="shared" ref="B358:N358" si="85">B101</f>
        <v>22</v>
      </c>
      <c r="C358" s="90" t="str">
        <f t="shared" si="85"/>
        <v>2018_47_2000_03_b</v>
      </c>
      <c r="D358" s="90">
        <f t="shared" si="85"/>
        <v>2672.8</v>
      </c>
      <c r="E358" s="90">
        <f t="shared" si="85"/>
        <v>2672.8</v>
      </c>
      <c r="F358" s="90">
        <f t="shared" si="85"/>
        <v>0</v>
      </c>
      <c r="G358" s="90">
        <f t="shared" si="85"/>
        <v>0</v>
      </c>
      <c r="H358" s="90">
        <f t="shared" si="85"/>
        <v>197.6816</v>
      </c>
      <c r="I358" s="90">
        <f t="shared" si="85"/>
        <v>0.72199999999999998</v>
      </c>
      <c r="J358" s="90">
        <f t="shared" si="85"/>
        <v>196.95959999999999</v>
      </c>
      <c r="K358" s="90">
        <f t="shared" si="85"/>
        <v>1775.9201990407544</v>
      </c>
      <c r="L358" s="471">
        <f t="shared" si="85"/>
        <v>66.444185836604092</v>
      </c>
      <c r="M358" s="90">
        <f t="shared" si="85"/>
        <v>1641.4393308909243</v>
      </c>
      <c r="N358" s="90">
        <f t="shared" si="85"/>
        <v>61.412725639438946</v>
      </c>
      <c r="Q358" s="147"/>
      <c r="S358" s="556">
        <f>S355/SQRT(2)</f>
        <v>8.592926523668663E-3</v>
      </c>
      <c r="T358" s="345" t="s">
        <v>3173</v>
      </c>
      <c r="Y358" s="543"/>
      <c r="Z358" s="544"/>
      <c r="AA358" s="544"/>
      <c r="AB358" s="544"/>
      <c r="AC358" s="544"/>
      <c r="AD358" s="544"/>
      <c r="AE358" s="544"/>
      <c r="AF358" s="544"/>
      <c r="AG358" s="544"/>
      <c r="AH358" s="544"/>
      <c r="AI358" s="544"/>
      <c r="AJ358" s="544"/>
      <c r="AK358" s="545"/>
    </row>
    <row r="359" spans="1:37" ht="16" thickBot="1">
      <c r="A359" s="389">
        <f>A134</f>
        <v>43662</v>
      </c>
      <c r="B359" s="90">
        <f t="shared" ref="B359:N359" si="86">B134</f>
        <v>19</v>
      </c>
      <c r="C359" s="90" t="str">
        <f t="shared" si="86"/>
        <v>2018_47_2000_17_a</v>
      </c>
      <c r="D359" s="90">
        <f t="shared" si="86"/>
        <v>2032.1</v>
      </c>
      <c r="E359" s="90">
        <f t="shared" si="86"/>
        <v>2032.1</v>
      </c>
      <c r="F359" s="90">
        <f t="shared" si="86"/>
        <v>0</v>
      </c>
      <c r="G359" s="90">
        <f t="shared" si="86"/>
        <v>0</v>
      </c>
      <c r="H359" s="90">
        <f t="shared" si="86"/>
        <v>186.08750000000001</v>
      </c>
      <c r="I359" s="90">
        <f t="shared" si="86"/>
        <v>0.73669999999999991</v>
      </c>
      <c r="J359" s="90">
        <f t="shared" si="86"/>
        <v>185.35079999999999</v>
      </c>
      <c r="K359" s="90">
        <f t="shared" si="86"/>
        <v>1562.0663607823215</v>
      </c>
      <c r="L359" s="471">
        <f t="shared" si="86"/>
        <v>76.869561575824093</v>
      </c>
      <c r="M359" s="90">
        <f t="shared" si="86"/>
        <v>1544.6928869275603</v>
      </c>
      <c r="N359" s="90">
        <f t="shared" si="86"/>
        <v>76.014609858154643</v>
      </c>
      <c r="O359" s="90">
        <f>AVERAGE(L359:L360)</f>
        <v>77.17781049289664</v>
      </c>
      <c r="Q359" s="147">
        <f>(L359-L360)/O359</f>
        <v>-7.9880192273894691E-3</v>
      </c>
      <c r="Y359" s="551"/>
      <c r="Z359" s="552"/>
      <c r="AA359" s="552"/>
      <c r="AB359" s="552"/>
      <c r="AC359" s="552"/>
      <c r="AD359" s="552"/>
      <c r="AE359" s="552"/>
      <c r="AF359" s="552"/>
      <c r="AG359" s="552"/>
      <c r="AH359" s="552"/>
      <c r="AI359" s="552"/>
      <c r="AJ359" s="552"/>
      <c r="AK359" s="553"/>
    </row>
    <row r="360" spans="1:37">
      <c r="A360" s="389">
        <f>A138</f>
        <v>43662</v>
      </c>
      <c r="B360" s="90">
        <f t="shared" ref="B360:N360" si="87">B138</f>
        <v>23</v>
      </c>
      <c r="C360" s="90" t="str">
        <f t="shared" si="87"/>
        <v>2018_47_2000_17_b</v>
      </c>
      <c r="D360" s="90">
        <f t="shared" si="87"/>
        <v>2459.6</v>
      </c>
      <c r="E360" s="90">
        <f t="shared" si="87"/>
        <v>2459.6</v>
      </c>
      <c r="F360" s="90">
        <f t="shared" si="87"/>
        <v>0</v>
      </c>
      <c r="G360" s="90">
        <f t="shared" si="87"/>
        <v>0</v>
      </c>
      <c r="H360" s="90">
        <f t="shared" si="87"/>
        <v>226.97630000000001</v>
      </c>
      <c r="I360" s="90">
        <f t="shared" si="87"/>
        <v>0.73669999999999991</v>
      </c>
      <c r="J360" s="90">
        <f t="shared" si="87"/>
        <v>226.2396</v>
      </c>
      <c r="K360" s="90">
        <f t="shared" si="87"/>
        <v>1905.8471172476018</v>
      </c>
      <c r="L360" s="471">
        <f t="shared" si="87"/>
        <v>77.486059409969172</v>
      </c>
      <c r="M360" s="90">
        <f t="shared" si="87"/>
        <v>1885.4555840133223</v>
      </c>
      <c r="N360" s="90">
        <f t="shared" si="87"/>
        <v>76.657000488425865</v>
      </c>
      <c r="Q360" s="147"/>
    </row>
    <row r="361" spans="1:37">
      <c r="A361" s="67">
        <f>A171</f>
        <v>43664</v>
      </c>
      <c r="B361" s="90">
        <f t="shared" ref="B361:N361" si="88">B171</f>
        <v>21</v>
      </c>
      <c r="C361" s="90" t="str">
        <f t="shared" si="88"/>
        <v>2018_47_1000_09_a</v>
      </c>
      <c r="D361" s="90">
        <f t="shared" si="88"/>
        <v>3355.6</v>
      </c>
      <c r="E361" s="90">
        <f t="shared" si="88"/>
        <v>3355.6</v>
      </c>
      <c r="F361" s="90">
        <f t="shared" si="88"/>
        <v>0</v>
      </c>
      <c r="G361" s="90">
        <f t="shared" si="88"/>
        <v>0</v>
      </c>
      <c r="H361" s="90">
        <f t="shared" si="88"/>
        <v>260.55610000000001</v>
      </c>
      <c r="I361" s="90">
        <f t="shared" si="88"/>
        <v>0.60040000000000004</v>
      </c>
      <c r="J361" s="90">
        <f t="shared" si="88"/>
        <v>259.95570000000004</v>
      </c>
      <c r="K361" s="90">
        <f t="shared" si="88"/>
        <v>2192.0141710723146</v>
      </c>
      <c r="L361" s="471">
        <f t="shared" si="88"/>
        <v>65.324060408639724</v>
      </c>
      <c r="M361" s="90">
        <f t="shared" si="88"/>
        <v>2166.4417995836807</v>
      </c>
      <c r="N361" s="90">
        <f t="shared" si="88"/>
        <v>64.561979961368479</v>
      </c>
      <c r="O361" s="90">
        <f>AVERAGE(L361:L362)</f>
        <v>65.562312598881192</v>
      </c>
      <c r="Q361" s="147">
        <f>(L361-L362)/O361</f>
        <v>-7.2679617541597753E-3</v>
      </c>
    </row>
    <row r="362" spans="1:37">
      <c r="A362" s="67">
        <f>A177</f>
        <v>43664</v>
      </c>
      <c r="B362" s="90">
        <f t="shared" ref="B362:N362" si="89">B177</f>
        <v>27</v>
      </c>
      <c r="C362" s="90" t="str">
        <f t="shared" si="89"/>
        <v>2018_47_1000_09_b</v>
      </c>
      <c r="D362" s="90">
        <f t="shared" si="89"/>
        <v>2136.6999999999998</v>
      </c>
      <c r="E362" s="90">
        <f t="shared" si="89"/>
        <v>2136.6999999999998</v>
      </c>
      <c r="F362" s="90">
        <f t="shared" si="89"/>
        <v>0</v>
      </c>
      <c r="G362" s="90">
        <f t="shared" si="89"/>
        <v>0</v>
      </c>
      <c r="H362" s="90">
        <f t="shared" si="89"/>
        <v>167.26130000000001</v>
      </c>
      <c r="I362" s="90">
        <f t="shared" si="89"/>
        <v>0.60040000000000004</v>
      </c>
      <c r="J362" s="90">
        <f t="shared" si="89"/>
        <v>166.6609</v>
      </c>
      <c r="K362" s="90">
        <f t="shared" si="89"/>
        <v>1405.9606678491839</v>
      </c>
      <c r="L362" s="471">
        <f t="shared" si="89"/>
        <v>65.80056478912266</v>
      </c>
      <c r="M362" s="90">
        <f t="shared" si="89"/>
        <v>1388.9333456286427</v>
      </c>
      <c r="N362" s="90">
        <f t="shared" si="89"/>
        <v>65.003666664887106</v>
      </c>
      <c r="Q362" s="147"/>
    </row>
    <row r="363" spans="1:37">
      <c r="A363" s="67">
        <f>A209</f>
        <v>43665</v>
      </c>
      <c r="B363" s="90">
        <f t="shared" ref="B363:N363" si="90">B209</f>
        <v>21</v>
      </c>
      <c r="C363" s="90" t="str">
        <f t="shared" si="90"/>
        <v>2018_47_1000_14_a</v>
      </c>
      <c r="D363" s="90">
        <f t="shared" si="90"/>
        <v>3340.9</v>
      </c>
      <c r="E363" s="90">
        <f t="shared" si="90"/>
        <v>3340.9</v>
      </c>
      <c r="F363" s="90">
        <f t="shared" si="90"/>
        <v>0</v>
      </c>
      <c r="G363" s="90">
        <f t="shared" si="90"/>
        <v>0</v>
      </c>
      <c r="H363" s="90">
        <f t="shared" si="90"/>
        <v>291.26979999999998</v>
      </c>
      <c r="I363" s="90">
        <f t="shared" si="90"/>
        <v>0.60389999999999999</v>
      </c>
      <c r="J363" s="90">
        <f t="shared" si="90"/>
        <v>290.66589999999997</v>
      </c>
      <c r="K363" s="90">
        <f t="shared" si="90"/>
        <v>2453.6508929429242</v>
      </c>
      <c r="L363" s="471">
        <f t="shared" si="90"/>
        <v>73.442811605942239</v>
      </c>
      <c r="M363" s="90">
        <f t="shared" si="90"/>
        <v>2422.3771799333886</v>
      </c>
      <c r="N363" s="90">
        <f t="shared" si="90"/>
        <v>72.506725131952123</v>
      </c>
      <c r="O363" s="90">
        <f>AVERAGE(L363:L364)</f>
        <v>72.674484388031445</v>
      </c>
      <c r="Q363" s="147">
        <f>(L363-L364)/O363</f>
        <v>2.1144345897480578E-2</v>
      </c>
    </row>
    <row r="364" spans="1:37">
      <c r="A364" s="67">
        <f>A215</f>
        <v>43665</v>
      </c>
      <c r="B364" s="90">
        <f t="shared" ref="B364:N364" si="91">B215</f>
        <v>27</v>
      </c>
      <c r="C364" s="90" t="str">
        <f t="shared" si="91"/>
        <v>2018_47_1000_14_b</v>
      </c>
      <c r="D364" s="90">
        <f t="shared" si="91"/>
        <v>2023.2</v>
      </c>
      <c r="E364" s="90">
        <f t="shared" si="91"/>
        <v>2023.2</v>
      </c>
      <c r="F364" s="90">
        <f t="shared" si="91"/>
        <v>0</v>
      </c>
      <c r="G364" s="90">
        <f t="shared" si="91"/>
        <v>0</v>
      </c>
      <c r="H364" s="90">
        <f t="shared" si="91"/>
        <v>173.03309999999999</v>
      </c>
      <c r="I364" s="90">
        <f t="shared" si="91"/>
        <v>0.60389999999999999</v>
      </c>
      <c r="J364" s="90">
        <f t="shared" si="91"/>
        <v>172.42919999999998</v>
      </c>
      <c r="K364" s="90">
        <f t="shared" si="91"/>
        <v>1454.8053718658812</v>
      </c>
      <c r="L364" s="471">
        <f t="shared" si="91"/>
        <v>71.90615717012065</v>
      </c>
      <c r="M364" s="90">
        <f t="shared" si="91"/>
        <v>1437.0057142381349</v>
      </c>
      <c r="N364" s="90">
        <f t="shared" si="91"/>
        <v>71.026379707302041</v>
      </c>
      <c r="Q364" s="147"/>
    </row>
    <row r="366" spans="1:37">
      <c r="A366" s="80" t="s">
        <v>3210</v>
      </c>
      <c r="O366" s="80" t="s">
        <v>3216</v>
      </c>
      <c r="P366" s="80"/>
      <c r="Q366" s="80" t="s">
        <v>3211</v>
      </c>
      <c r="S366" s="80" t="s">
        <v>3212</v>
      </c>
      <c r="U366" s="80" t="s">
        <v>3213</v>
      </c>
    </row>
    <row r="367" spans="1:37">
      <c r="A367" s="389">
        <f>A12</f>
        <v>43655</v>
      </c>
      <c r="B367" s="90">
        <f t="shared" ref="B367:N367" si="92">B12</f>
        <v>4</v>
      </c>
      <c r="C367" s="90" t="str">
        <f t="shared" si="92"/>
        <v>CaCO3 Std.1  283.8</v>
      </c>
      <c r="D367" s="90">
        <f t="shared" si="92"/>
        <v>283.8</v>
      </c>
      <c r="E367" s="90">
        <f t="shared" si="92"/>
        <v>0</v>
      </c>
      <c r="F367" s="90">
        <f t="shared" si="92"/>
        <v>0</v>
      </c>
      <c r="G367" s="90">
        <f t="shared" si="92"/>
        <v>283.74324000000001</v>
      </c>
      <c r="H367" s="90">
        <f t="shared" si="92"/>
        <v>33.648899999999998</v>
      </c>
      <c r="I367" s="90">
        <f t="shared" si="92"/>
        <v>0.73783333333333323</v>
      </c>
      <c r="J367" s="90">
        <f t="shared" si="92"/>
        <v>32.911066666666663</v>
      </c>
      <c r="K367" s="90">
        <f t="shared" si="92"/>
        <v>279.88765410073296</v>
      </c>
      <c r="L367" s="90">
        <f>L12</f>
        <v>98.641170834848069</v>
      </c>
      <c r="M367" s="90">
        <f t="shared" si="92"/>
        <v>274.27715759089648</v>
      </c>
      <c r="N367" s="90">
        <f t="shared" si="92"/>
        <v>96.663856235269776</v>
      </c>
      <c r="O367" s="523">
        <f>(G367-K367)/D367</f>
        <v>1.3585573993189059E-2</v>
      </c>
      <c r="P367" s="523">
        <f>(G367-K367)</f>
        <v>3.8555858992670551</v>
      </c>
      <c r="Q367" s="90">
        <f>AVERAGE(L367:L414)</f>
        <v>100.0804451043803</v>
      </c>
      <c r="S367" s="90">
        <f>_xlfn.STDEV.P(L367:L414)</f>
        <v>1.1549409334481278</v>
      </c>
      <c r="U367" s="471">
        <f>S367/SQRT(COUNT(L367:L414))</f>
        <v>0.16670136470609856</v>
      </c>
    </row>
    <row r="368" spans="1:37">
      <c r="A368" s="389">
        <f t="shared" ref="A368:N368" si="93">A13</f>
        <v>43655</v>
      </c>
      <c r="B368" s="90">
        <f t="shared" si="93"/>
        <v>5</v>
      </c>
      <c r="C368" s="90" t="str">
        <f t="shared" si="93"/>
        <v>CaCO3 Std.2  989.9</v>
      </c>
      <c r="D368" s="90">
        <f t="shared" si="93"/>
        <v>989.9</v>
      </c>
      <c r="E368" s="90">
        <f t="shared" si="93"/>
        <v>0</v>
      </c>
      <c r="F368" s="90">
        <f t="shared" si="93"/>
        <v>0</v>
      </c>
      <c r="G368" s="90">
        <f t="shared" si="93"/>
        <v>989.70201999999995</v>
      </c>
      <c r="H368" s="90">
        <f t="shared" si="93"/>
        <v>118.09650000000001</v>
      </c>
      <c r="I368" s="90">
        <f t="shared" si="93"/>
        <v>0.73783333333333323</v>
      </c>
      <c r="J368" s="90">
        <f t="shared" si="93"/>
        <v>117.35866666666668</v>
      </c>
      <c r="K368" s="90">
        <f t="shared" si="93"/>
        <v>988.67805957164046</v>
      </c>
      <c r="L368" s="90">
        <f t="shared" si="93"/>
        <v>99.89653851283849</v>
      </c>
      <c r="M368" s="90">
        <f t="shared" si="93"/>
        <v>978.05403386067189</v>
      </c>
      <c r="N368" s="90">
        <f t="shared" si="93"/>
        <v>98.823081502922662</v>
      </c>
      <c r="O368" s="523">
        <f t="shared" ref="O368:O414" si="94">(G368-K368)/D368</f>
        <v>1.0344079486407588E-3</v>
      </c>
      <c r="P368" s="523">
        <f t="shared" ref="P368:P414" si="95">(G368-K368)</f>
        <v>1.0239604283594872</v>
      </c>
    </row>
    <row r="369" spans="1:21">
      <c r="A369" s="389">
        <f t="shared" ref="A369:N369" si="96">A14</f>
        <v>43655</v>
      </c>
      <c r="B369" s="90">
        <f t="shared" si="96"/>
        <v>6</v>
      </c>
      <c r="C369" s="90" t="str">
        <f t="shared" si="96"/>
        <v>CaCO3 Std.3  2018.5</v>
      </c>
      <c r="D369" s="90">
        <f t="shared" si="96"/>
        <v>2018.5</v>
      </c>
      <c r="E369" s="90">
        <f t="shared" si="96"/>
        <v>0</v>
      </c>
      <c r="F369" s="90">
        <f t="shared" si="96"/>
        <v>0</v>
      </c>
      <c r="G369" s="90">
        <f t="shared" si="96"/>
        <v>2018.0963000000002</v>
      </c>
      <c r="H369" s="90">
        <f t="shared" si="96"/>
        <v>241.14009999999999</v>
      </c>
      <c r="I369" s="90">
        <f t="shared" si="96"/>
        <v>0.73783333333333323</v>
      </c>
      <c r="J369" s="90">
        <f t="shared" si="96"/>
        <v>240.40226666666666</v>
      </c>
      <c r="K369" s="90">
        <f t="shared" si="96"/>
        <v>2021.4146102208017</v>
      </c>
      <c r="L369" s="90">
        <f t="shared" si="96"/>
        <v>100.16442774414686</v>
      </c>
      <c r="M369" s="90">
        <f t="shared" si="96"/>
        <v>2003.485667832362</v>
      </c>
      <c r="N369" s="90">
        <f t="shared" si="96"/>
        <v>99.276019079583165</v>
      </c>
      <c r="O369" s="523">
        <f t="shared" si="94"/>
        <v>-1.6439485859804557E-3</v>
      </c>
      <c r="P369" s="523">
        <f t="shared" si="95"/>
        <v>-3.3183102208015498</v>
      </c>
      <c r="Q369" s="80" t="s">
        <v>3214</v>
      </c>
    </row>
    <row r="370" spans="1:21">
      <c r="A370" s="389">
        <f t="shared" ref="A370:N370" si="97">A15</f>
        <v>43655</v>
      </c>
      <c r="B370" s="90">
        <f t="shared" si="97"/>
        <v>7</v>
      </c>
      <c r="C370" s="90" t="str">
        <f t="shared" si="97"/>
        <v>CaCO3 Std.4  2845.5</v>
      </c>
      <c r="D370" s="90">
        <f t="shared" si="97"/>
        <v>2845.5</v>
      </c>
      <c r="E370" s="90">
        <f t="shared" si="97"/>
        <v>0</v>
      </c>
      <c r="F370" s="90">
        <f t="shared" si="97"/>
        <v>0</v>
      </c>
      <c r="G370" s="90">
        <f t="shared" si="97"/>
        <v>2844.9308999999998</v>
      </c>
      <c r="H370" s="90">
        <f t="shared" si="97"/>
        <v>339.17079999999999</v>
      </c>
      <c r="I370" s="90">
        <f t="shared" si="97"/>
        <v>0.73783333333333323</v>
      </c>
      <c r="J370" s="90">
        <f t="shared" si="97"/>
        <v>338.43296666666663</v>
      </c>
      <c r="K370" s="90">
        <f t="shared" si="97"/>
        <v>2844.2114641467492</v>
      </c>
      <c r="L370" s="90">
        <f t="shared" si="97"/>
        <v>99.97471165808453</v>
      </c>
      <c r="M370" s="90">
        <f t="shared" si="97"/>
        <v>2820.4625839855676</v>
      </c>
      <c r="N370" s="90">
        <f t="shared" si="97"/>
        <v>99.139932853397866</v>
      </c>
      <c r="O370" s="523">
        <f t="shared" si="94"/>
        <v>2.5283284247078398E-4</v>
      </c>
      <c r="P370" s="523">
        <f t="shared" si="95"/>
        <v>0.71943585325061576</v>
      </c>
      <c r="Q370" s="556">
        <f>U367/Q367</f>
        <v>1.6656736941191162E-3</v>
      </c>
    </row>
    <row r="371" spans="1:21">
      <c r="A371" s="389">
        <f t="shared" ref="A371:N371" si="98">A16</f>
        <v>43655</v>
      </c>
      <c r="B371" s="90">
        <f t="shared" si="98"/>
        <v>8</v>
      </c>
      <c r="C371" s="90" t="str">
        <f t="shared" si="98"/>
        <v>CaCO3 Std.5  3773.1</v>
      </c>
      <c r="D371" s="90">
        <f t="shared" si="98"/>
        <v>3773.1</v>
      </c>
      <c r="E371" s="90">
        <f t="shared" si="98"/>
        <v>0</v>
      </c>
      <c r="F371" s="90">
        <f t="shared" si="98"/>
        <v>0</v>
      </c>
      <c r="G371" s="90">
        <f t="shared" si="98"/>
        <v>3772.3453800000002</v>
      </c>
      <c r="H371" s="90">
        <f t="shared" si="98"/>
        <v>449.67140000000001</v>
      </c>
      <c r="I371" s="90">
        <f t="shared" si="98"/>
        <v>0.73783333333333323</v>
      </c>
      <c r="J371" s="90">
        <f t="shared" si="98"/>
        <v>448.93356666666665</v>
      </c>
      <c r="K371" s="90">
        <f t="shared" si="98"/>
        <v>3771.6713928928421</v>
      </c>
      <c r="L371" s="90">
        <f t="shared" si="98"/>
        <v>99.982133472965344</v>
      </c>
      <c r="M371" s="90">
        <f t="shared" si="98"/>
        <v>3741.3622554260342</v>
      </c>
      <c r="N371" s="90">
        <f t="shared" si="98"/>
        <v>99.178677415428851</v>
      </c>
      <c r="O371" s="523">
        <f t="shared" si="94"/>
        <v>1.7862953729245307E-4</v>
      </c>
      <c r="P371" s="523">
        <f t="shared" si="95"/>
        <v>0.67398710715815469</v>
      </c>
    </row>
    <row r="372" spans="1:21">
      <c r="A372" s="389">
        <f>A35</f>
        <v>43655</v>
      </c>
      <c r="B372" s="90">
        <f t="shared" ref="B372:N372" si="99">B35</f>
        <v>27</v>
      </c>
      <c r="C372" s="90" t="str">
        <f t="shared" si="99"/>
        <v>CaCO3 Std.3  2156.4</v>
      </c>
      <c r="D372" s="90">
        <f t="shared" si="99"/>
        <v>2156.4</v>
      </c>
      <c r="E372" s="90">
        <f t="shared" si="99"/>
        <v>0</v>
      </c>
      <c r="F372" s="90">
        <f t="shared" si="99"/>
        <v>0</v>
      </c>
      <c r="G372" s="90">
        <f t="shared" si="99"/>
        <v>2155.9687200000003</v>
      </c>
      <c r="H372" s="90">
        <f t="shared" si="99"/>
        <v>257.24549999999999</v>
      </c>
      <c r="I372" s="90">
        <f t="shared" si="99"/>
        <v>0.55947500000000006</v>
      </c>
      <c r="J372" s="90">
        <f t="shared" si="99"/>
        <v>256.68602499999997</v>
      </c>
      <c r="K372" s="90">
        <f t="shared" si="99"/>
        <v>2158.0883779971932</v>
      </c>
      <c r="L372" s="90">
        <f t="shared" si="99"/>
        <v>100.09831580474847</v>
      </c>
      <c r="M372" s="90">
        <f t="shared" si="99"/>
        <v>2139.1926929433803</v>
      </c>
      <c r="N372" s="90">
        <f t="shared" si="99"/>
        <v>99.221879849137153</v>
      </c>
      <c r="O372" s="523">
        <f t="shared" si="94"/>
        <v>-9.8296141587503089E-4</v>
      </c>
      <c r="P372" s="523">
        <f t="shared" si="95"/>
        <v>-2.1196579971929168</v>
      </c>
    </row>
    <row r="373" spans="1:21">
      <c r="A373" s="389">
        <f>A83</f>
        <v>43661</v>
      </c>
      <c r="B373" s="90">
        <f t="shared" ref="B373:N373" si="100">B83</f>
        <v>4</v>
      </c>
      <c r="C373" s="90" t="str">
        <f t="shared" si="100"/>
        <v>CaCO3 Std.1  331.1</v>
      </c>
      <c r="D373" s="90">
        <f t="shared" si="100"/>
        <v>331.1</v>
      </c>
      <c r="E373" s="90">
        <f t="shared" si="100"/>
        <v>0</v>
      </c>
      <c r="F373" s="90">
        <f t="shared" si="100"/>
        <v>0</v>
      </c>
      <c r="G373" s="90">
        <f t="shared" si="100"/>
        <v>331.03378000000004</v>
      </c>
      <c r="H373" s="90">
        <f t="shared" si="100"/>
        <v>40.244599999999998</v>
      </c>
      <c r="I373" s="90">
        <f t="shared" si="100"/>
        <v>1.0085</v>
      </c>
      <c r="J373" s="90">
        <f t="shared" si="100"/>
        <v>39.2361</v>
      </c>
      <c r="K373" s="90">
        <f t="shared" si="100"/>
        <v>334.11185484662423</v>
      </c>
      <c r="L373" s="90">
        <f t="shared" si="100"/>
        <v>100.92983708388437</v>
      </c>
      <c r="M373" s="90">
        <f t="shared" si="100"/>
        <v>326.98927968359703</v>
      </c>
      <c r="N373" s="90">
        <f t="shared" si="100"/>
        <v>98.778221269018829</v>
      </c>
      <c r="O373" s="523">
        <f t="shared" si="94"/>
        <v>-9.2965111646758983E-3</v>
      </c>
      <c r="P373" s="523">
        <f t="shared" si="95"/>
        <v>-3.0780748466241903</v>
      </c>
    </row>
    <row r="374" spans="1:21">
      <c r="A374" s="389">
        <f t="shared" ref="A374:N374" si="101">A84</f>
        <v>43661</v>
      </c>
      <c r="B374" s="90">
        <f t="shared" si="101"/>
        <v>5</v>
      </c>
      <c r="C374" s="90" t="str">
        <f t="shared" si="101"/>
        <v>CaCO3 Std.2  1344.2</v>
      </c>
      <c r="D374" s="90">
        <f t="shared" si="101"/>
        <v>1344.2</v>
      </c>
      <c r="E374" s="90">
        <f t="shared" si="101"/>
        <v>0</v>
      </c>
      <c r="F374" s="90">
        <f t="shared" si="101"/>
        <v>0</v>
      </c>
      <c r="G374" s="90">
        <f t="shared" si="101"/>
        <v>1343.9311600000001</v>
      </c>
      <c r="H374" s="90">
        <f t="shared" si="101"/>
        <v>159.72559999999999</v>
      </c>
      <c r="I374" s="90">
        <f t="shared" si="101"/>
        <v>1.0085</v>
      </c>
      <c r="J374" s="90">
        <f t="shared" si="101"/>
        <v>158.71709999999999</v>
      </c>
      <c r="K374" s="90">
        <f t="shared" si="101"/>
        <v>1339.4082473652345</v>
      </c>
      <c r="L374" s="90">
        <f t="shared" si="101"/>
        <v>99.663456524457288</v>
      </c>
      <c r="M374" s="90">
        <f t="shared" si="101"/>
        <v>1322.7306027477102</v>
      </c>
      <c r="N374" s="90">
        <f t="shared" si="101"/>
        <v>98.422496785304858</v>
      </c>
      <c r="O374" s="523">
        <f t="shared" si="94"/>
        <v>3.3647616684761117E-3</v>
      </c>
      <c r="P374" s="523">
        <f t="shared" si="95"/>
        <v>4.5229126347655892</v>
      </c>
    </row>
    <row r="375" spans="1:21">
      <c r="A375" s="389">
        <f t="shared" ref="A375:N375" si="102">A85</f>
        <v>43661</v>
      </c>
      <c r="B375" s="90">
        <f t="shared" si="102"/>
        <v>6</v>
      </c>
      <c r="C375" s="90" t="str">
        <f t="shared" si="102"/>
        <v>CaCO3 Std.3  2279.1</v>
      </c>
      <c r="D375" s="90">
        <f t="shared" si="102"/>
        <v>2279.1</v>
      </c>
      <c r="E375" s="90">
        <f t="shared" si="102"/>
        <v>0</v>
      </c>
      <c r="F375" s="90">
        <f t="shared" si="102"/>
        <v>0</v>
      </c>
      <c r="G375" s="90">
        <f t="shared" si="102"/>
        <v>2278.6441799999998</v>
      </c>
      <c r="H375" s="90">
        <f t="shared" si="102"/>
        <v>269.74270000000001</v>
      </c>
      <c r="I375" s="90">
        <f t="shared" si="102"/>
        <v>1.0085</v>
      </c>
      <c r="J375" s="90">
        <f t="shared" si="102"/>
        <v>268.73419999999999</v>
      </c>
      <c r="K375" s="90">
        <f t="shared" si="102"/>
        <v>2265.0767113499614</v>
      </c>
      <c r="L375" s="90">
        <f t="shared" si="102"/>
        <v>99.404581515221992</v>
      </c>
      <c r="M375" s="90">
        <f t="shared" si="102"/>
        <v>2239.6008391340551</v>
      </c>
      <c r="N375" s="90">
        <f t="shared" si="102"/>
        <v>98.286553854760044</v>
      </c>
      <c r="O375" s="523">
        <f t="shared" si="94"/>
        <v>5.9529940108105552E-3</v>
      </c>
      <c r="P375" s="523">
        <f t="shared" si="95"/>
        <v>13.567468650038336</v>
      </c>
    </row>
    <row r="376" spans="1:21">
      <c r="A376" s="389">
        <f t="shared" ref="A376:N376" si="103">A86</f>
        <v>43661</v>
      </c>
      <c r="B376" s="90">
        <f t="shared" si="103"/>
        <v>7</v>
      </c>
      <c r="C376" s="90" t="str">
        <f t="shared" si="103"/>
        <v>CaCO3 Std.4  2985.3</v>
      </c>
      <c r="D376" s="90">
        <f t="shared" si="103"/>
        <v>2985.3</v>
      </c>
      <c r="E376" s="90">
        <f t="shared" si="103"/>
        <v>0</v>
      </c>
      <c r="F376" s="90">
        <f t="shared" si="103"/>
        <v>0</v>
      </c>
      <c r="G376" s="90">
        <f t="shared" si="103"/>
        <v>2984.7029400000001</v>
      </c>
      <c r="H376" s="90">
        <f t="shared" si="103"/>
        <v>356.28980000000001</v>
      </c>
      <c r="I376" s="90">
        <f t="shared" si="103"/>
        <v>1.0085</v>
      </c>
      <c r="J376" s="90">
        <f t="shared" si="103"/>
        <v>355.28129999999999</v>
      </c>
      <c r="K376" s="90">
        <f t="shared" si="103"/>
        <v>2993.2718839125232</v>
      </c>
      <c r="L376" s="90">
        <f t="shared" si="103"/>
        <v>100.28709536877807</v>
      </c>
      <c r="M376" s="90">
        <f t="shared" si="103"/>
        <v>2960.8747141548711</v>
      </c>
      <c r="N376" s="90">
        <f t="shared" si="103"/>
        <v>99.201655028184177</v>
      </c>
      <c r="O376" s="523">
        <f t="shared" si="94"/>
        <v>-2.8703794970432054E-3</v>
      </c>
      <c r="P376" s="523">
        <f t="shared" si="95"/>
        <v>-8.568943912523082</v>
      </c>
    </row>
    <row r="377" spans="1:21">
      <c r="A377" s="389">
        <f t="shared" ref="A377:N377" si="104">A87</f>
        <v>43661</v>
      </c>
      <c r="B377" s="90">
        <f t="shared" si="104"/>
        <v>8</v>
      </c>
      <c r="C377" s="90" t="str">
        <f t="shared" si="104"/>
        <v>CaCO3 Std.5  3773.5</v>
      </c>
      <c r="D377" s="90">
        <f t="shared" si="104"/>
        <v>3773.5</v>
      </c>
      <c r="E377" s="90">
        <f t="shared" si="104"/>
        <v>0</v>
      </c>
      <c r="F377" s="90">
        <f t="shared" si="104"/>
        <v>0</v>
      </c>
      <c r="G377" s="90">
        <f t="shared" si="104"/>
        <v>3772.7453</v>
      </c>
      <c r="H377" s="90">
        <f t="shared" si="104"/>
        <v>449.25900000000001</v>
      </c>
      <c r="I377" s="90">
        <f t="shared" si="104"/>
        <v>1.0085</v>
      </c>
      <c r="J377" s="90">
        <f t="shared" si="104"/>
        <v>448.25049999999999</v>
      </c>
      <c r="K377" s="90">
        <f t="shared" si="104"/>
        <v>3775.5017060209852</v>
      </c>
      <c r="L377" s="90">
        <f t="shared" si="104"/>
        <v>100.07306101530324</v>
      </c>
      <c r="M377" s="90">
        <f t="shared" si="104"/>
        <v>3735.6696540383018</v>
      </c>
      <c r="N377" s="90">
        <f t="shared" si="104"/>
        <v>99.017276730509792</v>
      </c>
      <c r="O377" s="523">
        <f t="shared" si="94"/>
        <v>-7.304640310017745E-4</v>
      </c>
      <c r="P377" s="523">
        <f t="shared" si="95"/>
        <v>-2.7564060209851959</v>
      </c>
    </row>
    <row r="378" spans="1:21">
      <c r="A378" s="389">
        <f>A106</f>
        <v>43661</v>
      </c>
      <c r="B378" s="90">
        <f t="shared" ref="B378:N378" si="105">B106</f>
        <v>27</v>
      </c>
      <c r="C378" s="90" t="str">
        <f t="shared" si="105"/>
        <v>CaCO3 Std.3  2172.9</v>
      </c>
      <c r="D378" s="90">
        <f t="shared" si="105"/>
        <v>2172.9</v>
      </c>
      <c r="E378" s="90">
        <f t="shared" si="105"/>
        <v>0</v>
      </c>
      <c r="F378" s="90">
        <f t="shared" si="105"/>
        <v>0</v>
      </c>
      <c r="G378" s="90">
        <f t="shared" si="105"/>
        <v>2172.46542</v>
      </c>
      <c r="H378" s="90">
        <f t="shared" si="105"/>
        <v>258.38010000000003</v>
      </c>
      <c r="I378" s="90">
        <f t="shared" si="105"/>
        <v>0.72199999999999998</v>
      </c>
      <c r="J378" s="90">
        <f t="shared" si="105"/>
        <v>257.65810000000005</v>
      </c>
      <c r="K378" s="90">
        <f t="shared" si="105"/>
        <v>2324.005871180198</v>
      </c>
      <c r="L378" s="90">
        <f t="shared" si="105"/>
        <v>106.97550579102879</v>
      </c>
      <c r="M378" s="90">
        <f t="shared" si="105"/>
        <v>2147.2938575353878</v>
      </c>
      <c r="N378" s="90">
        <f t="shared" si="105"/>
        <v>98.821568297454448</v>
      </c>
      <c r="O378" s="523">
        <f t="shared" si="94"/>
        <v>-6.9741106898705885E-2</v>
      </c>
      <c r="P378" s="523">
        <f t="shared" si="95"/>
        <v>-151.54045118019803</v>
      </c>
    </row>
    <row r="379" spans="1:21">
      <c r="A379" s="389">
        <f>A119</f>
        <v>43662</v>
      </c>
      <c r="B379" s="90">
        <f t="shared" ref="B379:N379" si="106">B119</f>
        <v>4</v>
      </c>
      <c r="C379" s="90" t="str">
        <f t="shared" si="106"/>
        <v>CaCO3 Std.1  228.5</v>
      </c>
      <c r="D379" s="90">
        <f t="shared" si="106"/>
        <v>228.5</v>
      </c>
      <c r="E379" s="90">
        <f t="shared" si="106"/>
        <v>0</v>
      </c>
      <c r="F379" s="90">
        <f t="shared" si="106"/>
        <v>0</v>
      </c>
      <c r="G379" s="90">
        <f t="shared" si="106"/>
        <v>228.45430000000002</v>
      </c>
      <c r="H379" s="90">
        <f t="shared" si="106"/>
        <v>29.036799999999999</v>
      </c>
      <c r="I379" s="90">
        <f t="shared" si="106"/>
        <v>1.7045333333333332</v>
      </c>
      <c r="J379" s="90">
        <f t="shared" si="106"/>
        <v>27.332266666666666</v>
      </c>
      <c r="K379" s="90">
        <f t="shared" si="106"/>
        <v>233.49396626677131</v>
      </c>
      <c r="L379" s="90">
        <f t="shared" si="106"/>
        <v>102.20598442085411</v>
      </c>
      <c r="M379" s="90">
        <f t="shared" si="106"/>
        <v>227.78406083819041</v>
      </c>
      <c r="N379" s="90">
        <f t="shared" si="106"/>
        <v>99.706620027808796</v>
      </c>
      <c r="O379" s="523">
        <f t="shared" si="94"/>
        <v>-2.2055432239699309E-2</v>
      </c>
      <c r="P379" s="523">
        <f t="shared" si="95"/>
        <v>-5.0396662667712917</v>
      </c>
      <c r="U379" s="523"/>
    </row>
    <row r="380" spans="1:21">
      <c r="A380" s="389">
        <f t="shared" ref="A380:N380" si="107">A120</f>
        <v>43662</v>
      </c>
      <c r="B380" s="90">
        <f t="shared" si="107"/>
        <v>5</v>
      </c>
      <c r="C380" s="90" t="str">
        <f t="shared" si="107"/>
        <v>CaCO3 Std.2  1071.1</v>
      </c>
      <c r="D380" s="90">
        <f t="shared" si="107"/>
        <v>1071.0999999999999</v>
      </c>
      <c r="E380" s="90">
        <f t="shared" si="107"/>
        <v>0</v>
      </c>
      <c r="F380" s="90">
        <f t="shared" si="107"/>
        <v>0</v>
      </c>
      <c r="G380" s="90">
        <f t="shared" si="107"/>
        <v>1070.8857799999998</v>
      </c>
      <c r="H380" s="90">
        <f t="shared" si="107"/>
        <v>127.1645</v>
      </c>
      <c r="I380" s="90">
        <f t="shared" si="107"/>
        <v>1.7045333333333332</v>
      </c>
      <c r="J380" s="90">
        <f t="shared" si="107"/>
        <v>125.45996666666667</v>
      </c>
      <c r="K380" s="90">
        <f t="shared" si="107"/>
        <v>1058.5222120504109</v>
      </c>
      <c r="L380" s="90">
        <f t="shared" si="107"/>
        <v>98.845482106449396</v>
      </c>
      <c r="M380" s="90">
        <f t="shared" si="107"/>
        <v>1045.5693641687485</v>
      </c>
      <c r="N380" s="90">
        <f t="shared" si="107"/>
        <v>97.635936875429294</v>
      </c>
      <c r="O380" s="523">
        <f t="shared" si="94"/>
        <v>1.1542869899718953E-2</v>
      </c>
      <c r="P380" s="523">
        <f t="shared" si="95"/>
        <v>12.363567949588969</v>
      </c>
    </row>
    <row r="381" spans="1:21">
      <c r="A381" s="389">
        <f t="shared" ref="A381:N381" si="108">A121</f>
        <v>43662</v>
      </c>
      <c r="B381" s="90">
        <f t="shared" si="108"/>
        <v>6</v>
      </c>
      <c r="C381" s="90" t="str">
        <f t="shared" si="108"/>
        <v>CaCO3 Std.3  2115.4</v>
      </c>
      <c r="D381" s="90">
        <f t="shared" si="108"/>
        <v>2115.4</v>
      </c>
      <c r="E381" s="90">
        <f t="shared" si="108"/>
        <v>0</v>
      </c>
      <c r="F381" s="90">
        <f t="shared" si="108"/>
        <v>0</v>
      </c>
      <c r="G381" s="90">
        <f t="shared" si="108"/>
        <v>2114.9769200000001</v>
      </c>
      <c r="H381" s="90">
        <f t="shared" si="108"/>
        <v>252.8793</v>
      </c>
      <c r="I381" s="90">
        <f t="shared" si="108"/>
        <v>1.7045333333333332</v>
      </c>
      <c r="J381" s="90">
        <f t="shared" si="108"/>
        <v>251.17476666666667</v>
      </c>
      <c r="K381" s="90">
        <f t="shared" si="108"/>
        <v>2115.494513582405</v>
      </c>
      <c r="L381" s="90">
        <f t="shared" si="108"/>
        <v>100.02447277686628</v>
      </c>
      <c r="M381" s="90">
        <f t="shared" si="108"/>
        <v>2093.2624809048016</v>
      </c>
      <c r="N381" s="90">
        <f t="shared" si="108"/>
        <v>98.973301368451885</v>
      </c>
      <c r="O381" s="523">
        <f t="shared" si="94"/>
        <v>-2.4467882310909056E-4</v>
      </c>
      <c r="P381" s="523">
        <f t="shared" si="95"/>
        <v>-0.51759358240497022</v>
      </c>
    </row>
    <row r="382" spans="1:21">
      <c r="A382" s="389">
        <f t="shared" ref="A382:N382" si="109">A122</f>
        <v>43662</v>
      </c>
      <c r="B382" s="90">
        <f t="shared" si="109"/>
        <v>7</v>
      </c>
      <c r="C382" s="90" t="str">
        <f t="shared" si="109"/>
        <v>CaCO3 Std.4  3027</v>
      </c>
      <c r="D382" s="90">
        <f t="shared" si="109"/>
        <v>3027</v>
      </c>
      <c r="E382" s="90">
        <f t="shared" si="109"/>
        <v>0</v>
      </c>
      <c r="F382" s="90">
        <f t="shared" si="109"/>
        <v>0</v>
      </c>
      <c r="G382" s="90">
        <f t="shared" si="109"/>
        <v>3026.3946000000001</v>
      </c>
      <c r="H382" s="90">
        <f t="shared" si="109"/>
        <v>361.48419999999999</v>
      </c>
      <c r="I382" s="90">
        <f t="shared" si="109"/>
        <v>1.7045333333333332</v>
      </c>
      <c r="J382" s="90">
        <f t="shared" si="109"/>
        <v>359.77966666666663</v>
      </c>
      <c r="K382" s="90">
        <f t="shared" si="109"/>
        <v>3028.6119119368714</v>
      </c>
      <c r="L382" s="90">
        <f t="shared" si="109"/>
        <v>100.07326579081497</v>
      </c>
      <c r="M382" s="90">
        <f t="shared" si="109"/>
        <v>2998.3636000555093</v>
      </c>
      <c r="N382" s="90">
        <f t="shared" si="109"/>
        <v>99.073782383021353</v>
      </c>
      <c r="O382" s="523">
        <f t="shared" si="94"/>
        <v>-7.3251137656798256E-4</v>
      </c>
      <c r="P382" s="523">
        <f t="shared" si="95"/>
        <v>-2.2173119368712833</v>
      </c>
    </row>
    <row r="383" spans="1:21">
      <c r="A383" s="389">
        <f t="shared" ref="A383:N383" si="110">A123</f>
        <v>43662</v>
      </c>
      <c r="B383" s="90">
        <f t="shared" si="110"/>
        <v>8</v>
      </c>
      <c r="C383" s="90" t="str">
        <f t="shared" si="110"/>
        <v>CaCO3 Std.5  3936</v>
      </c>
      <c r="D383" s="90">
        <f t="shared" si="110"/>
        <v>3936</v>
      </c>
      <c r="E383" s="90">
        <f t="shared" si="110"/>
        <v>0</v>
      </c>
      <c r="F383" s="90">
        <f t="shared" si="110"/>
        <v>0</v>
      </c>
      <c r="G383" s="90">
        <f t="shared" si="110"/>
        <v>3935.2128000000002</v>
      </c>
      <c r="H383" s="90">
        <f t="shared" si="110"/>
        <v>469.44349999999997</v>
      </c>
      <c r="I383" s="90">
        <f t="shared" si="110"/>
        <v>1.7045333333333332</v>
      </c>
      <c r="J383" s="90">
        <f t="shared" si="110"/>
        <v>467.73896666666661</v>
      </c>
      <c r="K383" s="90">
        <f t="shared" si="110"/>
        <v>3936.3012992865151</v>
      </c>
      <c r="L383" s="90">
        <f t="shared" si="110"/>
        <v>100.02766049364635</v>
      </c>
      <c r="M383" s="90">
        <f t="shared" si="110"/>
        <v>3898.0843608381902</v>
      </c>
      <c r="N383" s="90">
        <f t="shared" si="110"/>
        <v>99.056507460999057</v>
      </c>
      <c r="O383" s="523">
        <f t="shared" si="94"/>
        <v>-2.7654961547634368E-4</v>
      </c>
      <c r="P383" s="523">
        <f t="shared" si="95"/>
        <v>-1.0884992865148888</v>
      </c>
    </row>
    <row r="384" spans="1:21">
      <c r="A384" s="389">
        <f>A142</f>
        <v>43662</v>
      </c>
      <c r="B384" s="90">
        <f t="shared" ref="B384:N384" si="111">B142</f>
        <v>27</v>
      </c>
      <c r="C384" s="90" t="str">
        <f t="shared" si="111"/>
        <v>CaCO3 Std.3  1873.8</v>
      </c>
      <c r="D384" s="90">
        <f t="shared" si="111"/>
        <v>1873.8</v>
      </c>
      <c r="E384" s="90">
        <f t="shared" si="111"/>
        <v>0</v>
      </c>
      <c r="F384" s="90">
        <f t="shared" si="111"/>
        <v>0</v>
      </c>
      <c r="G384" s="90">
        <f t="shared" si="111"/>
        <v>1873.42524</v>
      </c>
      <c r="H384" s="90">
        <f t="shared" si="111"/>
        <v>223.3005</v>
      </c>
      <c r="I384" s="90">
        <f t="shared" si="111"/>
        <v>0.73669999999999991</v>
      </c>
      <c r="J384" s="90">
        <f t="shared" si="111"/>
        <v>222.56379999999999</v>
      </c>
      <c r="K384" s="90">
        <f t="shared" si="111"/>
        <v>1874.9420942433785</v>
      </c>
      <c r="L384" s="90">
        <f t="shared" si="111"/>
        <v>100.08096689480806</v>
      </c>
      <c r="M384" s="90">
        <f t="shared" si="111"/>
        <v>1854.8218769358868</v>
      </c>
      <c r="N384" s="90">
        <f t="shared" si="111"/>
        <v>98.987185235131122</v>
      </c>
      <c r="O384" s="523">
        <f t="shared" si="94"/>
        <v>-8.0950701429099959E-4</v>
      </c>
      <c r="P384" s="523">
        <f t="shared" si="95"/>
        <v>-1.5168542433784751</v>
      </c>
    </row>
    <row r="385" spans="1:16">
      <c r="A385" s="67">
        <f>A157</f>
        <v>43664</v>
      </c>
      <c r="B385" s="90">
        <f t="shared" ref="B385:N385" si="112">B157</f>
        <v>7</v>
      </c>
      <c r="C385" s="90" t="str">
        <f t="shared" si="112"/>
        <v>CaCO3 Std.1  323.4</v>
      </c>
      <c r="D385" s="90">
        <f t="shared" si="112"/>
        <v>323.39999999999998</v>
      </c>
      <c r="E385" s="90">
        <f t="shared" si="112"/>
        <v>0</v>
      </c>
      <c r="F385" s="90">
        <f t="shared" si="112"/>
        <v>0</v>
      </c>
      <c r="G385" s="90">
        <f t="shared" si="112"/>
        <v>323.33531999999997</v>
      </c>
      <c r="H385" s="90">
        <f t="shared" si="112"/>
        <v>39.380000000000003</v>
      </c>
      <c r="I385" s="90">
        <f t="shared" si="112"/>
        <v>1.4308333333333334</v>
      </c>
      <c r="J385" s="90">
        <f t="shared" si="112"/>
        <v>37.94916666666667</v>
      </c>
      <c r="K385" s="90">
        <f t="shared" si="112"/>
        <v>321.50248912338139</v>
      </c>
      <c r="L385" s="90">
        <f t="shared" si="112"/>
        <v>99.433148572627772</v>
      </c>
      <c r="M385" s="90">
        <f t="shared" si="112"/>
        <v>316.264120871496</v>
      </c>
      <c r="N385" s="90">
        <f t="shared" si="112"/>
        <v>97.81304463474514</v>
      </c>
      <c r="O385" s="523">
        <f t="shared" si="94"/>
        <v>5.6673805708675725E-3</v>
      </c>
      <c r="P385" s="523">
        <f t="shared" si="95"/>
        <v>1.8328308766185728</v>
      </c>
    </row>
    <row r="386" spans="1:16">
      <c r="A386" s="67">
        <f t="shared" ref="A386:N386" si="113">A158</f>
        <v>43664</v>
      </c>
      <c r="B386" s="90">
        <f t="shared" si="113"/>
        <v>8</v>
      </c>
      <c r="C386" s="90" t="str">
        <f t="shared" si="113"/>
        <v>CaCO3 Std.2  1252.9</v>
      </c>
      <c r="D386" s="90">
        <f t="shared" si="113"/>
        <v>1252.9000000000001</v>
      </c>
      <c r="E386" s="90">
        <f t="shared" si="113"/>
        <v>0</v>
      </c>
      <c r="F386" s="90">
        <f t="shared" si="113"/>
        <v>0</v>
      </c>
      <c r="G386" s="90">
        <f t="shared" si="113"/>
        <v>1252.6494200000002</v>
      </c>
      <c r="H386" s="90">
        <f t="shared" si="113"/>
        <v>149.75210000000001</v>
      </c>
      <c r="I386" s="90">
        <f t="shared" si="113"/>
        <v>1.4308333333333334</v>
      </c>
      <c r="J386" s="90">
        <f t="shared" si="113"/>
        <v>148.32126666666667</v>
      </c>
      <c r="K386" s="90">
        <f t="shared" si="113"/>
        <v>1251.440447756592</v>
      </c>
      <c r="L386" s="90">
        <f t="shared" si="113"/>
        <v>99.903486783763626</v>
      </c>
      <c r="M386" s="90">
        <f t="shared" si="113"/>
        <v>1236.0928876491812</v>
      </c>
      <c r="N386" s="90">
        <f t="shared" si="113"/>
        <v>98.678278847499172</v>
      </c>
      <c r="O386" s="523">
        <f t="shared" si="94"/>
        <v>9.6493913593119777E-4</v>
      </c>
      <c r="P386" s="523">
        <f t="shared" si="95"/>
        <v>1.2089722434081978</v>
      </c>
    </row>
    <row r="387" spans="1:16">
      <c r="A387" s="67">
        <f t="shared" ref="A387:N387" si="114">A159</f>
        <v>43664</v>
      </c>
      <c r="B387" s="90">
        <f t="shared" si="114"/>
        <v>9</v>
      </c>
      <c r="C387" s="90" t="str">
        <f t="shared" si="114"/>
        <v>CaCO3 Std.3  2153.2</v>
      </c>
      <c r="D387" s="90">
        <f t="shared" si="114"/>
        <v>2153.1999999999998</v>
      </c>
      <c r="E387" s="90">
        <f t="shared" si="114"/>
        <v>0</v>
      </c>
      <c r="F387" s="90">
        <f t="shared" si="114"/>
        <v>0</v>
      </c>
      <c r="G387" s="90">
        <f t="shared" si="114"/>
        <v>2152.7693599999998</v>
      </c>
      <c r="H387" s="90">
        <f t="shared" si="114"/>
        <v>256.52210000000002</v>
      </c>
      <c r="I387" s="90">
        <f t="shared" si="114"/>
        <v>1.4308333333333334</v>
      </c>
      <c r="J387" s="90">
        <f t="shared" si="114"/>
        <v>255.09126666666668</v>
      </c>
      <c r="K387" s="90">
        <f t="shared" si="114"/>
        <v>2151.028983657131</v>
      </c>
      <c r="L387" s="90">
        <f t="shared" si="114"/>
        <v>99.919156395700995</v>
      </c>
      <c r="M387" s="90">
        <f t="shared" si="114"/>
        <v>2125.9021549264503</v>
      </c>
      <c r="N387" s="90">
        <f t="shared" si="114"/>
        <v>98.751970110093467</v>
      </c>
      <c r="O387" s="523">
        <f t="shared" si="94"/>
        <v>8.0827435578152771E-4</v>
      </c>
      <c r="P387" s="523">
        <f t="shared" si="95"/>
        <v>1.7403763428687853</v>
      </c>
    </row>
    <row r="388" spans="1:16">
      <c r="A388" s="67">
        <f t="shared" ref="A388:N388" si="115">A160</f>
        <v>43664</v>
      </c>
      <c r="B388" s="90">
        <f t="shared" si="115"/>
        <v>10</v>
      </c>
      <c r="C388" s="90" t="str">
        <f t="shared" si="115"/>
        <v>CaCO3 Std.4  3092.8</v>
      </c>
      <c r="D388" s="90">
        <f t="shared" si="115"/>
        <v>3092.8</v>
      </c>
      <c r="E388" s="90">
        <f t="shared" si="115"/>
        <v>0</v>
      </c>
      <c r="F388" s="90">
        <f t="shared" si="115"/>
        <v>0</v>
      </c>
      <c r="G388" s="90">
        <f t="shared" si="115"/>
        <v>3092.1814400000003</v>
      </c>
      <c r="H388" s="90">
        <f t="shared" si="115"/>
        <v>369.08620000000002</v>
      </c>
      <c r="I388" s="90">
        <f t="shared" si="115"/>
        <v>1.4308333333333334</v>
      </c>
      <c r="J388" s="90">
        <f t="shared" si="115"/>
        <v>367.65536666666668</v>
      </c>
      <c r="K388" s="90">
        <f t="shared" si="115"/>
        <v>3099.4355951955959</v>
      </c>
      <c r="L388" s="90">
        <f t="shared" si="115"/>
        <v>100.23459668639612</v>
      </c>
      <c r="M388" s="90">
        <f t="shared" si="115"/>
        <v>3063.9988051346104</v>
      </c>
      <c r="N388" s="90">
        <f t="shared" si="115"/>
        <v>99.088584049408496</v>
      </c>
      <c r="O388" s="523">
        <f t="shared" si="94"/>
        <v>-2.3454976705883208E-3</v>
      </c>
      <c r="P388" s="523">
        <f t="shared" si="95"/>
        <v>-7.2541551955955583</v>
      </c>
    </row>
    <row r="389" spans="1:16">
      <c r="A389" s="67">
        <f t="shared" ref="A389:N389" si="116">A161</f>
        <v>43664</v>
      </c>
      <c r="B389" s="90">
        <f t="shared" si="116"/>
        <v>11</v>
      </c>
      <c r="C389" s="90" t="str">
        <f t="shared" si="116"/>
        <v>CaCO3 Std.5  3865.9</v>
      </c>
      <c r="D389" s="90">
        <f t="shared" si="116"/>
        <v>3865.9</v>
      </c>
      <c r="E389" s="90">
        <f t="shared" si="116"/>
        <v>0</v>
      </c>
      <c r="F389" s="90">
        <f t="shared" si="116"/>
        <v>0</v>
      </c>
      <c r="G389" s="90">
        <f t="shared" si="116"/>
        <v>3865.12682</v>
      </c>
      <c r="H389" s="90">
        <f t="shared" si="116"/>
        <v>459.45519999999999</v>
      </c>
      <c r="I389" s="90">
        <f t="shared" si="116"/>
        <v>1.4308333333333334</v>
      </c>
      <c r="J389" s="90">
        <f t="shared" si="116"/>
        <v>458.02436666666665</v>
      </c>
      <c r="K389" s="90">
        <f t="shared" si="116"/>
        <v>3860.8378280399879</v>
      </c>
      <c r="L389" s="90">
        <f t="shared" si="116"/>
        <v>99.889033603300703</v>
      </c>
      <c r="M389" s="90">
        <f t="shared" si="116"/>
        <v>3817.1239683319459</v>
      </c>
      <c r="N389" s="90">
        <f t="shared" si="116"/>
        <v>98.758052351098428</v>
      </c>
      <c r="O389" s="523">
        <f t="shared" si="94"/>
        <v>1.1094420341995464E-3</v>
      </c>
      <c r="P389" s="523">
        <f t="shared" si="95"/>
        <v>4.2889919600120265</v>
      </c>
    </row>
    <row r="390" spans="1:16">
      <c r="A390" s="67">
        <f>A180</f>
        <v>43664</v>
      </c>
      <c r="B390" s="90">
        <f t="shared" ref="B390:N390" si="117">B180</f>
        <v>30</v>
      </c>
      <c r="C390" s="90" t="str">
        <f t="shared" si="117"/>
        <v>CaCO3 Std.3  1947.1</v>
      </c>
      <c r="D390" s="90">
        <f t="shared" si="117"/>
        <v>1947.1</v>
      </c>
      <c r="E390" s="90">
        <f t="shared" si="117"/>
        <v>0</v>
      </c>
      <c r="F390" s="90">
        <f t="shared" si="117"/>
        <v>0</v>
      </c>
      <c r="G390" s="90">
        <f t="shared" si="117"/>
        <v>1946.7105799999999</v>
      </c>
      <c r="H390" s="90">
        <f t="shared" si="117"/>
        <v>231.02500000000001</v>
      </c>
      <c r="I390" s="90">
        <f t="shared" si="117"/>
        <v>0.60040000000000004</v>
      </c>
      <c r="J390" s="90">
        <f t="shared" si="117"/>
        <v>230.4246</v>
      </c>
      <c r="K390" s="90">
        <f t="shared" si="117"/>
        <v>1943.2004686040889</v>
      </c>
      <c r="L390" s="90">
        <f t="shared" si="117"/>
        <v>99.819690125898887</v>
      </c>
      <c r="M390" s="90">
        <f t="shared" si="117"/>
        <v>1920.3329070774355</v>
      </c>
      <c r="N390" s="90">
        <f t="shared" si="117"/>
        <v>98.62528411881442</v>
      </c>
      <c r="O390" s="523">
        <f t="shared" si="94"/>
        <v>1.8027381212629315E-3</v>
      </c>
      <c r="P390" s="523">
        <f t="shared" si="95"/>
        <v>3.5101113959110535</v>
      </c>
    </row>
    <row r="391" spans="1:16">
      <c r="A391" s="67">
        <f>A195</f>
        <v>43665</v>
      </c>
      <c r="B391" s="90">
        <f t="shared" ref="B391:N391" si="118">B195</f>
        <v>7</v>
      </c>
      <c r="C391" s="90" t="str">
        <f t="shared" si="118"/>
        <v>CaCO3 Std.1  260.7</v>
      </c>
      <c r="D391" s="90">
        <f t="shared" si="118"/>
        <v>260.7</v>
      </c>
      <c r="E391" s="90">
        <f t="shared" si="118"/>
        <v>0</v>
      </c>
      <c r="F391" s="90">
        <f t="shared" si="118"/>
        <v>0</v>
      </c>
      <c r="G391" s="90">
        <f t="shared" si="118"/>
        <v>260.64785999999998</v>
      </c>
      <c r="H391" s="90">
        <f t="shared" si="118"/>
        <v>32.0565</v>
      </c>
      <c r="I391" s="90">
        <f t="shared" si="118"/>
        <v>1.1965333333333332</v>
      </c>
      <c r="J391" s="90">
        <f t="shared" si="118"/>
        <v>30.859966666666665</v>
      </c>
      <c r="K391" s="90">
        <f t="shared" si="118"/>
        <v>258.85018504731477</v>
      </c>
      <c r="L391" s="90">
        <f t="shared" si="118"/>
        <v>99.310305117147252</v>
      </c>
      <c r="M391" s="90">
        <f t="shared" si="118"/>
        <v>257.18351903968914</v>
      </c>
      <c r="N391" s="90">
        <f t="shared" si="118"/>
        <v>98.67087304675708</v>
      </c>
      <c r="O391" s="523">
        <f t="shared" si="94"/>
        <v>6.8955694387618461E-3</v>
      </c>
      <c r="P391" s="523">
        <f t="shared" si="95"/>
        <v>1.7976749526852132</v>
      </c>
    </row>
    <row r="392" spans="1:16">
      <c r="A392" s="67">
        <f t="shared" ref="A392:N392" si="119">A196</f>
        <v>43665</v>
      </c>
      <c r="B392" s="90">
        <f t="shared" si="119"/>
        <v>8</v>
      </c>
      <c r="C392" s="90" t="str">
        <f t="shared" si="119"/>
        <v>CaCO3 Std.2  1186.3</v>
      </c>
      <c r="D392" s="90">
        <f t="shared" si="119"/>
        <v>1186.3</v>
      </c>
      <c r="E392" s="90">
        <f t="shared" si="119"/>
        <v>0</v>
      </c>
      <c r="F392" s="90">
        <f t="shared" si="119"/>
        <v>0</v>
      </c>
      <c r="G392" s="90">
        <f t="shared" si="119"/>
        <v>1186.0627400000001</v>
      </c>
      <c r="H392" s="90">
        <f t="shared" si="119"/>
        <v>142.15119999999999</v>
      </c>
      <c r="I392" s="90">
        <f t="shared" si="119"/>
        <v>1.1965333333333332</v>
      </c>
      <c r="J392" s="90">
        <f t="shared" si="119"/>
        <v>140.95466666666667</v>
      </c>
      <c r="K392" s="90">
        <f t="shared" si="119"/>
        <v>1188.9133379374134</v>
      </c>
      <c r="L392" s="90">
        <f t="shared" si="119"/>
        <v>100.24034124345003</v>
      </c>
      <c r="M392" s="90">
        <f t="shared" si="119"/>
        <v>1174.7004651679156</v>
      </c>
      <c r="N392" s="90">
        <f t="shared" si="119"/>
        <v>99.042017386695363</v>
      </c>
      <c r="O392" s="523">
        <f t="shared" si="94"/>
        <v>-2.4029317520132686E-3</v>
      </c>
      <c r="P392" s="523">
        <f t="shared" si="95"/>
        <v>-2.8505979374133403</v>
      </c>
    </row>
    <row r="393" spans="1:16">
      <c r="A393" s="67">
        <f t="shared" ref="A393:N393" si="120">A197</f>
        <v>43665</v>
      </c>
      <c r="B393" s="90">
        <f t="shared" si="120"/>
        <v>9</v>
      </c>
      <c r="C393" s="90" t="str">
        <f t="shared" si="120"/>
        <v>CaCO3 Std.3  2258.6</v>
      </c>
      <c r="D393" s="90">
        <f t="shared" si="120"/>
        <v>2258.6</v>
      </c>
      <c r="E393" s="90">
        <f t="shared" si="120"/>
        <v>0</v>
      </c>
      <c r="F393" s="90">
        <f t="shared" si="120"/>
        <v>0</v>
      </c>
      <c r="G393" s="90">
        <f t="shared" si="120"/>
        <v>2258.1482799999999</v>
      </c>
      <c r="H393" s="90">
        <f t="shared" si="120"/>
        <v>269.58210000000003</v>
      </c>
      <c r="I393" s="90">
        <f t="shared" si="120"/>
        <v>1.1965333333333332</v>
      </c>
      <c r="J393" s="90">
        <f t="shared" si="120"/>
        <v>268.3855666666667</v>
      </c>
      <c r="K393" s="90">
        <f t="shared" si="120"/>
        <v>2265.4300515450882</v>
      </c>
      <c r="L393" s="90">
        <f t="shared" si="120"/>
        <v>100.3224664921069</v>
      </c>
      <c r="M393" s="90">
        <f t="shared" si="120"/>
        <v>2236.6953678323621</v>
      </c>
      <c r="N393" s="90">
        <f t="shared" si="120"/>
        <v>99.049977702631736</v>
      </c>
      <c r="O393" s="523">
        <f t="shared" si="94"/>
        <v>-3.2240199880847892E-3</v>
      </c>
      <c r="P393" s="523">
        <f t="shared" si="95"/>
        <v>-7.2817715450883043</v>
      </c>
    </row>
    <row r="394" spans="1:16">
      <c r="A394" s="67">
        <f t="shared" ref="A394:N394" si="121">A198</f>
        <v>43665</v>
      </c>
      <c r="B394" s="90">
        <f t="shared" si="121"/>
        <v>10</v>
      </c>
      <c r="C394" s="90" t="str">
        <f t="shared" si="121"/>
        <v>CaCO3 Std.4  3062.9</v>
      </c>
      <c r="D394" s="90">
        <f t="shared" si="121"/>
        <v>3062.9</v>
      </c>
      <c r="E394" s="90">
        <f t="shared" si="121"/>
        <v>0</v>
      </c>
      <c r="F394" s="90">
        <f t="shared" si="121"/>
        <v>0</v>
      </c>
      <c r="G394" s="90">
        <f t="shared" si="121"/>
        <v>3062.2874200000001</v>
      </c>
      <c r="H394" s="90">
        <f t="shared" si="121"/>
        <v>364.0754</v>
      </c>
      <c r="I394" s="90">
        <f t="shared" si="121"/>
        <v>1.1965333333333332</v>
      </c>
      <c r="J394" s="90">
        <f t="shared" si="121"/>
        <v>362.87886666666668</v>
      </c>
      <c r="K394" s="90">
        <f t="shared" si="121"/>
        <v>3063.694968248526</v>
      </c>
      <c r="L394" s="90">
        <f t="shared" si="121"/>
        <v>100.04596394967152</v>
      </c>
      <c r="M394" s="90">
        <f t="shared" si="121"/>
        <v>3024.1919870663337</v>
      </c>
      <c r="N394" s="90">
        <f t="shared" si="121"/>
        <v>98.755981143870983</v>
      </c>
      <c r="O394" s="523">
        <f t="shared" si="94"/>
        <v>-4.5954756881580434E-4</v>
      </c>
      <c r="P394" s="523">
        <f t="shared" si="95"/>
        <v>-1.4075482485259272</v>
      </c>
    </row>
    <row r="395" spans="1:16">
      <c r="A395" s="67">
        <f t="shared" ref="A395:N395" si="122">A199</f>
        <v>43665</v>
      </c>
      <c r="B395" s="90">
        <f t="shared" si="122"/>
        <v>11</v>
      </c>
      <c r="C395" s="90" t="str">
        <f t="shared" si="122"/>
        <v>CaCO3 Std.5  3874.5</v>
      </c>
      <c r="D395" s="90">
        <f t="shared" si="122"/>
        <v>3874.5</v>
      </c>
      <c r="E395" s="90">
        <f t="shared" si="122"/>
        <v>0</v>
      </c>
      <c r="F395" s="90">
        <f t="shared" si="122"/>
        <v>0</v>
      </c>
      <c r="G395" s="90">
        <f t="shared" si="122"/>
        <v>3873.7251000000001</v>
      </c>
      <c r="H395" s="90">
        <f t="shared" si="122"/>
        <v>459.23820000000001</v>
      </c>
      <c r="I395" s="90">
        <f t="shared" si="122"/>
        <v>1.1965333333333332</v>
      </c>
      <c r="J395" s="90">
        <f t="shared" si="122"/>
        <v>458.04166666666669</v>
      </c>
      <c r="K395" s="90">
        <f t="shared" si="122"/>
        <v>3867.615718346849</v>
      </c>
      <c r="L395" s="90">
        <f t="shared" si="122"/>
        <v>99.842286649273305</v>
      </c>
      <c r="M395" s="90">
        <f t="shared" si="122"/>
        <v>3817.2681446017209</v>
      </c>
      <c r="N395" s="90">
        <f t="shared" si="122"/>
        <v>98.542566807379302</v>
      </c>
      <c r="O395" s="523">
        <f t="shared" si="94"/>
        <v>1.5768180805655191E-3</v>
      </c>
      <c r="P395" s="523">
        <f t="shared" si="95"/>
        <v>6.1093816531511038</v>
      </c>
    </row>
    <row r="396" spans="1:16">
      <c r="A396" s="67">
        <f>A218</f>
        <v>43665</v>
      </c>
      <c r="B396" s="90">
        <f t="shared" ref="B396:N396" si="123">B218</f>
        <v>30</v>
      </c>
      <c r="C396" s="90" t="str">
        <f t="shared" si="123"/>
        <v>CaCO3 Std.3  2106.8</v>
      </c>
      <c r="D396" s="90">
        <f t="shared" si="123"/>
        <v>2106.8000000000002</v>
      </c>
      <c r="E396" s="90">
        <f t="shared" si="123"/>
        <v>0</v>
      </c>
      <c r="F396" s="90">
        <f t="shared" si="123"/>
        <v>0</v>
      </c>
      <c r="G396" s="90">
        <f t="shared" si="123"/>
        <v>2106.3786400000004</v>
      </c>
      <c r="H396" s="90">
        <f t="shared" si="123"/>
        <v>250.79239999999999</v>
      </c>
      <c r="I396" s="90">
        <f t="shared" si="123"/>
        <v>0.60389999999999999</v>
      </c>
      <c r="J396" s="90">
        <f t="shared" si="123"/>
        <v>250.18849999999998</v>
      </c>
      <c r="K396" s="90">
        <f t="shared" si="123"/>
        <v>2111.7040211607796</v>
      </c>
      <c r="L396" s="90">
        <f t="shared" si="123"/>
        <v>100.25282164657629</v>
      </c>
      <c r="M396" s="90">
        <f t="shared" si="123"/>
        <v>2085.0430445462111</v>
      </c>
      <c r="N396" s="90">
        <f t="shared" si="123"/>
        <v>98.967298488048741</v>
      </c>
      <c r="O396" s="523">
        <f t="shared" si="94"/>
        <v>-2.5277108224697246E-3</v>
      </c>
      <c r="P396" s="523">
        <f t="shared" si="95"/>
        <v>-5.3253811607792159</v>
      </c>
    </row>
    <row r="397" spans="1:16">
      <c r="A397" s="389">
        <f>A232</f>
        <v>43669</v>
      </c>
      <c r="B397" s="90">
        <f t="shared" ref="B397:N397" si="124">B232</f>
        <v>7</v>
      </c>
      <c r="C397" s="90" t="str">
        <f t="shared" si="124"/>
        <v>CaCO3 Std.1  334.6</v>
      </c>
      <c r="D397" s="90">
        <f t="shared" si="124"/>
        <v>334.6</v>
      </c>
      <c r="E397" s="90">
        <f t="shared" si="124"/>
        <v>0</v>
      </c>
      <c r="F397" s="90">
        <f t="shared" si="124"/>
        <v>0</v>
      </c>
      <c r="G397" s="90">
        <f t="shared" si="124"/>
        <v>334.53308000000004</v>
      </c>
      <c r="H397" s="90">
        <f t="shared" si="124"/>
        <v>40.1036</v>
      </c>
      <c r="I397" s="90">
        <f t="shared" si="124"/>
        <v>1.4138333333333335</v>
      </c>
      <c r="J397" s="90">
        <f t="shared" si="124"/>
        <v>38.689766666666664</v>
      </c>
      <c r="K397" s="90">
        <f t="shared" si="124"/>
        <v>333.82957812757513</v>
      </c>
      <c r="L397" s="90">
        <f t="shared" si="124"/>
        <v>99.789706335641043</v>
      </c>
      <c r="M397" s="90">
        <f t="shared" si="124"/>
        <v>322.43619864002216</v>
      </c>
      <c r="N397" s="90">
        <f t="shared" si="124"/>
        <v>96.383950621571444</v>
      </c>
      <c r="O397" s="523">
        <f t="shared" si="94"/>
        <v>2.1025160562609339E-3</v>
      </c>
      <c r="P397" s="523">
        <f t="shared" si="95"/>
        <v>0.70350187242490847</v>
      </c>
    </row>
    <row r="398" spans="1:16">
      <c r="A398" s="389">
        <f t="shared" ref="A398:N398" si="125">A233</f>
        <v>43669</v>
      </c>
      <c r="B398" s="90">
        <f t="shared" si="125"/>
        <v>8</v>
      </c>
      <c r="C398" s="90" t="str">
        <f t="shared" si="125"/>
        <v>CaCO3 Std.2  1022.2</v>
      </c>
      <c r="D398" s="90">
        <f t="shared" si="125"/>
        <v>1022.2</v>
      </c>
      <c r="E398" s="90">
        <f t="shared" si="125"/>
        <v>0</v>
      </c>
      <c r="F398" s="90">
        <f t="shared" si="125"/>
        <v>0</v>
      </c>
      <c r="G398" s="90">
        <f t="shared" si="125"/>
        <v>1021.9955600000001</v>
      </c>
      <c r="H398" s="90">
        <f t="shared" si="125"/>
        <v>121.25620000000001</v>
      </c>
      <c r="I398" s="90">
        <f t="shared" si="125"/>
        <v>1.4138333333333335</v>
      </c>
      <c r="J398" s="90">
        <f t="shared" si="125"/>
        <v>119.84236666666668</v>
      </c>
      <c r="K398" s="90">
        <f t="shared" si="125"/>
        <v>1015.9663144935985</v>
      </c>
      <c r="L398" s="90">
        <f t="shared" si="125"/>
        <v>99.41005169274888</v>
      </c>
      <c r="M398" s="90">
        <f t="shared" si="125"/>
        <v>998.75291254510148</v>
      </c>
      <c r="N398" s="90">
        <f t="shared" si="125"/>
        <v>97.725758470526173</v>
      </c>
      <c r="O398" s="523">
        <f t="shared" si="94"/>
        <v>5.8983031758966875E-3</v>
      </c>
      <c r="P398" s="523">
        <f t="shared" si="95"/>
        <v>6.029245506401594</v>
      </c>
    </row>
    <row r="399" spans="1:16">
      <c r="A399" s="389">
        <f t="shared" ref="A399:N399" si="126">A234</f>
        <v>43669</v>
      </c>
      <c r="B399" s="90">
        <f t="shared" si="126"/>
        <v>9</v>
      </c>
      <c r="C399" s="90" t="str">
        <f t="shared" si="126"/>
        <v>CaCO3 Std.3  2035.1</v>
      </c>
      <c r="D399" s="90">
        <f t="shared" si="126"/>
        <v>2035.1</v>
      </c>
      <c r="E399" s="90">
        <f t="shared" si="126"/>
        <v>0</v>
      </c>
      <c r="F399" s="90">
        <f t="shared" si="126"/>
        <v>0</v>
      </c>
      <c r="G399" s="90">
        <f t="shared" si="126"/>
        <v>2034.69298</v>
      </c>
      <c r="H399" s="90">
        <f t="shared" si="126"/>
        <v>242.15459999999999</v>
      </c>
      <c r="I399" s="90">
        <f t="shared" si="126"/>
        <v>1.4138333333333335</v>
      </c>
      <c r="J399" s="90">
        <f t="shared" si="126"/>
        <v>240.74076666666664</v>
      </c>
      <c r="K399" s="90">
        <f t="shared" si="126"/>
        <v>2032.1905637212758</v>
      </c>
      <c r="L399" s="90">
        <f t="shared" si="126"/>
        <v>99.877012586010679</v>
      </c>
      <c r="M399" s="90">
        <f t="shared" si="126"/>
        <v>2006.3066890646683</v>
      </c>
      <c r="N399" s="90">
        <f t="shared" si="126"/>
        <v>98.604885787961393</v>
      </c>
      <c r="O399" s="523">
        <f t="shared" si="94"/>
        <v>1.2296281650652256E-3</v>
      </c>
      <c r="P399" s="523">
        <f t="shared" si="95"/>
        <v>2.5024162787242403</v>
      </c>
    </row>
    <row r="400" spans="1:16">
      <c r="A400" s="389">
        <f t="shared" ref="A400:N400" si="127">A235</f>
        <v>43669</v>
      </c>
      <c r="B400" s="90">
        <f t="shared" si="127"/>
        <v>10</v>
      </c>
      <c r="C400" s="90" t="str">
        <f t="shared" si="127"/>
        <v>CaCO3 Std.4  3068</v>
      </c>
      <c r="D400" s="90">
        <f t="shared" si="127"/>
        <v>3068</v>
      </c>
      <c r="E400" s="90">
        <f t="shared" si="127"/>
        <v>0</v>
      </c>
      <c r="F400" s="90">
        <f t="shared" si="127"/>
        <v>0</v>
      </c>
      <c r="G400" s="90">
        <f t="shared" si="127"/>
        <v>3067.3863999999999</v>
      </c>
      <c r="H400" s="90">
        <f t="shared" si="127"/>
        <v>365.04329999999999</v>
      </c>
      <c r="I400" s="90">
        <f t="shared" si="127"/>
        <v>1.4138333333333335</v>
      </c>
      <c r="J400" s="90">
        <f t="shared" si="127"/>
        <v>363.62946666666664</v>
      </c>
      <c r="K400" s="90">
        <f t="shared" si="127"/>
        <v>3065.1444894644228</v>
      </c>
      <c r="L400" s="90">
        <f t="shared" si="127"/>
        <v>99.926911375248423</v>
      </c>
      <c r="M400" s="90">
        <f t="shared" si="127"/>
        <v>3030.447403719123</v>
      </c>
      <c r="N400" s="90">
        <f t="shared" si="127"/>
        <v>98.795750144785259</v>
      </c>
      <c r="O400" s="523">
        <f t="shared" si="94"/>
        <v>7.3074007026631763E-4</v>
      </c>
      <c r="P400" s="523">
        <f t="shared" si="95"/>
        <v>2.2419105355770625</v>
      </c>
    </row>
    <row r="401" spans="1:16">
      <c r="A401" s="389">
        <f t="shared" ref="A401:N401" si="128">A236</f>
        <v>43669</v>
      </c>
      <c r="B401" s="90">
        <f t="shared" si="128"/>
        <v>11</v>
      </c>
      <c r="C401" s="90" t="str">
        <f t="shared" si="128"/>
        <v>CaCO3 Std.5  3527.1</v>
      </c>
      <c r="D401" s="90">
        <f t="shared" si="128"/>
        <v>3527.1</v>
      </c>
      <c r="E401" s="90">
        <f t="shared" si="128"/>
        <v>0</v>
      </c>
      <c r="F401" s="90">
        <f t="shared" si="128"/>
        <v>0</v>
      </c>
      <c r="G401" s="90">
        <f t="shared" si="128"/>
        <v>3526.3945800000001</v>
      </c>
      <c r="H401" s="90">
        <f t="shared" si="128"/>
        <v>420.53699999999998</v>
      </c>
      <c r="I401" s="90">
        <f t="shared" si="128"/>
        <v>1.4138333333333335</v>
      </c>
      <c r="J401" s="90">
        <f t="shared" si="128"/>
        <v>419.12316666666663</v>
      </c>
      <c r="K401" s="90">
        <f t="shared" si="128"/>
        <v>3531.6026362998314</v>
      </c>
      <c r="L401" s="90">
        <f t="shared" si="128"/>
        <v>100.1476878489256</v>
      </c>
      <c r="M401" s="90">
        <f t="shared" si="128"/>
        <v>3492.9257078823202</v>
      </c>
      <c r="N401" s="90">
        <f t="shared" si="128"/>
        <v>99.050903937196964</v>
      </c>
      <c r="O401" s="523">
        <f t="shared" si="94"/>
        <v>-1.4765831135582325E-3</v>
      </c>
      <c r="P401" s="523">
        <f t="shared" si="95"/>
        <v>-5.2080562998312416</v>
      </c>
    </row>
    <row r="402" spans="1:16">
      <c r="A402" s="389">
        <f>A252</f>
        <v>43669</v>
      </c>
      <c r="B402" s="90">
        <f t="shared" ref="B402:N402" si="129">B252</f>
        <v>27</v>
      </c>
      <c r="C402" s="90" t="str">
        <f t="shared" si="129"/>
        <v>CaCO3 Std.3  1989.1</v>
      </c>
      <c r="D402" s="90">
        <f t="shared" si="129"/>
        <v>1989.1</v>
      </c>
      <c r="E402" s="90">
        <f t="shared" si="129"/>
        <v>0</v>
      </c>
      <c r="F402" s="90">
        <f t="shared" si="129"/>
        <v>0</v>
      </c>
      <c r="G402" s="90">
        <f t="shared" si="129"/>
        <v>1988.70218</v>
      </c>
      <c r="H402" s="90">
        <f t="shared" si="129"/>
        <v>237.07560000000001</v>
      </c>
      <c r="I402" s="90">
        <f t="shared" si="129"/>
        <v>0.63686666666666658</v>
      </c>
      <c r="J402" s="90">
        <f t="shared" si="129"/>
        <v>236.43873333333335</v>
      </c>
      <c r="K402" s="90">
        <f t="shared" si="129"/>
        <v>1996.0293689137425</v>
      </c>
      <c r="L402" s="90">
        <f t="shared" si="129"/>
        <v>100.36844073423514</v>
      </c>
      <c r="M402" s="90">
        <f t="shared" si="129"/>
        <v>1970.4540232583961</v>
      </c>
      <c r="N402" s="90">
        <f t="shared" si="129"/>
        <v>99.082408772659775</v>
      </c>
      <c r="O402" s="523">
        <f t="shared" si="94"/>
        <v>-3.6836704608830505E-3</v>
      </c>
      <c r="P402" s="523">
        <f t="shared" si="95"/>
        <v>-7.3271889137424751</v>
      </c>
    </row>
    <row r="403" spans="1:16">
      <c r="A403" s="389">
        <f>A266</f>
        <v>43676</v>
      </c>
      <c r="B403" s="90">
        <f t="shared" ref="B403:N403" si="130">B266</f>
        <v>7</v>
      </c>
      <c r="C403" s="90" t="str">
        <f t="shared" si="130"/>
        <v>CaCO3 Std.1  234.1</v>
      </c>
      <c r="D403" s="90">
        <f t="shared" si="130"/>
        <v>234.1</v>
      </c>
      <c r="E403" s="90">
        <f t="shared" si="130"/>
        <v>0</v>
      </c>
      <c r="F403" s="90">
        <f t="shared" si="130"/>
        <v>0</v>
      </c>
      <c r="G403" s="90">
        <f t="shared" si="130"/>
        <v>234.05318</v>
      </c>
      <c r="H403" s="90">
        <f t="shared" si="130"/>
        <v>28.179400000000001</v>
      </c>
      <c r="I403" s="90">
        <f t="shared" si="130"/>
        <v>0.42429999999999995</v>
      </c>
      <c r="J403" s="90">
        <f t="shared" si="130"/>
        <v>27.755100000000002</v>
      </c>
      <c r="K403" s="90">
        <f t="shared" si="130"/>
        <v>236.64434927745981</v>
      </c>
      <c r="L403" s="90">
        <f t="shared" si="130"/>
        <v>101.10708569627629</v>
      </c>
      <c r="M403" s="90">
        <f t="shared" si="130"/>
        <v>231.30790666111579</v>
      </c>
      <c r="N403" s="90">
        <f t="shared" si="130"/>
        <v>98.82707283067711</v>
      </c>
      <c r="O403" s="523">
        <f t="shared" si="94"/>
        <v>-1.1068642791370407E-2</v>
      </c>
      <c r="P403" s="523">
        <f t="shared" si="95"/>
        <v>-2.5911692774598123</v>
      </c>
    </row>
    <row r="404" spans="1:16">
      <c r="A404" s="389">
        <f t="shared" ref="A404:N404" si="131">A267</f>
        <v>43676</v>
      </c>
      <c r="B404" s="90">
        <f t="shared" si="131"/>
        <v>8</v>
      </c>
      <c r="C404" s="90" t="str">
        <f t="shared" si="131"/>
        <v>CaCO3 Std.2  1105.6</v>
      </c>
      <c r="D404" s="90">
        <f t="shared" si="131"/>
        <v>1105.5999999999999</v>
      </c>
      <c r="E404" s="90">
        <f t="shared" si="131"/>
        <v>0</v>
      </c>
      <c r="F404" s="90">
        <f t="shared" si="131"/>
        <v>0</v>
      </c>
      <c r="G404" s="90">
        <f t="shared" si="131"/>
        <v>1105.37888</v>
      </c>
      <c r="H404" s="90">
        <f t="shared" si="131"/>
        <v>130.85120000000001</v>
      </c>
      <c r="I404" s="90">
        <f t="shared" si="131"/>
        <v>0.42429999999999995</v>
      </c>
      <c r="J404" s="90">
        <f t="shared" si="131"/>
        <v>130.42690000000002</v>
      </c>
      <c r="K404" s="90">
        <f t="shared" si="131"/>
        <v>1096.5049952496622</v>
      </c>
      <c r="L404" s="90">
        <f t="shared" si="131"/>
        <v>99.197208766071427</v>
      </c>
      <c r="M404" s="90">
        <f t="shared" si="131"/>
        <v>1086.9632323896756</v>
      </c>
      <c r="N404" s="90">
        <f t="shared" si="131"/>
        <v>98.333996791188511</v>
      </c>
      <c r="O404" s="523">
        <f t="shared" si="94"/>
        <v>8.0263067568178068E-3</v>
      </c>
      <c r="P404" s="523">
        <f t="shared" si="95"/>
        <v>8.8738847503377656</v>
      </c>
    </row>
    <row r="405" spans="1:16">
      <c r="A405" s="389">
        <f t="shared" ref="A405:N405" si="132">A268</f>
        <v>43676</v>
      </c>
      <c r="B405" s="90">
        <f t="shared" si="132"/>
        <v>9</v>
      </c>
      <c r="C405" s="90" t="str">
        <f t="shared" si="132"/>
        <v>CaCO3 Std.3  2268.1</v>
      </c>
      <c r="D405" s="90">
        <f t="shared" si="132"/>
        <v>2268.1</v>
      </c>
      <c r="E405" s="90">
        <f t="shared" si="132"/>
        <v>0</v>
      </c>
      <c r="F405" s="90">
        <f t="shared" si="132"/>
        <v>0</v>
      </c>
      <c r="G405" s="90">
        <f t="shared" si="132"/>
        <v>2267.6463800000001</v>
      </c>
      <c r="H405" s="90">
        <f t="shared" si="132"/>
        <v>270.6003</v>
      </c>
      <c r="I405" s="90">
        <f t="shared" si="132"/>
        <v>0.42429999999999995</v>
      </c>
      <c r="J405" s="90">
        <f t="shared" si="132"/>
        <v>270.17599999999999</v>
      </c>
      <c r="K405" s="90">
        <f t="shared" si="132"/>
        <v>2266.8823666411627</v>
      </c>
      <c r="L405" s="90">
        <f t="shared" si="132"/>
        <v>99.96630809082157</v>
      </c>
      <c r="M405" s="90">
        <f t="shared" si="132"/>
        <v>2251.6166394671109</v>
      </c>
      <c r="N405" s="90">
        <f t="shared" si="132"/>
        <v>99.293111100819459</v>
      </c>
      <c r="O405" s="523">
        <f t="shared" si="94"/>
        <v>3.3685170796590708E-4</v>
      </c>
      <c r="P405" s="523">
        <f t="shared" si="95"/>
        <v>0.76401335883747379</v>
      </c>
    </row>
    <row r="406" spans="1:16">
      <c r="A406" s="389">
        <f t="shared" ref="A406:N406" si="133">A269</f>
        <v>43676</v>
      </c>
      <c r="B406" s="90">
        <f t="shared" si="133"/>
        <v>10</v>
      </c>
      <c r="C406" s="90" t="str">
        <f t="shared" si="133"/>
        <v>CaCO3 Std.4  3001</v>
      </c>
      <c r="D406" s="90">
        <f t="shared" si="133"/>
        <v>3001</v>
      </c>
      <c r="E406" s="90">
        <f t="shared" si="133"/>
        <v>0</v>
      </c>
      <c r="F406" s="90">
        <f t="shared" si="133"/>
        <v>0</v>
      </c>
      <c r="G406" s="90">
        <f t="shared" si="133"/>
        <v>3000.3998000000001</v>
      </c>
      <c r="H406" s="90">
        <f t="shared" si="133"/>
        <v>358.0779</v>
      </c>
      <c r="I406" s="90">
        <f t="shared" si="133"/>
        <v>0.42429999999999995</v>
      </c>
      <c r="J406" s="90">
        <f t="shared" si="133"/>
        <v>357.65359999999998</v>
      </c>
      <c r="K406" s="90">
        <f t="shared" si="133"/>
        <v>2999.4939079221954</v>
      </c>
      <c r="L406" s="90">
        <f t="shared" si="133"/>
        <v>99.969807621044211</v>
      </c>
      <c r="M406" s="90">
        <f t="shared" si="133"/>
        <v>2980.6451976686094</v>
      </c>
      <c r="N406" s="90">
        <f t="shared" si="133"/>
        <v>99.341600998260603</v>
      </c>
      <c r="O406" s="523">
        <f t="shared" si="94"/>
        <v>3.0186340479998832E-4</v>
      </c>
      <c r="P406" s="523">
        <f t="shared" si="95"/>
        <v>0.90589207780476499</v>
      </c>
    </row>
    <row r="407" spans="1:16">
      <c r="A407" s="389">
        <f t="shared" ref="A407:N407" si="134">A270</f>
        <v>43676</v>
      </c>
      <c r="B407" s="90">
        <f t="shared" si="134"/>
        <v>11</v>
      </c>
      <c r="C407" s="90" t="str">
        <f t="shared" si="134"/>
        <v>CaCO3 Std.5  3652.5</v>
      </c>
      <c r="D407" s="90">
        <f t="shared" si="134"/>
        <v>3652.5</v>
      </c>
      <c r="E407" s="90">
        <f t="shared" si="134"/>
        <v>0</v>
      </c>
      <c r="F407" s="90">
        <f t="shared" si="134"/>
        <v>0</v>
      </c>
      <c r="G407" s="90">
        <f t="shared" si="134"/>
        <v>3651.7694999999999</v>
      </c>
      <c r="H407" s="90">
        <f t="shared" si="134"/>
        <v>436.40940000000001</v>
      </c>
      <c r="I407" s="90">
        <f t="shared" si="134"/>
        <v>0.42429999999999995</v>
      </c>
      <c r="J407" s="90">
        <f t="shared" si="134"/>
        <v>435.98509999999999</v>
      </c>
      <c r="K407" s="90">
        <f t="shared" si="134"/>
        <v>3655.5082584056927</v>
      </c>
      <c r="L407" s="90">
        <f t="shared" si="134"/>
        <v>100.10238210285979</v>
      </c>
      <c r="M407" s="90">
        <f t="shared" si="134"/>
        <v>3633.4511789342214</v>
      </c>
      <c r="N407" s="90">
        <f t="shared" si="134"/>
        <v>99.498371376786551</v>
      </c>
      <c r="O407" s="523">
        <f t="shared" si="94"/>
        <v>-1.0236162643922811E-3</v>
      </c>
      <c r="P407" s="523">
        <f t="shared" si="95"/>
        <v>-3.7387584056928063</v>
      </c>
    </row>
    <row r="408" spans="1:16">
      <c r="A408" s="389">
        <f>A289</f>
        <v>43676</v>
      </c>
      <c r="B408" s="90">
        <f t="shared" ref="B408:N408" si="135">B289</f>
        <v>30</v>
      </c>
      <c r="C408" s="90" t="str">
        <f t="shared" si="135"/>
        <v>CaCO3 Std.3  2096.9</v>
      </c>
      <c r="D408" s="90">
        <f t="shared" si="135"/>
        <v>2096.9</v>
      </c>
      <c r="E408" s="90">
        <f t="shared" si="135"/>
        <v>0</v>
      </c>
      <c r="F408" s="90">
        <f t="shared" si="135"/>
        <v>0</v>
      </c>
      <c r="G408" s="90">
        <f t="shared" si="135"/>
        <v>2096.4806200000003</v>
      </c>
      <c r="H408" s="90">
        <f t="shared" si="135"/>
        <v>250.78270000000001</v>
      </c>
      <c r="I408" s="90">
        <f t="shared" si="135"/>
        <v>0.38224999999999998</v>
      </c>
      <c r="J408" s="90">
        <f t="shared" si="135"/>
        <v>250.40045000000001</v>
      </c>
      <c r="K408" s="90">
        <f t="shared" si="135"/>
        <v>2101.2651553187202</v>
      </c>
      <c r="L408" s="90">
        <f t="shared" si="135"/>
        <v>100.2081718402747</v>
      </c>
      <c r="M408" s="90">
        <f t="shared" si="135"/>
        <v>2086.8094121981685</v>
      </c>
      <c r="N408" s="90">
        <f t="shared" si="135"/>
        <v>99.538693193270177</v>
      </c>
      <c r="O408" s="523">
        <f t="shared" si="94"/>
        <v>-2.281718402746873E-3</v>
      </c>
      <c r="P408" s="523">
        <f t="shared" si="95"/>
        <v>-4.784535318719918</v>
      </c>
    </row>
    <row r="409" spans="1:16">
      <c r="A409" s="67">
        <f>A302</f>
        <v>43678</v>
      </c>
      <c r="B409" s="90">
        <f t="shared" ref="B409:N409" si="136">B302</f>
        <v>7</v>
      </c>
      <c r="C409" s="90" t="str">
        <f t="shared" si="136"/>
        <v>CaCO3 Std.1  298.9</v>
      </c>
      <c r="D409" s="90">
        <f t="shared" si="136"/>
        <v>298.89999999999998</v>
      </c>
      <c r="E409" s="90">
        <f t="shared" si="136"/>
        <v>0</v>
      </c>
      <c r="F409" s="90">
        <f t="shared" si="136"/>
        <v>0</v>
      </c>
      <c r="G409" s="90">
        <f t="shared" si="136"/>
        <v>298.84021999999999</v>
      </c>
      <c r="H409" s="90">
        <f t="shared" si="136"/>
        <v>37.426900000000003</v>
      </c>
      <c r="I409" s="90">
        <f t="shared" si="136"/>
        <v>2.3012666666666663</v>
      </c>
      <c r="J409" s="90">
        <f t="shared" si="136"/>
        <v>35.12563333333334</v>
      </c>
      <c r="K409" s="90">
        <f t="shared" si="136"/>
        <v>299.89839389361998</v>
      </c>
      <c r="L409" s="90">
        <f t="shared" si="136"/>
        <v>100.35409353319977</v>
      </c>
      <c r="M409" s="90">
        <f t="shared" si="136"/>
        <v>292.7331091035249</v>
      </c>
      <c r="N409" s="90">
        <f t="shared" si="136"/>
        <v>97.95639593075019</v>
      </c>
      <c r="O409" s="523">
        <f t="shared" si="94"/>
        <v>-3.5402271449313954E-3</v>
      </c>
      <c r="P409" s="523">
        <f t="shared" si="95"/>
        <v>-1.058173893619994</v>
      </c>
    </row>
    <row r="410" spans="1:16">
      <c r="A410" s="67">
        <f t="shared" ref="A410:N410" si="137">A303</f>
        <v>43678</v>
      </c>
      <c r="B410" s="90">
        <f t="shared" si="137"/>
        <v>8</v>
      </c>
      <c r="C410" s="90" t="str">
        <f t="shared" si="137"/>
        <v>CaCO3 Std.2  1068.1</v>
      </c>
      <c r="D410" s="90">
        <f t="shared" si="137"/>
        <v>1068.0999999999999</v>
      </c>
      <c r="E410" s="90">
        <f t="shared" si="137"/>
        <v>0</v>
      </c>
      <c r="F410" s="90">
        <f t="shared" si="137"/>
        <v>0</v>
      </c>
      <c r="G410" s="90">
        <f t="shared" si="137"/>
        <v>1067.8863799999999</v>
      </c>
      <c r="H410" s="90">
        <f t="shared" si="137"/>
        <v>128.08709999999999</v>
      </c>
      <c r="I410" s="90">
        <f t="shared" si="137"/>
        <v>2.3012666666666663</v>
      </c>
      <c r="J410" s="90">
        <f t="shared" si="137"/>
        <v>125.78583333333333</v>
      </c>
      <c r="K410" s="90">
        <f t="shared" si="137"/>
        <v>1057.6367706543977</v>
      </c>
      <c r="L410" s="90">
        <f t="shared" si="137"/>
        <v>99.040196640994495</v>
      </c>
      <c r="M410" s="90">
        <f t="shared" si="137"/>
        <v>1048.2851006106023</v>
      </c>
      <c r="N410" s="90">
        <f t="shared" si="137"/>
        <v>98.164478941158734</v>
      </c>
      <c r="O410" s="523">
        <f t="shared" si="94"/>
        <v>9.5961139833370158E-3</v>
      </c>
      <c r="P410" s="523">
        <f t="shared" si="95"/>
        <v>10.249609345602266</v>
      </c>
    </row>
    <row r="411" spans="1:16">
      <c r="A411" s="67">
        <f t="shared" ref="A411:N411" si="138">A304</f>
        <v>43678</v>
      </c>
      <c r="B411" s="90">
        <f t="shared" si="138"/>
        <v>9</v>
      </c>
      <c r="C411" s="90" t="str">
        <f t="shared" si="138"/>
        <v>CaCO3 Std.3  2286.8</v>
      </c>
      <c r="D411" s="90">
        <f t="shared" si="138"/>
        <v>2286.8000000000002</v>
      </c>
      <c r="E411" s="90">
        <f t="shared" si="138"/>
        <v>0</v>
      </c>
      <c r="F411" s="90">
        <f t="shared" si="138"/>
        <v>0</v>
      </c>
      <c r="G411" s="90">
        <f t="shared" si="138"/>
        <v>2286.3426400000003</v>
      </c>
      <c r="H411" s="90">
        <f t="shared" si="138"/>
        <v>273.5256</v>
      </c>
      <c r="I411" s="90">
        <f t="shared" si="138"/>
        <v>2.3012666666666663</v>
      </c>
      <c r="J411" s="90">
        <f t="shared" si="138"/>
        <v>271.22433333333333</v>
      </c>
      <c r="K411" s="90">
        <f t="shared" si="138"/>
        <v>2275.6619982166703</v>
      </c>
      <c r="L411" s="90">
        <f t="shared" si="138"/>
        <v>99.53285034375557</v>
      </c>
      <c r="M411" s="90">
        <f t="shared" si="138"/>
        <v>2260.3533325006938</v>
      </c>
      <c r="N411" s="90">
        <f t="shared" si="138"/>
        <v>98.863280286838091</v>
      </c>
      <c r="O411" s="523">
        <f t="shared" si="94"/>
        <v>4.6705622631318762E-3</v>
      </c>
      <c r="P411" s="523">
        <f t="shared" si="95"/>
        <v>10.680641783329975</v>
      </c>
    </row>
    <row r="412" spans="1:16">
      <c r="A412" s="67">
        <f t="shared" ref="A412:N412" si="139">A305</f>
        <v>43678</v>
      </c>
      <c r="B412" s="90">
        <f t="shared" si="139"/>
        <v>10</v>
      </c>
      <c r="C412" s="90" t="str">
        <f t="shared" si="139"/>
        <v>CaCO3 Std.4  3201.6</v>
      </c>
      <c r="D412" s="90">
        <f t="shared" si="139"/>
        <v>3201.6</v>
      </c>
      <c r="E412" s="90">
        <f t="shared" si="139"/>
        <v>0</v>
      </c>
      <c r="F412" s="90">
        <f t="shared" si="139"/>
        <v>0</v>
      </c>
      <c r="G412" s="90">
        <f t="shared" si="139"/>
        <v>3200.9596799999999</v>
      </c>
      <c r="H412" s="90">
        <f t="shared" si="139"/>
        <v>382.733</v>
      </c>
      <c r="I412" s="90">
        <f t="shared" si="139"/>
        <v>2.3012666666666663</v>
      </c>
      <c r="J412" s="90">
        <f t="shared" si="139"/>
        <v>380.43173333333334</v>
      </c>
      <c r="K412" s="90">
        <f t="shared" si="139"/>
        <v>3190.2572961363003</v>
      </c>
      <c r="L412" s="90">
        <f t="shared" si="139"/>
        <v>99.665650775591786</v>
      </c>
      <c r="M412" s="90">
        <f t="shared" si="139"/>
        <v>3170.4756194282545</v>
      </c>
      <c r="N412" s="90">
        <f t="shared" si="139"/>
        <v>99.047658714284537</v>
      </c>
      <c r="O412" s="523">
        <f t="shared" si="94"/>
        <v>3.3428235456333245E-3</v>
      </c>
      <c r="P412" s="523">
        <f t="shared" si="95"/>
        <v>10.702383863699652</v>
      </c>
    </row>
    <row r="413" spans="1:16">
      <c r="A413" s="67">
        <f t="shared" ref="A413:N413" si="140">A306</f>
        <v>43678</v>
      </c>
      <c r="B413" s="90">
        <f t="shared" si="140"/>
        <v>11</v>
      </c>
      <c r="C413" s="90" t="str">
        <f t="shared" si="140"/>
        <v>CaCO3 Std.5  3858.3</v>
      </c>
      <c r="D413" s="90">
        <f t="shared" si="140"/>
        <v>3858.3</v>
      </c>
      <c r="E413" s="90">
        <f t="shared" si="140"/>
        <v>0</v>
      </c>
      <c r="F413" s="90">
        <f t="shared" si="140"/>
        <v>0</v>
      </c>
      <c r="G413" s="90">
        <f t="shared" si="140"/>
        <v>3857.5283400000003</v>
      </c>
      <c r="H413" s="90">
        <f t="shared" si="140"/>
        <v>460.66160000000002</v>
      </c>
      <c r="I413" s="90">
        <f t="shared" si="140"/>
        <v>2.3012666666666663</v>
      </c>
      <c r="J413" s="90">
        <f t="shared" si="140"/>
        <v>458.36033333333336</v>
      </c>
      <c r="K413" s="90">
        <f t="shared" si="140"/>
        <v>3842.8974206467246</v>
      </c>
      <c r="L413" s="90">
        <f t="shared" si="140"/>
        <v>99.620717774084426</v>
      </c>
      <c r="M413" s="90">
        <f t="shared" si="140"/>
        <v>3819.923877046906</v>
      </c>
      <c r="N413" s="90">
        <f t="shared" si="140"/>
        <v>99.025166903813485</v>
      </c>
      <c r="O413" s="523">
        <f t="shared" si="94"/>
        <v>3.7920636947037963E-3</v>
      </c>
      <c r="P413" s="523">
        <f t="shared" si="95"/>
        <v>14.630919353275658</v>
      </c>
    </row>
    <row r="414" spans="1:16">
      <c r="A414" s="67">
        <f>A325</f>
        <v>43678</v>
      </c>
      <c r="B414" s="90">
        <f t="shared" ref="B414:N414" si="141">B325</f>
        <v>30</v>
      </c>
      <c r="C414" s="90" t="str">
        <f t="shared" si="141"/>
        <v>CaCO3 Std.3  2144.6</v>
      </c>
      <c r="D414" s="90">
        <f t="shared" si="141"/>
        <v>2144.6</v>
      </c>
      <c r="E414" s="90">
        <f t="shared" si="141"/>
        <v>0</v>
      </c>
      <c r="F414" s="90">
        <f t="shared" si="141"/>
        <v>0</v>
      </c>
      <c r="G414" s="90">
        <f t="shared" si="141"/>
        <v>2144.1710800000001</v>
      </c>
      <c r="H414" s="90">
        <f t="shared" si="141"/>
        <v>254.10409999999999</v>
      </c>
      <c r="I414" s="90">
        <f t="shared" si="141"/>
        <v>1.0513000000000001</v>
      </c>
      <c r="J414" s="90">
        <f t="shared" si="141"/>
        <v>253.05279999999999</v>
      </c>
      <c r="K414" s="90">
        <f t="shared" si="141"/>
        <v>2123.4781815279066</v>
      </c>
      <c r="L414" s="90">
        <f t="shared" si="141"/>
        <v>99.01511617681183</v>
      </c>
      <c r="M414" s="90">
        <f t="shared" si="141"/>
        <v>2108.9138011656951</v>
      </c>
      <c r="N414" s="90">
        <f t="shared" si="141"/>
        <v>98.355668576860722</v>
      </c>
      <c r="O414" s="523">
        <f t="shared" si="94"/>
        <v>9.6488382318816908E-3</v>
      </c>
      <c r="P414" s="523">
        <f t="shared" si="95"/>
        <v>20.692898472093475</v>
      </c>
    </row>
  </sheetData>
  <mergeCells count="4">
    <mergeCell ref="K4:L4"/>
    <mergeCell ref="M4:N4"/>
    <mergeCell ref="AJ4:AJ6"/>
    <mergeCell ref="X6:Y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DABB-5CBE-4549-901C-E25B39B0CF89}">
  <dimension ref="A1:AK180"/>
  <sheetViews>
    <sheetView zoomScale="118" zoomScaleNormal="118" workbookViewId="0">
      <pane ySplit="1845" activePane="bottomLeft"/>
      <selection activeCell="L2" sqref="L2"/>
      <selection pane="bottomLeft" activeCell="Q65" sqref="Q65"/>
    </sheetView>
  </sheetViews>
  <sheetFormatPr defaultColWidth="8.83203125" defaultRowHeight="15.5"/>
  <cols>
    <col min="2" max="2" width="11.33203125" customWidth="1"/>
    <col min="3" max="3" width="12.1640625" customWidth="1"/>
    <col min="4" max="4" width="10.1640625" bestFit="1" customWidth="1"/>
    <col min="8" max="8" width="9.83203125" customWidth="1"/>
    <col min="13" max="13" width="12" bestFit="1" customWidth="1"/>
    <col min="14" max="14" width="10.6640625" customWidth="1"/>
    <col min="20" max="20" width="11" bestFit="1" customWidth="1"/>
    <col min="27" max="28" width="9.33203125" bestFit="1" customWidth="1"/>
  </cols>
  <sheetData>
    <row r="1" spans="1:37">
      <c r="A1" s="80" t="s">
        <v>2757</v>
      </c>
    </row>
    <row r="2" spans="1:37">
      <c r="H2" s="187" t="s">
        <v>27</v>
      </c>
      <c r="I2" s="187" t="s">
        <v>27</v>
      </c>
      <c r="J2" s="187" t="s">
        <v>2482</v>
      </c>
      <c r="K2" s="321" t="s">
        <v>2631</v>
      </c>
      <c r="L2" s="186" t="s">
        <v>2630</v>
      </c>
    </row>
    <row r="3" spans="1:37">
      <c r="A3" s="309" t="s">
        <v>96</v>
      </c>
      <c r="B3" s="310" t="s">
        <v>2583</v>
      </c>
      <c r="C3" s="310" t="s">
        <v>115</v>
      </c>
      <c r="D3" s="310" t="s">
        <v>2758</v>
      </c>
      <c r="E3" s="310" t="s">
        <v>121</v>
      </c>
      <c r="F3" s="310" t="s">
        <v>119</v>
      </c>
      <c r="G3" s="311" t="s">
        <v>120</v>
      </c>
      <c r="H3" s="198" t="s">
        <v>2634</v>
      </c>
      <c r="I3" s="198" t="s">
        <v>43</v>
      </c>
      <c r="J3" s="198" t="s">
        <v>139</v>
      </c>
      <c r="K3" s="322" t="s">
        <v>2635</v>
      </c>
      <c r="M3" t="s">
        <v>2921</v>
      </c>
      <c r="AF3" t="s">
        <v>3465</v>
      </c>
      <c r="AH3" t="s">
        <v>2912</v>
      </c>
      <c r="AI3" t="s">
        <v>2913</v>
      </c>
      <c r="AJ3" t="s">
        <v>3468</v>
      </c>
    </row>
    <row r="4" spans="1:37">
      <c r="A4" s="312" t="s">
        <v>2759</v>
      </c>
      <c r="B4" s="313" t="s">
        <v>2760</v>
      </c>
      <c r="C4" s="314">
        <v>0.56597222222222221</v>
      </c>
      <c r="D4" s="313"/>
      <c r="E4" s="315" t="s">
        <v>2622</v>
      </c>
      <c r="F4" s="315" t="s">
        <v>2622</v>
      </c>
      <c r="G4" s="316" t="s">
        <v>2622</v>
      </c>
      <c r="H4" s="285" t="s">
        <v>2640</v>
      </c>
      <c r="I4" s="284"/>
      <c r="J4" s="284"/>
      <c r="L4" s="284" t="s">
        <v>2639</v>
      </c>
      <c r="AF4" t="str">
        <f>I5</f>
        <v>47_1000</v>
      </c>
      <c r="AG4">
        <v>1</v>
      </c>
      <c r="AH4" s="90">
        <f>E5</f>
        <v>0.42717266082763672</v>
      </c>
      <c r="AI4" s="90">
        <f>F5</f>
        <v>13.717081069946289</v>
      </c>
      <c r="AJ4" s="90">
        <f>G5</f>
        <v>0.35594463348388672</v>
      </c>
    </row>
    <row r="5" spans="1:37">
      <c r="A5" s="312" t="s">
        <v>2761</v>
      </c>
      <c r="B5" s="313" t="s">
        <v>2760</v>
      </c>
      <c r="C5" s="314">
        <v>0.57500000000000007</v>
      </c>
      <c r="D5" s="313">
        <v>3.5392000000000001</v>
      </c>
      <c r="E5" s="315">
        <v>0.42717266082763672</v>
      </c>
      <c r="F5" s="315">
        <v>13.717081069946289</v>
      </c>
      <c r="G5" s="316">
        <v>0.35594463348388672</v>
      </c>
      <c r="H5" s="287">
        <v>2018</v>
      </c>
      <c r="I5" s="287" t="s">
        <v>188</v>
      </c>
      <c r="J5" s="287">
        <v>1</v>
      </c>
      <c r="K5" s="288">
        <v>3539.2</v>
      </c>
      <c r="L5" s="287" t="s">
        <v>2641</v>
      </c>
      <c r="M5" s="231">
        <f>F5/E5</f>
        <v>32.11132717007164</v>
      </c>
      <c r="O5" s="345" t="s">
        <v>2582</v>
      </c>
      <c r="P5" s="345" t="s">
        <v>323</v>
      </c>
      <c r="Q5" s="349" t="s">
        <v>2914</v>
      </c>
      <c r="T5" s="345"/>
      <c r="AF5" t="s">
        <v>188</v>
      </c>
      <c r="AG5" s="97">
        <v>2</v>
      </c>
      <c r="AH5" s="90">
        <f t="shared" ref="AH5:AH6" si="0">E6</f>
        <v>1.1302868127822876</v>
      </c>
      <c r="AI5" s="90">
        <f t="shared" ref="AI5:AJ6" si="1">F6</f>
        <v>18.464334487915039</v>
      </c>
      <c r="AJ5" s="90">
        <f t="shared" si="1"/>
        <v>1.3780145645141602</v>
      </c>
    </row>
    <row r="6" spans="1:37">
      <c r="A6" s="312" t="s">
        <v>2762</v>
      </c>
      <c r="B6" s="313" t="s">
        <v>2760</v>
      </c>
      <c r="C6" s="314">
        <v>0.58750000000000002</v>
      </c>
      <c r="D6" s="313">
        <v>2.9018999999999999</v>
      </c>
      <c r="E6" s="315">
        <v>1.1302868127822876</v>
      </c>
      <c r="F6" s="315">
        <v>18.464334487915039</v>
      </c>
      <c r="G6" s="316">
        <v>1.3780145645141602</v>
      </c>
      <c r="H6" s="287">
        <v>2018</v>
      </c>
      <c r="I6" s="287" t="s">
        <v>188</v>
      </c>
      <c r="J6" s="290">
        <v>2</v>
      </c>
      <c r="K6" s="290">
        <v>2901.9</v>
      </c>
      <c r="L6" s="290" t="s">
        <v>2644</v>
      </c>
      <c r="M6" s="231">
        <f t="shared" ref="M6:M69" si="2">F6/E6</f>
        <v>16.335972674460976</v>
      </c>
      <c r="O6" s="345" t="s">
        <v>2912</v>
      </c>
      <c r="P6" s="345" t="s">
        <v>2913</v>
      </c>
      <c r="AF6" t="s">
        <v>188</v>
      </c>
      <c r="AG6" s="97">
        <v>3</v>
      </c>
      <c r="AH6" s="90">
        <f t="shared" si="0"/>
        <v>0.26112067699432373</v>
      </c>
      <c r="AI6" s="90">
        <f t="shared" si="1"/>
        <v>13.149158477783203</v>
      </c>
      <c r="AJ6" s="90">
        <f t="shared" si="1"/>
        <v>0.20279805362224579</v>
      </c>
    </row>
    <row r="7" spans="1:37">
      <c r="A7" s="312" t="s">
        <v>2763</v>
      </c>
      <c r="B7" s="313" t="s">
        <v>2760</v>
      </c>
      <c r="C7" s="314">
        <v>0.59652777777777777</v>
      </c>
      <c r="D7" s="313">
        <v>3.5028999999999999</v>
      </c>
      <c r="E7" s="315">
        <v>0.26112067699432373</v>
      </c>
      <c r="F7" s="315">
        <v>13.149158477783203</v>
      </c>
      <c r="G7" s="316">
        <v>0.20279805362224579</v>
      </c>
      <c r="H7" s="287">
        <v>2018</v>
      </c>
      <c r="I7" s="287" t="s">
        <v>188</v>
      </c>
      <c r="J7" s="290">
        <v>3</v>
      </c>
      <c r="K7" s="290">
        <v>3502.9</v>
      </c>
      <c r="L7" s="290" t="s">
        <v>2645</v>
      </c>
      <c r="M7" s="231">
        <f>F7/E7</f>
        <v>50.356634446337011</v>
      </c>
      <c r="O7" s="350">
        <f>AVERAGE(E5:E15)</f>
        <v>1.3252945650707593</v>
      </c>
      <c r="P7" s="350">
        <f>AVERAGE(F5:F15)</f>
        <v>16.304906671697442</v>
      </c>
      <c r="AF7" t="s">
        <v>188</v>
      </c>
      <c r="AG7" s="97">
        <v>4</v>
      </c>
      <c r="AH7" s="90">
        <f t="shared" ref="AH7" si="3">E8</f>
        <v>0.57253855466842651</v>
      </c>
      <c r="AI7" s="90">
        <f t="shared" ref="AI7:AJ7" si="4">F8</f>
        <v>14.327220916748047</v>
      </c>
      <c r="AJ7" s="90">
        <f t="shared" si="4"/>
        <v>0.5327681303024292</v>
      </c>
    </row>
    <row r="8" spans="1:37">
      <c r="A8" s="312" t="s">
        <v>2764</v>
      </c>
      <c r="B8" s="313" t="s">
        <v>2760</v>
      </c>
      <c r="C8" s="314">
        <v>0.60555555555555551</v>
      </c>
      <c r="D8" s="313">
        <v>3.3996</v>
      </c>
      <c r="E8" s="315">
        <v>0.57253855466842651</v>
      </c>
      <c r="F8" s="315">
        <v>14.327220916748047</v>
      </c>
      <c r="G8" s="316">
        <v>0.5327681303024292</v>
      </c>
      <c r="H8" s="287">
        <v>2018</v>
      </c>
      <c r="I8" s="287" t="s">
        <v>188</v>
      </c>
      <c r="J8" s="290">
        <v>4</v>
      </c>
      <c r="K8" s="290">
        <v>3399.6</v>
      </c>
      <c r="L8" s="290" t="s">
        <v>2646</v>
      </c>
      <c r="M8" s="231">
        <f t="shared" si="2"/>
        <v>25.024028163562456</v>
      </c>
      <c r="AF8" t="s">
        <v>188</v>
      </c>
      <c r="AG8" s="97">
        <v>5</v>
      </c>
      <c r="AH8" s="90" t="s">
        <v>2622</v>
      </c>
      <c r="AI8" s="90" t="s">
        <v>2622</v>
      </c>
      <c r="AJ8" s="90" t="s">
        <v>2622</v>
      </c>
    </row>
    <row r="9" spans="1:37">
      <c r="A9" s="312" t="s">
        <v>2765</v>
      </c>
      <c r="B9" s="313" t="s">
        <v>2760</v>
      </c>
      <c r="C9" s="314">
        <v>0.61458333333333337</v>
      </c>
      <c r="D9" s="313">
        <v>1.5601</v>
      </c>
      <c r="E9" s="315">
        <v>2.6412904262542725</v>
      </c>
      <c r="F9" s="315">
        <v>22.348100662231445</v>
      </c>
      <c r="G9" s="316">
        <v>2.3753461837768555</v>
      </c>
      <c r="H9" s="287">
        <v>2018</v>
      </c>
      <c r="I9" s="287" t="s">
        <v>188</v>
      </c>
      <c r="J9" s="290">
        <v>6</v>
      </c>
      <c r="K9" s="290">
        <v>1560.1</v>
      </c>
      <c r="L9" s="290" t="s">
        <v>2649</v>
      </c>
      <c r="M9">
        <f t="shared" si="2"/>
        <v>8.4610539000530309</v>
      </c>
      <c r="O9" s="345" t="s">
        <v>2911</v>
      </c>
      <c r="P9" s="345"/>
      <c r="Q9" s="345"/>
      <c r="AF9" t="s">
        <v>188</v>
      </c>
      <c r="AG9" s="97">
        <v>6</v>
      </c>
      <c r="AH9" s="90">
        <f t="shared" ref="AH9:AJ10" si="5">E9</f>
        <v>2.6412904262542725</v>
      </c>
      <c r="AI9" s="90">
        <f t="shared" si="5"/>
        <v>22.348100662231445</v>
      </c>
      <c r="AJ9" s="90">
        <f t="shared" si="5"/>
        <v>2.3753461837768555</v>
      </c>
    </row>
    <row r="10" spans="1:37">
      <c r="A10" s="312" t="s">
        <v>2766</v>
      </c>
      <c r="B10" s="313" t="s">
        <v>2760</v>
      </c>
      <c r="C10" s="314">
        <v>0.62361111111111112</v>
      </c>
      <c r="D10" s="313">
        <v>2.7082999999999999</v>
      </c>
      <c r="E10" s="315">
        <v>1.6864792108535767</v>
      </c>
      <c r="F10" s="315">
        <v>14.52754020690918</v>
      </c>
      <c r="G10" s="316">
        <v>1.2516330480575562</v>
      </c>
      <c r="H10" s="287">
        <v>2018</v>
      </c>
      <c r="I10" s="287" t="s">
        <v>188</v>
      </c>
      <c r="J10" s="290">
        <v>7</v>
      </c>
      <c r="K10" s="290">
        <v>2708.3</v>
      </c>
      <c r="L10" s="290" t="s">
        <v>2650</v>
      </c>
      <c r="M10">
        <f t="shared" si="2"/>
        <v>8.6141235026291039</v>
      </c>
      <c r="O10" s="345" t="s">
        <v>2912</v>
      </c>
      <c r="P10" s="345" t="s">
        <v>2913</v>
      </c>
      <c r="Q10" s="345"/>
      <c r="S10" t="s">
        <v>3430</v>
      </c>
      <c r="AF10" t="s">
        <v>188</v>
      </c>
      <c r="AG10" s="97">
        <v>7</v>
      </c>
      <c r="AH10" s="90">
        <f t="shared" si="5"/>
        <v>1.6864792108535767</v>
      </c>
      <c r="AI10" s="90">
        <f t="shared" si="5"/>
        <v>14.52754020690918</v>
      </c>
      <c r="AJ10" s="90">
        <f t="shared" si="5"/>
        <v>1.2516330480575562</v>
      </c>
    </row>
    <row r="11" spans="1:37">
      <c r="A11" s="330" t="s">
        <v>2767</v>
      </c>
      <c r="B11" s="331" t="s">
        <v>2760</v>
      </c>
      <c r="C11" s="332">
        <v>0.63263888888888886</v>
      </c>
      <c r="D11" s="331">
        <v>3.5590999999999999</v>
      </c>
      <c r="E11" s="333">
        <v>1.6903629302978516</v>
      </c>
      <c r="F11" s="333">
        <v>17.051334381103516</v>
      </c>
      <c r="G11" s="334">
        <v>1.5179238319396973</v>
      </c>
      <c r="H11" s="335">
        <v>2018</v>
      </c>
      <c r="I11" s="335" t="s">
        <v>188</v>
      </c>
      <c r="J11" s="336" t="s">
        <v>2652</v>
      </c>
      <c r="K11" s="336">
        <v>3559.1</v>
      </c>
      <c r="L11" s="336" t="s">
        <v>2651</v>
      </c>
      <c r="M11">
        <f t="shared" si="2"/>
        <v>10.087380689364132</v>
      </c>
      <c r="O11" s="346">
        <f>((E11-E12)/AVERAGE(E11:E12))*100</f>
        <v>-1.5569193624929518</v>
      </c>
      <c r="P11" s="346">
        <f>((F11-F12)/AVERAGE(F11:F12))*100</f>
        <v>0.45857555458862009</v>
      </c>
      <c r="Q11" s="347"/>
      <c r="R11" s="348"/>
      <c r="S11" s="348"/>
      <c r="AF11" t="s">
        <v>188</v>
      </c>
      <c r="AG11" s="97">
        <v>8</v>
      </c>
      <c r="AH11" t="s">
        <v>2622</v>
      </c>
      <c r="AI11" t="s">
        <v>2622</v>
      </c>
      <c r="AJ11" t="s">
        <v>2622</v>
      </c>
    </row>
    <row r="12" spans="1:37">
      <c r="A12" s="330" t="s">
        <v>2768</v>
      </c>
      <c r="B12" s="331" t="s">
        <v>2760</v>
      </c>
      <c r="C12" s="332">
        <v>0.64236111111111105</v>
      </c>
      <c r="D12" s="331">
        <v>3.0291999999999999</v>
      </c>
      <c r="E12" s="333">
        <v>1.7168869972229004</v>
      </c>
      <c r="F12" s="333">
        <v>16.973320007324219</v>
      </c>
      <c r="G12" s="334">
        <v>1.4591943025588989</v>
      </c>
      <c r="H12" s="335">
        <v>2018</v>
      </c>
      <c r="I12" s="335" t="s">
        <v>188</v>
      </c>
      <c r="J12" s="336" t="s">
        <v>2654</v>
      </c>
      <c r="K12" s="336">
        <v>3029.2</v>
      </c>
      <c r="L12" s="336" t="s">
        <v>2653</v>
      </c>
      <c r="M12">
        <f t="shared" si="2"/>
        <v>9.8861020176510799</v>
      </c>
      <c r="N12" s="595" t="s">
        <v>3424</v>
      </c>
      <c r="O12" s="90">
        <f>(_xlfn.STDEV.P(E11:E12)/AVERAGE(E11:E12))*100</f>
        <v>0.77845968124647591</v>
      </c>
      <c r="P12" s="90">
        <f>(_xlfn.STDEV.P(F11:F12)/AVERAGE(F11:F12))*100</f>
        <v>0.22928777729431005</v>
      </c>
      <c r="S12">
        <f>((M11-M12)/AVERAGE(M12,M11))*100</f>
        <v>2.0154589428948948</v>
      </c>
      <c r="AF12" t="s">
        <v>188</v>
      </c>
      <c r="AG12" s="97">
        <v>9</v>
      </c>
      <c r="AH12" s="90">
        <f>AVERAGE(E11:E12)</f>
        <v>1.703624963760376</v>
      </c>
      <c r="AI12" s="90">
        <f>AVERAGE(F11:F12)</f>
        <v>17.012327194213867</v>
      </c>
      <c r="AJ12" s="90">
        <f>AVERAGE(G11:G12)</f>
        <v>1.4885590672492981</v>
      </c>
      <c r="AK12" t="s">
        <v>3466</v>
      </c>
    </row>
    <row r="13" spans="1:37">
      <c r="A13" s="312" t="s">
        <v>2769</v>
      </c>
      <c r="B13" s="313" t="s">
        <v>2760</v>
      </c>
      <c r="C13" s="314">
        <v>0.65</v>
      </c>
      <c r="D13" s="313">
        <v>2.5872999999999999</v>
      </c>
      <c r="E13" s="315">
        <v>1.6167234182357788</v>
      </c>
      <c r="F13" s="315">
        <v>17.110343933105469</v>
      </c>
      <c r="G13" s="316">
        <v>1.4357719421386719</v>
      </c>
      <c r="H13" s="287">
        <v>2018</v>
      </c>
      <c r="I13" s="287" t="s">
        <v>188</v>
      </c>
      <c r="J13" s="290">
        <v>10</v>
      </c>
      <c r="K13" s="290">
        <v>2587.3000000000002</v>
      </c>
      <c r="L13" s="290" t="s">
        <v>2655</v>
      </c>
      <c r="M13">
        <f t="shared" si="2"/>
        <v>10.583346378304356</v>
      </c>
      <c r="AF13" t="s">
        <v>188</v>
      </c>
      <c r="AG13" s="97">
        <v>10</v>
      </c>
      <c r="AH13" s="90">
        <f>E13</f>
        <v>1.6167234182357788</v>
      </c>
      <c r="AI13" s="90">
        <f>F13</f>
        <v>17.110343933105469</v>
      </c>
      <c r="AJ13" s="90">
        <f>G13</f>
        <v>1.4357719421386719</v>
      </c>
    </row>
    <row r="14" spans="1:37">
      <c r="A14" s="312" t="s">
        <v>2770</v>
      </c>
      <c r="B14" s="313" t="s">
        <v>2760</v>
      </c>
      <c r="C14" s="314">
        <v>0.65972222222222221</v>
      </c>
      <c r="D14" s="313">
        <v>2.4771000000000001</v>
      </c>
      <c r="E14" s="315">
        <v>1.6241707801818848</v>
      </c>
      <c r="F14" s="315">
        <v>16.932502746582031</v>
      </c>
      <c r="G14" s="316">
        <v>1.5480353832244873</v>
      </c>
      <c r="H14" s="287">
        <v>2018</v>
      </c>
      <c r="I14" s="287" t="s">
        <v>188</v>
      </c>
      <c r="J14" s="290">
        <v>11</v>
      </c>
      <c r="K14" s="290">
        <v>2477.1</v>
      </c>
      <c r="L14" s="290" t="s">
        <v>2656</v>
      </c>
      <c r="M14">
        <f t="shared" si="2"/>
        <v>10.425321618386599</v>
      </c>
      <c r="AF14" t="s">
        <v>188</v>
      </c>
      <c r="AG14" s="97">
        <v>11</v>
      </c>
      <c r="AH14" s="90">
        <f t="shared" ref="AH14:AH15" si="6">E14</f>
        <v>1.6241707801818848</v>
      </c>
      <c r="AI14" s="90">
        <f t="shared" ref="AI14:AJ15" si="7">F14</f>
        <v>16.932502746582031</v>
      </c>
      <c r="AJ14" s="90">
        <f t="shared" si="7"/>
        <v>1.5480353832244873</v>
      </c>
    </row>
    <row r="15" spans="1:37">
      <c r="A15" s="312" t="s">
        <v>2771</v>
      </c>
      <c r="B15" s="313" t="s">
        <v>2760</v>
      </c>
      <c r="C15" s="314">
        <v>0.66875000000000007</v>
      </c>
      <c r="D15" s="313">
        <v>2.9714999999999998</v>
      </c>
      <c r="E15" s="315">
        <v>1.2112077474594116</v>
      </c>
      <c r="F15" s="315">
        <v>14.753036499023438</v>
      </c>
      <c r="G15" s="316">
        <v>1.1379098892211914</v>
      </c>
      <c r="H15" s="287">
        <v>2018</v>
      </c>
      <c r="I15" s="287" t="s">
        <v>188</v>
      </c>
      <c r="J15" s="290">
        <v>12</v>
      </c>
      <c r="K15" s="290">
        <v>2971.5</v>
      </c>
      <c r="L15" s="290" t="s">
        <v>2657</v>
      </c>
      <c r="M15">
        <f t="shared" si="2"/>
        <v>12.180434388707393</v>
      </c>
      <c r="AF15" t="s">
        <v>188</v>
      </c>
      <c r="AG15" s="97">
        <v>12</v>
      </c>
      <c r="AH15" s="90">
        <f t="shared" si="6"/>
        <v>1.2112077474594116</v>
      </c>
      <c r="AI15" s="90">
        <f t="shared" si="7"/>
        <v>14.753036499023438</v>
      </c>
      <c r="AJ15" s="90">
        <f t="shared" si="7"/>
        <v>1.1379098892211914</v>
      </c>
    </row>
    <row r="16" spans="1:37">
      <c r="A16" s="323" t="s">
        <v>2772</v>
      </c>
      <c r="B16" s="324" t="s">
        <v>2760</v>
      </c>
      <c r="C16" s="329">
        <v>0.6777777777777777</v>
      </c>
      <c r="D16" s="324"/>
      <c r="E16" s="325"/>
      <c r="F16" s="325"/>
      <c r="G16" s="326"/>
      <c r="H16" s="327"/>
      <c r="I16" s="327"/>
      <c r="J16" s="328"/>
      <c r="K16" s="328"/>
      <c r="L16" s="328"/>
      <c r="O16" s="345" t="s">
        <v>2911</v>
      </c>
      <c r="P16" s="345"/>
      <c r="Q16" s="345"/>
      <c r="AF16" t="s">
        <v>188</v>
      </c>
      <c r="AG16" s="97">
        <v>13</v>
      </c>
      <c r="AH16" s="90">
        <f>E17</f>
        <v>1.163560152053833</v>
      </c>
      <c r="AI16" s="90">
        <f>F17</f>
        <v>15.142020225524902</v>
      </c>
      <c r="AJ16" s="90">
        <f>G17</f>
        <v>1.0633201599121094</v>
      </c>
    </row>
    <row r="17" spans="1:37">
      <c r="A17" s="312" t="s">
        <v>2773</v>
      </c>
      <c r="B17" s="313" t="s">
        <v>2760</v>
      </c>
      <c r="C17" s="314">
        <v>0.68680555555555556</v>
      </c>
      <c r="D17" s="313">
        <v>3.1305999999999998</v>
      </c>
      <c r="E17" s="315">
        <v>1.163560152053833</v>
      </c>
      <c r="F17" s="315">
        <v>15.142020225524902</v>
      </c>
      <c r="G17" s="316">
        <v>1.0633201599121094</v>
      </c>
      <c r="H17" s="287">
        <v>2018</v>
      </c>
      <c r="I17" s="287" t="s">
        <v>188</v>
      </c>
      <c r="J17" s="290">
        <v>13</v>
      </c>
      <c r="K17" s="290">
        <v>3130.6</v>
      </c>
      <c r="L17" s="284" t="s">
        <v>2658</v>
      </c>
      <c r="M17">
        <f t="shared" si="2"/>
        <v>13.013525943456635</v>
      </c>
      <c r="O17" s="345" t="s">
        <v>2912</v>
      </c>
      <c r="P17" s="345" t="s">
        <v>2913</v>
      </c>
      <c r="Q17" s="345"/>
      <c r="AF17" t="s">
        <v>188</v>
      </c>
      <c r="AG17" s="97">
        <v>14</v>
      </c>
      <c r="AH17" s="90">
        <f>AVERAGE(E18:E19)</f>
        <v>0.96227487921714783</v>
      </c>
      <c r="AI17" s="90">
        <f>AVERAGE(F18:F19)</f>
        <v>14.642641544342041</v>
      </c>
      <c r="AJ17" s="90">
        <f>AVERAGE(G18:G19)</f>
        <v>0.81671649217605591</v>
      </c>
      <c r="AK17" t="s">
        <v>3466</v>
      </c>
    </row>
    <row r="18" spans="1:37">
      <c r="A18" s="330" t="s">
        <v>2774</v>
      </c>
      <c r="B18" s="331" t="s">
        <v>2760</v>
      </c>
      <c r="C18" s="332">
        <v>0.6958333333333333</v>
      </c>
      <c r="D18" s="331">
        <v>3.0882000000000001</v>
      </c>
      <c r="E18" s="333">
        <v>0.96906042098999023</v>
      </c>
      <c r="F18" s="333">
        <v>14.712458610534668</v>
      </c>
      <c r="G18" s="334">
        <v>0.84635359048843384</v>
      </c>
      <c r="H18" s="335">
        <v>2018</v>
      </c>
      <c r="I18" s="335" t="s">
        <v>188</v>
      </c>
      <c r="J18" s="336" t="s">
        <v>2660</v>
      </c>
      <c r="K18" s="336">
        <v>3088.2</v>
      </c>
      <c r="L18" s="335" t="s">
        <v>2659</v>
      </c>
      <c r="M18">
        <f t="shared" si="2"/>
        <v>15.182189151327064</v>
      </c>
      <c r="O18" s="346">
        <f>((E18-E19)/AVERAGE(E18:E19))*100</f>
        <v>1.4103125664805338</v>
      </c>
      <c r="P18" s="346">
        <f>((F18-F19)/AVERAGE(F18:F19))*100</f>
        <v>0.95361299368288466</v>
      </c>
      <c r="Q18" s="347"/>
      <c r="R18" s="348"/>
      <c r="S18" s="348"/>
      <c r="AF18" t="s">
        <v>188</v>
      </c>
      <c r="AG18" s="97">
        <v>15</v>
      </c>
      <c r="AH18" s="90">
        <f>E158</f>
        <v>1.2388161420822144</v>
      </c>
      <c r="AI18" s="90">
        <f>F158</f>
        <v>15.936421394348145</v>
      </c>
      <c r="AJ18" s="90">
        <f>G158</f>
        <v>0.97513198852539063</v>
      </c>
    </row>
    <row r="19" spans="1:37">
      <c r="A19" s="330" t="s">
        <v>2775</v>
      </c>
      <c r="B19" s="331" t="s">
        <v>2760</v>
      </c>
      <c r="C19" s="332">
        <v>0.70486111111111116</v>
      </c>
      <c r="D19" s="331">
        <v>3.0125999999999999</v>
      </c>
      <c r="E19" s="333">
        <v>0.95548933744430542</v>
      </c>
      <c r="F19" s="333">
        <v>14.572824478149414</v>
      </c>
      <c r="G19" s="334">
        <v>0.78707939386367798</v>
      </c>
      <c r="H19" s="335">
        <v>2018</v>
      </c>
      <c r="I19" s="335" t="s">
        <v>188</v>
      </c>
      <c r="J19" s="336" t="s">
        <v>2662</v>
      </c>
      <c r="K19" s="336">
        <v>3012.6</v>
      </c>
      <c r="L19" s="336" t="s">
        <v>2661</v>
      </c>
      <c r="M19">
        <f t="shared" si="2"/>
        <v>15.251687179605863</v>
      </c>
      <c r="N19" s="595" t="s">
        <v>3424</v>
      </c>
      <c r="O19" s="90">
        <f>(_xlfn.STDEV.P(E18:E19)/AVERAGE(E18:E19))*100</f>
        <v>0.70515628324026691</v>
      </c>
      <c r="P19" s="90">
        <f>(_xlfn.STDEV.P(F18:F19)/AVERAGE(F18:F19))*100</f>
        <v>0.47680649684144233</v>
      </c>
      <c r="S19">
        <f>((M18-M19)/AVERAGE(M19,M18))*100</f>
        <v>-0.45671492860843033</v>
      </c>
      <c r="AF19" t="s">
        <v>188</v>
      </c>
      <c r="AG19" s="97">
        <v>16</v>
      </c>
      <c r="AH19" s="90">
        <f>E22</f>
        <v>2.6349039077758789</v>
      </c>
      <c r="AI19" s="90">
        <f>F22</f>
        <v>21.282453536987305</v>
      </c>
      <c r="AJ19" s="90">
        <f>G22</f>
        <v>2.1279659271240234</v>
      </c>
    </row>
    <row r="20" spans="1:37">
      <c r="A20" s="320" t="s">
        <v>2910</v>
      </c>
      <c r="B20" s="317"/>
      <c r="C20" s="317"/>
      <c r="D20" s="317"/>
      <c r="E20" s="318"/>
      <c r="F20" s="318"/>
      <c r="G20" s="319"/>
      <c r="H20" s="287">
        <v>2018</v>
      </c>
      <c r="I20" s="287" t="s">
        <v>188</v>
      </c>
      <c r="J20" s="290">
        <v>15</v>
      </c>
      <c r="K20" s="290">
        <v>2892.1</v>
      </c>
      <c r="L20" s="290" t="s">
        <v>2663</v>
      </c>
      <c r="O20" s="345" t="s">
        <v>2582</v>
      </c>
      <c r="P20" s="345" t="s">
        <v>323</v>
      </c>
      <c r="Q20" s="349" t="s">
        <v>2914</v>
      </c>
      <c r="AF20" t="s">
        <v>188</v>
      </c>
      <c r="AG20" s="97">
        <v>17</v>
      </c>
      <c r="AH20" s="90">
        <f t="shared" ref="AH20:AJ20" si="8">E23</f>
        <v>2.7832210063934326</v>
      </c>
      <c r="AI20" s="90">
        <f t="shared" si="8"/>
        <v>22.321132659912109</v>
      </c>
      <c r="AJ20" s="90">
        <f t="shared" si="8"/>
        <v>2.5038745403289795</v>
      </c>
    </row>
    <row r="21" spans="1:37">
      <c r="A21" s="337" t="s">
        <v>2776</v>
      </c>
      <c r="B21" s="338" t="s">
        <v>2777</v>
      </c>
      <c r="C21" s="338" t="s">
        <v>2778</v>
      </c>
      <c r="D21" s="338">
        <v>3.3860999999999999</v>
      </c>
      <c r="E21" s="339">
        <v>0.27058932185173035</v>
      </c>
      <c r="F21" s="339">
        <v>3.2299375534057617</v>
      </c>
      <c r="G21" s="340">
        <v>0.65667451620101902</v>
      </c>
      <c r="H21" s="341" t="s">
        <v>2665</v>
      </c>
      <c r="I21" s="342"/>
      <c r="J21" s="343"/>
      <c r="K21" s="343">
        <v>3386.1</v>
      </c>
      <c r="L21" s="343" t="s">
        <v>2664</v>
      </c>
      <c r="M21">
        <f t="shared" si="2"/>
        <v>11.936677808652068</v>
      </c>
      <c r="O21" s="345" t="s">
        <v>2912</v>
      </c>
      <c r="P21" s="345" t="s">
        <v>2913</v>
      </c>
      <c r="AF21" t="s">
        <v>188</v>
      </c>
      <c r="AG21" s="97">
        <v>18</v>
      </c>
      <c r="AH21" s="90">
        <f t="shared" ref="AH21:AJ21" si="9">E24</f>
        <v>1.7875549793243408</v>
      </c>
      <c r="AI21" s="90">
        <f t="shared" si="9"/>
        <v>16.888715744018555</v>
      </c>
      <c r="AJ21" s="90">
        <f t="shared" si="9"/>
        <v>1.6678857803344727</v>
      </c>
    </row>
    <row r="22" spans="1:37">
      <c r="A22" s="312" t="s">
        <v>2779</v>
      </c>
      <c r="B22" s="313" t="s">
        <v>2777</v>
      </c>
      <c r="C22" s="313" t="s">
        <v>2780</v>
      </c>
      <c r="D22" s="313">
        <v>3.0649999999999999</v>
      </c>
      <c r="E22" s="315">
        <v>2.6349039077758789</v>
      </c>
      <c r="F22" s="315">
        <v>21.282453536987305</v>
      </c>
      <c r="G22" s="316">
        <v>2.1279659271240234</v>
      </c>
      <c r="H22" s="287">
        <v>2018</v>
      </c>
      <c r="I22" s="287" t="s">
        <v>188</v>
      </c>
      <c r="J22" s="290">
        <v>16</v>
      </c>
      <c r="K22" s="290">
        <v>3065</v>
      </c>
      <c r="L22" s="290" t="s">
        <v>2666</v>
      </c>
      <c r="M22">
        <f t="shared" si="2"/>
        <v>8.0771270155926906</v>
      </c>
      <c r="O22" s="350">
        <f>AVERAGE(E17:E19,E22:E28)</f>
        <v>1.600366050004959</v>
      </c>
      <c r="P22" s="350">
        <f>AVERAGE(F17:F19,F22:F28)</f>
        <v>16.797136116027833</v>
      </c>
      <c r="AF22" t="s">
        <v>188</v>
      </c>
      <c r="AG22" s="97">
        <v>19</v>
      </c>
      <c r="AH22" s="90">
        <f t="shared" ref="AH22:AJ22" si="10">E25</f>
        <v>2.4158401489257813</v>
      </c>
      <c r="AI22" s="90">
        <f t="shared" si="10"/>
        <v>18.287374496459961</v>
      </c>
      <c r="AJ22" s="90">
        <f t="shared" si="10"/>
        <v>2.1156110763549805</v>
      </c>
    </row>
    <row r="23" spans="1:37">
      <c r="A23" s="312" t="s">
        <v>2781</v>
      </c>
      <c r="B23" s="313" t="s">
        <v>2777</v>
      </c>
      <c r="C23" s="313" t="s">
        <v>2782</v>
      </c>
      <c r="D23" s="313">
        <v>2.9597000000000002</v>
      </c>
      <c r="E23" s="315">
        <v>2.7832210063934326</v>
      </c>
      <c r="F23" s="315">
        <v>22.321132659912109</v>
      </c>
      <c r="G23" s="316">
        <v>2.5038745403289795</v>
      </c>
      <c r="H23" s="287">
        <v>2018</v>
      </c>
      <c r="I23" s="287" t="s">
        <v>188</v>
      </c>
      <c r="J23" s="290">
        <v>17</v>
      </c>
      <c r="K23" s="290">
        <v>2959.7</v>
      </c>
      <c r="L23" s="290" t="s">
        <v>2667</v>
      </c>
      <c r="M23">
        <f t="shared" si="2"/>
        <v>8.0198922789952611</v>
      </c>
      <c r="AF23" t="s">
        <v>188</v>
      </c>
      <c r="AG23" s="97">
        <v>20</v>
      </c>
      <c r="AH23" s="90">
        <f t="shared" ref="AH23:AJ23" si="11">E26</f>
        <v>1.5406123399734497</v>
      </c>
      <c r="AI23" s="90">
        <f t="shared" si="11"/>
        <v>15.935337066650391</v>
      </c>
      <c r="AJ23" s="90">
        <f t="shared" si="11"/>
        <v>1.5066031217575073</v>
      </c>
    </row>
    <row r="24" spans="1:37">
      <c r="A24" s="312" t="s">
        <v>2783</v>
      </c>
      <c r="B24" s="313" t="s">
        <v>2777</v>
      </c>
      <c r="C24" s="313" t="s">
        <v>2784</v>
      </c>
      <c r="D24" s="313">
        <v>3.3007</v>
      </c>
      <c r="E24" s="315">
        <v>1.7875549793243408</v>
      </c>
      <c r="F24" s="315">
        <v>16.888715744018555</v>
      </c>
      <c r="G24" s="316">
        <v>1.6678857803344727</v>
      </c>
      <c r="H24" s="287">
        <v>2018</v>
      </c>
      <c r="I24" s="287" t="s">
        <v>188</v>
      </c>
      <c r="J24" s="290">
        <v>18</v>
      </c>
      <c r="K24" s="290">
        <v>3300.7</v>
      </c>
      <c r="L24" s="290" t="s">
        <v>2668</v>
      </c>
      <c r="M24">
        <f t="shared" si="2"/>
        <v>9.4479419874414958</v>
      </c>
      <c r="W24" s="80" t="s">
        <v>2915</v>
      </c>
      <c r="Y24" s="80" t="s">
        <v>2918</v>
      </c>
      <c r="AA24" s="207" t="s">
        <v>2915</v>
      </c>
      <c r="AB24" s="207"/>
      <c r="AF24" t="s">
        <v>188</v>
      </c>
      <c r="AG24" s="97">
        <v>21</v>
      </c>
      <c r="AH24" s="90">
        <f t="shared" ref="AH24:AJ24" si="12">E27</f>
        <v>0.72829163074493408</v>
      </c>
      <c r="AI24" s="90">
        <f t="shared" si="12"/>
        <v>13.513463020324707</v>
      </c>
      <c r="AJ24" s="90">
        <f t="shared" si="12"/>
        <v>0.74067139625549316</v>
      </c>
    </row>
    <row r="25" spans="1:37">
      <c r="A25" s="312" t="s">
        <v>2785</v>
      </c>
      <c r="B25" s="313" t="s">
        <v>2777</v>
      </c>
      <c r="C25" s="313" t="s">
        <v>2786</v>
      </c>
      <c r="D25" s="313">
        <v>3.0689000000000002</v>
      </c>
      <c r="E25" s="315">
        <v>2.4158401489257813</v>
      </c>
      <c r="F25" s="315">
        <v>18.287374496459961</v>
      </c>
      <c r="G25" s="316">
        <v>2.1156110763549805</v>
      </c>
      <c r="H25" s="287">
        <v>2018</v>
      </c>
      <c r="I25" s="287" t="s">
        <v>188</v>
      </c>
      <c r="J25" s="290">
        <v>19</v>
      </c>
      <c r="K25" s="290">
        <v>3068.9</v>
      </c>
      <c r="L25" s="290" t="s">
        <v>2669</v>
      </c>
      <c r="M25">
        <f t="shared" si="2"/>
        <v>7.5697783665825567</v>
      </c>
      <c r="W25" s="345" t="s">
        <v>2582</v>
      </c>
      <c r="X25" s="345" t="s">
        <v>2917</v>
      </c>
      <c r="Z25" s="345" t="s">
        <v>2917</v>
      </c>
      <c r="AA25" s="360" t="s">
        <v>2912</v>
      </c>
      <c r="AB25" s="360" t="s">
        <v>2913</v>
      </c>
      <c r="AF25" t="str">
        <f>I34</f>
        <v>47_2000</v>
      </c>
      <c r="AG25">
        <v>1</v>
      </c>
      <c r="AH25" s="90">
        <f>E28</f>
        <v>1.025126576423645</v>
      </c>
      <c r="AI25" s="90">
        <f>F28</f>
        <v>15.315581321716309</v>
      </c>
      <c r="AJ25" s="90">
        <f>G28</f>
        <v>1.0313893556594849</v>
      </c>
    </row>
    <row r="26" spans="1:37">
      <c r="A26" s="312" t="s">
        <v>2787</v>
      </c>
      <c r="B26" s="313" t="s">
        <v>2777</v>
      </c>
      <c r="C26" s="313" t="s">
        <v>2788</v>
      </c>
      <c r="D26" s="313">
        <v>3.2761999999999998</v>
      </c>
      <c r="E26" s="315">
        <v>1.5406123399734497</v>
      </c>
      <c r="F26" s="315">
        <v>15.935337066650391</v>
      </c>
      <c r="G26" s="316">
        <v>1.5066031217575073</v>
      </c>
      <c r="H26" s="287">
        <v>2018</v>
      </c>
      <c r="I26" s="287" t="s">
        <v>188</v>
      </c>
      <c r="J26" s="290">
        <v>20</v>
      </c>
      <c r="K26" s="290">
        <v>3276.2</v>
      </c>
      <c r="L26" s="290" t="s">
        <v>2670</v>
      </c>
      <c r="M26">
        <f t="shared" si="2"/>
        <v>10.34350865119321</v>
      </c>
      <c r="W26" s="351" t="s">
        <v>2912</v>
      </c>
      <c r="Y26" s="351" t="s">
        <v>2913</v>
      </c>
      <c r="AA26" s="345" t="s">
        <v>2920</v>
      </c>
      <c r="AB26" s="345"/>
      <c r="AF26" t="s">
        <v>190</v>
      </c>
      <c r="AG26" s="97">
        <v>2</v>
      </c>
      <c r="AH26" s="90">
        <f>E30</f>
        <v>1.4818569421768188</v>
      </c>
      <c r="AI26" s="90">
        <f>F30</f>
        <v>17.504707336425781</v>
      </c>
      <c r="AJ26" s="90">
        <f>G30</f>
        <v>1.5154968500137329</v>
      </c>
    </row>
    <row r="27" spans="1:37">
      <c r="A27" s="312" t="s">
        <v>2789</v>
      </c>
      <c r="B27" s="313" t="s">
        <v>2777</v>
      </c>
      <c r="C27" s="313" t="s">
        <v>2790</v>
      </c>
      <c r="D27" s="313">
        <v>2.8311000000000002</v>
      </c>
      <c r="E27" s="315">
        <v>0.72829163074493408</v>
      </c>
      <c r="F27" s="315">
        <v>13.513463020324707</v>
      </c>
      <c r="G27" s="316">
        <v>0.74067139625549316</v>
      </c>
      <c r="H27" s="287">
        <v>2018</v>
      </c>
      <c r="I27" s="287" t="s">
        <v>188</v>
      </c>
      <c r="J27" s="290">
        <v>21</v>
      </c>
      <c r="K27" s="290">
        <v>2831.1</v>
      </c>
      <c r="L27" s="290" t="s">
        <v>2671</v>
      </c>
      <c r="M27">
        <f t="shared" si="2"/>
        <v>18.555016218575027</v>
      </c>
      <c r="W27" s="90">
        <f>AVERAGE(E21,E33,E74:E75)</f>
        <v>0.27758407592773438</v>
      </c>
      <c r="X27" s="147">
        <f>_xlfn.STDEV.P(E21,E33,E74:E75)</f>
        <v>6.6026627813657347E-3</v>
      </c>
      <c r="Y27" s="90">
        <f>AVERAGE(F21,F33,F74:F75)</f>
        <v>3.2964136600494385</v>
      </c>
      <c r="Z27" s="147">
        <f>_xlfn.STDEV.P(F21,F33,F74:F75)</f>
        <v>6.1974744296901897E-2</v>
      </c>
      <c r="AA27" s="359">
        <f>((E21-W27)/W27)*100</f>
        <v>-2.519868638943477</v>
      </c>
      <c r="AB27" s="359">
        <f>((F21-Y27)/Y27)*100</f>
        <v>-2.0166190745211199</v>
      </c>
      <c r="AC27" t="str">
        <f>H21</f>
        <v>PACS-2 #1</v>
      </c>
      <c r="AF27" t="s">
        <v>190</v>
      </c>
      <c r="AG27" s="97">
        <v>3</v>
      </c>
      <c r="AH27" s="90">
        <f>AVERAGE(E31:E32)</f>
        <v>1.443390429019928</v>
      </c>
      <c r="AI27" s="90">
        <f>AVERAGE(F31:F32)</f>
        <v>16.713186264038086</v>
      </c>
      <c r="AJ27" s="90">
        <f>AVERAGE(G31:G32)</f>
        <v>1.3582385182380676</v>
      </c>
      <c r="AK27" t="s">
        <v>3466</v>
      </c>
    </row>
    <row r="28" spans="1:37">
      <c r="A28" s="312" t="s">
        <v>2791</v>
      </c>
      <c r="B28" s="313" t="s">
        <v>2777</v>
      </c>
      <c r="C28" s="313" t="s">
        <v>2792</v>
      </c>
      <c r="D28" s="313">
        <v>3.5539000000000001</v>
      </c>
      <c r="E28" s="315">
        <v>1.025126576423645</v>
      </c>
      <c r="F28" s="315">
        <v>15.315581321716309</v>
      </c>
      <c r="G28" s="316">
        <v>1.0313893556594849</v>
      </c>
      <c r="H28" s="287">
        <v>2018</v>
      </c>
      <c r="I28" s="287" t="s">
        <v>190</v>
      </c>
      <c r="J28" s="287">
        <v>1</v>
      </c>
      <c r="K28" s="290">
        <v>3553.9</v>
      </c>
      <c r="L28" s="290" t="s">
        <v>2672</v>
      </c>
      <c r="M28">
        <f t="shared" si="2"/>
        <v>14.940185606296264</v>
      </c>
      <c r="AA28" s="359">
        <f>((E33-W27)/W27)*100</f>
        <v>-1.447696500474116</v>
      </c>
      <c r="AB28" s="359">
        <f>((F33-Y27)/Y27)*100</f>
        <v>-1.7313265772038962</v>
      </c>
      <c r="AC28" t="str">
        <f>H33</f>
        <v>PACS-2 #2</v>
      </c>
      <c r="AF28" t="s">
        <v>190</v>
      </c>
      <c r="AG28" s="97">
        <v>4</v>
      </c>
      <c r="AH28" s="90">
        <f>E34</f>
        <v>1.2726815938949585</v>
      </c>
      <c r="AI28" s="90">
        <f>F34</f>
        <v>15.659294128417969</v>
      </c>
      <c r="AJ28" s="90">
        <f>G34</f>
        <v>1.133435845375061</v>
      </c>
    </row>
    <row r="29" spans="1:37">
      <c r="A29" s="323" t="s">
        <v>2793</v>
      </c>
      <c r="B29" s="324" t="s">
        <v>2777</v>
      </c>
      <c r="C29" s="324" t="s">
        <v>2794</v>
      </c>
      <c r="D29" s="324"/>
      <c r="E29" s="325"/>
      <c r="F29" s="325"/>
      <c r="G29" s="326"/>
      <c r="H29" s="327"/>
      <c r="I29" s="327"/>
      <c r="J29" s="327"/>
      <c r="K29" s="328"/>
      <c r="L29" s="328"/>
      <c r="O29" s="345" t="s">
        <v>2911</v>
      </c>
      <c r="P29" s="345"/>
      <c r="Q29" s="345"/>
      <c r="AA29" s="359">
        <f>((E74-$W$27)/$W$27)*100</f>
        <v>0.20685673107315128</v>
      </c>
      <c r="AB29" s="359">
        <f>((F74-$Y$27)/$Y$27)*100</f>
        <v>1.714604654176962</v>
      </c>
      <c r="AC29" t="str">
        <f>H74</f>
        <v>PACS-2 #3</v>
      </c>
      <c r="AF29" t="s">
        <v>190</v>
      </c>
      <c r="AG29" s="97">
        <v>5</v>
      </c>
      <c r="AH29" s="90">
        <f t="shared" ref="AH29:AJ29" si="13">E35</f>
        <v>1.1502739191055298</v>
      </c>
      <c r="AI29" s="90">
        <f t="shared" si="13"/>
        <v>15.882658958435059</v>
      </c>
      <c r="AJ29" s="90">
        <f t="shared" si="13"/>
        <v>1.167426586151123</v>
      </c>
    </row>
    <row r="30" spans="1:37">
      <c r="A30" s="312" t="s">
        <v>2795</v>
      </c>
      <c r="B30" s="313" t="s">
        <v>2777</v>
      </c>
      <c r="C30" s="313" t="s">
        <v>2796</v>
      </c>
      <c r="D30" s="313">
        <v>3.0853999999999999</v>
      </c>
      <c r="E30" s="315">
        <v>1.4818569421768188</v>
      </c>
      <c r="F30" s="315">
        <v>17.504707336425781</v>
      </c>
      <c r="G30" s="316">
        <v>1.5154968500137329</v>
      </c>
      <c r="H30" s="287">
        <v>2018</v>
      </c>
      <c r="I30" s="287" t="s">
        <v>190</v>
      </c>
      <c r="J30" s="290">
        <v>2</v>
      </c>
      <c r="K30" s="290">
        <v>3085.4</v>
      </c>
      <c r="L30" s="284" t="s">
        <v>2673</v>
      </c>
      <c r="M30">
        <f t="shared" si="2"/>
        <v>11.812683693144972</v>
      </c>
      <c r="O30" s="345" t="s">
        <v>2912</v>
      </c>
      <c r="P30" s="345" t="s">
        <v>2913</v>
      </c>
      <c r="Q30" s="345"/>
      <c r="AA30" s="359">
        <f>((E75-$W$27)/$W$27)*100</f>
        <v>3.7607084083444415</v>
      </c>
      <c r="AB30" s="359">
        <f>((F75-$Y$27)/$Y$27)*100</f>
        <v>2.0333409975480539</v>
      </c>
      <c r="AC30" t="str">
        <f>H75</f>
        <v>PACS-2 #4</v>
      </c>
      <c r="AF30" t="s">
        <v>190</v>
      </c>
      <c r="AG30" s="97">
        <v>6</v>
      </c>
      <c r="AH30" s="90">
        <f t="shared" ref="AH30:AJ30" si="14">E36</f>
        <v>0.83555901050567627</v>
      </c>
      <c r="AI30" s="90">
        <f t="shared" si="14"/>
        <v>13.839174270629883</v>
      </c>
      <c r="AJ30" s="90">
        <f t="shared" si="14"/>
        <v>0.73124468326568604</v>
      </c>
    </row>
    <row r="31" spans="1:37">
      <c r="A31" s="330" t="s">
        <v>2797</v>
      </c>
      <c r="B31" s="331" t="s">
        <v>2777</v>
      </c>
      <c r="C31" s="331" t="s">
        <v>2798</v>
      </c>
      <c r="D31" s="331">
        <v>3.1423000000000001</v>
      </c>
      <c r="E31" s="333">
        <v>1.4327236413955688</v>
      </c>
      <c r="F31" s="333">
        <v>16.675384521484375</v>
      </c>
      <c r="G31" s="334">
        <v>1.3517005443572998</v>
      </c>
      <c r="H31" s="335">
        <v>2018</v>
      </c>
      <c r="I31" s="335" t="s">
        <v>190</v>
      </c>
      <c r="J31" s="336" t="s">
        <v>2675</v>
      </c>
      <c r="K31" s="336">
        <v>3142.3</v>
      </c>
      <c r="L31" s="335" t="s">
        <v>2674</v>
      </c>
      <c r="M31">
        <f t="shared" si="2"/>
        <v>11.638940015843833</v>
      </c>
      <c r="O31" s="346">
        <f>((E31-E32)/AVERAGE(E31:E32))*100</f>
        <v>-1.4780183393071205</v>
      </c>
      <c r="P31" s="346">
        <f>((F31-F32)/AVERAGE(F31:F32))*100</f>
        <v>-0.45235829908805947</v>
      </c>
      <c r="Q31" s="347"/>
      <c r="R31" s="348"/>
      <c r="S31" s="348"/>
      <c r="AA31" s="80" t="s">
        <v>2916</v>
      </c>
      <c r="AB31" s="207"/>
      <c r="AF31" t="s">
        <v>190</v>
      </c>
      <c r="AG31" s="97">
        <v>7</v>
      </c>
      <c r="AH31" s="90">
        <f>E37</f>
        <v>0.79686939716339111</v>
      </c>
      <c r="AI31" s="90">
        <f t="shared" ref="AI31:AJ31" si="15">F37</f>
        <v>13.684504508972168</v>
      </c>
      <c r="AJ31" s="90">
        <f t="shared" si="15"/>
        <v>0.73887020349502563</v>
      </c>
    </row>
    <row r="32" spans="1:37">
      <c r="A32" s="330" t="s">
        <v>2799</v>
      </c>
      <c r="B32" s="331" t="s">
        <v>2777</v>
      </c>
      <c r="C32" s="331" t="s">
        <v>2800</v>
      </c>
      <c r="D32" s="331">
        <v>2.7147999999999999</v>
      </c>
      <c r="E32" s="333">
        <v>1.4540572166442871</v>
      </c>
      <c r="F32" s="333">
        <v>16.750988006591797</v>
      </c>
      <c r="G32" s="334">
        <v>1.3647764921188354</v>
      </c>
      <c r="H32" s="335">
        <v>2018</v>
      </c>
      <c r="I32" s="335" t="s">
        <v>190</v>
      </c>
      <c r="J32" s="336" t="s">
        <v>2677</v>
      </c>
      <c r="K32" s="336">
        <v>2714.8</v>
      </c>
      <c r="L32" s="336" t="s">
        <v>2676</v>
      </c>
      <c r="M32">
        <f t="shared" si="2"/>
        <v>11.520171156159991</v>
      </c>
      <c r="N32" s="595" t="s">
        <v>3424</v>
      </c>
      <c r="O32" s="90">
        <f>(_xlfn.STDEV.P(E31:E32)/AVERAGE(E31:E32))*100</f>
        <v>0.73900916965356023</v>
      </c>
      <c r="P32" s="90">
        <f>(_xlfn.STDEV.P(F31:F32)/AVERAGE(F31:F32))*100</f>
        <v>0.22617914954402973</v>
      </c>
      <c r="S32">
        <f>((M31-M32)/AVERAGE(M32,M31))*100</f>
        <v>1.0256771842558177</v>
      </c>
      <c r="W32" s="80" t="s">
        <v>2916</v>
      </c>
      <c r="Y32" s="80" t="s">
        <v>2918</v>
      </c>
      <c r="AA32" s="360" t="s">
        <v>2912</v>
      </c>
      <c r="AB32" s="360" t="s">
        <v>2913</v>
      </c>
      <c r="AF32" t="s">
        <v>190</v>
      </c>
      <c r="AG32" s="97">
        <v>8</v>
      </c>
      <c r="AH32" s="90">
        <f t="shared" ref="AH32:AJ32" si="16">E38</f>
        <v>0.99969804286956787</v>
      </c>
      <c r="AI32" s="90">
        <f t="shared" si="16"/>
        <v>13.781223297119141</v>
      </c>
      <c r="AJ32" s="90">
        <f t="shared" si="16"/>
        <v>0.80259227752685547</v>
      </c>
    </row>
    <row r="33" spans="1:37">
      <c r="A33" s="337" t="s">
        <v>2801</v>
      </c>
      <c r="B33" s="338" t="s">
        <v>2777</v>
      </c>
      <c r="C33" s="338" t="s">
        <v>2802</v>
      </c>
      <c r="D33" s="338">
        <v>3.448</v>
      </c>
      <c r="E33" s="339">
        <v>0.27356550097465515</v>
      </c>
      <c r="F33" s="339">
        <v>3.2393419742584229</v>
      </c>
      <c r="G33" s="340">
        <v>0.66417396068572998</v>
      </c>
      <c r="H33" s="341" t="s">
        <v>2679</v>
      </c>
      <c r="I33" s="342"/>
      <c r="J33" s="343"/>
      <c r="K33" s="343">
        <v>3448</v>
      </c>
      <c r="L33" s="343" t="s">
        <v>2678</v>
      </c>
      <c r="M33">
        <f t="shared" si="2"/>
        <v>11.841193289056342</v>
      </c>
      <c r="O33" s="345" t="s">
        <v>2582</v>
      </c>
      <c r="P33" s="345" t="s">
        <v>1336</v>
      </c>
      <c r="Q33" s="349" t="s">
        <v>2914</v>
      </c>
      <c r="W33" s="345" t="s">
        <v>2582</v>
      </c>
      <c r="X33" s="345" t="s">
        <v>2917</v>
      </c>
      <c r="Y33" s="345"/>
      <c r="Z33" s="345" t="s">
        <v>2917</v>
      </c>
      <c r="AA33" s="345" t="s">
        <v>2920</v>
      </c>
      <c r="AF33" t="s">
        <v>190</v>
      </c>
      <c r="AG33" s="97">
        <v>9</v>
      </c>
      <c r="AH33" s="90">
        <f t="shared" ref="AH33:AJ33" si="17">E39</f>
        <v>0.69631367921829224</v>
      </c>
      <c r="AI33" s="90">
        <f t="shared" si="17"/>
        <v>13.291887283325195</v>
      </c>
      <c r="AJ33" s="90">
        <f t="shared" si="17"/>
        <v>0.6710125207901001</v>
      </c>
    </row>
    <row r="34" spans="1:37">
      <c r="A34" s="312" t="s">
        <v>2803</v>
      </c>
      <c r="B34" s="313" t="s">
        <v>2777</v>
      </c>
      <c r="C34" s="313" t="s">
        <v>2804</v>
      </c>
      <c r="D34" s="313">
        <v>2.9822000000000002</v>
      </c>
      <c r="E34" s="315">
        <v>1.2726815938949585</v>
      </c>
      <c r="F34" s="315">
        <v>15.659294128417969</v>
      </c>
      <c r="G34" s="316">
        <v>1.133435845375061</v>
      </c>
      <c r="H34" s="287">
        <v>2018</v>
      </c>
      <c r="I34" s="287" t="s">
        <v>190</v>
      </c>
      <c r="J34" s="290">
        <v>4</v>
      </c>
      <c r="K34" s="290">
        <v>2982.2</v>
      </c>
      <c r="L34" s="290" t="s">
        <v>2680</v>
      </c>
      <c r="M34">
        <f t="shared" si="2"/>
        <v>12.30417270394689</v>
      </c>
      <c r="O34" s="345" t="s">
        <v>2912</v>
      </c>
      <c r="P34" s="345" t="s">
        <v>2913</v>
      </c>
      <c r="W34" s="351" t="s">
        <v>2912</v>
      </c>
      <c r="Y34" s="351" t="s">
        <v>2913</v>
      </c>
      <c r="AA34" s="359">
        <f>((E46-W$35)/W$35)*100</f>
        <v>-3.3060109223896261</v>
      </c>
      <c r="AB34" s="359">
        <f>((F46-Y$35)/Y$35)*100</f>
        <v>-3.481299611075142</v>
      </c>
      <c r="AC34" s="361" t="str">
        <f>H46</f>
        <v>Acetanilide #1</v>
      </c>
      <c r="AF34" t="s">
        <v>190</v>
      </c>
      <c r="AG34" s="97">
        <v>10</v>
      </c>
      <c r="AH34" s="90">
        <f t="shared" ref="AH34:AJ34" si="18">E40</f>
        <v>0.88421434164047241</v>
      </c>
      <c r="AI34" s="90">
        <f t="shared" si="18"/>
        <v>13.503268241882324</v>
      </c>
      <c r="AJ34" s="90">
        <f t="shared" si="18"/>
        <v>0.74462848901748657</v>
      </c>
    </row>
    <row r="35" spans="1:37">
      <c r="A35" s="312" t="s">
        <v>2805</v>
      </c>
      <c r="B35" s="313" t="s">
        <v>2777</v>
      </c>
      <c r="C35" s="313" t="s">
        <v>2806</v>
      </c>
      <c r="D35" s="313">
        <v>2.7504</v>
      </c>
      <c r="E35" s="315">
        <v>1.1502739191055298</v>
      </c>
      <c r="F35" s="315">
        <v>15.882658958435059</v>
      </c>
      <c r="G35" s="316">
        <v>1.167426586151123</v>
      </c>
      <c r="H35" s="287">
        <v>2018</v>
      </c>
      <c r="I35" s="287" t="s">
        <v>190</v>
      </c>
      <c r="J35" s="290">
        <v>5</v>
      </c>
      <c r="K35" s="290">
        <v>2750.4</v>
      </c>
      <c r="L35" s="290" t="s">
        <v>2681</v>
      </c>
      <c r="M35">
        <f t="shared" si="2"/>
        <v>13.807718922103051</v>
      </c>
      <c r="O35" s="454">
        <f>AVERAGE(E30:E32,E34:E41)</f>
        <v>1.0681060769341209</v>
      </c>
      <c r="P35" s="454">
        <f>AVERAGE(F30:F32,F34:F41)</f>
        <v>14.871631709012119</v>
      </c>
      <c r="W35" s="90">
        <f>AVERAGE(E46,E66,E84:E85)</f>
        <v>10.705166530609104</v>
      </c>
      <c r="X35" s="147">
        <f>_xlfn.STDEV.P(E46,E66,E84:E85)</f>
        <v>0.6973262363941185</v>
      </c>
      <c r="Y35" s="90">
        <f>AVERAGE(F46,F66,F84:F85)</f>
        <v>73.701567993164019</v>
      </c>
      <c r="Z35" s="147">
        <f>_xlfn.STDEV.P(F46,F66,F84:F85)</f>
        <v>4.6381957599255381</v>
      </c>
      <c r="AA35" s="359">
        <f>((E66-W$35)/W$35)*100</f>
        <v>-4.1415199668012752</v>
      </c>
      <c r="AB35" s="359">
        <f>((F66-Y$35)/Y$35)*100</f>
        <v>-3.7404077984243305</v>
      </c>
      <c r="AC35" s="361" t="str">
        <f>H66</f>
        <v>Acetanilide #2</v>
      </c>
      <c r="AF35" t="s">
        <v>190</v>
      </c>
      <c r="AG35" s="97">
        <v>11</v>
      </c>
      <c r="AH35" s="90">
        <f t="shared" ref="AH35:AJ35" si="19">E41</f>
        <v>0.7449190616607666</v>
      </c>
      <c r="AI35" s="90">
        <f t="shared" si="19"/>
        <v>13.014858245849609</v>
      </c>
      <c r="AJ35" s="90">
        <f t="shared" si="19"/>
        <v>0.72309362888336182</v>
      </c>
    </row>
    <row r="36" spans="1:37">
      <c r="A36" s="312" t="s">
        <v>2807</v>
      </c>
      <c r="B36" s="313" t="s">
        <v>2777</v>
      </c>
      <c r="C36" s="313" t="s">
        <v>2808</v>
      </c>
      <c r="D36" s="313">
        <v>3.2761</v>
      </c>
      <c r="E36" s="315">
        <v>0.83555901050567627</v>
      </c>
      <c r="F36" s="315">
        <v>13.839174270629883</v>
      </c>
      <c r="G36" s="316">
        <v>0.73124468326568604</v>
      </c>
      <c r="H36" s="287">
        <v>2018</v>
      </c>
      <c r="I36" s="287" t="s">
        <v>190</v>
      </c>
      <c r="J36" s="290">
        <v>6</v>
      </c>
      <c r="K36" s="290">
        <v>3276.1</v>
      </c>
      <c r="L36" s="290" t="s">
        <v>2682</v>
      </c>
      <c r="M36">
        <f t="shared" si="2"/>
        <v>16.562773061659023</v>
      </c>
      <c r="AA36" s="362">
        <f>((E84-W$35)/W$35)*100</f>
        <v>11.270618565632819</v>
      </c>
      <c r="AB36" s="362">
        <f>((F84-Y$35)/Y$35)*100</f>
        <v>10.898906656697889</v>
      </c>
      <c r="AC36" s="361" t="str">
        <f>H84</f>
        <v>Acetanilide #3</v>
      </c>
      <c r="AF36" t="s">
        <v>190</v>
      </c>
      <c r="AG36" s="97">
        <v>12</v>
      </c>
      <c r="AH36" s="90">
        <f>E43</f>
        <v>0.71064901351928711</v>
      </c>
      <c r="AI36" s="90">
        <f>F43</f>
        <v>12.492358207702637</v>
      </c>
      <c r="AJ36" s="90">
        <f>G43</f>
        <v>0.70072638988494873</v>
      </c>
    </row>
    <row r="37" spans="1:37">
      <c r="A37" s="312" t="s">
        <v>2809</v>
      </c>
      <c r="B37" s="313" t="s">
        <v>2777</v>
      </c>
      <c r="C37" s="313" t="s">
        <v>2810</v>
      </c>
      <c r="D37" s="313">
        <v>3.1970000000000001</v>
      </c>
      <c r="E37" s="315">
        <v>0.79686939716339111</v>
      </c>
      <c r="F37" s="315">
        <v>13.684504508972168</v>
      </c>
      <c r="G37" s="316">
        <v>0.73887020349502563</v>
      </c>
      <c r="H37" s="287">
        <v>2018</v>
      </c>
      <c r="I37" s="287" t="s">
        <v>190</v>
      </c>
      <c r="J37" s="290">
        <v>7</v>
      </c>
      <c r="K37" s="290">
        <v>3197</v>
      </c>
      <c r="L37" s="290" t="s">
        <v>2683</v>
      </c>
      <c r="M37">
        <f t="shared" si="2"/>
        <v>17.172832283037568</v>
      </c>
      <c r="AA37" s="359">
        <f>((E85-W$35)/W$35)*100</f>
        <v>-3.8230876764419328</v>
      </c>
      <c r="AB37" s="359">
        <f>((F85-Y$35)/Y$35)*100</f>
        <v>-3.6771992471983581</v>
      </c>
      <c r="AC37" s="361" t="str">
        <f>H85</f>
        <v>Acetanilide #4</v>
      </c>
      <c r="AF37" t="s">
        <v>190</v>
      </c>
      <c r="AG37" s="97">
        <v>13</v>
      </c>
      <c r="AH37" s="90">
        <f t="shared" ref="AH37:AJ37" si="20">E44</f>
        <v>0.67137563228607178</v>
      </c>
      <c r="AI37" s="90">
        <f t="shared" si="20"/>
        <v>12.407177925109863</v>
      </c>
      <c r="AJ37" s="90">
        <f t="shared" si="20"/>
        <v>0.65353751182556152</v>
      </c>
    </row>
    <row r="38" spans="1:37">
      <c r="A38" s="312" t="s">
        <v>2811</v>
      </c>
      <c r="B38" s="313" t="s">
        <v>2777</v>
      </c>
      <c r="C38" s="313" t="s">
        <v>2812</v>
      </c>
      <c r="D38" s="313">
        <v>2.794</v>
      </c>
      <c r="E38" s="315">
        <v>0.99969804286956787</v>
      </c>
      <c r="F38" s="315">
        <v>13.781223297119141</v>
      </c>
      <c r="G38" s="316">
        <v>0.80259227752685547</v>
      </c>
      <c r="H38" s="287">
        <v>2018</v>
      </c>
      <c r="I38" s="287" t="s">
        <v>190</v>
      </c>
      <c r="J38" s="290">
        <v>8</v>
      </c>
      <c r="K38" s="290">
        <v>2794</v>
      </c>
      <c r="L38" s="290" t="s">
        <v>2684</v>
      </c>
      <c r="M38">
        <f t="shared" si="2"/>
        <v>13.785385892685195</v>
      </c>
      <c r="AF38" t="s">
        <v>190</v>
      </c>
      <c r="AG38" s="97">
        <v>14</v>
      </c>
      <c r="AH38" s="90">
        <f t="shared" ref="AH38:AJ38" si="21">E45</f>
        <v>1.17836594581604</v>
      </c>
      <c r="AI38" s="90">
        <f t="shared" si="21"/>
        <v>15.202922821044922</v>
      </c>
      <c r="AJ38" s="90">
        <f t="shared" si="21"/>
        <v>1.0885491371154785</v>
      </c>
    </row>
    <row r="39" spans="1:37">
      <c r="A39" s="312" t="s">
        <v>2813</v>
      </c>
      <c r="B39" s="313" t="s">
        <v>2777</v>
      </c>
      <c r="C39" s="313" t="s">
        <v>2814</v>
      </c>
      <c r="D39" s="313">
        <v>2.8698000000000001</v>
      </c>
      <c r="E39" s="315">
        <v>0.69631367921829224</v>
      </c>
      <c r="F39" s="315">
        <v>13.291887283325195</v>
      </c>
      <c r="G39" s="316">
        <v>0.6710125207901001</v>
      </c>
      <c r="H39" s="287">
        <v>2018</v>
      </c>
      <c r="I39" s="287" t="s">
        <v>190</v>
      </c>
      <c r="J39" s="290">
        <v>9</v>
      </c>
      <c r="K39" s="290">
        <v>2869.8</v>
      </c>
      <c r="L39" s="290" t="s">
        <v>2685</v>
      </c>
      <c r="M39">
        <f t="shared" si="2"/>
        <v>19.088936035619987</v>
      </c>
      <c r="AF39" t="s">
        <v>190</v>
      </c>
      <c r="AG39" s="97">
        <v>15</v>
      </c>
      <c r="AH39" s="90">
        <f t="shared" ref="AH39:AJ40" si="22">E47</f>
        <v>0.600413978099823</v>
      </c>
      <c r="AI39" s="90">
        <f t="shared" si="22"/>
        <v>13.092334747314453</v>
      </c>
      <c r="AJ39" s="90">
        <f t="shared" si="22"/>
        <v>0.4758339524269104</v>
      </c>
    </row>
    <row r="40" spans="1:37">
      <c r="A40" s="312" t="s">
        <v>2815</v>
      </c>
      <c r="B40" s="313" t="s">
        <v>2777</v>
      </c>
      <c r="C40" s="313" t="s">
        <v>2816</v>
      </c>
      <c r="D40" s="313">
        <v>2.9906999999999999</v>
      </c>
      <c r="E40" s="315">
        <v>0.88421434164047241</v>
      </c>
      <c r="F40" s="315">
        <v>13.503268241882324</v>
      </c>
      <c r="G40" s="316">
        <v>0.74462848901748657</v>
      </c>
      <c r="H40" s="287">
        <v>2018</v>
      </c>
      <c r="I40" s="287" t="s">
        <v>190</v>
      </c>
      <c r="J40" s="290">
        <v>10</v>
      </c>
      <c r="K40" s="290">
        <v>2990.7</v>
      </c>
      <c r="L40" s="290" t="s">
        <v>2686</v>
      </c>
      <c r="M40">
        <f t="shared" si="2"/>
        <v>15.271487473082454</v>
      </c>
      <c r="AF40" t="s">
        <v>190</v>
      </c>
      <c r="AG40" s="97">
        <v>16</v>
      </c>
      <c r="AH40" s="90">
        <f t="shared" si="22"/>
        <v>0.58693116903305054</v>
      </c>
      <c r="AI40" s="90">
        <f t="shared" si="22"/>
        <v>13.344470024108887</v>
      </c>
      <c r="AJ40" s="90">
        <f t="shared" si="22"/>
        <v>0.57203418016433716</v>
      </c>
    </row>
    <row r="41" spans="1:37">
      <c r="A41" s="312" t="s">
        <v>2817</v>
      </c>
      <c r="B41" s="313" t="s">
        <v>2777</v>
      </c>
      <c r="C41" s="313" t="s">
        <v>2818</v>
      </c>
      <c r="D41" s="313">
        <v>3.1293000000000002</v>
      </c>
      <c r="E41" s="315">
        <v>0.7449190616607666</v>
      </c>
      <c r="F41" s="315">
        <v>13.014858245849609</v>
      </c>
      <c r="G41" s="316">
        <v>0.72309362888336182</v>
      </c>
      <c r="H41" s="287">
        <v>2018</v>
      </c>
      <c r="I41" s="287" t="s">
        <v>190</v>
      </c>
      <c r="J41" s="290">
        <v>11</v>
      </c>
      <c r="K41" s="290">
        <v>3129.3</v>
      </c>
      <c r="L41" s="290" t="s">
        <v>2687</v>
      </c>
      <c r="M41">
        <f t="shared" si="2"/>
        <v>17.471506524257165</v>
      </c>
      <c r="AF41" t="s">
        <v>190</v>
      </c>
      <c r="AG41" s="97">
        <v>17</v>
      </c>
      <c r="AH41" s="90">
        <f>AVERAGE(E49:E50,E151,E161,E163:E164)</f>
        <v>0.56543075044949853</v>
      </c>
      <c r="AI41" s="90">
        <f>AVERAGE(F49:F50,F151,F161,F163:F164)</f>
        <v>13.119449901580799</v>
      </c>
      <c r="AJ41" s="90">
        <f>AVERAGE(G49:G50,G151,G161,G163:G164)</f>
        <v>0.45461909969647724</v>
      </c>
      <c r="AK41" t="s">
        <v>3467</v>
      </c>
    </row>
    <row r="42" spans="1:37">
      <c r="A42" s="323" t="s">
        <v>2819</v>
      </c>
      <c r="B42" s="324" t="s">
        <v>2777</v>
      </c>
      <c r="C42" s="324" t="s">
        <v>2820</v>
      </c>
      <c r="D42" s="324"/>
      <c r="E42" s="325"/>
      <c r="F42" s="325"/>
      <c r="G42" s="326"/>
      <c r="H42" s="327"/>
      <c r="I42" s="327"/>
      <c r="J42" s="328"/>
      <c r="K42" s="328"/>
      <c r="L42" s="328"/>
      <c r="AF42" t="s">
        <v>190</v>
      </c>
      <c r="AG42" s="97">
        <v>18</v>
      </c>
      <c r="AH42" s="90">
        <f>E51</f>
        <v>0.62611663341522217</v>
      </c>
      <c r="AI42" s="90">
        <f>F51</f>
        <v>13.106645584106445</v>
      </c>
      <c r="AJ42" s="90">
        <f>G51</f>
        <v>0.57958483695983887</v>
      </c>
    </row>
    <row r="43" spans="1:37">
      <c r="A43" s="312" t="s">
        <v>2821</v>
      </c>
      <c r="B43" s="313" t="s">
        <v>2777</v>
      </c>
      <c r="C43" s="313" t="s">
        <v>2822</v>
      </c>
      <c r="D43" s="313">
        <v>2.5198</v>
      </c>
      <c r="E43" s="315">
        <v>0.71064901351928711</v>
      </c>
      <c r="F43" s="315">
        <v>12.492358207702637</v>
      </c>
      <c r="G43" s="316">
        <v>0.70072638988494873</v>
      </c>
      <c r="H43" s="287">
        <v>2018</v>
      </c>
      <c r="I43" s="287" t="s">
        <v>190</v>
      </c>
      <c r="J43" s="290">
        <v>12</v>
      </c>
      <c r="K43" s="290">
        <v>2519.8000000000002</v>
      </c>
      <c r="L43" s="284" t="s">
        <v>2688</v>
      </c>
      <c r="M43">
        <f t="shared" si="2"/>
        <v>17.578801869910134</v>
      </c>
      <c r="AF43" t="s">
        <v>190</v>
      </c>
      <c r="AG43" s="97">
        <v>19</v>
      </c>
      <c r="AH43" s="90">
        <f t="shared" ref="AH43:AJ43" si="23">E52</f>
        <v>0.84665894508361816</v>
      </c>
      <c r="AI43" s="90">
        <f t="shared" si="23"/>
        <v>13.113008499145508</v>
      </c>
      <c r="AJ43" s="90">
        <f t="shared" si="23"/>
        <v>0.7400403618812561</v>
      </c>
    </row>
    <row r="44" spans="1:37">
      <c r="A44" s="312" t="s">
        <v>2823</v>
      </c>
      <c r="B44" s="313" t="s">
        <v>2777</v>
      </c>
      <c r="C44" s="313" t="s">
        <v>2824</v>
      </c>
      <c r="D44" s="313">
        <v>2.6903999999999999</v>
      </c>
      <c r="E44" s="315">
        <v>0.67137563228607178</v>
      </c>
      <c r="F44" s="315">
        <v>12.407177925109863</v>
      </c>
      <c r="G44" s="316">
        <v>0.65353751182556152</v>
      </c>
      <c r="H44" s="287">
        <v>2018</v>
      </c>
      <c r="I44" s="287" t="s">
        <v>190</v>
      </c>
      <c r="J44" s="290">
        <v>13</v>
      </c>
      <c r="K44" s="290">
        <v>2690.4</v>
      </c>
      <c r="L44" s="287" t="s">
        <v>2689</v>
      </c>
      <c r="M44">
        <f t="shared" si="2"/>
        <v>18.480232716910987</v>
      </c>
      <c r="AF44" t="s">
        <v>190</v>
      </c>
      <c r="AG44" s="97">
        <v>20</v>
      </c>
      <c r="AH44" s="90">
        <f t="shared" ref="AH44:AJ44" si="24">E53</f>
        <v>0.64705199003219604</v>
      </c>
      <c r="AI44" s="90">
        <f t="shared" si="24"/>
        <v>12.189061164855957</v>
      </c>
      <c r="AJ44" s="90">
        <f t="shared" si="24"/>
        <v>0.61984997987747192</v>
      </c>
    </row>
    <row r="45" spans="1:37">
      <c r="A45" s="312" t="s">
        <v>2825</v>
      </c>
      <c r="B45" s="313" t="s">
        <v>2777</v>
      </c>
      <c r="C45" s="313" t="s">
        <v>2826</v>
      </c>
      <c r="D45" s="313">
        <v>3.3323999999999998</v>
      </c>
      <c r="E45" s="315">
        <v>1.17836594581604</v>
      </c>
      <c r="F45" s="315">
        <v>15.202922821044922</v>
      </c>
      <c r="G45" s="316">
        <v>1.0885491371154785</v>
      </c>
      <c r="H45" s="287">
        <v>2018</v>
      </c>
      <c r="I45" s="287" t="s">
        <v>190</v>
      </c>
      <c r="J45" s="290">
        <v>14</v>
      </c>
      <c r="K45" s="290">
        <v>3332.4</v>
      </c>
      <c r="L45" s="290" t="s">
        <v>2690</v>
      </c>
      <c r="M45">
        <f t="shared" si="2"/>
        <v>12.901699064730371</v>
      </c>
      <c r="AF45" t="s">
        <v>190</v>
      </c>
      <c r="AG45" s="97">
        <v>21</v>
      </c>
      <c r="AH45" s="90">
        <f>E54</f>
        <v>1.2290290594100952</v>
      </c>
      <c r="AI45" s="90">
        <f>F54</f>
        <v>15.38349723815918</v>
      </c>
      <c r="AJ45" s="90">
        <f>G54</f>
        <v>1.1978820562362671</v>
      </c>
    </row>
    <row r="46" spans="1:37">
      <c r="A46" s="337" t="s">
        <v>2827</v>
      </c>
      <c r="B46" s="338" t="s">
        <v>2777</v>
      </c>
      <c r="C46" s="338" t="s">
        <v>2828</v>
      </c>
      <c r="D46" s="338">
        <v>0.74009999999999998</v>
      </c>
      <c r="E46" s="339">
        <v>10.351252555847168</v>
      </c>
      <c r="F46" s="339">
        <v>71.135795593261719</v>
      </c>
      <c r="G46" s="340">
        <v>6.8155005455016999</v>
      </c>
      <c r="H46" s="344" t="s">
        <v>2692</v>
      </c>
      <c r="I46" s="342"/>
      <c r="J46" s="343"/>
      <c r="K46" s="343">
        <v>740.1</v>
      </c>
      <c r="L46" s="343" t="s">
        <v>2691</v>
      </c>
      <c r="M46">
        <f t="shared" si="2"/>
        <v>6.872192056900289</v>
      </c>
      <c r="AF46" t="str">
        <f>I56</f>
        <v>47_3800</v>
      </c>
      <c r="AG46">
        <v>1</v>
      </c>
      <c r="AH46" s="90">
        <f t="shared" ref="AH46:AJ47" si="25">E56</f>
        <v>0.69819456338882446</v>
      </c>
      <c r="AI46" s="90">
        <f t="shared" si="25"/>
        <v>13.80047607421875</v>
      </c>
      <c r="AJ46" s="90">
        <f t="shared" si="25"/>
        <v>0.62576937675476074</v>
      </c>
    </row>
    <row r="47" spans="1:37">
      <c r="A47" s="312" t="s">
        <v>2829</v>
      </c>
      <c r="B47" s="313" t="s">
        <v>2777</v>
      </c>
      <c r="C47" s="313" t="s">
        <v>2830</v>
      </c>
      <c r="D47" s="313">
        <v>2.7816999999999998</v>
      </c>
      <c r="E47" s="315">
        <v>0.600413978099823</v>
      </c>
      <c r="F47" s="315">
        <v>13.092334747314453</v>
      </c>
      <c r="G47" s="316">
        <v>0.4758339524269104</v>
      </c>
      <c r="H47" s="287">
        <v>2018</v>
      </c>
      <c r="I47" s="287" t="s">
        <v>190</v>
      </c>
      <c r="J47" s="290">
        <v>15</v>
      </c>
      <c r="K47" s="290">
        <v>2781.7</v>
      </c>
      <c r="L47" s="290" t="s">
        <v>2693</v>
      </c>
      <c r="M47">
        <f t="shared" si="2"/>
        <v>21.805512904194515</v>
      </c>
      <c r="O47" s="363" t="s">
        <v>2911</v>
      </c>
      <c r="P47" s="363"/>
      <c r="Q47" s="363"/>
      <c r="R47" s="8"/>
      <c r="AF47" t="s">
        <v>194</v>
      </c>
      <c r="AG47" s="97">
        <v>2</v>
      </c>
      <c r="AH47" s="90">
        <f t="shared" si="25"/>
        <v>1.0298765897750854</v>
      </c>
      <c r="AI47" s="90">
        <f t="shared" si="25"/>
        <v>15.48238468170166</v>
      </c>
      <c r="AJ47" s="90">
        <f t="shared" si="25"/>
        <v>0.94766432046890259</v>
      </c>
    </row>
    <row r="48" spans="1:37">
      <c r="A48" s="312" t="s">
        <v>2831</v>
      </c>
      <c r="B48" s="313" t="s">
        <v>2777</v>
      </c>
      <c r="C48" s="313" t="s">
        <v>2832</v>
      </c>
      <c r="D48" s="313">
        <v>3.3331</v>
      </c>
      <c r="E48" s="315">
        <v>0.58693116903305054</v>
      </c>
      <c r="F48" s="315">
        <v>13.344470024108887</v>
      </c>
      <c r="G48" s="316">
        <v>0.57203418016433716</v>
      </c>
      <c r="H48" s="287">
        <v>2018</v>
      </c>
      <c r="I48" s="287" t="s">
        <v>190</v>
      </c>
      <c r="J48" s="290">
        <v>16</v>
      </c>
      <c r="K48" s="290">
        <v>3333.1</v>
      </c>
      <c r="L48" s="290" t="s">
        <v>2694</v>
      </c>
      <c r="M48">
        <f t="shared" si="2"/>
        <v>22.736005051654445</v>
      </c>
      <c r="O48" s="363" t="s">
        <v>2912</v>
      </c>
      <c r="P48" s="363" t="s">
        <v>2913</v>
      </c>
      <c r="Q48" s="363"/>
      <c r="R48" s="8"/>
      <c r="AF48" t="s">
        <v>194</v>
      </c>
      <c r="AG48" s="97">
        <v>3</v>
      </c>
      <c r="AH48" s="90">
        <f>AVERAGE(E58:E59)</f>
        <v>1.1960781216621399</v>
      </c>
      <c r="AI48" s="90">
        <f>AVERAGE(F58:F59)</f>
        <v>15.915286064147949</v>
      </c>
      <c r="AJ48" s="90">
        <f>AVERAGE(G58:G59)</f>
        <v>1.137463390827179</v>
      </c>
      <c r="AK48" t="s">
        <v>3466</v>
      </c>
    </row>
    <row r="49" spans="1:37">
      <c r="A49" s="330" t="s">
        <v>2833</v>
      </c>
      <c r="B49" s="331" t="s">
        <v>2777</v>
      </c>
      <c r="C49" s="331" t="s">
        <v>2834</v>
      </c>
      <c r="D49" s="331">
        <v>2.5053999999999998</v>
      </c>
      <c r="E49" s="333">
        <v>0.5507436990737915</v>
      </c>
      <c r="F49" s="333">
        <v>12.733370780944824</v>
      </c>
      <c r="G49" s="334">
        <v>0.47392389178276062</v>
      </c>
      <c r="H49" s="335">
        <v>2018</v>
      </c>
      <c r="I49" s="335" t="s">
        <v>190</v>
      </c>
      <c r="J49" s="336" t="s">
        <v>2696</v>
      </c>
      <c r="K49" s="336">
        <v>2505.4</v>
      </c>
      <c r="L49" s="336" t="s">
        <v>2695</v>
      </c>
      <c r="M49">
        <f t="shared" si="2"/>
        <v>23.120320400140866</v>
      </c>
      <c r="O49" s="364">
        <f>((E49-E50)/AVERAGE(E49:E50))*100</f>
        <v>-4.0056473854327832</v>
      </c>
      <c r="P49" s="364">
        <f>((F49-F50)/AVERAGE(F49:F50))*100</f>
        <v>-3.2266949783256051</v>
      </c>
      <c r="Q49" s="347"/>
      <c r="R49" s="348"/>
      <c r="S49" s="348">
        <f>P49/O49</f>
        <v>0.8055364508768369</v>
      </c>
      <c r="AF49" t="s">
        <v>194</v>
      </c>
      <c r="AG49" s="97">
        <v>4</v>
      </c>
      <c r="AH49" s="90">
        <f>E60</f>
        <v>0.86751490831375122</v>
      </c>
      <c r="AI49" s="90">
        <f>F60</f>
        <v>14.182465553283691</v>
      </c>
      <c r="AJ49" s="90">
        <f>G60</f>
        <v>0.74583691358566284</v>
      </c>
    </row>
    <row r="50" spans="1:37">
      <c r="A50" s="330" t="s">
        <v>2835</v>
      </c>
      <c r="B50" s="331" t="s">
        <v>2777</v>
      </c>
      <c r="C50" s="331" t="s">
        <v>2836</v>
      </c>
      <c r="D50" s="331">
        <v>2.8214000000000001</v>
      </c>
      <c r="E50" s="333">
        <v>0.57325541973114014</v>
      </c>
      <c r="F50" s="333">
        <v>13.150975227355957</v>
      </c>
      <c r="G50" s="334">
        <v>0.49375516176223755</v>
      </c>
      <c r="H50" s="335">
        <v>2018</v>
      </c>
      <c r="I50" s="335" t="s">
        <v>190</v>
      </c>
      <c r="J50" s="336" t="s">
        <v>2698</v>
      </c>
      <c r="K50" s="336">
        <v>2821.4</v>
      </c>
      <c r="L50" s="336" t="s">
        <v>2697</v>
      </c>
      <c r="M50">
        <f t="shared" si="2"/>
        <v>22.940865057191843</v>
      </c>
      <c r="N50" s="595" t="s">
        <v>3424</v>
      </c>
      <c r="O50" s="90">
        <f>(_xlfn.STDEV.P(E49:E50)/AVERAGE(E49:E50))*100</f>
        <v>2.0028236927163916</v>
      </c>
      <c r="P50" s="90">
        <f>(_xlfn.STDEV.P(F49:F50)/AVERAGE(F49:F50))*100</f>
        <v>1.6133474891628026</v>
      </c>
      <c r="S50">
        <f>((M49-M50)/AVERAGE(M50,M49))*100</f>
        <v>0.77920418750514153</v>
      </c>
      <c r="AF50" t="s">
        <v>194</v>
      </c>
      <c r="AG50" s="97">
        <v>5</v>
      </c>
      <c r="AH50" s="90">
        <f t="shared" ref="AH50:AJ50" si="26">E61</f>
        <v>0.61714720726013184</v>
      </c>
      <c r="AI50" s="90">
        <f t="shared" si="26"/>
        <v>13.104650497436523</v>
      </c>
      <c r="AJ50" s="90">
        <f t="shared" si="26"/>
        <v>0.55114752054214478</v>
      </c>
    </row>
    <row r="51" spans="1:37">
      <c r="A51" s="312" t="s">
        <v>2837</v>
      </c>
      <c r="B51" s="313" t="s">
        <v>2777</v>
      </c>
      <c r="C51" s="313" t="s">
        <v>2838</v>
      </c>
      <c r="D51" s="313">
        <v>2.7928999999999999</v>
      </c>
      <c r="E51" s="315">
        <v>0.62611663341522217</v>
      </c>
      <c r="F51" s="315">
        <v>13.106645584106445</v>
      </c>
      <c r="G51" s="316">
        <v>0.57958483695983887</v>
      </c>
      <c r="H51" s="287">
        <v>2018</v>
      </c>
      <c r="I51" s="287" t="s">
        <v>190</v>
      </c>
      <c r="J51" s="290">
        <v>18</v>
      </c>
      <c r="K51" s="290">
        <v>2792.9</v>
      </c>
      <c r="L51" s="290" t="s">
        <v>2699</v>
      </c>
      <c r="M51">
        <f t="shared" si="2"/>
        <v>20.933233338036082</v>
      </c>
      <c r="O51" s="345" t="s">
        <v>2582</v>
      </c>
      <c r="P51" s="345" t="s">
        <v>1336</v>
      </c>
      <c r="Q51" s="349" t="s">
        <v>2914</v>
      </c>
      <c r="AF51" t="s">
        <v>194</v>
      </c>
      <c r="AG51" s="97">
        <v>6</v>
      </c>
      <c r="AH51" s="90">
        <f t="shared" ref="AH51:AJ51" si="27">E62</f>
        <v>0.82868802547454834</v>
      </c>
      <c r="AI51" s="90">
        <f t="shared" si="27"/>
        <v>14.073051452636719</v>
      </c>
      <c r="AJ51" s="90">
        <f t="shared" si="27"/>
        <v>0.67366105318069458</v>
      </c>
    </row>
    <row r="52" spans="1:37">
      <c r="A52" s="312" t="s">
        <v>2839</v>
      </c>
      <c r="B52" s="313" t="s">
        <v>2777</v>
      </c>
      <c r="C52" s="313" t="s">
        <v>2840</v>
      </c>
      <c r="D52" s="313">
        <v>2.6551999999999998</v>
      </c>
      <c r="E52" s="315">
        <v>0.84665894508361816</v>
      </c>
      <c r="F52" s="315">
        <v>13.113008499145508</v>
      </c>
      <c r="G52" s="316">
        <v>0.7400403618812561</v>
      </c>
      <c r="H52" s="287">
        <v>2018</v>
      </c>
      <c r="I52" s="287" t="s">
        <v>190</v>
      </c>
      <c r="J52" s="290">
        <v>19</v>
      </c>
      <c r="K52" s="290">
        <v>2655.2</v>
      </c>
      <c r="L52" s="290" t="s">
        <v>2700</v>
      </c>
      <c r="M52" s="231">
        <f t="shared" si="2"/>
        <v>15.487946563713956</v>
      </c>
      <c r="O52" s="345" t="s">
        <v>2912</v>
      </c>
      <c r="P52" s="345" t="s">
        <v>2913</v>
      </c>
      <c r="AF52" t="s">
        <v>194</v>
      </c>
      <c r="AG52" s="97">
        <v>7</v>
      </c>
      <c r="AH52" s="90">
        <f t="shared" ref="AH52:AJ52" si="28">E63</f>
        <v>0.75137102603912354</v>
      </c>
      <c r="AI52" s="90">
        <f t="shared" si="28"/>
        <v>13.875494956970215</v>
      </c>
      <c r="AJ52" s="90">
        <f t="shared" si="28"/>
        <v>0.59710395336151123</v>
      </c>
    </row>
    <row r="53" spans="1:37">
      <c r="A53" s="312" t="s">
        <v>2841</v>
      </c>
      <c r="B53" s="313" t="s">
        <v>2777</v>
      </c>
      <c r="C53" s="313" t="s">
        <v>2842</v>
      </c>
      <c r="D53" s="313">
        <v>2.6406000000000001</v>
      </c>
      <c r="E53" s="315">
        <v>0.64705199003219604</v>
      </c>
      <c r="F53" s="315">
        <v>12.189061164855957</v>
      </c>
      <c r="G53" s="316">
        <v>0.61984997987747192</v>
      </c>
      <c r="H53" s="287">
        <v>2018</v>
      </c>
      <c r="I53" s="287" t="s">
        <v>190</v>
      </c>
      <c r="J53" s="290">
        <v>20</v>
      </c>
      <c r="K53" s="290">
        <v>2640.6</v>
      </c>
      <c r="L53" s="290" t="s">
        <v>2701</v>
      </c>
      <c r="M53">
        <f t="shared" si="2"/>
        <v>18.837838925817156</v>
      </c>
      <c r="O53" s="454">
        <f>AVERAGE(E43:E45,E47:E54)</f>
        <v>0.74732649868184875</v>
      </c>
      <c r="P53" s="454">
        <f>AVERAGE(F43:F45,F47:F54)</f>
        <v>13.292347474531693</v>
      </c>
      <c r="AF53" t="s">
        <v>194</v>
      </c>
      <c r="AG53" s="97">
        <v>8</v>
      </c>
      <c r="AH53" s="90">
        <f>AVERAGE(E150,E165:E167)</f>
        <v>0.69269953668117523</v>
      </c>
      <c r="AI53" s="90">
        <f>AVERAGE(F150,F165:F167)</f>
        <v>13.573327493667591</v>
      </c>
      <c r="AJ53" s="90">
        <f>AVERAGE(G150,G165:G167)</f>
        <v>0.5440935343503952</v>
      </c>
      <c r="AK53" t="s">
        <v>3467</v>
      </c>
    </row>
    <row r="54" spans="1:37">
      <c r="A54" s="312" t="s">
        <v>2843</v>
      </c>
      <c r="B54" s="313" t="s">
        <v>2777</v>
      </c>
      <c r="C54" s="313" t="s">
        <v>2844</v>
      </c>
      <c r="D54" s="313">
        <v>3.2124999999999999</v>
      </c>
      <c r="E54" s="315">
        <v>1.2290290594100952</v>
      </c>
      <c r="F54" s="315">
        <v>15.38349723815918</v>
      </c>
      <c r="G54" s="316">
        <v>1.1978820562362671</v>
      </c>
      <c r="H54" s="287">
        <v>2018</v>
      </c>
      <c r="I54" s="287" t="s">
        <v>190</v>
      </c>
      <c r="J54" s="290">
        <v>21</v>
      </c>
      <c r="K54" s="290">
        <v>3212.5</v>
      </c>
      <c r="L54" s="290" t="s">
        <v>2702</v>
      </c>
      <c r="M54">
        <f t="shared" si="2"/>
        <v>12.516788858957407</v>
      </c>
      <c r="AF54" t="s">
        <v>194</v>
      </c>
      <c r="AG54" s="97">
        <v>9</v>
      </c>
      <c r="AH54" s="90">
        <f>E67</f>
        <v>0.60184335708618164</v>
      </c>
      <c r="AI54" s="90">
        <f>F67</f>
        <v>13.004121780395508</v>
      </c>
      <c r="AJ54" s="90">
        <f>G67</f>
        <v>0.49162545800209045</v>
      </c>
    </row>
    <row r="55" spans="1:37">
      <c r="A55" s="323" t="s">
        <v>2845</v>
      </c>
      <c r="B55" s="324" t="s">
        <v>2777</v>
      </c>
      <c r="C55" s="324" t="s">
        <v>2846</v>
      </c>
      <c r="D55" s="324"/>
      <c r="E55" s="325"/>
      <c r="F55" s="325"/>
      <c r="G55" s="326"/>
      <c r="H55" s="327"/>
      <c r="I55" s="327"/>
      <c r="J55" s="328"/>
      <c r="K55" s="328"/>
      <c r="L55" s="328"/>
      <c r="AF55" t="s">
        <v>194</v>
      </c>
      <c r="AG55" s="97">
        <v>10</v>
      </c>
      <c r="AH55" s="90">
        <f>E69</f>
        <v>0.91538608074188232</v>
      </c>
      <c r="AI55" s="90">
        <f>F69</f>
        <v>13.893876075744629</v>
      </c>
      <c r="AJ55" s="90">
        <f>G69</f>
        <v>0.81112563610076904</v>
      </c>
    </row>
    <row r="56" spans="1:37">
      <c r="A56" s="312" t="s">
        <v>2847</v>
      </c>
      <c r="B56" s="313" t="s">
        <v>2777</v>
      </c>
      <c r="C56" s="313" t="s">
        <v>2848</v>
      </c>
      <c r="D56" s="313">
        <v>2.8856999999999999</v>
      </c>
      <c r="E56" s="315">
        <v>0.69819456338882446</v>
      </c>
      <c r="F56" s="315">
        <v>13.80047607421875</v>
      </c>
      <c r="G56" s="316">
        <v>0.62576937675476074</v>
      </c>
      <c r="H56" s="287">
        <v>2018</v>
      </c>
      <c r="I56" s="287" t="s">
        <v>194</v>
      </c>
      <c r="J56" s="287">
        <v>1</v>
      </c>
      <c r="K56" s="290">
        <v>2885.7</v>
      </c>
      <c r="L56" s="284" t="s">
        <v>2703</v>
      </c>
      <c r="M56">
        <f t="shared" si="2"/>
        <v>19.765946052681116</v>
      </c>
      <c r="O56" s="345" t="s">
        <v>2911</v>
      </c>
      <c r="P56" s="345"/>
      <c r="Q56" s="345"/>
      <c r="AF56" t="s">
        <v>194</v>
      </c>
      <c r="AG56" s="97">
        <v>11</v>
      </c>
      <c r="AH56" s="90">
        <f t="shared" ref="AH56:AJ56" si="29">E70</f>
        <v>0.4686332643032074</v>
      </c>
      <c r="AI56" s="90">
        <f t="shared" si="29"/>
        <v>12.262346267700195</v>
      </c>
      <c r="AJ56" s="90">
        <f t="shared" si="29"/>
        <v>0.4369749128818512</v>
      </c>
    </row>
    <row r="57" spans="1:37">
      <c r="A57" s="312" t="s">
        <v>2849</v>
      </c>
      <c r="B57" s="313" t="s">
        <v>2777</v>
      </c>
      <c r="C57" s="313" t="s">
        <v>2850</v>
      </c>
      <c r="D57" s="313">
        <v>3.4523999999999999</v>
      </c>
      <c r="E57" s="315">
        <v>1.0298765897750854</v>
      </c>
      <c r="F57" s="315">
        <v>15.48238468170166</v>
      </c>
      <c r="G57" s="316">
        <v>0.94766432046890259</v>
      </c>
      <c r="H57" s="287">
        <v>2018</v>
      </c>
      <c r="I57" s="287" t="s">
        <v>194</v>
      </c>
      <c r="J57" s="290">
        <v>2</v>
      </c>
      <c r="K57" s="290">
        <v>3452.4</v>
      </c>
      <c r="L57" s="287" t="s">
        <v>2704</v>
      </c>
      <c r="M57">
        <f t="shared" si="2"/>
        <v>15.033242657824522</v>
      </c>
      <c r="O57" s="345" t="s">
        <v>2912</v>
      </c>
      <c r="P57" s="345" t="s">
        <v>2913</v>
      </c>
      <c r="Q57" s="345"/>
      <c r="AF57" t="s">
        <v>194</v>
      </c>
      <c r="AG57" s="97">
        <v>12</v>
      </c>
      <c r="AH57" s="90">
        <f t="shared" ref="AH57:AJ57" si="30">E71</f>
        <v>0.43507429957389832</v>
      </c>
      <c r="AI57" s="90">
        <f t="shared" si="30"/>
        <v>11.851734161376953</v>
      </c>
      <c r="AJ57" s="90">
        <f t="shared" si="30"/>
        <v>0.45800557732582092</v>
      </c>
    </row>
    <row r="58" spans="1:37">
      <c r="A58" s="330" t="s">
        <v>2851</v>
      </c>
      <c r="B58" s="331" t="s">
        <v>2777</v>
      </c>
      <c r="C58" s="331" t="s">
        <v>2852</v>
      </c>
      <c r="D58" s="331">
        <v>3.4546000000000001</v>
      </c>
      <c r="E58" s="333">
        <v>1.1970739364624023</v>
      </c>
      <c r="F58" s="333">
        <v>15.902324676513672</v>
      </c>
      <c r="G58" s="334">
        <v>1.1835715770721436</v>
      </c>
      <c r="H58" s="335">
        <v>2018</v>
      </c>
      <c r="I58" s="335" t="s">
        <v>194</v>
      </c>
      <c r="J58" s="336" t="s">
        <v>2675</v>
      </c>
      <c r="K58" s="336">
        <v>3454.6</v>
      </c>
      <c r="L58" s="336" t="s">
        <v>2705</v>
      </c>
      <c r="M58">
        <f t="shared" si="2"/>
        <v>13.284329557377454</v>
      </c>
      <c r="O58" s="346">
        <f>((E58-E59)/AVERAGE(E58:E59))*100</f>
        <v>0.1665133375867805</v>
      </c>
      <c r="P58" s="346">
        <f>((F58-F59)/AVERAGE(F58:F59))*100</f>
        <v>-0.16287973187582477</v>
      </c>
      <c r="Q58" s="347"/>
      <c r="R58" s="348"/>
      <c r="S58" s="348"/>
      <c r="AF58" t="s">
        <v>194</v>
      </c>
      <c r="AG58" s="97">
        <v>13</v>
      </c>
      <c r="AH58" s="90">
        <f t="shared" ref="AH58:AJ58" si="31">E72</f>
        <v>0.5326191782951355</v>
      </c>
      <c r="AI58" s="90">
        <f t="shared" si="31"/>
        <v>12.109560966491699</v>
      </c>
      <c r="AJ58" s="90">
        <f t="shared" si="31"/>
        <v>0.47568148374557495</v>
      </c>
    </row>
    <row r="59" spans="1:37">
      <c r="A59" s="330" t="s">
        <v>2853</v>
      </c>
      <c r="B59" s="331" t="s">
        <v>2777</v>
      </c>
      <c r="C59" s="331" t="s">
        <v>2854</v>
      </c>
      <c r="D59" s="331">
        <v>2.7509000000000001</v>
      </c>
      <c r="E59" s="333">
        <v>1.1950823068618774</v>
      </c>
      <c r="F59" s="333">
        <v>15.928247451782227</v>
      </c>
      <c r="G59" s="334">
        <v>1.0913552045822144</v>
      </c>
      <c r="H59" s="335">
        <v>2018</v>
      </c>
      <c r="I59" s="335" t="s">
        <v>194</v>
      </c>
      <c r="J59" s="336" t="s">
        <v>2677</v>
      </c>
      <c r="K59" s="336">
        <v>2750.9</v>
      </c>
      <c r="L59" s="336" t="s">
        <v>2706</v>
      </c>
      <c r="M59">
        <f t="shared" si="2"/>
        <v>13.328159374735975</v>
      </c>
      <c r="N59" s="595" t="s">
        <v>3424</v>
      </c>
      <c r="O59" s="90">
        <f>(_xlfn.STDEV.P(E58:E59)/AVERAGE(E58:E59))*100</f>
        <v>8.3256668793390248E-2</v>
      </c>
      <c r="P59" s="90">
        <f>(_xlfn.STDEV.P(F58:F59)/AVERAGE(F58:F59))*100</f>
        <v>8.1439865937912387E-2</v>
      </c>
      <c r="S59">
        <f>((M58-M59)/AVERAGE(M59,M58))*100</f>
        <v>-0.3293928461206897</v>
      </c>
      <c r="U59" s="345" t="s">
        <v>2582</v>
      </c>
      <c r="V59" s="345" t="s">
        <v>2001</v>
      </c>
      <c r="W59" s="349" t="s">
        <v>2914</v>
      </c>
      <c r="AF59" t="s">
        <v>194</v>
      </c>
      <c r="AG59" s="97">
        <v>14</v>
      </c>
      <c r="AH59" s="90">
        <f t="shared" ref="AH59:AJ59" si="32">E73</f>
        <v>0.50001806020736694</v>
      </c>
      <c r="AI59" s="90">
        <f t="shared" si="32"/>
        <v>12.245630264282227</v>
      </c>
      <c r="AJ59" s="90">
        <f t="shared" si="32"/>
        <v>0.43018424510955811</v>
      </c>
    </row>
    <row r="60" spans="1:37">
      <c r="A60" s="312" t="s">
        <v>2855</v>
      </c>
      <c r="B60" s="313" t="s">
        <v>2777</v>
      </c>
      <c r="C60" s="313" t="s">
        <v>2856</v>
      </c>
      <c r="D60" s="313">
        <v>2.5575000000000001</v>
      </c>
      <c r="E60" s="315">
        <v>0.86751490831375122</v>
      </c>
      <c r="F60" s="315">
        <v>14.182465553283691</v>
      </c>
      <c r="G60" s="316">
        <v>0.74583691358566284</v>
      </c>
      <c r="H60" s="287">
        <v>2018</v>
      </c>
      <c r="I60" s="287" t="s">
        <v>194</v>
      </c>
      <c r="J60" s="290">
        <v>4</v>
      </c>
      <c r="K60" s="290">
        <v>2557.5</v>
      </c>
      <c r="L60" s="290" t="s">
        <v>2707</v>
      </c>
      <c r="M60">
        <f t="shared" si="2"/>
        <v>16.348382508896741</v>
      </c>
      <c r="U60" s="345" t="s">
        <v>2912</v>
      </c>
      <c r="V60" s="345" t="s">
        <v>2913</v>
      </c>
      <c r="AF60" t="s">
        <v>194</v>
      </c>
      <c r="AG60" s="97">
        <v>15</v>
      </c>
      <c r="AH60" s="90">
        <f>E76</f>
        <v>0.3702196478843689</v>
      </c>
      <c r="AI60" s="90">
        <f>F76</f>
        <v>12.559001922607422</v>
      </c>
      <c r="AJ60" s="90">
        <f>G76</f>
        <v>0.33929729461669922</v>
      </c>
    </row>
    <row r="61" spans="1:37">
      <c r="A61" s="312" t="s">
        <v>2857</v>
      </c>
      <c r="B61" s="313" t="s">
        <v>2777</v>
      </c>
      <c r="C61" s="313" t="s">
        <v>2858</v>
      </c>
      <c r="D61" s="313">
        <v>2.8182999999999998</v>
      </c>
      <c r="E61" s="315">
        <v>0.61714720726013184</v>
      </c>
      <c r="F61" s="315">
        <v>13.104650497436523</v>
      </c>
      <c r="G61" s="316">
        <v>0.55114752054214478</v>
      </c>
      <c r="H61" s="287">
        <v>2018</v>
      </c>
      <c r="I61" s="287" t="s">
        <v>194</v>
      </c>
      <c r="J61" s="290">
        <v>5</v>
      </c>
      <c r="K61" s="290">
        <v>2818.3</v>
      </c>
      <c r="L61" s="290" t="s">
        <v>2708</v>
      </c>
      <c r="M61">
        <f t="shared" si="2"/>
        <v>21.234237704186551</v>
      </c>
      <c r="U61" s="350">
        <f>AVERAGE(E56:E65,E67)</f>
        <v>0.84221752123399218</v>
      </c>
      <c r="V61" s="350">
        <f>AVERAGE(F56:F65,F67)</f>
        <v>14.224757888100363</v>
      </c>
      <c r="AF61" t="s">
        <v>194</v>
      </c>
      <c r="AG61" s="97">
        <v>16</v>
      </c>
      <c r="AH61" s="90">
        <f t="shared" ref="AH61:AJ61" si="33">E77</f>
        <v>0.52661579847335815</v>
      </c>
      <c r="AI61" s="90">
        <f t="shared" si="33"/>
        <v>12.772340774536133</v>
      </c>
      <c r="AJ61" s="90">
        <f t="shared" si="33"/>
        <v>0.42962762713432312</v>
      </c>
    </row>
    <row r="62" spans="1:37">
      <c r="A62" s="312" t="s">
        <v>2859</v>
      </c>
      <c r="B62" s="313" t="s">
        <v>2777</v>
      </c>
      <c r="C62" s="313" t="s">
        <v>2860</v>
      </c>
      <c r="D62" s="313">
        <v>2.6152000000000002</v>
      </c>
      <c r="E62" s="315">
        <v>0.82868802547454834</v>
      </c>
      <c r="F62" s="315">
        <v>14.073051452636719</v>
      </c>
      <c r="G62" s="316">
        <v>0.67366105318069458</v>
      </c>
      <c r="H62" s="287">
        <v>2018</v>
      </c>
      <c r="I62" s="287" t="s">
        <v>194</v>
      </c>
      <c r="J62" s="290">
        <v>6</v>
      </c>
      <c r="K62" s="290">
        <v>2615.1999999999998</v>
      </c>
      <c r="L62" s="290" t="s">
        <v>2709</v>
      </c>
      <c r="M62">
        <f t="shared" si="2"/>
        <v>16.982327510498035</v>
      </c>
      <c r="O62" s="363" t="s">
        <v>2911</v>
      </c>
      <c r="P62" s="363"/>
      <c r="Q62" s="363"/>
      <c r="AF62" t="s">
        <v>194</v>
      </c>
      <c r="AG62" s="97">
        <v>17</v>
      </c>
      <c r="AH62" s="90">
        <f t="shared" ref="AH62:AJ62" si="34">E78</f>
        <v>0.37589496374130249</v>
      </c>
      <c r="AI62" s="90">
        <f t="shared" si="34"/>
        <v>12.438674926757813</v>
      </c>
      <c r="AJ62" s="90">
        <f t="shared" si="34"/>
        <v>0.32343754172325134</v>
      </c>
    </row>
    <row r="63" spans="1:37">
      <c r="A63" s="312" t="s">
        <v>2861</v>
      </c>
      <c r="B63" s="313" t="s">
        <v>2777</v>
      </c>
      <c r="C63" s="313" t="s">
        <v>2862</v>
      </c>
      <c r="D63" s="313">
        <v>2.8174000000000001</v>
      </c>
      <c r="E63" s="315">
        <v>0.75137102603912354</v>
      </c>
      <c r="F63" s="315">
        <v>13.875494956970215</v>
      </c>
      <c r="G63" s="316">
        <v>0.59710395336151123</v>
      </c>
      <c r="H63" s="287">
        <v>2018</v>
      </c>
      <c r="I63" s="287" t="s">
        <v>194</v>
      </c>
      <c r="J63" s="290">
        <v>7</v>
      </c>
      <c r="K63" s="290">
        <v>2817.4</v>
      </c>
      <c r="L63" s="290" t="s">
        <v>2710</v>
      </c>
      <c r="M63">
        <f t="shared" si="2"/>
        <v>18.466901804978203</v>
      </c>
      <c r="O63" s="363" t="s">
        <v>2912</v>
      </c>
      <c r="P63" s="363" t="s">
        <v>2913</v>
      </c>
      <c r="Q63" s="363"/>
      <c r="AF63" t="s">
        <v>194</v>
      </c>
      <c r="AG63" s="97">
        <v>18</v>
      </c>
      <c r="AH63" s="90">
        <f t="shared" ref="AH63:AJ63" si="35">E79</f>
        <v>0.36883670091629028</v>
      </c>
      <c r="AI63" s="90">
        <f t="shared" si="35"/>
        <v>12.267759323120117</v>
      </c>
      <c r="AJ63" s="90">
        <f t="shared" si="35"/>
        <v>0.34961962699890137</v>
      </c>
    </row>
    <row r="64" spans="1:37">
      <c r="A64" s="330" t="s">
        <v>2863</v>
      </c>
      <c r="B64" s="331" t="s">
        <v>2777</v>
      </c>
      <c r="C64" s="331" t="s">
        <v>2864</v>
      </c>
      <c r="D64" s="331">
        <v>2.6991999999999998</v>
      </c>
      <c r="E64" s="333">
        <v>0.68823897838592529</v>
      </c>
      <c r="F64" s="333">
        <v>13.466116905212402</v>
      </c>
      <c r="G64" s="334">
        <v>0.56040018796920776</v>
      </c>
      <c r="H64" s="335">
        <v>2018</v>
      </c>
      <c r="I64" s="335" t="s">
        <v>194</v>
      </c>
      <c r="J64" s="336" t="s">
        <v>2712</v>
      </c>
      <c r="K64" s="336">
        <v>2699.2</v>
      </c>
      <c r="L64" s="336" t="s">
        <v>2711</v>
      </c>
      <c r="M64">
        <f t="shared" si="2"/>
        <v>19.566048027087138</v>
      </c>
      <c r="O64" s="364">
        <f>((E64-E65)/AVERAGE(E64:E65))*100</f>
        <v>-13.687439159003773</v>
      </c>
      <c r="P64" s="364">
        <f>((F64-F65)/AVERAGE(F64:F65))*100</f>
        <v>-1.3782588534760551</v>
      </c>
      <c r="Q64" s="365"/>
      <c r="R64" s="348"/>
      <c r="S64" s="348"/>
      <c r="AF64" t="s">
        <v>194</v>
      </c>
      <c r="AG64" s="97">
        <v>19</v>
      </c>
      <c r="AH64" s="90">
        <f t="shared" ref="AH64:AJ64" si="36">E80</f>
        <v>0.39902999997138977</v>
      </c>
      <c r="AI64" s="90">
        <f t="shared" si="36"/>
        <v>12.174908638000488</v>
      </c>
      <c r="AJ64" s="90">
        <f t="shared" si="36"/>
        <v>0.42274323105812073</v>
      </c>
    </row>
    <row r="65" spans="1:36">
      <c r="A65" s="330" t="s">
        <v>2865</v>
      </c>
      <c r="B65" s="331" t="s">
        <v>2777</v>
      </c>
      <c r="C65" s="331" t="s">
        <v>2866</v>
      </c>
      <c r="D65" s="331">
        <v>3.0693000000000001</v>
      </c>
      <c r="E65" s="333">
        <v>0.78936183452606201</v>
      </c>
      <c r="F65" s="333">
        <v>13.653002738952637</v>
      </c>
      <c r="G65" s="334">
        <v>0.65417492389678955</v>
      </c>
      <c r="H65" s="335">
        <v>2018</v>
      </c>
      <c r="I65" s="335" t="s">
        <v>194</v>
      </c>
      <c r="J65" s="336" t="s">
        <v>2714</v>
      </c>
      <c r="K65" s="336">
        <v>3069.3</v>
      </c>
      <c r="L65" s="336" t="s">
        <v>2713</v>
      </c>
      <c r="M65">
        <f t="shared" si="2"/>
        <v>17.296253938030826</v>
      </c>
      <c r="N65" s="595" t="s">
        <v>3424</v>
      </c>
      <c r="O65" s="90">
        <f>(_xlfn.STDEV.P(E64:E65)/AVERAGE(E64:E65))*100</f>
        <v>6.8437195795018866</v>
      </c>
      <c r="P65" s="90">
        <f>(_xlfn.STDEV.P(F64:F65)/AVERAGE(F64:F65))*100</f>
        <v>0.68912942673802757</v>
      </c>
      <c r="S65">
        <f>((M64-M65)/AVERAGE(M65,M64))*100</f>
        <v>12.314988310844891</v>
      </c>
      <c r="AF65" t="s">
        <v>194</v>
      </c>
      <c r="AG65" s="97">
        <v>20</v>
      </c>
      <c r="AH65" s="90">
        <f t="shared" ref="AH65:AJ66" si="37">E82</f>
        <v>0.44593289494514465</v>
      </c>
      <c r="AI65" s="90">
        <f t="shared" si="37"/>
        <v>11.52426815032959</v>
      </c>
      <c r="AJ65" s="90">
        <f t="shared" si="37"/>
        <v>0.48177030682563782</v>
      </c>
    </row>
    <row r="66" spans="1:36">
      <c r="A66" s="337" t="s">
        <v>2867</v>
      </c>
      <c r="B66" s="338" t="s">
        <v>2777</v>
      </c>
      <c r="C66" s="338" t="s">
        <v>2868</v>
      </c>
      <c r="D66" s="338">
        <v>0.61729999999999996</v>
      </c>
      <c r="E66" s="339">
        <v>10.2618099212646</v>
      </c>
      <c r="F66" s="339">
        <v>70.944828796386702</v>
      </c>
      <c r="G66" s="340">
        <v>6.5183126449584901</v>
      </c>
      <c r="H66" s="344" t="s">
        <v>2716</v>
      </c>
      <c r="I66" s="342"/>
      <c r="J66" s="343"/>
      <c r="K66" s="343">
        <v>617.29999999999995</v>
      </c>
      <c r="L66" s="343" t="s">
        <v>2715</v>
      </c>
      <c r="M66">
        <f t="shared" si="2"/>
        <v>6.9134810857658051</v>
      </c>
      <c r="AF66" t="s">
        <v>194</v>
      </c>
      <c r="AG66" s="97">
        <v>21</v>
      </c>
      <c r="AH66" s="90">
        <f t="shared" si="37"/>
        <v>0.49323287606239319</v>
      </c>
      <c r="AI66" s="90">
        <f t="shared" si="37"/>
        <v>11.310412406921387</v>
      </c>
      <c r="AJ66" s="90">
        <f t="shared" si="37"/>
        <v>0.50830024480819702</v>
      </c>
    </row>
    <row r="67" spans="1:36">
      <c r="A67" s="312" t="s">
        <v>2869</v>
      </c>
      <c r="B67" s="313" t="s">
        <v>2777</v>
      </c>
      <c r="C67" s="313" t="s">
        <v>2870</v>
      </c>
      <c r="D67" s="313">
        <v>2.6225000000000001</v>
      </c>
      <c r="E67" s="315">
        <v>0.60184335708618164</v>
      </c>
      <c r="F67" s="315">
        <v>13.004121780395508</v>
      </c>
      <c r="G67" s="316">
        <v>0.49162545800209045</v>
      </c>
      <c r="H67" s="287">
        <v>2018</v>
      </c>
      <c r="I67" s="287" t="s">
        <v>194</v>
      </c>
      <c r="J67" s="290">
        <v>9</v>
      </c>
      <c r="K67" s="290">
        <v>2622.5</v>
      </c>
      <c r="L67" s="290" t="s">
        <v>2717</v>
      </c>
      <c r="M67">
        <f t="shared" si="2"/>
        <v>21.607153468229388</v>
      </c>
    </row>
    <row r="68" spans="1:36">
      <c r="A68" s="323" t="s">
        <v>2871</v>
      </c>
      <c r="B68" s="324" t="s">
        <v>2777</v>
      </c>
      <c r="C68" s="324" t="s">
        <v>2872</v>
      </c>
      <c r="D68" s="324"/>
      <c r="E68" s="325"/>
      <c r="F68" s="325"/>
      <c r="G68" s="326"/>
      <c r="H68" s="327"/>
      <c r="I68" s="327"/>
      <c r="J68" s="328"/>
      <c r="K68" s="328"/>
      <c r="L68" s="328"/>
    </row>
    <row r="69" spans="1:36">
      <c r="A69" s="312" t="s">
        <v>2873</v>
      </c>
      <c r="B69" s="313" t="s">
        <v>2777</v>
      </c>
      <c r="C69" s="313" t="s">
        <v>2874</v>
      </c>
      <c r="D69" s="313">
        <v>3.2940999999999998</v>
      </c>
      <c r="E69" s="315">
        <v>0.91538608074188232</v>
      </c>
      <c r="F69" s="315">
        <v>13.893876075744629</v>
      </c>
      <c r="G69" s="316">
        <v>0.81112563610076904</v>
      </c>
      <c r="H69" s="287">
        <v>2018</v>
      </c>
      <c r="I69" s="287" t="s">
        <v>194</v>
      </c>
      <c r="J69" s="290">
        <v>10</v>
      </c>
      <c r="K69" s="290">
        <v>3294.1</v>
      </c>
      <c r="L69" s="284" t="s">
        <v>2718</v>
      </c>
      <c r="M69">
        <f t="shared" si="2"/>
        <v>15.178159650935724</v>
      </c>
    </row>
    <row r="70" spans="1:36">
      <c r="A70" s="312" t="s">
        <v>2875</v>
      </c>
      <c r="B70" s="313" t="s">
        <v>2777</v>
      </c>
      <c r="C70" s="313" t="s">
        <v>2876</v>
      </c>
      <c r="D70" s="313">
        <v>2.746</v>
      </c>
      <c r="E70" s="315">
        <v>0.4686332643032074</v>
      </c>
      <c r="F70" s="315">
        <v>12.262346267700195</v>
      </c>
      <c r="G70" s="316">
        <v>0.4369749128818512</v>
      </c>
      <c r="H70" s="287">
        <v>2018</v>
      </c>
      <c r="I70" s="287" t="s">
        <v>194</v>
      </c>
      <c r="J70" s="290">
        <v>11</v>
      </c>
      <c r="K70" s="290">
        <v>2746</v>
      </c>
      <c r="L70" s="287" t="s">
        <v>2719</v>
      </c>
      <c r="M70">
        <f t="shared" ref="M70:M85" si="38">F70/E70</f>
        <v>26.166188364653546</v>
      </c>
      <c r="O70" s="345" t="s">
        <v>2582</v>
      </c>
      <c r="P70" s="345" t="s">
        <v>2001</v>
      </c>
      <c r="Q70" s="349" t="s">
        <v>2914</v>
      </c>
    </row>
    <row r="71" spans="1:36">
      <c r="A71" s="312" t="s">
        <v>2877</v>
      </c>
      <c r="B71" s="313" t="s">
        <v>2777</v>
      </c>
      <c r="C71" s="313" t="s">
        <v>2878</v>
      </c>
      <c r="D71" s="313">
        <v>3.4982000000000002</v>
      </c>
      <c r="E71" s="315">
        <v>0.43507429957389832</v>
      </c>
      <c r="F71" s="315">
        <v>11.851734161376953</v>
      </c>
      <c r="G71" s="316">
        <v>0.45800557732582092</v>
      </c>
      <c r="H71" s="287">
        <v>2018</v>
      </c>
      <c r="I71" s="287" t="s">
        <v>194</v>
      </c>
      <c r="J71" s="290">
        <v>12</v>
      </c>
      <c r="K71" s="290">
        <v>3498.2</v>
      </c>
      <c r="L71" s="290" t="s">
        <v>2720</v>
      </c>
      <c r="M71">
        <f t="shared" si="38"/>
        <v>27.240713075868346</v>
      </c>
      <c r="O71" s="345" t="s">
        <v>2912</v>
      </c>
      <c r="P71" s="345" t="s">
        <v>2913</v>
      </c>
    </row>
    <row r="72" spans="1:36">
      <c r="A72" s="312" t="s">
        <v>2879</v>
      </c>
      <c r="B72" s="313" t="s">
        <v>2777</v>
      </c>
      <c r="C72" s="313" t="s">
        <v>2880</v>
      </c>
      <c r="D72" s="313">
        <v>2.6322000000000001</v>
      </c>
      <c r="E72" s="315">
        <v>0.5326191782951355</v>
      </c>
      <c r="F72" s="315">
        <v>12.109560966491699</v>
      </c>
      <c r="G72" s="316">
        <v>0.47568148374557495</v>
      </c>
      <c r="H72" s="287">
        <v>2018</v>
      </c>
      <c r="I72" s="287" t="s">
        <v>194</v>
      </c>
      <c r="J72" s="290">
        <v>13</v>
      </c>
      <c r="K72" s="290">
        <v>2632.2</v>
      </c>
      <c r="L72" s="290" t="s">
        <v>2721</v>
      </c>
      <c r="M72">
        <f t="shared" si="38"/>
        <v>22.735871068806194</v>
      </c>
      <c r="O72" s="350">
        <f>AVERAGE(E69:E73,E76:E80)</f>
        <v>0.48923279941081999</v>
      </c>
      <c r="P72" s="350">
        <f>AVERAGE(F69:F73,F76:F80)</f>
        <v>12.457583332061768</v>
      </c>
    </row>
    <row r="73" spans="1:36">
      <c r="A73" s="312" t="s">
        <v>2881</v>
      </c>
      <c r="B73" s="313" t="s">
        <v>2777</v>
      </c>
      <c r="C73" s="313" t="s">
        <v>2882</v>
      </c>
      <c r="D73" s="313">
        <v>2.7829999999999999</v>
      </c>
      <c r="E73" s="315">
        <v>0.50001806020736694</v>
      </c>
      <c r="F73" s="315">
        <v>12.245630264282227</v>
      </c>
      <c r="G73" s="316">
        <v>0.43018424510955811</v>
      </c>
      <c r="H73" s="287">
        <v>2018</v>
      </c>
      <c r="I73" s="287" t="s">
        <v>194</v>
      </c>
      <c r="J73" s="290">
        <v>14</v>
      </c>
      <c r="K73" s="290">
        <v>2783</v>
      </c>
      <c r="L73" s="290" t="s">
        <v>2722</v>
      </c>
      <c r="M73">
        <f t="shared" si="38"/>
        <v>24.490375926029017</v>
      </c>
    </row>
    <row r="74" spans="1:36">
      <c r="A74" s="337" t="s">
        <v>2883</v>
      </c>
      <c r="B74" s="338" t="s">
        <v>2777</v>
      </c>
      <c r="C74" s="338" t="s">
        <v>2884</v>
      </c>
      <c r="D74" s="338">
        <v>3.5068000000000001</v>
      </c>
      <c r="E74" s="339">
        <v>0.2781582772731781</v>
      </c>
      <c r="F74" s="339">
        <v>3.3529341220855713</v>
      </c>
      <c r="G74" s="340">
        <v>0.67417693138122559</v>
      </c>
      <c r="H74" s="341" t="s">
        <v>2724</v>
      </c>
      <c r="I74" s="342"/>
      <c r="J74" s="343"/>
      <c r="K74" s="343">
        <v>3506.8</v>
      </c>
      <c r="L74" s="343" t="s">
        <v>2723</v>
      </c>
      <c r="M74">
        <f t="shared" si="38"/>
        <v>12.054051222040998</v>
      </c>
    </row>
    <row r="75" spans="1:36">
      <c r="A75" s="337" t="s">
        <v>2885</v>
      </c>
      <c r="B75" s="338" t="s">
        <v>2777</v>
      </c>
      <c r="C75" s="338" t="s">
        <v>2886</v>
      </c>
      <c r="D75" s="338">
        <v>3.9318</v>
      </c>
      <c r="E75" s="339">
        <v>0.2880232036113739</v>
      </c>
      <c r="F75" s="339">
        <v>3.363440990447998</v>
      </c>
      <c r="G75" s="340">
        <v>0.70635992288589478</v>
      </c>
      <c r="H75" s="341" t="s">
        <v>2726</v>
      </c>
      <c r="I75" s="342"/>
      <c r="J75" s="343"/>
      <c r="K75" s="343">
        <v>3931.8</v>
      </c>
      <c r="L75" s="343" t="s">
        <v>2725</v>
      </c>
      <c r="M75">
        <f t="shared" si="38"/>
        <v>11.677673702241876</v>
      </c>
      <c r="S75" s="601">
        <v>2.0154589999999999</v>
      </c>
    </row>
    <row r="76" spans="1:36">
      <c r="A76" s="312" t="s">
        <v>2887</v>
      </c>
      <c r="B76" s="313" t="s">
        <v>2777</v>
      </c>
      <c r="C76" s="313" t="s">
        <v>2888</v>
      </c>
      <c r="D76" s="313">
        <v>2.9544999999999999</v>
      </c>
      <c r="E76" s="315">
        <v>0.3702196478843689</v>
      </c>
      <c r="F76" s="315">
        <v>12.559001922607422</v>
      </c>
      <c r="G76" s="316">
        <v>0.33929729461669922</v>
      </c>
      <c r="H76" s="287">
        <v>2018</v>
      </c>
      <c r="I76" s="287" t="s">
        <v>194</v>
      </c>
      <c r="J76" s="290">
        <v>15</v>
      </c>
      <c r="K76" s="290">
        <v>2954.5</v>
      </c>
      <c r="L76" s="290" t="s">
        <v>2727</v>
      </c>
      <c r="M76">
        <f t="shared" si="38"/>
        <v>33.923110224906239</v>
      </c>
    </row>
    <row r="77" spans="1:36">
      <c r="A77" s="312" t="s">
        <v>2889</v>
      </c>
      <c r="B77" s="313" t="s">
        <v>2777</v>
      </c>
      <c r="C77" s="313" t="s">
        <v>2890</v>
      </c>
      <c r="D77" s="313">
        <v>3.2957999999999998</v>
      </c>
      <c r="E77" s="315">
        <v>0.52661579847335815</v>
      </c>
      <c r="F77" s="315">
        <v>12.772340774536133</v>
      </c>
      <c r="G77" s="316">
        <v>0.42962762713432312</v>
      </c>
      <c r="H77" s="287">
        <v>2018</v>
      </c>
      <c r="I77" s="287" t="s">
        <v>194</v>
      </c>
      <c r="J77" s="290">
        <v>16</v>
      </c>
      <c r="K77" s="290">
        <v>3295.8</v>
      </c>
      <c r="L77" s="290" t="s">
        <v>2728</v>
      </c>
      <c r="M77">
        <f t="shared" si="38"/>
        <v>24.25362249207625</v>
      </c>
    </row>
    <row r="78" spans="1:36">
      <c r="A78" s="312" t="s">
        <v>2891</v>
      </c>
      <c r="B78" s="313" t="s">
        <v>2777</v>
      </c>
      <c r="C78" s="313" t="s">
        <v>2892</v>
      </c>
      <c r="D78" s="313">
        <v>2.6328999999999998</v>
      </c>
      <c r="E78" s="315">
        <v>0.37589496374130249</v>
      </c>
      <c r="F78" s="315">
        <v>12.438674926757813</v>
      </c>
      <c r="G78" s="316">
        <v>0.32343754172325134</v>
      </c>
      <c r="H78" s="287">
        <v>2018</v>
      </c>
      <c r="I78" s="287" t="s">
        <v>194</v>
      </c>
      <c r="J78" s="290">
        <v>17</v>
      </c>
      <c r="K78" s="290">
        <v>2632.9</v>
      </c>
      <c r="L78" s="290" t="s">
        <v>2729</v>
      </c>
      <c r="M78">
        <f t="shared" si="38"/>
        <v>33.090826232293779</v>
      </c>
    </row>
    <row r="79" spans="1:36">
      <c r="A79" s="312" t="s">
        <v>2893</v>
      </c>
      <c r="B79" s="313" t="s">
        <v>2777</v>
      </c>
      <c r="C79" s="313" t="s">
        <v>2894</v>
      </c>
      <c r="D79" s="313">
        <v>2.8898999999999999</v>
      </c>
      <c r="E79" s="315">
        <v>0.36883670091629028</v>
      </c>
      <c r="F79" s="315">
        <v>12.267759323120117</v>
      </c>
      <c r="G79" s="316">
        <v>0.34961962699890137</v>
      </c>
      <c r="H79" s="287">
        <v>2018</v>
      </c>
      <c r="I79" s="287" t="s">
        <v>194</v>
      </c>
      <c r="J79" s="290">
        <v>18</v>
      </c>
      <c r="K79" s="290">
        <v>2889.9</v>
      </c>
      <c r="L79" s="290" t="s">
        <v>2730</v>
      </c>
      <c r="M79">
        <f t="shared" si="38"/>
        <v>33.260679570779374</v>
      </c>
    </row>
    <row r="80" spans="1:36">
      <c r="A80" s="312" t="s">
        <v>2895</v>
      </c>
      <c r="B80" s="313" t="s">
        <v>2777</v>
      </c>
      <c r="C80" s="313" t="s">
        <v>2896</v>
      </c>
      <c r="D80" s="313">
        <v>3.6012</v>
      </c>
      <c r="E80" s="315">
        <v>0.39902999997138977</v>
      </c>
      <c r="F80" s="315">
        <v>12.174908638000488</v>
      </c>
      <c r="G80" s="316">
        <v>0.42274323105812073</v>
      </c>
      <c r="H80" s="287">
        <v>2018</v>
      </c>
      <c r="I80" s="287" t="s">
        <v>194</v>
      </c>
      <c r="J80" s="290">
        <v>19</v>
      </c>
      <c r="K80" s="290">
        <v>3601.2</v>
      </c>
      <c r="L80" s="290" t="s">
        <v>2731</v>
      </c>
      <c r="M80">
        <f t="shared" si="38"/>
        <v>30.511261406093332</v>
      </c>
    </row>
    <row r="81" spans="1:25">
      <c r="A81" s="323" t="s">
        <v>2897</v>
      </c>
      <c r="B81" s="324" t="s">
        <v>2777</v>
      </c>
      <c r="C81" s="324" t="s">
        <v>2898</v>
      </c>
      <c r="D81" s="324"/>
      <c r="E81" s="325"/>
      <c r="F81" s="325"/>
      <c r="G81" s="326"/>
      <c r="H81" s="327"/>
      <c r="I81" s="327"/>
      <c r="J81" s="328"/>
      <c r="K81" s="328"/>
      <c r="L81" s="328"/>
    </row>
    <row r="82" spans="1:25">
      <c r="A82" s="312" t="s">
        <v>2899</v>
      </c>
      <c r="B82" s="313" t="s">
        <v>2777</v>
      </c>
      <c r="C82" s="313" t="s">
        <v>2900</v>
      </c>
      <c r="D82" s="313">
        <v>2.9605000000000001</v>
      </c>
      <c r="E82" s="315">
        <v>0.44593289494514465</v>
      </c>
      <c r="F82" s="315">
        <v>11.52426815032959</v>
      </c>
      <c r="G82" s="316">
        <v>0.48177030682563782</v>
      </c>
      <c r="H82" s="287">
        <v>2018</v>
      </c>
      <c r="I82" s="287" t="s">
        <v>194</v>
      </c>
      <c r="J82" s="290">
        <v>20</v>
      </c>
      <c r="K82" s="290">
        <v>2960.5</v>
      </c>
      <c r="L82" s="284" t="s">
        <v>2732</v>
      </c>
      <c r="M82">
        <f t="shared" si="38"/>
        <v>25.843054596246414</v>
      </c>
      <c r="O82" s="345" t="s">
        <v>2582</v>
      </c>
      <c r="P82" s="345" t="s">
        <v>2001</v>
      </c>
      <c r="Q82" s="349" t="s">
        <v>2914</v>
      </c>
    </row>
    <row r="83" spans="1:25">
      <c r="A83" s="312" t="s">
        <v>2901</v>
      </c>
      <c r="B83" s="313" t="s">
        <v>2777</v>
      </c>
      <c r="C83" s="313" t="s">
        <v>2902</v>
      </c>
      <c r="D83" s="313">
        <v>2.8277000000000001</v>
      </c>
      <c r="E83" s="315">
        <v>0.49323287606239319</v>
      </c>
      <c r="F83" s="315">
        <v>11.310412406921387</v>
      </c>
      <c r="G83" s="316">
        <v>0.50830024480819702</v>
      </c>
      <c r="H83" s="287">
        <v>2018</v>
      </c>
      <c r="I83" s="287" t="s">
        <v>194</v>
      </c>
      <c r="J83" s="290">
        <v>21</v>
      </c>
      <c r="K83" s="290">
        <v>2827.7</v>
      </c>
      <c r="L83" s="287" t="s">
        <v>2733</v>
      </c>
      <c r="M83" s="231">
        <f t="shared" si="38"/>
        <v>22.93118110296167</v>
      </c>
      <c r="O83" s="345" t="s">
        <v>2912</v>
      </c>
      <c r="P83" s="345" t="s">
        <v>2913</v>
      </c>
    </row>
    <row r="84" spans="1:25">
      <c r="A84" s="354" t="s">
        <v>2903</v>
      </c>
      <c r="B84" s="355" t="s">
        <v>2777</v>
      </c>
      <c r="C84" s="355" t="s">
        <v>2904</v>
      </c>
      <c r="D84" s="355">
        <v>0.57689999999999997</v>
      </c>
      <c r="E84" s="352">
        <v>11.911705017089844</v>
      </c>
      <c r="F84" s="352">
        <v>81.734233093261693</v>
      </c>
      <c r="G84" s="356">
        <v>7.4545164108276367</v>
      </c>
      <c r="H84" s="357" t="s">
        <v>2735</v>
      </c>
      <c r="I84" s="358"/>
      <c r="J84" s="353" t="s">
        <v>2919</v>
      </c>
      <c r="K84" s="353">
        <v>576.9</v>
      </c>
      <c r="L84" s="353" t="s">
        <v>2734</v>
      </c>
      <c r="M84">
        <f t="shared" si="38"/>
        <v>6.8616737046457041</v>
      </c>
      <c r="O84" s="350">
        <f>AVERAGE(E82:E83)</f>
        <v>0.46958288550376892</v>
      </c>
      <c r="P84" s="350">
        <f>AVERAGE(F82:F83)</f>
        <v>11.417340278625488</v>
      </c>
    </row>
    <row r="85" spans="1:25">
      <c r="A85" s="337" t="s">
        <v>2905</v>
      </c>
      <c r="B85" s="338" t="s">
        <v>2906</v>
      </c>
      <c r="C85" s="338" t="s">
        <v>2907</v>
      </c>
      <c r="D85" s="338">
        <v>0.434</v>
      </c>
      <c r="E85" s="339">
        <v>10.2958986282348</v>
      </c>
      <c r="F85" s="339">
        <v>70.991414489746006</v>
      </c>
      <c r="G85" s="340">
        <v>6.6913405418395904</v>
      </c>
      <c r="H85" s="344" t="s">
        <v>2737</v>
      </c>
      <c r="I85" s="342"/>
      <c r="J85" s="343"/>
      <c r="K85" s="343">
        <v>434.1</v>
      </c>
      <c r="L85" s="343" t="s">
        <v>2736</v>
      </c>
      <c r="M85">
        <f t="shared" si="38"/>
        <v>6.8951159149006953</v>
      </c>
      <c r="S85" s="601">
        <v>2.0154589999999999</v>
      </c>
    </row>
    <row r="87" spans="1:25">
      <c r="A87" t="s">
        <v>2908</v>
      </c>
    </row>
    <row r="88" spans="1:25">
      <c r="A88" t="s">
        <v>2909</v>
      </c>
    </row>
    <row r="93" spans="1:25">
      <c r="B93" s="80" t="s">
        <v>135</v>
      </c>
    </row>
    <row r="94" spans="1:25">
      <c r="B94" s="80" t="s">
        <v>3180</v>
      </c>
    </row>
    <row r="95" spans="1:25">
      <c r="H95" s="187" t="s">
        <v>27</v>
      </c>
      <c r="I95" s="187" t="s">
        <v>27</v>
      </c>
      <c r="J95" s="187" t="s">
        <v>2482</v>
      </c>
      <c r="K95" s="321" t="s">
        <v>2631</v>
      </c>
      <c r="L95" s="186" t="s">
        <v>2630</v>
      </c>
      <c r="M95" s="519" t="s">
        <v>2913</v>
      </c>
      <c r="N95" s="80"/>
      <c r="O95" s="80"/>
      <c r="P95" s="80"/>
      <c r="Q95" s="80"/>
      <c r="R95" s="80"/>
      <c r="S95" s="80"/>
      <c r="T95" s="519" t="s">
        <v>2912</v>
      </c>
      <c r="U95" s="80"/>
      <c r="V95" s="80"/>
      <c r="W95" s="80"/>
      <c r="X95" s="80"/>
      <c r="Y95" s="80"/>
    </row>
    <row r="96" spans="1:25">
      <c r="B96" s="310" t="s">
        <v>2583</v>
      </c>
      <c r="C96" s="310" t="s">
        <v>115</v>
      </c>
      <c r="D96" s="310" t="s">
        <v>2758</v>
      </c>
      <c r="E96" s="310" t="s">
        <v>121</v>
      </c>
      <c r="F96" s="310" t="s">
        <v>119</v>
      </c>
      <c r="G96" s="311" t="s">
        <v>120</v>
      </c>
      <c r="H96" s="198" t="s">
        <v>2634</v>
      </c>
      <c r="I96" s="198" t="s">
        <v>43</v>
      </c>
      <c r="J96" s="198" t="s">
        <v>139</v>
      </c>
      <c r="K96" s="322" t="s">
        <v>2635</v>
      </c>
      <c r="M96" s="80" t="s">
        <v>3182</v>
      </c>
      <c r="N96" s="80"/>
      <c r="O96" s="80" t="s">
        <v>3175</v>
      </c>
      <c r="P96" s="80"/>
      <c r="Q96" s="80" t="s">
        <v>3183</v>
      </c>
      <c r="R96" s="80"/>
      <c r="S96" s="80"/>
      <c r="T96" s="80" t="s">
        <v>3182</v>
      </c>
      <c r="U96" s="80"/>
      <c r="V96" s="80" t="s">
        <v>3175</v>
      </c>
      <c r="W96" s="80"/>
      <c r="X96" s="80" t="s">
        <v>3183</v>
      </c>
      <c r="Y96" s="80"/>
    </row>
    <row r="97" spans="2:24">
      <c r="B97" t="str">
        <f t="shared" ref="B97:L97" si="39">B11</f>
        <v>01/07/2019</v>
      </c>
      <c r="C97" s="522">
        <f t="shared" si="39"/>
        <v>0.63263888888888886</v>
      </c>
      <c r="D97">
        <f t="shared" si="39"/>
        <v>3.5590999999999999</v>
      </c>
      <c r="E97" s="147">
        <f t="shared" si="39"/>
        <v>1.6903629302978516</v>
      </c>
      <c r="F97" s="147">
        <f t="shared" si="39"/>
        <v>17.051334381103516</v>
      </c>
      <c r="G97">
        <f t="shared" si="39"/>
        <v>1.5179238319396973</v>
      </c>
      <c r="H97">
        <f t="shared" si="39"/>
        <v>2018</v>
      </c>
      <c r="I97" t="str">
        <f t="shared" si="39"/>
        <v>47_1000</v>
      </c>
      <c r="J97" t="str">
        <f t="shared" si="39"/>
        <v>9_a</v>
      </c>
      <c r="K97">
        <f t="shared" si="39"/>
        <v>3559.1</v>
      </c>
      <c r="L97" t="str">
        <f t="shared" si="39"/>
        <v>A8</v>
      </c>
      <c r="M97" s="90">
        <f>F97-F98</f>
        <v>7.8014373779296875E-2</v>
      </c>
      <c r="O97" s="147">
        <f>M97/AVERAGE(F97:F98)</f>
        <v>4.5857555458862012E-3</v>
      </c>
      <c r="Q97" s="523">
        <f>_xlfn.STDEV.P(O97:O105,O109)/SQRT(2)</f>
        <v>9.5394380966188005E-3</v>
      </c>
      <c r="T97" s="90">
        <f>E97-E98</f>
        <v>-2.6524066925048828E-2</v>
      </c>
      <c r="V97" s="147">
        <f>T97/AVERAGE(E97:E98)</f>
        <v>-1.5569193624929518E-2</v>
      </c>
      <c r="X97" s="523">
        <f>_xlfn.STDEV.P(V97:V105,V109)/SQRT(2)</f>
        <v>1.2262913999340345E-2</v>
      </c>
    </row>
    <row r="98" spans="2:24">
      <c r="B98" t="str">
        <f t="shared" ref="B98:L98" si="40">B12</f>
        <v>01/07/2019</v>
      </c>
      <c r="C98" s="522">
        <f t="shared" si="40"/>
        <v>0.64236111111111105</v>
      </c>
      <c r="D98">
        <f t="shared" si="40"/>
        <v>3.0291999999999999</v>
      </c>
      <c r="E98" s="147">
        <f t="shared" si="40"/>
        <v>1.7168869972229004</v>
      </c>
      <c r="F98" s="147">
        <f t="shared" si="40"/>
        <v>16.973320007324219</v>
      </c>
      <c r="G98">
        <f t="shared" si="40"/>
        <v>1.4591943025588989</v>
      </c>
      <c r="H98">
        <f t="shared" si="40"/>
        <v>2018</v>
      </c>
      <c r="I98" t="str">
        <f t="shared" si="40"/>
        <v>47_1000</v>
      </c>
      <c r="J98" t="str">
        <f t="shared" si="40"/>
        <v>9_b</v>
      </c>
      <c r="K98">
        <f t="shared" si="40"/>
        <v>3029.2</v>
      </c>
      <c r="L98" t="str">
        <f t="shared" si="40"/>
        <v>A9</v>
      </c>
      <c r="O98" s="147"/>
      <c r="Q98" s="80" t="s">
        <v>3190</v>
      </c>
      <c r="V98" s="147"/>
      <c r="X98" s="80" t="s">
        <v>3190</v>
      </c>
    </row>
    <row r="99" spans="2:24">
      <c r="B99" t="str">
        <f t="shared" ref="B99:L99" si="41">B18</f>
        <v>01/07/2019</v>
      </c>
      <c r="C99" s="522">
        <f t="shared" si="41"/>
        <v>0.6958333333333333</v>
      </c>
      <c r="D99">
        <f t="shared" si="41"/>
        <v>3.0882000000000001</v>
      </c>
      <c r="E99" s="147">
        <f t="shared" si="41"/>
        <v>0.96906042098999023</v>
      </c>
      <c r="F99" s="147">
        <f t="shared" si="41"/>
        <v>14.712458610534668</v>
      </c>
      <c r="G99">
        <f t="shared" si="41"/>
        <v>0.84635359048843384</v>
      </c>
      <c r="H99">
        <f t="shared" si="41"/>
        <v>2018</v>
      </c>
      <c r="I99" t="str">
        <f t="shared" si="41"/>
        <v>47_1000</v>
      </c>
      <c r="J99" t="str">
        <f t="shared" si="41"/>
        <v>14_a</v>
      </c>
      <c r="K99">
        <f t="shared" si="41"/>
        <v>3088.2</v>
      </c>
      <c r="L99" t="str">
        <f t="shared" si="41"/>
        <v>B2</v>
      </c>
      <c r="M99" s="90">
        <f t="shared" ref="M99" si="42">F99-F100</f>
        <v>0.13963413238525391</v>
      </c>
      <c r="O99" s="147">
        <f t="shared" ref="O99" si="43">M99/AVERAGE(F99:F100)</f>
        <v>9.5361299368288462E-3</v>
      </c>
      <c r="Q99" s="428">
        <f>Q97</f>
        <v>9.5394380966188005E-3</v>
      </c>
      <c r="T99" s="90">
        <f t="shared" ref="T99" si="44">E99-E100</f>
        <v>1.3571083545684814E-2</v>
      </c>
      <c r="V99" s="147">
        <f t="shared" ref="V99" si="45">T99/AVERAGE(E99:E100)</f>
        <v>1.4103125664805339E-2</v>
      </c>
      <c r="X99" s="428">
        <f>X97</f>
        <v>1.2262913999340345E-2</v>
      </c>
    </row>
    <row r="100" spans="2:24">
      <c r="B100" t="str">
        <f t="shared" ref="B100:L100" si="46">B19</f>
        <v>01/07/2019</v>
      </c>
      <c r="C100" s="522">
        <f t="shared" si="46"/>
        <v>0.70486111111111116</v>
      </c>
      <c r="D100">
        <f t="shared" si="46"/>
        <v>3.0125999999999999</v>
      </c>
      <c r="E100" s="147">
        <f t="shared" si="46"/>
        <v>0.95548933744430542</v>
      </c>
      <c r="F100" s="147">
        <f t="shared" si="46"/>
        <v>14.572824478149414</v>
      </c>
      <c r="G100">
        <f t="shared" si="46"/>
        <v>0.78707939386367798</v>
      </c>
      <c r="H100">
        <f t="shared" si="46"/>
        <v>2018</v>
      </c>
      <c r="I100" t="str">
        <f t="shared" si="46"/>
        <v>47_1000</v>
      </c>
      <c r="J100" t="str">
        <f t="shared" si="46"/>
        <v>14_b</v>
      </c>
      <c r="K100">
        <f t="shared" si="46"/>
        <v>3012.6</v>
      </c>
      <c r="L100" t="str">
        <f t="shared" si="46"/>
        <v>B3</v>
      </c>
      <c r="O100" s="147"/>
      <c r="V100" s="147"/>
    </row>
    <row r="101" spans="2:24">
      <c r="B101" t="str">
        <f t="shared" ref="B101:L101" si="47">B31</f>
        <v>02/07/2019</v>
      </c>
      <c r="C101" t="str">
        <f t="shared" si="47"/>
        <v>12:18</v>
      </c>
      <c r="D101">
        <f t="shared" si="47"/>
        <v>3.1423000000000001</v>
      </c>
      <c r="E101" s="147">
        <f t="shared" si="47"/>
        <v>1.4327236413955688</v>
      </c>
      <c r="F101" s="147">
        <f t="shared" si="47"/>
        <v>16.675384521484375</v>
      </c>
      <c r="G101">
        <f t="shared" si="47"/>
        <v>1.3517005443572998</v>
      </c>
      <c r="H101">
        <f t="shared" si="47"/>
        <v>2018</v>
      </c>
      <c r="I101" t="str">
        <f t="shared" si="47"/>
        <v>47_2000</v>
      </c>
      <c r="J101" t="str">
        <f t="shared" si="47"/>
        <v>3_a</v>
      </c>
      <c r="K101">
        <f t="shared" si="47"/>
        <v>3142.3</v>
      </c>
      <c r="L101" t="str">
        <f t="shared" si="47"/>
        <v>C2</v>
      </c>
      <c r="M101" s="90">
        <f t="shared" ref="M101" si="48">F101-F102</f>
        <v>-7.5603485107421875E-2</v>
      </c>
      <c r="O101" s="147">
        <f t="shared" ref="O101" si="49">M101/AVERAGE(F101:F102)</f>
        <v>-4.5235829908805945E-3</v>
      </c>
      <c r="T101" s="90">
        <f t="shared" ref="T101" si="50">E101-E102</f>
        <v>-2.1333575248718262E-2</v>
      </c>
      <c r="V101" s="147">
        <f t="shared" ref="V101" si="51">T101/AVERAGE(E101:E102)</f>
        <v>-1.4780183393071205E-2</v>
      </c>
    </row>
    <row r="102" spans="2:24">
      <c r="B102" t="str">
        <f t="shared" ref="B102:L102" si="52">B32</f>
        <v>02/07/2019</v>
      </c>
      <c r="C102" t="str">
        <f t="shared" si="52"/>
        <v>12:30</v>
      </c>
      <c r="D102">
        <f t="shared" si="52"/>
        <v>2.7147999999999999</v>
      </c>
      <c r="E102" s="147">
        <f t="shared" si="52"/>
        <v>1.4540572166442871</v>
      </c>
      <c r="F102" s="147">
        <f t="shared" si="52"/>
        <v>16.750988006591797</v>
      </c>
      <c r="G102">
        <f t="shared" si="52"/>
        <v>1.3647764921188354</v>
      </c>
      <c r="H102">
        <f t="shared" si="52"/>
        <v>2018</v>
      </c>
      <c r="I102" t="str">
        <f t="shared" si="52"/>
        <v>47_2000</v>
      </c>
      <c r="J102" t="str">
        <f t="shared" si="52"/>
        <v>3_b</v>
      </c>
      <c r="K102">
        <f t="shared" si="52"/>
        <v>2714.8</v>
      </c>
      <c r="L102" t="str">
        <f t="shared" si="52"/>
        <v>C3</v>
      </c>
      <c r="O102" s="147"/>
      <c r="V102" s="147"/>
    </row>
    <row r="103" spans="2:24">
      <c r="B103" t="str">
        <f t="shared" ref="B103:L103" si="53">B49</f>
        <v>02/07/2019</v>
      </c>
      <c r="C103" t="str">
        <f t="shared" si="53"/>
        <v>16:14</v>
      </c>
      <c r="D103">
        <f t="shared" si="53"/>
        <v>2.5053999999999998</v>
      </c>
      <c r="E103" s="147">
        <f t="shared" si="53"/>
        <v>0.5507436990737915</v>
      </c>
      <c r="F103" s="147">
        <f t="shared" si="53"/>
        <v>12.733370780944824</v>
      </c>
      <c r="G103">
        <f t="shared" si="53"/>
        <v>0.47392389178276062</v>
      </c>
      <c r="H103">
        <f t="shared" si="53"/>
        <v>2018</v>
      </c>
      <c r="I103" t="str">
        <f t="shared" si="53"/>
        <v>47_2000</v>
      </c>
      <c r="J103" t="str">
        <f t="shared" si="53"/>
        <v>17_a</v>
      </c>
      <c r="K103">
        <f t="shared" si="53"/>
        <v>2505.4</v>
      </c>
      <c r="L103" t="str">
        <f t="shared" si="53"/>
        <v>D7</v>
      </c>
      <c r="M103" s="90">
        <f t="shared" ref="M103" si="54">F103-F104</f>
        <v>-0.41760444641113281</v>
      </c>
      <c r="O103" s="147">
        <f t="shared" ref="O103" si="55">M103/AVERAGE(F103:F104)</f>
        <v>-3.2266949783256053E-2</v>
      </c>
      <c r="T103" s="90">
        <f t="shared" ref="T103" si="56">E103-E104</f>
        <v>-2.2511720657348633E-2</v>
      </c>
      <c r="V103" s="147">
        <f t="shared" ref="V103" si="57">T103/AVERAGE(E103:E104)</f>
        <v>-4.0056473854327833E-2</v>
      </c>
    </row>
    <row r="104" spans="2:24">
      <c r="B104" t="str">
        <f>B50</f>
        <v>02/07/2019</v>
      </c>
      <c r="C104" t="str">
        <f t="shared" ref="C104:L104" si="58">C50</f>
        <v>16:26</v>
      </c>
      <c r="D104">
        <f t="shared" si="58"/>
        <v>2.8214000000000001</v>
      </c>
      <c r="E104" s="147">
        <f t="shared" si="58"/>
        <v>0.57325541973114014</v>
      </c>
      <c r="F104" s="147">
        <f t="shared" si="58"/>
        <v>13.150975227355957</v>
      </c>
      <c r="G104">
        <f t="shared" si="58"/>
        <v>0.49375516176223755</v>
      </c>
      <c r="H104">
        <f t="shared" si="58"/>
        <v>2018</v>
      </c>
      <c r="I104" t="str">
        <f t="shared" si="58"/>
        <v>47_2000</v>
      </c>
      <c r="J104" t="str">
        <f t="shared" si="58"/>
        <v>17_b</v>
      </c>
      <c r="K104">
        <f t="shared" si="58"/>
        <v>2821.4</v>
      </c>
      <c r="L104" t="str">
        <f t="shared" si="58"/>
        <v>D8</v>
      </c>
      <c r="O104" s="147"/>
      <c r="V104" s="147"/>
    </row>
    <row r="105" spans="2:24">
      <c r="B105" t="str">
        <f t="shared" ref="B105:L105" si="59">B58</f>
        <v>02/07/2019</v>
      </c>
      <c r="C105" t="str">
        <f t="shared" si="59"/>
        <v>18:11</v>
      </c>
      <c r="D105">
        <f t="shared" si="59"/>
        <v>3.4546000000000001</v>
      </c>
      <c r="E105" s="147">
        <f t="shared" si="59"/>
        <v>1.1970739364624023</v>
      </c>
      <c r="F105" s="147">
        <f t="shared" si="59"/>
        <v>15.902324676513672</v>
      </c>
      <c r="G105">
        <f t="shared" si="59"/>
        <v>1.1835715770721436</v>
      </c>
      <c r="H105">
        <f t="shared" si="59"/>
        <v>2018</v>
      </c>
      <c r="I105" t="str">
        <f t="shared" si="59"/>
        <v>47_3800</v>
      </c>
      <c r="J105" t="str">
        <f t="shared" si="59"/>
        <v>3_a</v>
      </c>
      <c r="K105">
        <f t="shared" si="59"/>
        <v>3454.6</v>
      </c>
      <c r="L105" t="str">
        <f t="shared" si="59"/>
        <v>E3</v>
      </c>
      <c r="M105" s="90">
        <f t="shared" ref="M105" si="60">F105-F106</f>
        <v>-2.5922775268554688E-2</v>
      </c>
      <c r="O105" s="147">
        <f t="shared" ref="O105" si="61">M105/AVERAGE(F105:F106)</f>
        <v>-1.6287973187582478E-3</v>
      </c>
      <c r="T105" s="90">
        <f t="shared" ref="T105" si="62">E105-E106</f>
        <v>1.9916296005249023E-3</v>
      </c>
      <c r="V105" s="147">
        <f t="shared" ref="V105" si="63">T105/AVERAGE(E105:E106)</f>
        <v>1.665133375867805E-3</v>
      </c>
    </row>
    <row r="106" spans="2:24">
      <c r="B106" t="str">
        <f t="shared" ref="B106:L106" si="64">B59</f>
        <v>02/07/2019</v>
      </c>
      <c r="C106" t="str">
        <f t="shared" si="64"/>
        <v>18:24</v>
      </c>
      <c r="D106">
        <f t="shared" si="64"/>
        <v>2.7509000000000001</v>
      </c>
      <c r="E106" s="147">
        <f t="shared" si="64"/>
        <v>1.1950823068618774</v>
      </c>
      <c r="F106" s="147">
        <f t="shared" si="64"/>
        <v>15.928247451782227</v>
      </c>
      <c r="G106">
        <f t="shared" si="64"/>
        <v>1.0913552045822144</v>
      </c>
      <c r="H106">
        <f t="shared" si="64"/>
        <v>2018</v>
      </c>
      <c r="I106" t="str">
        <f t="shared" si="64"/>
        <v>47_3800</v>
      </c>
      <c r="J106" t="str">
        <f t="shared" si="64"/>
        <v>3_b</v>
      </c>
      <c r="K106">
        <f t="shared" si="64"/>
        <v>2750.9</v>
      </c>
      <c r="L106" t="str">
        <f t="shared" si="64"/>
        <v>E4</v>
      </c>
      <c r="O106" s="147"/>
      <c r="V106" s="147"/>
    </row>
    <row r="107" spans="2:24">
      <c r="B107" s="231" t="str">
        <f t="shared" ref="B107:L107" si="65">B64</f>
        <v>02/07/2019</v>
      </c>
      <c r="C107" s="231" t="str">
        <f t="shared" si="65"/>
        <v>19:34</v>
      </c>
      <c r="D107" s="231">
        <f t="shared" si="65"/>
        <v>2.6991999999999998</v>
      </c>
      <c r="E107" s="607">
        <f t="shared" si="65"/>
        <v>0.68823897838592529</v>
      </c>
      <c r="F107" s="607">
        <f t="shared" si="65"/>
        <v>13.466116905212402</v>
      </c>
      <c r="G107" s="231">
        <f t="shared" si="65"/>
        <v>0.56040018796920776</v>
      </c>
      <c r="H107" s="231">
        <f t="shared" si="65"/>
        <v>2018</v>
      </c>
      <c r="I107" s="231" t="str">
        <f t="shared" si="65"/>
        <v>47_3800</v>
      </c>
      <c r="J107" s="231" t="str">
        <f t="shared" si="65"/>
        <v>8_a</v>
      </c>
      <c r="K107" s="231">
        <f t="shared" si="65"/>
        <v>2699.2</v>
      </c>
      <c r="L107" s="231" t="str">
        <f t="shared" si="65"/>
        <v>E9</v>
      </c>
      <c r="M107" s="296">
        <f t="shared" ref="M107:M109" si="66">F107-F108</f>
        <v>-0.18688583374023438</v>
      </c>
      <c r="N107" s="231"/>
      <c r="O107" s="607">
        <f t="shared" ref="O107" si="67">M107/AVERAGE(F107:F108)</f>
        <v>-1.3782588534760552E-2</v>
      </c>
      <c r="T107" s="296">
        <f t="shared" ref="T107:T109" si="68">E107-E108</f>
        <v>-0.10112285614013672</v>
      </c>
      <c r="U107" s="231"/>
      <c r="V107" s="607">
        <f t="shared" ref="V107" si="69">T107/AVERAGE(E107:E108)</f>
        <v>-0.13687439159003773</v>
      </c>
    </row>
    <row r="108" spans="2:24">
      <c r="B108" s="231" t="str">
        <f t="shared" ref="B108:L108" si="70">B65</f>
        <v>02/07/2019</v>
      </c>
      <c r="C108" s="231" t="str">
        <f t="shared" si="70"/>
        <v>19:47</v>
      </c>
      <c r="D108" s="231">
        <f t="shared" si="70"/>
        <v>3.0693000000000001</v>
      </c>
      <c r="E108" s="607">
        <f t="shared" si="70"/>
        <v>0.78936183452606201</v>
      </c>
      <c r="F108" s="607">
        <f t="shared" si="70"/>
        <v>13.653002738952637</v>
      </c>
      <c r="G108" s="231">
        <f t="shared" si="70"/>
        <v>0.65417492389678955</v>
      </c>
      <c r="H108" s="231">
        <f t="shared" si="70"/>
        <v>2018</v>
      </c>
      <c r="I108" s="231" t="str">
        <f t="shared" si="70"/>
        <v>47_3800</v>
      </c>
      <c r="J108" s="231" t="str">
        <f t="shared" si="70"/>
        <v>8_b</v>
      </c>
      <c r="K108" s="231">
        <f t="shared" si="70"/>
        <v>3069.3</v>
      </c>
      <c r="L108" s="231" t="str">
        <f t="shared" si="70"/>
        <v>E10</v>
      </c>
      <c r="M108" s="231"/>
      <c r="N108" s="231"/>
      <c r="O108" s="231"/>
    </row>
    <row r="109" spans="2:24">
      <c r="B109" s="573" t="s">
        <v>3377</v>
      </c>
      <c r="C109" s="573" t="s">
        <v>3380</v>
      </c>
      <c r="D109" s="573">
        <v>2.4878</v>
      </c>
      <c r="E109" s="608">
        <v>0.68326973915100098</v>
      </c>
      <c r="F109" s="608">
        <v>13.469342994689899</v>
      </c>
      <c r="G109" s="609">
        <v>0.50449168682098389</v>
      </c>
      <c r="H109" s="576">
        <v>2018</v>
      </c>
      <c r="I109" s="576" t="s">
        <v>194</v>
      </c>
      <c r="J109" s="576" t="s">
        <v>2712</v>
      </c>
      <c r="K109" s="577">
        <v>2487.8000000000002</v>
      </c>
      <c r="L109" s="576" t="s">
        <v>2641</v>
      </c>
      <c r="M109" s="90">
        <f t="shared" si="66"/>
        <v>-0.15214748382572552</v>
      </c>
      <c r="O109" s="147">
        <f>M109/AVERAGE(F109:F110)</f>
        <v>-1.1232395930247668E-2</v>
      </c>
      <c r="T109" s="90">
        <f t="shared" si="68"/>
        <v>-1.6341865062713623E-2</v>
      </c>
      <c r="V109" s="147">
        <f>T109/AVERAGE(E109:E110)</f>
        <v>-2.3634515197018875E-2</v>
      </c>
    </row>
    <row r="110" spans="2:24">
      <c r="B110" s="573" t="s">
        <v>3377</v>
      </c>
      <c r="C110" s="573" t="s">
        <v>3410</v>
      </c>
      <c r="D110" s="573">
        <v>2.4049</v>
      </c>
      <c r="E110" s="608">
        <v>0.6996116042137146</v>
      </c>
      <c r="F110" s="608">
        <v>13.621490478515625</v>
      </c>
      <c r="G110" s="609">
        <v>0.57393050193786621</v>
      </c>
      <c r="H110" s="576">
        <v>2018</v>
      </c>
      <c r="I110" s="576" t="s">
        <v>194</v>
      </c>
      <c r="J110" s="579" t="s">
        <v>2714</v>
      </c>
      <c r="K110" s="579">
        <v>2404.9</v>
      </c>
      <c r="L110" s="579" t="s">
        <v>2661</v>
      </c>
    </row>
    <row r="113" spans="2:24">
      <c r="B113" s="80" t="s">
        <v>3181</v>
      </c>
    </row>
    <row r="114" spans="2:24">
      <c r="B114" t="str">
        <f t="shared" ref="B114:H114" si="71">B21</f>
        <v>02/07/2019</v>
      </c>
      <c r="C114" t="str">
        <f t="shared" si="71"/>
        <v>10:07</v>
      </c>
      <c r="D114">
        <f t="shared" si="71"/>
        <v>3.3860999999999999</v>
      </c>
      <c r="E114" s="147">
        <f t="shared" si="71"/>
        <v>0.27058932185173035</v>
      </c>
      <c r="F114" s="147">
        <f t="shared" si="71"/>
        <v>3.2299375534057617</v>
      </c>
      <c r="G114" s="147">
        <f t="shared" si="71"/>
        <v>0.65667451620101902</v>
      </c>
      <c r="H114" t="str">
        <f t="shared" si="71"/>
        <v>PACS-2 #1</v>
      </c>
      <c r="K114">
        <f>K21</f>
        <v>3386.1</v>
      </c>
      <c r="L114" t="str">
        <f>L21</f>
        <v>B5</v>
      </c>
      <c r="M114" s="296"/>
      <c r="N114" s="231"/>
      <c r="O114" s="231"/>
      <c r="P114" s="231"/>
      <c r="Q114" s="296"/>
      <c r="R114" s="231"/>
      <c r="S114" s="231"/>
      <c r="T114" s="296"/>
      <c r="U114" s="231"/>
      <c r="V114" s="231"/>
      <c r="W114" s="231"/>
      <c r="X114" s="296"/>
    </row>
    <row r="115" spans="2:24">
      <c r="B115" t="str">
        <f t="shared" ref="B115:H115" si="72">B33</f>
        <v>02/07/2019</v>
      </c>
      <c r="C115" t="str">
        <f t="shared" si="72"/>
        <v>12:44</v>
      </c>
      <c r="D115">
        <f t="shared" si="72"/>
        <v>3.448</v>
      </c>
      <c r="E115" s="147">
        <f t="shared" si="72"/>
        <v>0.27356550097465515</v>
      </c>
      <c r="F115" s="147">
        <f t="shared" si="72"/>
        <v>3.2393419742584229</v>
      </c>
      <c r="G115" s="147">
        <f t="shared" si="72"/>
        <v>0.66417396068572998</v>
      </c>
      <c r="H115" t="str">
        <f t="shared" si="72"/>
        <v>PACS-2 #2</v>
      </c>
      <c r="K115">
        <f>K33</f>
        <v>3448</v>
      </c>
      <c r="L115" t="str">
        <f>L33</f>
        <v>C4</v>
      </c>
      <c r="M115" s="296"/>
      <c r="N115" s="231"/>
      <c r="O115" s="231"/>
      <c r="P115" s="231"/>
      <c r="Q115" s="231"/>
      <c r="R115" s="231"/>
      <c r="S115" s="231"/>
      <c r="T115" s="296"/>
      <c r="U115" s="231"/>
      <c r="V115" s="231"/>
      <c r="W115" s="231"/>
      <c r="X115" s="231"/>
    </row>
    <row r="116" spans="2:24">
      <c r="B116" t="str">
        <f t="shared" ref="B116:H117" si="73">B74</f>
        <v>02/07/2019</v>
      </c>
      <c r="C116" t="str">
        <f t="shared" si="73"/>
        <v>21:44</v>
      </c>
      <c r="D116">
        <f t="shared" si="73"/>
        <v>3.5068000000000001</v>
      </c>
      <c r="E116" s="147">
        <f t="shared" si="73"/>
        <v>0.2781582772731781</v>
      </c>
      <c r="F116" s="147">
        <f t="shared" si="73"/>
        <v>3.3529341220855713</v>
      </c>
      <c r="G116" s="147">
        <f t="shared" si="73"/>
        <v>0.67417693138122559</v>
      </c>
      <c r="H116" t="str">
        <f t="shared" si="73"/>
        <v>PACS-2 #3</v>
      </c>
      <c r="K116">
        <f>K74</f>
        <v>3506.8</v>
      </c>
      <c r="L116" t="str">
        <f>L74</f>
        <v>F6</v>
      </c>
      <c r="M116" s="296"/>
      <c r="N116" s="231"/>
      <c r="O116" s="231"/>
      <c r="P116" s="231"/>
      <c r="Q116" s="231"/>
      <c r="R116" s="231"/>
      <c r="S116" s="231"/>
      <c r="T116" s="296"/>
      <c r="U116" s="231"/>
      <c r="V116" s="231"/>
      <c r="W116" s="231"/>
      <c r="X116" s="231"/>
    </row>
    <row r="117" spans="2:24">
      <c r="B117" t="str">
        <f t="shared" si="73"/>
        <v>02/07/2019</v>
      </c>
      <c r="C117" t="str">
        <f t="shared" si="73"/>
        <v>21:57</v>
      </c>
      <c r="D117">
        <f t="shared" si="73"/>
        <v>3.9318</v>
      </c>
      <c r="E117" s="147">
        <f t="shared" si="73"/>
        <v>0.2880232036113739</v>
      </c>
      <c r="F117" s="147">
        <f t="shared" si="73"/>
        <v>3.363440990447998</v>
      </c>
      <c r="G117" s="147">
        <f t="shared" si="73"/>
        <v>0.70635992288589478</v>
      </c>
      <c r="H117" t="str">
        <f t="shared" si="73"/>
        <v>PACS-2 #4</v>
      </c>
      <c r="K117">
        <f>K75</f>
        <v>3931.8</v>
      </c>
      <c r="L117" t="str">
        <f>L75</f>
        <v>F7</v>
      </c>
      <c r="M117" s="296"/>
      <c r="N117" s="231"/>
      <c r="O117" s="231"/>
      <c r="P117" s="231"/>
      <c r="Q117" s="231"/>
      <c r="R117" s="231"/>
      <c r="S117" s="231"/>
      <c r="T117" s="296"/>
      <c r="U117" s="231"/>
      <c r="V117" s="231"/>
      <c r="W117" s="231"/>
      <c r="X117" s="231"/>
    </row>
    <row r="118" spans="2:24">
      <c r="B118" t="s">
        <v>3377</v>
      </c>
      <c r="C118" t="s">
        <v>3392</v>
      </c>
      <c r="D118">
        <v>3.8126000000000002</v>
      </c>
      <c r="E118" s="147">
        <v>0.2592737078666687</v>
      </c>
      <c r="F118" s="147">
        <v>3.2543896198272702</v>
      </c>
      <c r="G118" s="147">
        <v>0.6526569128036499</v>
      </c>
      <c r="H118" s="287" t="s">
        <v>2665</v>
      </c>
      <c r="K118" s="290">
        <v>3812.6</v>
      </c>
      <c r="L118" s="290" t="s">
        <v>2650</v>
      </c>
      <c r="M118" s="296"/>
      <c r="N118" s="231"/>
      <c r="O118" s="231"/>
      <c r="P118" s="231"/>
      <c r="Q118" s="231"/>
      <c r="R118" s="231"/>
      <c r="S118" s="231"/>
      <c r="T118" s="296"/>
      <c r="U118" s="231"/>
      <c r="V118" s="231"/>
      <c r="W118" s="231"/>
      <c r="X118" s="231"/>
    </row>
    <row r="119" spans="2:24">
      <c r="B119" t="s">
        <v>3377</v>
      </c>
      <c r="C119" t="s">
        <v>3394</v>
      </c>
      <c r="D119">
        <v>3.2343000000000002</v>
      </c>
      <c r="E119" s="147">
        <v>0.26345503330230713</v>
      </c>
      <c r="F119" s="147">
        <v>3.2668154239654541</v>
      </c>
      <c r="G119" s="147">
        <v>0.60767996311187744</v>
      </c>
      <c r="H119" s="287" t="s">
        <v>2679</v>
      </c>
      <c r="K119" s="290">
        <v>3234.3</v>
      </c>
      <c r="L119" s="290" t="s">
        <v>2651</v>
      </c>
      <c r="M119" s="296"/>
      <c r="N119" s="231"/>
      <c r="O119" s="231"/>
      <c r="P119" s="231"/>
      <c r="Q119" s="231"/>
      <c r="R119" s="231"/>
      <c r="S119" s="231"/>
      <c r="T119" s="296"/>
      <c r="U119" s="231"/>
      <c r="V119" s="231"/>
      <c r="W119" s="231"/>
      <c r="X119" s="231"/>
    </row>
    <row r="120" spans="2:24">
      <c r="B120" t="s">
        <v>3377</v>
      </c>
      <c r="C120" t="s">
        <v>3418</v>
      </c>
      <c r="D120">
        <v>2.6160999999999999</v>
      </c>
      <c r="E120" s="147">
        <v>0.26306742429733276</v>
      </c>
      <c r="F120" s="147">
        <v>3.1878883838653564</v>
      </c>
      <c r="G120" s="147">
        <v>0.62833172082901001</v>
      </c>
      <c r="H120" s="287" t="s">
        <v>2724</v>
      </c>
      <c r="K120" s="290">
        <v>2616.1</v>
      </c>
      <c r="L120" s="290" t="s">
        <v>2667</v>
      </c>
      <c r="M120" s="296"/>
      <c r="N120" s="231"/>
      <c r="O120" s="206" t="s">
        <v>3166</v>
      </c>
      <c r="P120" s="231"/>
      <c r="Q120" s="231"/>
      <c r="R120" s="231"/>
      <c r="S120" s="231"/>
      <c r="T120" s="296"/>
      <c r="U120" s="231"/>
      <c r="V120" s="206" t="s">
        <v>3166</v>
      </c>
      <c r="W120" s="231"/>
      <c r="X120" s="231"/>
    </row>
    <row r="121" spans="2:24">
      <c r="E121" s="147"/>
      <c r="F121" s="147"/>
      <c r="G121" s="147"/>
      <c r="M121" s="80" t="s">
        <v>3184</v>
      </c>
      <c r="N121" s="80" t="s">
        <v>3436</v>
      </c>
      <c r="O121" s="80" t="s">
        <v>3187</v>
      </c>
      <c r="T121" s="80" t="s">
        <v>3185</v>
      </c>
      <c r="U121" s="80" t="s">
        <v>3436</v>
      </c>
      <c r="V121" s="80" t="s">
        <v>3187</v>
      </c>
    </row>
    <row r="122" spans="2:24">
      <c r="B122" t="str">
        <f t="shared" ref="B122:H122" si="74">B46</f>
        <v>02/07/2019</v>
      </c>
      <c r="C122" t="str">
        <f t="shared" si="74"/>
        <v>15:34</v>
      </c>
      <c r="D122">
        <f t="shared" si="74"/>
        <v>0.74009999999999998</v>
      </c>
      <c r="E122" s="147">
        <f t="shared" si="74"/>
        <v>10.351252555847168</v>
      </c>
      <c r="F122" s="147">
        <f t="shared" si="74"/>
        <v>71.135795593261719</v>
      </c>
      <c r="G122" s="147">
        <f t="shared" si="74"/>
        <v>6.8155005455016999</v>
      </c>
      <c r="H122" t="str">
        <f t="shared" si="74"/>
        <v>Acetanilide #1</v>
      </c>
      <c r="K122">
        <f>K46</f>
        <v>740.1</v>
      </c>
      <c r="L122" t="str">
        <f>L46</f>
        <v>D4</v>
      </c>
      <c r="M122" s="90">
        <f>F122-71.05</f>
        <v>8.5795593261721592E-2</v>
      </c>
      <c r="N122" s="524">
        <f>M122/$F$128</f>
        <v>1.2082796374183304E-3</v>
      </c>
      <c r="O122" s="524">
        <f>_xlfn.STDEV.P(N122:N127)/SQRT(COUNT(N122:N127))</f>
        <v>4.9593523792460295E-4</v>
      </c>
      <c r="P122" s="90"/>
      <c r="Q122" s="206" t="s">
        <v>3188</v>
      </c>
      <c r="R122" s="90"/>
      <c r="S122" s="90"/>
      <c r="T122" s="90">
        <f>E122-10.42</f>
        <v>-6.874744415283196E-2</v>
      </c>
      <c r="U122">
        <f>T122/$E$128</f>
        <v>-6.6849140955391366E-3</v>
      </c>
      <c r="V122" s="524">
        <f>_xlfn.STDEV.P(U122:U127)/SQRT(COUNT(U122:U127))</f>
        <v>1.8370270298738584E-3</v>
      </c>
      <c r="X122" s="206" t="s">
        <v>3189</v>
      </c>
    </row>
    <row r="123" spans="2:24">
      <c r="B123" t="str">
        <f t="shared" ref="B123:H123" si="75">B66</f>
        <v>02/07/2019</v>
      </c>
      <c r="C123" t="str">
        <f t="shared" si="75"/>
        <v>20:00</v>
      </c>
      <c r="D123">
        <f t="shared" si="75"/>
        <v>0.61729999999999996</v>
      </c>
      <c r="E123" s="147">
        <f t="shared" si="75"/>
        <v>10.2618099212646</v>
      </c>
      <c r="F123" s="147">
        <f t="shared" si="75"/>
        <v>70.944828796386702</v>
      </c>
      <c r="G123" s="147">
        <f t="shared" si="75"/>
        <v>6.5183126449584901</v>
      </c>
      <c r="H123" t="str">
        <f t="shared" si="75"/>
        <v>Acetanilide #2</v>
      </c>
      <c r="K123">
        <f>K66</f>
        <v>617.29999999999995</v>
      </c>
      <c r="L123" t="str">
        <f>L66</f>
        <v>E11</v>
      </c>
      <c r="M123" s="90">
        <f t="shared" ref="M123:M127" si="76">F123-71.05</f>
        <v>-0.10517120361329546</v>
      </c>
      <c r="N123" s="524">
        <f t="shared" ref="N123:N127" si="77">M123/$F$128</f>
        <v>-1.4811509418796471E-3</v>
      </c>
      <c r="P123" s="90"/>
      <c r="Q123" s="90"/>
      <c r="R123" s="90"/>
      <c r="S123" s="90"/>
      <c r="T123" s="90">
        <f t="shared" ref="T123:T127" si="78">E123-10.42</f>
        <v>-0.15819007873539981</v>
      </c>
      <c r="U123">
        <f t="shared" ref="U123:U127" si="79">T123/$E$128</f>
        <v>-1.538220220611879E-2</v>
      </c>
      <c r="W123" s="90"/>
      <c r="X123" s="90"/>
    </row>
    <row r="124" spans="2:24">
      <c r="B124" t="str">
        <f t="shared" ref="B124:H124" si="80">B85</f>
        <v>03/07/2019</v>
      </c>
      <c r="C124" t="str">
        <f t="shared" si="80"/>
        <v>00:08</v>
      </c>
      <c r="D124">
        <f t="shared" si="80"/>
        <v>0.434</v>
      </c>
      <c r="E124" s="147">
        <f t="shared" si="80"/>
        <v>10.2958986282348</v>
      </c>
      <c r="F124" s="147">
        <f t="shared" si="80"/>
        <v>70.991414489746006</v>
      </c>
      <c r="G124" s="147">
        <f t="shared" si="80"/>
        <v>6.6913405418395904</v>
      </c>
      <c r="H124" t="str">
        <f t="shared" si="80"/>
        <v>Acetanilide #4</v>
      </c>
      <c r="K124">
        <f>K85</f>
        <v>434.1</v>
      </c>
      <c r="L124" t="str">
        <f>L85</f>
        <v>G4</v>
      </c>
      <c r="M124" s="90">
        <f t="shared" si="76"/>
        <v>-5.8585510253990947E-2</v>
      </c>
      <c r="N124" s="524">
        <f t="shared" si="77"/>
        <v>-8.2507360106154261E-4</v>
      </c>
      <c r="O124" s="523"/>
      <c r="P124" s="90">
        <f>O122*100</f>
        <v>4.9593523792460292E-2</v>
      </c>
      <c r="Q124" s="206" t="s">
        <v>174</v>
      </c>
      <c r="R124" s="90"/>
      <c r="S124" s="90"/>
      <c r="T124" s="90">
        <f t="shared" si="78"/>
        <v>-0.12410137176519953</v>
      </c>
      <c r="U124">
        <f t="shared" si="79"/>
        <v>-1.2067459665040513E-2</v>
      </c>
      <c r="V124" s="523"/>
      <c r="W124" s="90">
        <f>V122*100</f>
        <v>0.18370270298738584</v>
      </c>
      <c r="X124" s="206" t="s">
        <v>174</v>
      </c>
    </row>
    <row r="125" spans="2:24">
      <c r="B125" t="s">
        <v>3377</v>
      </c>
      <c r="C125" t="s">
        <v>3386</v>
      </c>
      <c r="D125">
        <v>0.81599999999999995</v>
      </c>
      <c r="E125" s="147">
        <v>10.205426216125488</v>
      </c>
      <c r="F125" s="147">
        <v>70.929316711425699</v>
      </c>
      <c r="G125" s="147">
        <v>6.5069026947021484</v>
      </c>
      <c r="H125" t="s">
        <v>2692</v>
      </c>
      <c r="K125">
        <v>816</v>
      </c>
      <c r="L125" t="s">
        <v>2646</v>
      </c>
      <c r="M125" s="90">
        <f t="shared" si="76"/>
        <v>-0.12068328857429833</v>
      </c>
      <c r="N125" s="524">
        <f t="shared" si="77"/>
        <v>-1.6996113042330734E-3</v>
      </c>
      <c r="O125" s="523"/>
      <c r="P125" s="90"/>
      <c r="Q125" s="206"/>
      <c r="R125" s="90"/>
      <c r="S125" s="90"/>
      <c r="T125" s="90">
        <f t="shared" si="78"/>
        <v>-0.21457378387451165</v>
      </c>
      <c r="U125">
        <f t="shared" si="79"/>
        <v>-2.0864882033535245E-2</v>
      </c>
      <c r="V125" s="523"/>
      <c r="W125" s="90"/>
      <c r="X125" s="206"/>
    </row>
    <row r="126" spans="2:24">
      <c r="B126" t="s">
        <v>3377</v>
      </c>
      <c r="C126" t="s">
        <v>3388</v>
      </c>
      <c r="D126">
        <v>0.43099999999999999</v>
      </c>
      <c r="E126" s="147">
        <v>10.269329833984299</v>
      </c>
      <c r="F126" s="147">
        <v>70.924603271484301</v>
      </c>
      <c r="G126" s="147">
        <v>6.6112082481384196</v>
      </c>
      <c r="H126" t="s">
        <v>2716</v>
      </c>
      <c r="K126">
        <v>431.3</v>
      </c>
      <c r="L126" t="s">
        <v>2649</v>
      </c>
      <c r="M126" s="90">
        <f t="shared" si="76"/>
        <v>-0.12539672851569605</v>
      </c>
      <c r="N126" s="524">
        <f t="shared" si="77"/>
        <v>-1.7659917940329622E-3</v>
      </c>
      <c r="O126" s="523"/>
      <c r="P126" s="90"/>
      <c r="Q126" s="206"/>
      <c r="R126" s="90"/>
      <c r="S126" s="90"/>
      <c r="T126" s="90">
        <f t="shared" si="78"/>
        <v>-0.1506701660157006</v>
      </c>
      <c r="U126">
        <f t="shared" si="79"/>
        <v>-1.465097545061372E-2</v>
      </c>
      <c r="V126" s="523"/>
      <c r="W126" s="90"/>
      <c r="X126" s="206"/>
    </row>
    <row r="127" spans="2:24">
      <c r="B127" t="s">
        <v>3377</v>
      </c>
      <c r="C127" t="s">
        <v>3416</v>
      </c>
      <c r="D127">
        <v>0.50939999999999996</v>
      </c>
      <c r="E127" s="147">
        <v>10.32009220123291</v>
      </c>
      <c r="F127" s="147">
        <v>71.112471008300702</v>
      </c>
      <c r="G127" s="147">
        <v>6.7078609466552734</v>
      </c>
      <c r="H127" t="s">
        <v>2735</v>
      </c>
      <c r="K127">
        <v>509.4</v>
      </c>
      <c r="L127" t="s">
        <v>2666</v>
      </c>
      <c r="M127" s="90">
        <f t="shared" si="76"/>
        <v>6.2471008300704511E-2</v>
      </c>
      <c r="N127" s="524">
        <f t="shared" si="77"/>
        <v>8.7979398928417771E-4</v>
      </c>
      <c r="O127" s="523"/>
      <c r="P127" s="90"/>
      <c r="Q127" s="206"/>
      <c r="R127" s="90"/>
      <c r="S127" s="90"/>
      <c r="T127" s="90">
        <f t="shared" si="78"/>
        <v>-9.9907798767089773E-2</v>
      </c>
      <c r="U127">
        <f t="shared" si="79"/>
        <v>-9.7149073752859482E-3</v>
      </c>
      <c r="V127" s="523"/>
      <c r="W127" s="90"/>
      <c r="X127" s="206"/>
    </row>
    <row r="128" spans="2:24">
      <c r="D128" t="s">
        <v>2596</v>
      </c>
      <c r="E128" s="147">
        <f>AVERAGE(E122:E127)</f>
        <v>10.283968226114878</v>
      </c>
      <c r="F128" s="147">
        <f>AVERAGE(F122:F127)</f>
        <v>71.00640497843419</v>
      </c>
      <c r="M128" s="90"/>
      <c r="N128" s="90"/>
      <c r="O128" s="523"/>
      <c r="P128" s="90"/>
      <c r="Q128" s="206"/>
      <c r="R128" s="90"/>
      <c r="S128" s="90"/>
      <c r="T128" s="90"/>
      <c r="V128" s="523"/>
      <c r="W128" s="90"/>
      <c r="X128" s="206"/>
    </row>
    <row r="129" spans="8:24">
      <c r="M129" s="90"/>
      <c r="N129" s="90"/>
      <c r="O129" s="523"/>
      <c r="P129" s="90"/>
      <c r="Q129" s="206"/>
      <c r="R129" s="90"/>
      <c r="S129" s="90"/>
      <c r="T129" s="90"/>
      <c r="V129" s="523"/>
      <c r="W129" s="90"/>
      <c r="X129" s="206"/>
    </row>
    <row r="132" spans="8:24">
      <c r="J132" s="80" t="s">
        <v>3191</v>
      </c>
    </row>
    <row r="133" spans="8:24">
      <c r="J133" s="80" t="s">
        <v>2913</v>
      </c>
      <c r="M133" s="80" t="s">
        <v>2912</v>
      </c>
    </row>
    <row r="134" spans="8:24">
      <c r="J134" s="147">
        <f>SQRT(Q97^2+O122^2)</f>
        <v>9.5523207106669866E-3</v>
      </c>
      <c r="K134" s="147"/>
      <c r="L134" s="147"/>
      <c r="M134" s="147">
        <f>SQRT(X97^2+V122^2)</f>
        <v>1.2399747096763893E-2</v>
      </c>
    </row>
    <row r="135" spans="8:24">
      <c r="H135" s="604"/>
      <c r="I135" s="605" t="s">
        <v>3192</v>
      </c>
      <c r="J135" s="606">
        <f>(J134/AVERAGE(F5:F19,F22:F32,F34:F45,F47:F65,F67:F73,F76:F83))*100</f>
        <v>6.5603051328014583E-2</v>
      </c>
      <c r="K135" s="606"/>
      <c r="L135" s="606"/>
      <c r="M135" s="606">
        <f>(M134/AVERAGE(E5:E19,E22:E32,E34:E45,E47:E65,E67:E73,E76:E83))*100</f>
        <v>1.2466319975501756</v>
      </c>
    </row>
    <row r="137" spans="8:24">
      <c r="J137" s="80" t="s">
        <v>3215</v>
      </c>
    </row>
    <row r="138" spans="8:24">
      <c r="J138" s="80" t="s">
        <v>2913</v>
      </c>
      <c r="M138" s="80" t="s">
        <v>2912</v>
      </c>
    </row>
    <row r="139" spans="8:24">
      <c r="J139" s="147">
        <f>J134*2</f>
        <v>1.9104641421333973E-2</v>
      </c>
      <c r="M139" s="147">
        <f>M134*2</f>
        <v>2.4799494193527786E-2</v>
      </c>
    </row>
    <row r="140" spans="8:24">
      <c r="H140" s="604"/>
      <c r="I140" s="605" t="s">
        <v>3192</v>
      </c>
      <c r="J140" s="606">
        <f>(J139/AVERAGE(F5:F19,F22:F32,F34:F45,F47:F65,F67:F73,F76:F83))*100</f>
        <v>0.13120610265602917</v>
      </c>
      <c r="K140" s="606"/>
      <c r="L140" s="606"/>
      <c r="M140" s="606">
        <f>(M139/AVERAGE(E5:E19,E22:E32,E34:E45,E47:E65,E67:E73,E76:E83))*100</f>
        <v>2.4932639951003512</v>
      </c>
    </row>
    <row r="146" spans="1:30">
      <c r="A146" s="80" t="s">
        <v>3419</v>
      </c>
    </row>
    <row r="147" spans="1:30">
      <c r="A147" s="80"/>
      <c r="H147" s="187" t="s">
        <v>27</v>
      </c>
      <c r="I147" s="187" t="s">
        <v>27</v>
      </c>
      <c r="J147" s="187" t="s">
        <v>2482</v>
      </c>
      <c r="K147" s="321" t="s">
        <v>2631</v>
      </c>
      <c r="L147" s="186" t="s">
        <v>2630</v>
      </c>
    </row>
    <row r="148" spans="1:30">
      <c r="A148" s="565" t="s">
        <v>96</v>
      </c>
      <c r="B148" s="566" t="s">
        <v>2583</v>
      </c>
      <c r="C148" s="566" t="s">
        <v>115</v>
      </c>
      <c r="D148" s="566" t="s">
        <v>2758</v>
      </c>
      <c r="E148" s="566" t="s">
        <v>121</v>
      </c>
      <c r="F148" s="566" t="s">
        <v>119</v>
      </c>
      <c r="G148" s="567" t="s">
        <v>120</v>
      </c>
      <c r="H148" s="198" t="s">
        <v>2634</v>
      </c>
      <c r="I148" s="198" t="s">
        <v>43</v>
      </c>
      <c r="J148" s="198" t="s">
        <v>139</v>
      </c>
      <c r="K148" s="322" t="s">
        <v>2635</v>
      </c>
      <c r="M148" t="s">
        <v>2921</v>
      </c>
      <c r="N148" s="80" t="s">
        <v>3435</v>
      </c>
      <c r="O148" s="80" t="s">
        <v>3434</v>
      </c>
    </row>
    <row r="149" spans="1:30">
      <c r="A149" s="568" t="s">
        <v>3376</v>
      </c>
      <c r="B149" s="569" t="s">
        <v>3377</v>
      </c>
      <c r="C149" s="569" t="s">
        <v>3378</v>
      </c>
      <c r="D149" s="569"/>
      <c r="E149" s="570" t="s">
        <v>2622</v>
      </c>
      <c r="F149" s="570" t="s">
        <v>2622</v>
      </c>
      <c r="G149" s="571" t="s">
        <v>2622</v>
      </c>
      <c r="H149" s="285" t="s">
        <v>2640</v>
      </c>
      <c r="L149" t="s">
        <v>2639</v>
      </c>
      <c r="R149" s="80" t="s">
        <v>2582</v>
      </c>
      <c r="S149" s="80" t="s">
        <v>3176</v>
      </c>
      <c r="T149" s="80" t="s">
        <v>2582</v>
      </c>
      <c r="U149" s="80" t="s">
        <v>3176</v>
      </c>
      <c r="V149" s="345" t="s">
        <v>3420</v>
      </c>
      <c r="W149" s="345"/>
      <c r="X149" s="80" t="s">
        <v>2921</v>
      </c>
    </row>
    <row r="150" spans="1:30">
      <c r="A150" s="572" t="s">
        <v>3379</v>
      </c>
      <c r="B150" s="573" t="s">
        <v>3377</v>
      </c>
      <c r="C150" s="573" t="s">
        <v>3380</v>
      </c>
      <c r="D150" s="573">
        <v>2.4878</v>
      </c>
      <c r="E150" s="574">
        <v>0.68326973915100098</v>
      </c>
      <c r="F150" s="574">
        <v>13.469342994689899</v>
      </c>
      <c r="G150" s="575">
        <v>0.50449168682098389</v>
      </c>
      <c r="H150" s="576">
        <v>2018</v>
      </c>
      <c r="I150" s="576" t="s">
        <v>194</v>
      </c>
      <c r="J150" s="576" t="s">
        <v>2712</v>
      </c>
      <c r="K150" s="577">
        <v>2487.8000000000002</v>
      </c>
      <c r="L150" s="576" t="s">
        <v>2641</v>
      </c>
      <c r="M150" s="578">
        <f>F150/E150</f>
        <v>19.713068240701361</v>
      </c>
      <c r="N150" s="578">
        <f>MEDIAN(M150,M165:M167,X159:X160)</f>
        <v>19.518061566147246</v>
      </c>
      <c r="O150" s="578">
        <f>((M150-$N$150)/$N$150)*100</f>
        <v>0.99910881976282351</v>
      </c>
      <c r="R150" s="80" t="s">
        <v>2912</v>
      </c>
      <c r="S150" s="80"/>
      <c r="T150" s="80" t="s">
        <v>2913</v>
      </c>
      <c r="U150" s="80"/>
      <c r="V150" s="345" t="s">
        <v>2912</v>
      </c>
      <c r="W150" s="345" t="s">
        <v>2913</v>
      </c>
    </row>
    <row r="151" spans="1:30">
      <c r="A151" s="580" t="s">
        <v>3381</v>
      </c>
      <c r="B151" s="581" t="s">
        <v>3377</v>
      </c>
      <c r="C151" s="581" t="s">
        <v>3382</v>
      </c>
      <c r="D151" s="581">
        <v>2.1200999999999999</v>
      </c>
      <c r="E151" s="582">
        <v>0.55449682474136353</v>
      </c>
      <c r="F151" s="582">
        <v>13.084274291992188</v>
      </c>
      <c r="G151" s="583">
        <v>0.41639447212219238</v>
      </c>
      <c r="H151" s="584">
        <v>2018</v>
      </c>
      <c r="I151" s="584" t="s">
        <v>190</v>
      </c>
      <c r="J151" s="585" t="s">
        <v>2696</v>
      </c>
      <c r="K151" s="585">
        <v>2120.1</v>
      </c>
      <c r="L151" s="585" t="s">
        <v>2644</v>
      </c>
      <c r="M151" s="586">
        <f t="shared" ref="M151:M169" si="81">F151/E151</f>
        <v>23.596662249770581</v>
      </c>
      <c r="N151" s="586">
        <f>MEDIAN(M151,M161,M163:M164,X161:X162)</f>
        <v>23.030592728666356</v>
      </c>
      <c r="O151" s="586">
        <f>((M151-$N$151)/$N$151)*100</f>
        <v>2.4579025289246426</v>
      </c>
      <c r="P151" s="287" t="s">
        <v>194</v>
      </c>
      <c r="Q151" s="287" t="s">
        <v>2712</v>
      </c>
      <c r="R151" s="90">
        <f>AVERAGE(E150,E165:E167)</f>
        <v>0.69269953668117523</v>
      </c>
      <c r="S151" s="90">
        <f>_xlfn.STDEV.P(E150,E165:E167)</f>
        <v>1.0575364148692222E-2</v>
      </c>
      <c r="T151" s="90">
        <f>AVERAGE(F150,F165:F167)</f>
        <v>13.573327493667591</v>
      </c>
      <c r="U151" s="90">
        <f>_xlfn.STDEV.P(F150,F165:F167)</f>
        <v>7.7038157887480072E-2</v>
      </c>
      <c r="V151" s="90">
        <f>(_xlfn.STDEV.P(E150,E165:E167)/AVERAGE(E150,E165:E167))*100</f>
        <v>1.5266884974920494</v>
      </c>
      <c r="W151" s="90">
        <f>(_xlfn.STDEV.P(F150,F165:F167)/AVERAGE(F150,F165:F167))*100</f>
        <v>0.56757016968330665</v>
      </c>
    </row>
    <row r="152" spans="1:30">
      <c r="A152" s="587" t="s">
        <v>3383</v>
      </c>
      <c r="B152" s="588" t="s">
        <v>3377</v>
      </c>
      <c r="C152" s="588" t="s">
        <v>3384</v>
      </c>
      <c r="D152" s="588">
        <v>2.1507000000000001</v>
      </c>
      <c r="E152" s="589">
        <v>0.29735133051872253</v>
      </c>
      <c r="F152" s="589">
        <v>13.355057716369629</v>
      </c>
      <c r="G152" s="590">
        <v>0.15467715263366699</v>
      </c>
      <c r="H152" s="591">
        <v>2018</v>
      </c>
      <c r="I152" s="591" t="s">
        <v>188</v>
      </c>
      <c r="J152" s="592" t="s">
        <v>2675</v>
      </c>
      <c r="K152" s="592">
        <v>2150.6999999999998</v>
      </c>
      <c r="L152" s="592" t="s">
        <v>2645</v>
      </c>
      <c r="M152" s="593">
        <f t="shared" si="81"/>
        <v>44.913394848686366</v>
      </c>
      <c r="N152" s="593">
        <f>MEDIAN(M152,M159:M160,X163)</f>
        <v>51.274959819071938</v>
      </c>
      <c r="O152" s="593">
        <f>((M152-$N$152)/$N$152)*100</f>
        <v>-12.406767343812449</v>
      </c>
      <c r="P152" s="287" t="s">
        <v>190</v>
      </c>
      <c r="Q152" s="290" t="s">
        <v>2696</v>
      </c>
      <c r="R152" s="90">
        <f>AVERAGE(E151,E161,E163:E164)</f>
        <v>0.56714634597301483</v>
      </c>
      <c r="S152" s="90">
        <f>_xlfn.STDEV.P(E151,E161,E163:E164)</f>
        <v>1.6055089180659742E-2</v>
      </c>
      <c r="T152" s="90">
        <f>AVERAGE(F151,F161,F163:F164)</f>
        <v>13.208088350296002</v>
      </c>
      <c r="U152" s="90">
        <f>_xlfn.STDEV.P(F151,F161,F163:F164)</f>
        <v>7.323175172670697E-2</v>
      </c>
      <c r="V152" s="90">
        <f>(_xlfn.STDEV.P(E151,E161,E163:E164)/AVERAGE(E151,E161,E163:E164))*100</f>
        <v>2.830854733466563</v>
      </c>
      <c r="W152" s="90">
        <f>(_xlfn.STDEV.P(F151,F161,F163:F164)/AVERAGE(F151,F161,F163:F164))*100</f>
        <v>0.55444625887186616</v>
      </c>
    </row>
    <row r="153" spans="1:30">
      <c r="A153" s="568" t="s">
        <v>3385</v>
      </c>
      <c r="B153" s="569" t="s">
        <v>3377</v>
      </c>
      <c r="C153" s="569" t="s">
        <v>3386</v>
      </c>
      <c r="D153" s="569">
        <v>0.81599999999999995</v>
      </c>
      <c r="E153" s="570">
        <v>10.205426216125488</v>
      </c>
      <c r="F153" s="570">
        <v>70.929316711425699</v>
      </c>
      <c r="G153" s="571">
        <v>6.5069026947021484</v>
      </c>
      <c r="H153" s="287"/>
      <c r="I153" s="284" t="s">
        <v>2692</v>
      </c>
      <c r="J153" s="290"/>
      <c r="K153" s="290">
        <v>816</v>
      </c>
      <c r="L153" s="290" t="s">
        <v>2646</v>
      </c>
      <c r="M153" s="147">
        <f t="shared" si="81"/>
        <v>6.9501572211997402</v>
      </c>
      <c r="N153" s="147"/>
      <c r="O153" s="147"/>
      <c r="P153" s="287" t="s">
        <v>188</v>
      </c>
      <c r="Q153" s="472" t="s">
        <v>2675</v>
      </c>
      <c r="R153" s="90">
        <f>AVERAGE(E152,E159:E160)</f>
        <v>0.26329872012138367</v>
      </c>
      <c r="S153" s="90">
        <f>_xlfn.STDEV.P(E152,E159:E160)</f>
        <v>2.4509271936218643E-2</v>
      </c>
      <c r="T153" s="90">
        <f>AVERAGE(F152,F159:F160)</f>
        <v>13.198222478230795</v>
      </c>
      <c r="U153" s="90">
        <f>_xlfn.STDEV.P(F152,F159:F160)</f>
        <v>0.11295871225726088</v>
      </c>
      <c r="V153" s="296">
        <f>(_xlfn.STDEV.P(E152,E159:E160)/AVERAGE(E152,E159:E160))*100</f>
        <v>9.3085419955401214</v>
      </c>
      <c r="W153" s="90">
        <f>(_xlfn.STDEV.P(F152,F159:F160)/AVERAGE(F152,F159:F160))*100</f>
        <v>0.85586307128536032</v>
      </c>
    </row>
    <row r="154" spans="1:30">
      <c r="A154" s="568" t="s">
        <v>3387</v>
      </c>
      <c r="B154" s="569" t="s">
        <v>3377</v>
      </c>
      <c r="C154" s="569" t="s">
        <v>3388</v>
      </c>
      <c r="D154" s="569">
        <v>0.43099999999999999</v>
      </c>
      <c r="E154" s="570">
        <v>10.269329833984299</v>
      </c>
      <c r="F154" s="570">
        <v>70.924603271484301</v>
      </c>
      <c r="G154" s="571">
        <v>6.6112082481384196</v>
      </c>
      <c r="H154" s="287"/>
      <c r="I154" s="284" t="s">
        <v>2716</v>
      </c>
      <c r="J154" s="290"/>
      <c r="K154" s="290">
        <v>431.3</v>
      </c>
      <c r="L154" s="290" t="s">
        <v>2649</v>
      </c>
      <c r="M154" s="147">
        <f t="shared" si="81"/>
        <v>6.9064490495546718</v>
      </c>
      <c r="N154" s="147"/>
      <c r="O154" s="147"/>
    </row>
    <row r="155" spans="1:30">
      <c r="A155" s="596" t="s">
        <v>3389</v>
      </c>
      <c r="B155" s="597" t="s">
        <v>3377</v>
      </c>
      <c r="C155" s="597" t="s">
        <v>3390</v>
      </c>
      <c r="D155" s="597"/>
      <c r="E155" s="598"/>
      <c r="F155" s="598"/>
      <c r="G155" s="599"/>
      <c r="H155" s="200"/>
      <c r="I155" s="200"/>
      <c r="J155" s="200"/>
      <c r="K155" s="200"/>
      <c r="L155" s="200"/>
      <c r="M155" s="147"/>
      <c r="N155" s="147"/>
      <c r="O155" s="147"/>
      <c r="P155" s="284" t="s">
        <v>2692</v>
      </c>
      <c r="R155" s="90">
        <f>AVERAGE(E153,E154,E168)</f>
        <v>10.264949417114233</v>
      </c>
      <c r="S155" s="90">
        <f>_xlfn.STDEV.P(E153:E154,E168)</f>
        <v>4.6914554061119433E-2</v>
      </c>
      <c r="T155" s="90">
        <f>AVERAGE(F153:F154,F168)</f>
        <v>70.988796997070224</v>
      </c>
      <c r="U155" s="90">
        <f>_xlfn.STDEV.P(F153:F154,F168)</f>
        <v>8.7471899942765219E-2</v>
      </c>
      <c r="V155" s="90">
        <f>(_xlfn.STDEV.P(E153:E154,E168)/AVERAGE(E153:E154,E168))*100</f>
        <v>0.45703638814723396</v>
      </c>
      <c r="W155" s="90">
        <f>(_xlfn.STDEV.P(F153:F154,F168)/AVERAGE(F153:F154,F168))*100</f>
        <v>0.12321930169682306</v>
      </c>
    </row>
    <row r="156" spans="1:30">
      <c r="A156" s="568" t="s">
        <v>3391</v>
      </c>
      <c r="B156" s="569" t="s">
        <v>3377</v>
      </c>
      <c r="C156" s="569" t="s">
        <v>3392</v>
      </c>
      <c r="D156" s="569">
        <v>3.8126000000000002</v>
      </c>
      <c r="E156" s="570">
        <v>0.2592737078666687</v>
      </c>
      <c r="F156" s="570">
        <v>3.2543896198272702</v>
      </c>
      <c r="G156" s="571">
        <v>0.6526569128036499</v>
      </c>
      <c r="H156" s="287"/>
      <c r="I156" s="287" t="s">
        <v>2665</v>
      </c>
      <c r="J156" s="290"/>
      <c r="K156" s="290">
        <v>3812.6</v>
      </c>
      <c r="L156" s="290" t="s">
        <v>2650</v>
      </c>
      <c r="M156" s="147">
        <f t="shared" si="81"/>
        <v>12.551946152213928</v>
      </c>
      <c r="N156" s="147"/>
      <c r="O156" s="147"/>
      <c r="P156" s="287" t="s">
        <v>2665</v>
      </c>
      <c r="R156" s="90">
        <f>AVERAGE(E156:E157,E169)</f>
        <v>0.26193205515543622</v>
      </c>
      <c r="S156" s="147">
        <f>_xlfn.STDEV.P(E156:E157,E169)</f>
        <v>1.886384180729088E-3</v>
      </c>
      <c r="T156" s="90">
        <f>AVERAGE(F156:F157,F169)</f>
        <v>3.236364475886027</v>
      </c>
      <c r="U156" s="90">
        <f>_xlfn.STDEV.P(F156:F157,F169)</f>
        <v>3.4651106526992846E-2</v>
      </c>
      <c r="V156" s="90">
        <f>(_xlfn.STDEV.P(E156:E157,E169)/AVERAGE(E156:E157,E169))*100</f>
        <v>0.72018072763551844</v>
      </c>
      <c r="W156" s="90">
        <f>(_xlfn.STDEV.P(F156:F157,F169)/AVERAGE(F156:F157,F169))*100</f>
        <v>1.0706799801189368</v>
      </c>
    </row>
    <row r="157" spans="1:30">
      <c r="A157" s="568" t="s">
        <v>3393</v>
      </c>
      <c r="B157" s="569" t="s">
        <v>3377</v>
      </c>
      <c r="C157" s="569" t="s">
        <v>3394</v>
      </c>
      <c r="D157" s="569">
        <v>3.2343000000000002</v>
      </c>
      <c r="E157" s="570">
        <v>0.26345503330230713</v>
      </c>
      <c r="F157" s="570">
        <v>3.2668154239654541</v>
      </c>
      <c r="G157" s="571">
        <v>0.60767996311187744</v>
      </c>
      <c r="H157" s="287"/>
      <c r="I157" s="287" t="s">
        <v>2679</v>
      </c>
      <c r="J157" s="290"/>
      <c r="K157" s="290">
        <v>3234.3</v>
      </c>
      <c r="L157" s="290" t="s">
        <v>2651</v>
      </c>
      <c r="M157" s="147">
        <f t="shared" si="81"/>
        <v>12.399897557534521</v>
      </c>
      <c r="N157" s="147"/>
      <c r="O157" s="147"/>
      <c r="V157" s="345" t="s">
        <v>3425</v>
      </c>
      <c r="W157" s="345"/>
    </row>
    <row r="158" spans="1:30" ht="18.5">
      <c r="A158" s="568" t="s">
        <v>3395</v>
      </c>
      <c r="B158" s="569" t="s">
        <v>3377</v>
      </c>
      <c r="C158" s="569" t="s">
        <v>3396</v>
      </c>
      <c r="D158" s="569">
        <v>2.7614999999999998</v>
      </c>
      <c r="E158" s="570">
        <v>1.2388161420822144</v>
      </c>
      <c r="F158" s="570">
        <v>15.936421394348145</v>
      </c>
      <c r="G158" s="571">
        <v>0.97513198852539063</v>
      </c>
      <c r="H158" s="287">
        <v>2018</v>
      </c>
      <c r="I158" s="287" t="s">
        <v>188</v>
      </c>
      <c r="J158" s="290">
        <v>15</v>
      </c>
      <c r="K158" s="290">
        <v>2761.5</v>
      </c>
      <c r="L158" s="284" t="s">
        <v>2653</v>
      </c>
      <c r="M158" s="147">
        <f t="shared" si="81"/>
        <v>12.864234532464238</v>
      </c>
      <c r="N158" s="147"/>
      <c r="O158" s="147"/>
      <c r="P158" s="68" t="s">
        <v>3423</v>
      </c>
      <c r="V158" s="345" t="s">
        <v>2912</v>
      </c>
      <c r="W158" s="345" t="s">
        <v>2913</v>
      </c>
      <c r="X158" s="80" t="s">
        <v>2921</v>
      </c>
      <c r="Y158" s="80" t="s">
        <v>3434</v>
      </c>
      <c r="AB158" s="146"/>
      <c r="AC158" s="200"/>
      <c r="AD158" s="200"/>
    </row>
    <row r="159" spans="1:30">
      <c r="A159" s="587" t="s">
        <v>3397</v>
      </c>
      <c r="B159" s="588" t="s">
        <v>3377</v>
      </c>
      <c r="C159" s="588" t="s">
        <v>3398</v>
      </c>
      <c r="D159" s="588">
        <v>2.4929999999999999</v>
      </c>
      <c r="E159" s="589">
        <v>0.24067139625549316</v>
      </c>
      <c r="F159" s="589">
        <v>13.093507766723633</v>
      </c>
      <c r="G159" s="590">
        <v>0.12527389824390411</v>
      </c>
      <c r="H159" s="591">
        <v>2018</v>
      </c>
      <c r="I159" s="591" t="s">
        <v>188</v>
      </c>
      <c r="J159" s="592" t="s">
        <v>2677</v>
      </c>
      <c r="K159" s="592">
        <v>2493</v>
      </c>
      <c r="L159" s="591" t="s">
        <v>2655</v>
      </c>
      <c r="M159" s="593">
        <f t="shared" si="81"/>
        <v>54.404087774617636</v>
      </c>
      <c r="N159" s="593"/>
      <c r="O159" s="593">
        <f t="shared" ref="O159:O160" si="82">((M159-$N$152)/$N$152)*100</f>
        <v>6.1026434083753403</v>
      </c>
      <c r="P159" s="576" t="s">
        <v>194</v>
      </c>
      <c r="Q159" s="579" t="s">
        <v>2712</v>
      </c>
      <c r="R159" s="576">
        <v>0.68823897838592529</v>
      </c>
      <c r="S159" s="576"/>
      <c r="T159" s="576">
        <v>13.466116905212402</v>
      </c>
      <c r="U159" s="576"/>
      <c r="V159" s="576">
        <f>(_xlfn.STDEV.P(E64:E65,E150,E165:E167)/AVERAGE(E64:E65,E150,E165:E167))*100</f>
        <v>5.2824396529704796</v>
      </c>
      <c r="W159" s="576">
        <f>(_xlfn.STDEV.P(F64:F65,F150,F165:F167)/AVERAGE(F64:F65,F150,F165:F167))*100</f>
        <v>0.61259784623069802</v>
      </c>
      <c r="X159" s="576">
        <f>T159/R159</f>
        <v>19.566048027087138</v>
      </c>
      <c r="Y159" s="578">
        <f>((X159-$N$150)/$N$150)*100</f>
        <v>0.2458566942073879</v>
      </c>
    </row>
    <row r="160" spans="1:30">
      <c r="A160" s="587" t="s">
        <v>3399</v>
      </c>
      <c r="B160" s="588" t="s">
        <v>3377</v>
      </c>
      <c r="C160" s="588" t="s">
        <v>3400</v>
      </c>
      <c r="D160" s="588">
        <v>2.1585999999999999</v>
      </c>
      <c r="E160" s="589">
        <v>0.2518734335899353</v>
      </c>
      <c r="F160" s="589">
        <v>13.146101951599121</v>
      </c>
      <c r="G160" s="590">
        <v>0.11348333209753036</v>
      </c>
      <c r="H160" s="591">
        <v>2018</v>
      </c>
      <c r="I160" s="591" t="s">
        <v>188</v>
      </c>
      <c r="J160" s="592" t="s">
        <v>3096</v>
      </c>
      <c r="K160" s="592">
        <v>2158.6</v>
      </c>
      <c r="L160" s="592" t="s">
        <v>2656</v>
      </c>
      <c r="M160" s="593">
        <f t="shared" si="81"/>
        <v>52.193285191806872</v>
      </c>
      <c r="N160" s="593"/>
      <c r="O160" s="593">
        <f t="shared" si="82"/>
        <v>1.7909821401622217</v>
      </c>
      <c r="P160" s="576" t="s">
        <v>194</v>
      </c>
      <c r="Q160" s="579" t="s">
        <v>2714</v>
      </c>
      <c r="R160" s="576">
        <v>0.78936183452606201</v>
      </c>
      <c r="S160" s="576"/>
      <c r="T160" s="576">
        <v>13.653002738952637</v>
      </c>
      <c r="U160" s="576"/>
      <c r="V160" s="576"/>
      <c r="W160" s="576"/>
      <c r="X160" s="576">
        <f t="shared" ref="X160:X163" si="83">T160/R160</f>
        <v>17.296253938030826</v>
      </c>
      <c r="Y160" s="578">
        <f>((X160-$N$150)/$N$150)*100</f>
        <v>-11.383341632501017</v>
      </c>
    </row>
    <row r="161" spans="1:25">
      <c r="A161" s="580" t="s">
        <v>3401</v>
      </c>
      <c r="B161" s="581" t="s">
        <v>3377</v>
      </c>
      <c r="C161" s="581" t="s">
        <v>3402</v>
      </c>
      <c r="D161" s="581">
        <v>2.1530999999999998</v>
      </c>
      <c r="E161" s="582">
        <v>0.57835513353347778</v>
      </c>
      <c r="F161" s="582">
        <v>13.261061668395996</v>
      </c>
      <c r="G161" s="583">
        <v>0.42064011096954346</v>
      </c>
      <c r="H161" s="584">
        <v>2018</v>
      </c>
      <c r="I161" s="584" t="s">
        <v>190</v>
      </c>
      <c r="J161" s="585" t="s">
        <v>2698</v>
      </c>
      <c r="K161" s="585">
        <v>2153.1</v>
      </c>
      <c r="L161" s="585" t="s">
        <v>2657</v>
      </c>
      <c r="M161" s="586">
        <f t="shared" si="81"/>
        <v>22.928925325478048</v>
      </c>
      <c r="N161" s="586"/>
      <c r="O161" s="586">
        <f>((M161-$N$151)/$N$151)*100</f>
        <v>-0.44144501353524551</v>
      </c>
      <c r="P161" s="586" t="s">
        <v>190</v>
      </c>
      <c r="Q161" s="586" t="s">
        <v>2696</v>
      </c>
      <c r="R161" s="586">
        <v>0.5507436990737915</v>
      </c>
      <c r="S161" s="586"/>
      <c r="T161" s="586">
        <v>12.733370780944824</v>
      </c>
      <c r="U161" s="586"/>
      <c r="V161" s="586">
        <f>(_xlfn.STDEV.P(E49:E50,E151,E161,E163:E164)/AVERAGE(E49:E50,E151,E161,E163:E164))*100</f>
        <v>2.6229760975428111</v>
      </c>
      <c r="W161" s="586">
        <f>(_xlfn.STDEV.P(F49:F50,F151,F161,F163:F164)/AVERAGE(F49:F50,F151,F161,F163:F164))*100</f>
        <v>1.4017850955854843</v>
      </c>
      <c r="X161" s="586">
        <f t="shared" si="83"/>
        <v>23.120320400140866</v>
      </c>
      <c r="Y161" s="586">
        <f>((X161-$N$151)/$N$151)*100</f>
        <v>0.38960209375256305</v>
      </c>
    </row>
    <row r="162" spans="1:25">
      <c r="A162" s="596" t="s">
        <v>3403</v>
      </c>
      <c r="B162" s="597" t="s">
        <v>3377</v>
      </c>
      <c r="C162" s="597" t="s">
        <v>3404</v>
      </c>
      <c r="D162" s="597"/>
      <c r="E162" s="598"/>
      <c r="F162" s="598"/>
      <c r="G162" s="599"/>
      <c r="H162" s="200"/>
      <c r="I162" s="200"/>
      <c r="J162" s="200"/>
      <c r="K162" s="200"/>
      <c r="L162" s="200"/>
      <c r="M162" s="147"/>
      <c r="N162" s="147"/>
      <c r="O162" s="603"/>
      <c r="P162" s="586" t="s">
        <v>190</v>
      </c>
      <c r="Q162" s="586" t="s">
        <v>2698</v>
      </c>
      <c r="R162" s="586">
        <v>0.57325541973114014</v>
      </c>
      <c r="S162" s="586"/>
      <c r="T162" s="586">
        <v>13.150975227355957</v>
      </c>
      <c r="U162" s="586"/>
      <c r="V162" s="586"/>
      <c r="W162" s="586"/>
      <c r="X162" s="586">
        <f t="shared" si="83"/>
        <v>22.940865057191843</v>
      </c>
      <c r="Y162" s="586">
        <f>((X162-$N$151)/$N$151)*100</f>
        <v>-0.38960209375257843</v>
      </c>
    </row>
    <row r="163" spans="1:25">
      <c r="A163" s="580" t="s">
        <v>3405</v>
      </c>
      <c r="B163" s="581" t="s">
        <v>3377</v>
      </c>
      <c r="C163" s="581" t="s">
        <v>3406</v>
      </c>
      <c r="D163" s="581">
        <v>2.3296999999999999</v>
      </c>
      <c r="E163" s="582">
        <v>0.54857450723648071</v>
      </c>
      <c r="F163" s="582">
        <v>13.223430633544922</v>
      </c>
      <c r="G163" s="583">
        <v>0.45083507895469666</v>
      </c>
      <c r="H163" s="584">
        <v>2018</v>
      </c>
      <c r="I163" s="584" t="s">
        <v>190</v>
      </c>
      <c r="J163" s="585" t="s">
        <v>3101</v>
      </c>
      <c r="K163" s="585">
        <v>2329.6999999999998</v>
      </c>
      <c r="L163" s="585" t="s">
        <v>2658</v>
      </c>
      <c r="M163" s="586">
        <f t="shared" si="81"/>
        <v>24.105076811096758</v>
      </c>
      <c r="N163" s="586"/>
      <c r="O163" s="586">
        <f>((M163-$N$151)/$N$151)*100</f>
        <v>4.6654643025881981</v>
      </c>
      <c r="P163" s="591" t="s">
        <v>188</v>
      </c>
      <c r="Q163" s="592">
        <v>3</v>
      </c>
      <c r="R163" s="593">
        <v>0.26112067699432373</v>
      </c>
      <c r="S163" s="593"/>
      <c r="T163" s="593">
        <v>13.149158477783203</v>
      </c>
      <c r="U163" s="593"/>
      <c r="V163" s="593">
        <f>(_xlfn.STDEV.P(E7,E152,E159:E160)/AVERAGE(E7,E152,E159:E160))*100</f>
        <v>8.0861100953271201</v>
      </c>
      <c r="W163" s="593">
        <f>(_xlfn.STDEV.P(F7,F152,F159:F160)/AVERAGE(F7,F152,F159:F160))*100</f>
        <v>0.75918292991631575</v>
      </c>
      <c r="X163" s="593">
        <f t="shared" si="83"/>
        <v>50.356634446337011</v>
      </c>
      <c r="Y163" s="593">
        <f>((X163-$N$152)/$N$152)*100</f>
        <v>-1.7909821401622079</v>
      </c>
    </row>
    <row r="164" spans="1:25">
      <c r="A164" s="580" t="s">
        <v>3407</v>
      </c>
      <c r="B164" s="581" t="s">
        <v>3377</v>
      </c>
      <c r="C164" s="581" t="s">
        <v>3408</v>
      </c>
      <c r="D164" s="581">
        <v>2.3454999999999999</v>
      </c>
      <c r="E164" s="582">
        <v>0.5871589183807373</v>
      </c>
      <c r="F164" s="582">
        <v>13.263586807250899</v>
      </c>
      <c r="G164" s="583">
        <v>0.47216588258743286</v>
      </c>
      <c r="H164" s="584">
        <v>2018</v>
      </c>
      <c r="I164" s="584" t="s">
        <v>190</v>
      </c>
      <c r="J164" s="585" t="s">
        <v>3133</v>
      </c>
      <c r="K164" s="585">
        <v>2345.5</v>
      </c>
      <c r="L164" s="585" t="s">
        <v>2659</v>
      </c>
      <c r="M164" s="586">
        <f t="shared" si="81"/>
        <v>22.589432591484986</v>
      </c>
      <c r="N164" s="586"/>
      <c r="O164" s="586">
        <f>((M164-$N$151)/$N$151)*100</f>
        <v>-1.9155396579622324</v>
      </c>
      <c r="X164" s="147"/>
    </row>
    <row r="165" spans="1:25">
      <c r="A165" s="572" t="s">
        <v>3409</v>
      </c>
      <c r="B165" s="573" t="s">
        <v>3377</v>
      </c>
      <c r="C165" s="573" t="s">
        <v>3410</v>
      </c>
      <c r="D165" s="573">
        <v>2.4049</v>
      </c>
      <c r="E165" s="574">
        <v>0.6996116042137146</v>
      </c>
      <c r="F165" s="574">
        <v>13.621490478515625</v>
      </c>
      <c r="G165" s="575">
        <v>0.57393050193786621</v>
      </c>
      <c r="H165" s="576">
        <v>2018</v>
      </c>
      <c r="I165" s="576" t="s">
        <v>194</v>
      </c>
      <c r="J165" s="579" t="s">
        <v>2714</v>
      </c>
      <c r="K165" s="579">
        <v>2404.9</v>
      </c>
      <c r="L165" s="579" t="s">
        <v>2661</v>
      </c>
      <c r="M165" s="578">
        <f t="shared" si="81"/>
        <v>19.470075105207354</v>
      </c>
      <c r="N165" s="578"/>
      <c r="O165" s="578">
        <f>((M165-$N$150)/$N$150)*100</f>
        <v>-0.2458566942073879</v>
      </c>
    </row>
    <row r="166" spans="1:25">
      <c r="A166" s="572" t="s">
        <v>3411</v>
      </c>
      <c r="B166" s="573" t="s">
        <v>3377</v>
      </c>
      <c r="C166" s="573" t="s">
        <v>3412</v>
      </c>
      <c r="D166" s="573">
        <v>2.0568</v>
      </c>
      <c r="E166" s="574">
        <v>0.68155908584594727</v>
      </c>
      <c r="F166" s="574">
        <v>13.533973693847656</v>
      </c>
      <c r="G166" s="575">
        <v>0.51688623428344727</v>
      </c>
      <c r="H166" s="576">
        <v>2018</v>
      </c>
      <c r="I166" s="576" t="s">
        <v>194</v>
      </c>
      <c r="J166" s="579" t="s">
        <v>3097</v>
      </c>
      <c r="K166" s="579">
        <v>2056.8000000000002</v>
      </c>
      <c r="L166" s="579" t="s">
        <v>2663</v>
      </c>
      <c r="M166" s="578">
        <f t="shared" si="81"/>
        <v>19.857374033902527</v>
      </c>
      <c r="N166" s="578"/>
      <c r="O166" s="578">
        <f>((M166-$N$150)/$N$150)*100</f>
        <v>1.7384537219812632</v>
      </c>
    </row>
    <row r="167" spans="1:25">
      <c r="A167" s="572" t="s">
        <v>3413</v>
      </c>
      <c r="B167" s="573" t="s">
        <v>3377</v>
      </c>
      <c r="C167" s="573" t="s">
        <v>3414</v>
      </c>
      <c r="D167" s="573">
        <v>2.3468</v>
      </c>
      <c r="E167" s="574">
        <v>0.70635771751403809</v>
      </c>
      <c r="F167" s="574">
        <v>13.668502807617188</v>
      </c>
      <c r="G167" s="575">
        <v>0.58106571435928345</v>
      </c>
      <c r="H167" s="576">
        <v>2018</v>
      </c>
      <c r="I167" s="576" t="s">
        <v>194</v>
      </c>
      <c r="J167" s="579" t="s">
        <v>3134</v>
      </c>
      <c r="K167" s="579">
        <v>2346.8000000000002</v>
      </c>
      <c r="L167" s="579" t="s">
        <v>2664</v>
      </c>
      <c r="M167" s="578">
        <f t="shared" si="81"/>
        <v>19.350680920882755</v>
      </c>
      <c r="N167" s="578"/>
      <c r="O167" s="578">
        <f>((M167-$N$150)/$N$150)*100</f>
        <v>-0.8575679746537983</v>
      </c>
    </row>
    <row r="168" spans="1:25">
      <c r="A168" s="568" t="s">
        <v>3415</v>
      </c>
      <c r="B168" s="569" t="s">
        <v>3377</v>
      </c>
      <c r="C168" s="569" t="s">
        <v>3416</v>
      </c>
      <c r="D168" s="569">
        <v>0.50939999999999996</v>
      </c>
      <c r="E168" s="570">
        <v>10.32009220123291</v>
      </c>
      <c r="F168" s="570">
        <v>71.112471008300702</v>
      </c>
      <c r="G168" s="571">
        <v>6.7078609466552734</v>
      </c>
      <c r="H168" s="290"/>
      <c r="I168" s="284" t="s">
        <v>2735</v>
      </c>
      <c r="J168" s="290"/>
      <c r="K168" s="290">
        <v>509.4</v>
      </c>
      <c r="L168" s="290" t="s">
        <v>2666</v>
      </c>
      <c r="M168" s="147">
        <f t="shared" si="81"/>
        <v>6.8906817518360066</v>
      </c>
      <c r="N168" s="147"/>
      <c r="O168" s="147"/>
      <c r="W168" s="600"/>
    </row>
    <row r="169" spans="1:25">
      <c r="A169" s="568" t="s">
        <v>3417</v>
      </c>
      <c r="B169" s="569" t="s">
        <v>3377</v>
      </c>
      <c r="C169" s="569" t="s">
        <v>3418</v>
      </c>
      <c r="D169" s="569">
        <v>2.6160999999999999</v>
      </c>
      <c r="E169" s="570">
        <v>0.26306742429733276</v>
      </c>
      <c r="F169" s="570">
        <v>3.1878883838653564</v>
      </c>
      <c r="G169" s="571">
        <v>0.62833172082901001</v>
      </c>
      <c r="H169" s="290"/>
      <c r="I169" s="287" t="s">
        <v>2724</v>
      </c>
      <c r="J169" s="290"/>
      <c r="K169" s="290">
        <v>2616.1</v>
      </c>
      <c r="L169" s="290" t="s">
        <v>2667</v>
      </c>
      <c r="M169" s="147">
        <f t="shared" si="81"/>
        <v>12.118141926467626</v>
      </c>
      <c r="N169" s="147"/>
      <c r="O169" s="147"/>
    </row>
    <row r="171" spans="1:25">
      <c r="A171" t="s">
        <v>2908</v>
      </c>
    </row>
    <row r="172" spans="1:25">
      <c r="A172" t="s">
        <v>2909</v>
      </c>
    </row>
    <row r="174" spans="1:25">
      <c r="A174" s="80" t="s">
        <v>3426</v>
      </c>
    </row>
    <row r="175" spans="1:25">
      <c r="A175" t="s">
        <v>3428</v>
      </c>
    </row>
    <row r="176" spans="1:25">
      <c r="A176" t="s">
        <v>3429</v>
      </c>
    </row>
    <row r="177" spans="1:1">
      <c r="A177" t="s">
        <v>3431</v>
      </c>
    </row>
    <row r="178" spans="1:1">
      <c r="A178" t="s">
        <v>3427</v>
      </c>
    </row>
    <row r="179" spans="1:1">
      <c r="A179" t="s">
        <v>3432</v>
      </c>
    </row>
    <row r="180" spans="1:1">
      <c r="A180" t="s">
        <v>3433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3709-7183-46FC-8374-1E020D0C1EDF}">
  <dimension ref="A1:Z97"/>
  <sheetViews>
    <sheetView workbookViewId="0">
      <selection activeCell="G32" sqref="G32"/>
    </sheetView>
  </sheetViews>
  <sheetFormatPr defaultColWidth="8.83203125" defaultRowHeight="15.5"/>
  <cols>
    <col min="1" max="1" width="89.1640625" style="231" bestFit="1" customWidth="1"/>
    <col min="5" max="5" width="16.6640625" bestFit="1" customWidth="1"/>
    <col min="6" max="6" width="11.83203125" bestFit="1" customWidth="1"/>
    <col min="7" max="7" width="9.83203125" bestFit="1" customWidth="1"/>
    <col min="10" max="10" width="10.33203125" bestFit="1" customWidth="1"/>
    <col min="11" max="11" width="10.33203125" customWidth="1"/>
  </cols>
  <sheetData>
    <row r="1" spans="1:26">
      <c r="A1" s="183" t="s">
        <v>127</v>
      </c>
      <c r="B1" t="s">
        <v>108</v>
      </c>
      <c r="C1" t="s">
        <v>109</v>
      </c>
      <c r="D1" t="s">
        <v>110</v>
      </c>
      <c r="E1" t="s">
        <v>3082</v>
      </c>
      <c r="F1" t="s">
        <v>3083</v>
      </c>
      <c r="G1" s="51" t="s">
        <v>3084</v>
      </c>
      <c r="H1" t="s">
        <v>3085</v>
      </c>
      <c r="I1" t="s">
        <v>3081</v>
      </c>
      <c r="J1" t="s">
        <v>3080</v>
      </c>
      <c r="K1" t="s">
        <v>3205</v>
      </c>
      <c r="M1" t="s">
        <v>3090</v>
      </c>
    </row>
    <row r="2" spans="1:26">
      <c r="B2" t="s">
        <v>3087</v>
      </c>
      <c r="G2" t="s">
        <v>3088</v>
      </c>
      <c r="J2" t="s">
        <v>3086</v>
      </c>
      <c r="M2" s="51" t="s">
        <v>3091</v>
      </c>
      <c r="N2" s="51"/>
    </row>
    <row r="3" spans="1:26">
      <c r="B3" s="97"/>
      <c r="G3" s="51" t="s">
        <v>2635</v>
      </c>
      <c r="M3" s="51" t="s">
        <v>3092</v>
      </c>
      <c r="N3" s="51"/>
    </row>
    <row r="4" spans="1:26">
      <c r="B4" s="97"/>
      <c r="G4" t="s">
        <v>3095</v>
      </c>
      <c r="M4" s="51" t="s">
        <v>3093</v>
      </c>
      <c r="N4" s="51"/>
    </row>
    <row r="5" spans="1:26" ht="19" customHeight="1">
      <c r="A5" s="183" t="s">
        <v>3089</v>
      </c>
      <c r="B5" s="299">
        <v>2018</v>
      </c>
      <c r="C5" s="299" t="s">
        <v>188</v>
      </c>
      <c r="D5" s="456">
        <v>1</v>
      </c>
      <c r="E5" s="299" t="s">
        <v>3125</v>
      </c>
      <c r="F5" s="300">
        <v>43671</v>
      </c>
      <c r="G5" s="299">
        <v>3403.2</v>
      </c>
      <c r="I5">
        <v>1</v>
      </c>
      <c r="J5" s="67">
        <v>43698</v>
      </c>
      <c r="K5" s="526">
        <v>0.34236111111111112</v>
      </c>
      <c r="M5" s="51" t="s">
        <v>3094</v>
      </c>
      <c r="N5" s="51"/>
    </row>
    <row r="6" spans="1:26" ht="19" customHeight="1">
      <c r="A6" s="183" t="s">
        <v>3089</v>
      </c>
      <c r="B6" s="299">
        <v>2018</v>
      </c>
      <c r="C6" s="299" t="s">
        <v>188</v>
      </c>
      <c r="D6" s="456">
        <v>2</v>
      </c>
      <c r="E6" s="299" t="s">
        <v>3125</v>
      </c>
      <c r="F6" s="300">
        <v>43671</v>
      </c>
      <c r="G6" s="299">
        <v>2702.6</v>
      </c>
      <c r="I6">
        <v>2</v>
      </c>
      <c r="J6" s="67">
        <v>43698</v>
      </c>
      <c r="K6" s="526">
        <v>0.34236111111111112</v>
      </c>
    </row>
    <row r="7" spans="1:26" ht="19" customHeight="1">
      <c r="A7" s="183" t="s">
        <v>3089</v>
      </c>
      <c r="B7" s="299">
        <v>2018</v>
      </c>
      <c r="C7" s="299" t="s">
        <v>188</v>
      </c>
      <c r="D7" s="456">
        <v>3</v>
      </c>
      <c r="E7" s="299" t="s">
        <v>3125</v>
      </c>
      <c r="F7" s="300">
        <v>43671</v>
      </c>
      <c r="G7" s="299">
        <v>3158.9</v>
      </c>
      <c r="I7">
        <v>3</v>
      </c>
      <c r="J7" s="67">
        <v>43698</v>
      </c>
      <c r="K7" s="526">
        <v>0.34236111111111112</v>
      </c>
    </row>
    <row r="8" spans="1:26" ht="19" customHeight="1">
      <c r="A8" s="183" t="s">
        <v>3089</v>
      </c>
      <c r="B8" s="299">
        <v>2018</v>
      </c>
      <c r="C8" s="299" t="s">
        <v>188</v>
      </c>
      <c r="D8" s="456">
        <v>4</v>
      </c>
      <c r="E8" s="299" t="s">
        <v>3125</v>
      </c>
      <c r="F8" s="300">
        <v>43671</v>
      </c>
      <c r="G8" s="299">
        <v>2511.6</v>
      </c>
      <c r="I8">
        <v>4</v>
      </c>
      <c r="J8" s="67">
        <v>43698</v>
      </c>
      <c r="K8" s="526">
        <v>0.34236111111111112</v>
      </c>
    </row>
    <row r="9" spans="1:26" ht="19" customHeight="1">
      <c r="A9" s="183" t="s">
        <v>3089</v>
      </c>
      <c r="B9" s="299">
        <v>2018</v>
      </c>
      <c r="C9" s="299" t="s">
        <v>188</v>
      </c>
      <c r="D9" s="456">
        <v>5</v>
      </c>
      <c r="E9" s="299" t="s">
        <v>3125</v>
      </c>
      <c r="F9" s="300">
        <v>43671</v>
      </c>
      <c r="G9" s="299" t="s">
        <v>2622</v>
      </c>
      <c r="J9" s="67"/>
      <c r="M9" s="80" t="s">
        <v>3193</v>
      </c>
    </row>
    <row r="10" spans="1:26" ht="19" customHeight="1">
      <c r="A10" s="183" t="s">
        <v>3089</v>
      </c>
      <c r="B10" s="299">
        <v>2018</v>
      </c>
      <c r="C10" s="299" t="s">
        <v>188</v>
      </c>
      <c r="D10" s="456">
        <v>6</v>
      </c>
      <c r="E10" s="299" t="s">
        <v>3125</v>
      </c>
      <c r="F10" s="300">
        <v>43671</v>
      </c>
      <c r="G10" s="299">
        <v>645.20000000000005</v>
      </c>
      <c r="I10">
        <v>5</v>
      </c>
      <c r="J10" s="67">
        <v>43698</v>
      </c>
      <c r="K10" s="526">
        <v>0.34236111111111112</v>
      </c>
    </row>
    <row r="11" spans="1:26" ht="19" customHeight="1">
      <c r="A11" s="183" t="s">
        <v>3089</v>
      </c>
      <c r="B11" s="299">
        <v>2018</v>
      </c>
      <c r="C11" s="299" t="s">
        <v>188</v>
      </c>
      <c r="D11" s="456">
        <v>7</v>
      </c>
      <c r="E11" s="299" t="s">
        <v>3125</v>
      </c>
      <c r="F11" s="300">
        <v>43671</v>
      </c>
      <c r="G11" s="299">
        <v>1619.1</v>
      </c>
      <c r="I11">
        <v>6</v>
      </c>
      <c r="J11" s="67">
        <v>43698</v>
      </c>
      <c r="K11" s="526">
        <v>0.34236111111111112</v>
      </c>
      <c r="M11" s="80" t="s">
        <v>3194</v>
      </c>
      <c r="N11" s="80"/>
      <c r="O11" s="80" t="s">
        <v>3195</v>
      </c>
      <c r="P11" s="80" t="s">
        <v>3196</v>
      </c>
    </row>
    <row r="12" spans="1:26" ht="19" customHeight="1">
      <c r="A12" s="183" t="s">
        <v>3089</v>
      </c>
      <c r="B12" s="299">
        <v>2018</v>
      </c>
      <c r="C12" s="299" t="s">
        <v>188</v>
      </c>
      <c r="D12" s="456">
        <v>8</v>
      </c>
      <c r="E12" s="299" t="s">
        <v>3125</v>
      </c>
      <c r="F12" s="300">
        <v>43671</v>
      </c>
      <c r="G12" s="299" t="s">
        <v>2622</v>
      </c>
      <c r="J12" s="67"/>
      <c r="M12" s="80" t="s">
        <v>3197</v>
      </c>
      <c r="N12" s="80"/>
      <c r="O12" s="80"/>
      <c r="P12" s="80"/>
      <c r="Q12" s="80" t="s">
        <v>3198</v>
      </c>
      <c r="U12" s="80" t="s">
        <v>2917</v>
      </c>
      <c r="W12" s="80" t="s">
        <v>3207</v>
      </c>
      <c r="Z12" s="80" t="s">
        <v>3166</v>
      </c>
    </row>
    <row r="13" spans="1:26" ht="19" customHeight="1">
      <c r="A13" s="183" t="s">
        <v>3089</v>
      </c>
      <c r="B13" s="299">
        <v>2018</v>
      </c>
      <c r="C13" s="299" t="s">
        <v>188</v>
      </c>
      <c r="D13" s="456" t="s">
        <v>2652</v>
      </c>
      <c r="E13" s="299" t="s">
        <v>3125</v>
      </c>
      <c r="F13" s="300">
        <v>43671</v>
      </c>
      <c r="G13" s="299">
        <v>2571</v>
      </c>
      <c r="H13" t="s">
        <v>3098</v>
      </c>
      <c r="I13">
        <v>7</v>
      </c>
      <c r="J13" s="67">
        <v>43698</v>
      </c>
      <c r="K13" s="526">
        <v>0.34236111111111112</v>
      </c>
      <c r="M13">
        <v>3.9678</v>
      </c>
      <c r="O13">
        <v>3.9634</v>
      </c>
      <c r="Q13">
        <f>M13-4</f>
        <v>-3.2200000000000006E-2</v>
      </c>
      <c r="S13">
        <f>O13-4</f>
        <v>-3.6599999999999966E-2</v>
      </c>
      <c r="U13">
        <f>_xlfn.STDEV.P(Q13:Q17,S13:S16)</f>
        <v>4.1500855264129683E-3</v>
      </c>
      <c r="W13" s="523">
        <f>U13/SQRT(9)</f>
        <v>1.3833618421376561E-3</v>
      </c>
      <c r="Z13" s="524">
        <f>W13/AVERAGE(M13:M17,O13:O17)</f>
        <v>3.4847922264813296E-4</v>
      </c>
    </row>
    <row r="14" spans="1:26" ht="19" customHeight="1">
      <c r="A14" s="183" t="s">
        <v>3089</v>
      </c>
      <c r="B14" s="299">
        <v>2018</v>
      </c>
      <c r="C14" s="299" t="s">
        <v>188</v>
      </c>
      <c r="D14" s="456" t="s">
        <v>2654</v>
      </c>
      <c r="E14" s="299" t="s">
        <v>3125</v>
      </c>
      <c r="F14" s="300">
        <v>43671</v>
      </c>
      <c r="G14" s="299">
        <v>2323.5</v>
      </c>
      <c r="H14" t="s">
        <v>3098</v>
      </c>
      <c r="I14">
        <v>8</v>
      </c>
      <c r="J14" s="67">
        <v>43698</v>
      </c>
      <c r="K14" s="526">
        <v>0.34236111111111112</v>
      </c>
      <c r="M14">
        <v>3.9735999999999998</v>
      </c>
      <c r="O14">
        <v>3.9679000000000002</v>
      </c>
      <c r="Q14">
        <f t="shared" ref="Q14:Q17" si="0">M14-4</f>
        <v>-2.6400000000000201E-2</v>
      </c>
      <c r="S14">
        <f t="shared" ref="S14:S16" si="1">O14-4</f>
        <v>-3.2099999999999795E-2</v>
      </c>
    </row>
    <row r="15" spans="1:26" ht="19" customHeight="1">
      <c r="A15" s="183" t="s">
        <v>3089</v>
      </c>
      <c r="B15" s="299">
        <v>2018</v>
      </c>
      <c r="C15" s="299" t="s">
        <v>188</v>
      </c>
      <c r="D15" s="456" t="s">
        <v>3126</v>
      </c>
      <c r="E15" s="299" t="s">
        <v>3125</v>
      </c>
      <c r="F15" s="300">
        <v>43671</v>
      </c>
      <c r="G15" s="299">
        <v>2365.1999999999998</v>
      </c>
      <c r="H15" t="s">
        <v>3098</v>
      </c>
      <c r="I15">
        <v>9</v>
      </c>
      <c r="J15" s="67">
        <v>43698</v>
      </c>
      <c r="K15" s="526">
        <v>0.34236111111111112</v>
      </c>
      <c r="M15">
        <v>3.9741</v>
      </c>
      <c r="O15">
        <v>3.9647000000000001</v>
      </c>
      <c r="Q15">
        <f t="shared" si="0"/>
        <v>-2.5900000000000034E-2</v>
      </c>
      <c r="S15">
        <f t="shared" si="1"/>
        <v>-3.5299999999999887E-2</v>
      </c>
    </row>
    <row r="16" spans="1:26" ht="19" customHeight="1">
      <c r="A16" s="183" t="s">
        <v>3089</v>
      </c>
      <c r="B16" s="299">
        <v>2018</v>
      </c>
      <c r="C16" s="299" t="s">
        <v>188</v>
      </c>
      <c r="D16" s="456">
        <v>10</v>
      </c>
      <c r="E16" s="299" t="s">
        <v>3125</v>
      </c>
      <c r="F16" s="300">
        <v>43671</v>
      </c>
      <c r="G16" s="299">
        <v>2233.8000000000002</v>
      </c>
      <c r="I16">
        <v>10</v>
      </c>
      <c r="J16" s="67">
        <v>43698</v>
      </c>
      <c r="K16" s="526">
        <v>0.34236111111111112</v>
      </c>
      <c r="M16">
        <v>3.9752999999999998</v>
      </c>
      <c r="O16">
        <v>3.9674</v>
      </c>
      <c r="Q16">
        <f t="shared" si="0"/>
        <v>-2.4700000000000166E-2</v>
      </c>
      <c r="S16">
        <f t="shared" si="1"/>
        <v>-3.2599999999999962E-2</v>
      </c>
    </row>
    <row r="17" spans="1:26" ht="19" customHeight="1">
      <c r="A17" s="183"/>
      <c r="B17" s="299"/>
      <c r="C17" s="299" t="s">
        <v>2947</v>
      </c>
      <c r="D17" s="456"/>
      <c r="E17" s="299"/>
      <c r="F17" s="300"/>
      <c r="G17" s="299"/>
      <c r="I17">
        <v>11</v>
      </c>
      <c r="J17" s="67">
        <v>43698</v>
      </c>
      <c r="K17" s="526">
        <v>0.34236111111111112</v>
      </c>
      <c r="M17">
        <v>3.9731999999999998</v>
      </c>
      <c r="Q17">
        <f t="shared" si="0"/>
        <v>-2.6800000000000157E-2</v>
      </c>
    </row>
    <row r="18" spans="1:26" ht="19" customHeight="1">
      <c r="A18" s="183" t="s">
        <v>3089</v>
      </c>
      <c r="B18" t="s">
        <v>3103</v>
      </c>
      <c r="C18" s="455" t="s">
        <v>2915</v>
      </c>
      <c r="D18" s="456">
        <v>1</v>
      </c>
      <c r="E18" s="299" t="s">
        <v>3102</v>
      </c>
      <c r="F18" s="300">
        <v>43669</v>
      </c>
      <c r="G18" s="299">
        <v>2950</v>
      </c>
      <c r="I18">
        <v>12</v>
      </c>
      <c r="J18" s="67">
        <v>43698</v>
      </c>
      <c r="K18" s="526">
        <v>0.34236111111111112</v>
      </c>
    </row>
    <row r="19" spans="1:26" ht="19" customHeight="1">
      <c r="A19" s="183"/>
      <c r="B19" s="299"/>
      <c r="C19" s="299"/>
      <c r="D19" s="456"/>
      <c r="E19" s="299"/>
      <c r="F19" s="300"/>
      <c r="G19" s="299"/>
    </row>
    <row r="20" spans="1:26" ht="19" customHeight="1"/>
    <row r="21" spans="1:26" ht="19" customHeight="1">
      <c r="A21" s="183" t="s">
        <v>3089</v>
      </c>
      <c r="B21" s="299">
        <v>2018</v>
      </c>
      <c r="C21" s="299" t="s">
        <v>188</v>
      </c>
      <c r="D21" s="456">
        <v>11</v>
      </c>
      <c r="E21" s="299" t="s">
        <v>3125</v>
      </c>
      <c r="F21" s="300">
        <v>43671</v>
      </c>
      <c r="G21" s="299">
        <v>2931.1</v>
      </c>
      <c r="I21">
        <v>13</v>
      </c>
      <c r="J21" s="67">
        <v>43698</v>
      </c>
      <c r="K21" s="526">
        <v>0.35347222222222219</v>
      </c>
      <c r="M21" s="80" t="s">
        <v>3199</v>
      </c>
      <c r="N21" s="80"/>
      <c r="O21" s="80" t="s">
        <v>3200</v>
      </c>
      <c r="P21" s="80" t="s">
        <v>3201</v>
      </c>
    </row>
    <row r="22" spans="1:26" ht="19" customHeight="1">
      <c r="A22" s="183" t="s">
        <v>3089</v>
      </c>
      <c r="B22" s="299">
        <v>2018</v>
      </c>
      <c r="C22" s="299" t="s">
        <v>188</v>
      </c>
      <c r="D22" s="456">
        <v>12</v>
      </c>
      <c r="E22" s="299" t="s">
        <v>3125</v>
      </c>
      <c r="F22" s="300">
        <v>43671</v>
      </c>
      <c r="G22" s="299">
        <v>2267.4</v>
      </c>
      <c r="I22">
        <v>14</v>
      </c>
      <c r="J22" s="67">
        <v>43698</v>
      </c>
      <c r="K22" s="526">
        <v>0.35347222222222219</v>
      </c>
      <c r="M22" s="80"/>
      <c r="N22" s="80"/>
      <c r="O22" s="80"/>
      <c r="P22" s="80"/>
      <c r="Q22" s="80" t="s">
        <v>3198</v>
      </c>
      <c r="U22" s="80" t="s">
        <v>2917</v>
      </c>
      <c r="W22" s="80" t="s">
        <v>3207</v>
      </c>
      <c r="Z22" s="80" t="s">
        <v>3166</v>
      </c>
    </row>
    <row r="23" spans="1:26" ht="19" customHeight="1">
      <c r="A23" s="183" t="s">
        <v>3089</v>
      </c>
      <c r="B23" s="299">
        <v>2018</v>
      </c>
      <c r="C23" s="299" t="s">
        <v>188</v>
      </c>
      <c r="D23" s="456">
        <v>13</v>
      </c>
      <c r="E23" s="299" t="s">
        <v>3125</v>
      </c>
      <c r="F23" s="300">
        <v>43671</v>
      </c>
      <c r="G23" s="299">
        <v>2278.4</v>
      </c>
      <c r="I23">
        <v>15</v>
      </c>
      <c r="J23" s="67">
        <v>43698</v>
      </c>
      <c r="K23" s="526">
        <v>0.35347222222222219</v>
      </c>
      <c r="M23">
        <v>5.9801000000000002</v>
      </c>
      <c r="O23">
        <v>5.9736000000000002</v>
      </c>
      <c r="Q23">
        <f>M23-6</f>
        <v>-1.9899999999999807E-2</v>
      </c>
      <c r="S23">
        <f t="shared" ref="S23:S27" si="2">O23-6</f>
        <v>-2.6399999999999757E-2</v>
      </c>
      <c r="U23">
        <f>_xlfn.STDEV.P(Q23:Q27,S23:S27)</f>
        <v>3.3858529206094805E-3</v>
      </c>
      <c r="W23" s="523">
        <f>U23/SQRT(10)</f>
        <v>1.0707007051459221E-3</v>
      </c>
      <c r="Z23" s="524">
        <f>W23/AVERAGE(M23:M27,O23:O27)</f>
        <v>1.7921776695946337E-4</v>
      </c>
    </row>
    <row r="24" spans="1:26" ht="19" customHeight="1">
      <c r="A24" s="183" t="s">
        <v>3089</v>
      </c>
      <c r="B24" s="299">
        <v>2018</v>
      </c>
      <c r="C24" s="299" t="s">
        <v>188</v>
      </c>
      <c r="D24" s="456" t="s">
        <v>2660</v>
      </c>
      <c r="E24" s="299" t="s">
        <v>3125</v>
      </c>
      <c r="F24" s="300">
        <v>43671</v>
      </c>
      <c r="G24" s="299">
        <v>2134.6</v>
      </c>
      <c r="H24" t="s">
        <v>3098</v>
      </c>
      <c r="I24">
        <v>16</v>
      </c>
      <c r="J24" s="67">
        <v>43698</v>
      </c>
      <c r="K24" s="526">
        <v>0.35347222222222219</v>
      </c>
      <c r="M24">
        <v>5.9725000000000001</v>
      </c>
      <c r="O24">
        <v>5.9763000000000002</v>
      </c>
      <c r="Q24">
        <f t="shared" ref="Q24:Q27" si="3">M24-6</f>
        <v>-2.7499999999999858E-2</v>
      </c>
      <c r="S24">
        <f t="shared" si="2"/>
        <v>-2.3699999999999832E-2</v>
      </c>
    </row>
    <row r="25" spans="1:26" ht="19" customHeight="1">
      <c r="A25" s="183" t="s">
        <v>3089</v>
      </c>
      <c r="B25" s="299">
        <v>2018</v>
      </c>
      <c r="C25" s="299" t="s">
        <v>188</v>
      </c>
      <c r="D25" s="456" t="s">
        <v>2662</v>
      </c>
      <c r="E25" s="299" t="s">
        <v>3125</v>
      </c>
      <c r="F25" s="300">
        <v>43671</v>
      </c>
      <c r="G25" s="299">
        <v>2186.1</v>
      </c>
      <c r="H25" t="s">
        <v>3098</v>
      </c>
      <c r="I25">
        <v>17</v>
      </c>
      <c r="J25" s="67">
        <v>43698</v>
      </c>
      <c r="K25" s="526">
        <v>0.35347222222222219</v>
      </c>
      <c r="M25">
        <v>5.9752000000000001</v>
      </c>
      <c r="O25">
        <v>5.9771999999999998</v>
      </c>
      <c r="Q25">
        <f t="shared" si="3"/>
        <v>-2.4799999999999933E-2</v>
      </c>
      <c r="S25">
        <f t="shared" si="2"/>
        <v>-2.2800000000000153E-2</v>
      </c>
    </row>
    <row r="26" spans="1:26" ht="19" customHeight="1">
      <c r="A26" s="183" t="s">
        <v>3089</v>
      </c>
      <c r="B26" s="299">
        <v>2018</v>
      </c>
      <c r="C26" s="299" t="s">
        <v>188</v>
      </c>
      <c r="D26" s="456" t="s">
        <v>3127</v>
      </c>
      <c r="E26" s="299" t="s">
        <v>3125</v>
      </c>
      <c r="F26" s="300">
        <v>43671</v>
      </c>
      <c r="G26" s="299">
        <v>2527.1</v>
      </c>
      <c r="H26" t="s">
        <v>3098</v>
      </c>
      <c r="I26">
        <v>18</v>
      </c>
      <c r="J26" s="67">
        <v>43698</v>
      </c>
      <c r="K26" s="526">
        <v>0.35347222222222219</v>
      </c>
      <c r="M26">
        <v>5.9694000000000003</v>
      </c>
      <c r="O26">
        <v>5.9741</v>
      </c>
      <c r="Q26">
        <f t="shared" si="3"/>
        <v>-3.0599999999999739E-2</v>
      </c>
      <c r="S26">
        <f t="shared" si="2"/>
        <v>-2.5900000000000034E-2</v>
      </c>
    </row>
    <row r="27" spans="1:26" ht="19" customHeight="1">
      <c r="A27" s="183" t="s">
        <v>3089</v>
      </c>
      <c r="B27" s="299">
        <v>2018</v>
      </c>
      <c r="C27" s="299" t="s">
        <v>188</v>
      </c>
      <c r="D27" s="456">
        <v>15</v>
      </c>
      <c r="E27" s="299" t="s">
        <v>3125</v>
      </c>
      <c r="F27" s="300">
        <v>43671</v>
      </c>
      <c r="G27" s="299">
        <v>2081.9</v>
      </c>
      <c r="I27">
        <v>19</v>
      </c>
      <c r="J27" s="67">
        <v>43698</v>
      </c>
      <c r="K27" s="526">
        <v>0.35347222222222219</v>
      </c>
      <c r="M27">
        <v>5.9763000000000002</v>
      </c>
      <c r="O27">
        <v>5.9683000000000002</v>
      </c>
      <c r="Q27">
        <f t="shared" si="3"/>
        <v>-2.3699999999999832E-2</v>
      </c>
      <c r="S27">
        <f t="shared" si="2"/>
        <v>-3.1699999999999839E-2</v>
      </c>
    </row>
    <row r="28" spans="1:26" ht="19" customHeight="1">
      <c r="A28" s="183" t="s">
        <v>3089</v>
      </c>
      <c r="B28" s="299">
        <v>2018</v>
      </c>
      <c r="C28" s="299" t="s">
        <v>188</v>
      </c>
      <c r="D28" s="456">
        <v>16</v>
      </c>
      <c r="E28" s="299" t="s">
        <v>3125</v>
      </c>
      <c r="F28" s="300">
        <v>43671</v>
      </c>
      <c r="G28" s="299">
        <v>2703.1</v>
      </c>
      <c r="I28">
        <v>20</v>
      </c>
      <c r="J28" s="67">
        <v>43698</v>
      </c>
      <c r="K28" s="526">
        <v>0.35347222222222219</v>
      </c>
    </row>
    <row r="29" spans="1:26" ht="19" customHeight="1">
      <c r="A29" s="183" t="s">
        <v>3089</v>
      </c>
      <c r="B29" s="299">
        <v>2018</v>
      </c>
      <c r="C29" s="299" t="s">
        <v>188</v>
      </c>
      <c r="D29" s="456">
        <v>17</v>
      </c>
      <c r="E29" s="299" t="s">
        <v>3125</v>
      </c>
      <c r="F29" s="300">
        <v>43671</v>
      </c>
      <c r="G29" s="299">
        <v>2200.6</v>
      </c>
      <c r="I29">
        <v>21</v>
      </c>
      <c r="J29" s="67">
        <v>43698</v>
      </c>
      <c r="K29" s="526">
        <v>0.35347222222222219</v>
      </c>
    </row>
    <row r="30" spans="1:26" ht="19" customHeight="1">
      <c r="A30" s="183" t="s">
        <v>3089</v>
      </c>
      <c r="B30" s="299">
        <v>2018</v>
      </c>
      <c r="C30" s="299" t="s">
        <v>188</v>
      </c>
      <c r="D30" s="456">
        <v>18</v>
      </c>
      <c r="E30" s="299" t="s">
        <v>3125</v>
      </c>
      <c r="F30" s="300">
        <v>43671</v>
      </c>
      <c r="G30" s="299">
        <v>2340.8000000000002</v>
      </c>
      <c r="I30">
        <v>22</v>
      </c>
      <c r="J30" s="67">
        <v>43698</v>
      </c>
      <c r="K30" s="526">
        <v>0.35347222222222219</v>
      </c>
    </row>
    <row r="31" spans="1:26" ht="19" customHeight="1">
      <c r="A31" s="183" t="s">
        <v>3089</v>
      </c>
      <c r="B31" s="299">
        <v>2018</v>
      </c>
      <c r="C31" s="299" t="s">
        <v>188</v>
      </c>
      <c r="D31" s="456">
        <v>19</v>
      </c>
      <c r="E31" s="299" t="s">
        <v>3125</v>
      </c>
      <c r="F31" s="300">
        <v>43671</v>
      </c>
      <c r="G31" s="299">
        <v>3022.1</v>
      </c>
      <c r="I31">
        <v>23</v>
      </c>
      <c r="J31" s="67">
        <v>43698</v>
      </c>
      <c r="K31" s="526">
        <v>0.35347222222222219</v>
      </c>
      <c r="M31" s="80" t="s">
        <v>3202</v>
      </c>
      <c r="N31" s="80"/>
      <c r="O31" s="80" t="s">
        <v>3200</v>
      </c>
      <c r="P31" s="80" t="s">
        <v>3204</v>
      </c>
    </row>
    <row r="32" spans="1:26" ht="19" customHeight="1">
      <c r="A32" s="183" t="s">
        <v>3089</v>
      </c>
      <c r="B32" s="299">
        <v>2018</v>
      </c>
      <c r="C32" s="299" t="s">
        <v>188</v>
      </c>
      <c r="D32" s="456">
        <v>20</v>
      </c>
      <c r="E32" s="299" t="s">
        <v>3125</v>
      </c>
      <c r="F32" s="300">
        <v>43671</v>
      </c>
      <c r="G32" s="299">
        <v>2008.5</v>
      </c>
      <c r="I32">
        <v>24</v>
      </c>
      <c r="J32" s="67">
        <v>43698</v>
      </c>
      <c r="K32" s="526">
        <v>0.35347222222222219</v>
      </c>
      <c r="M32" s="80" t="s">
        <v>3203</v>
      </c>
      <c r="N32" s="80"/>
      <c r="O32" s="80"/>
      <c r="P32" s="80"/>
      <c r="Q32" s="80" t="s">
        <v>3198</v>
      </c>
      <c r="U32" s="80" t="s">
        <v>2917</v>
      </c>
      <c r="W32" s="80" t="s">
        <v>3207</v>
      </c>
      <c r="Z32" s="80" t="s">
        <v>3166</v>
      </c>
    </row>
    <row r="33" spans="1:26" ht="19" customHeight="1">
      <c r="A33" s="183"/>
      <c r="B33" s="299"/>
      <c r="C33" s="525"/>
      <c r="D33" s="186"/>
      <c r="E33" s="299"/>
      <c r="F33" s="300"/>
      <c r="G33" s="299"/>
      <c r="M33">
        <v>0.996</v>
      </c>
      <c r="O33">
        <v>0.99270000000000003</v>
      </c>
      <c r="Q33">
        <f>M33-1</f>
        <v>-4.0000000000000036E-3</v>
      </c>
      <c r="S33">
        <f>O33-1</f>
        <v>-7.2999999999999732E-3</v>
      </c>
      <c r="U33">
        <f>_xlfn.STDEV.P(Q33:Q37,S33:S37)</f>
        <v>2.0103730997006325E-3</v>
      </c>
      <c r="W33" s="523">
        <f>U33/SQRT(10)</f>
        <v>6.3573579417867683E-4</v>
      </c>
      <c r="Z33" s="524">
        <f>W33/AVERAGE(M33:M37,O33:O37)</f>
        <v>6.3913599768636829E-4</v>
      </c>
    </row>
    <row r="34" spans="1:26" ht="19" customHeight="1" thickBot="1">
      <c r="A34" s="183" t="s">
        <v>3089</v>
      </c>
      <c r="B34" s="299">
        <v>2018</v>
      </c>
      <c r="C34" s="305" t="s">
        <v>188</v>
      </c>
      <c r="D34" s="457">
        <v>21</v>
      </c>
      <c r="E34" s="299" t="s">
        <v>3125</v>
      </c>
      <c r="F34" s="300">
        <v>43671</v>
      </c>
      <c r="G34" s="299">
        <v>2041.6</v>
      </c>
      <c r="I34">
        <v>25</v>
      </c>
      <c r="J34" s="67">
        <v>43696</v>
      </c>
      <c r="K34" s="526">
        <v>0.3576388888888889</v>
      </c>
      <c r="M34">
        <v>0.99519999999999997</v>
      </c>
      <c r="O34">
        <v>0.99590000000000001</v>
      </c>
      <c r="Q34">
        <f t="shared" ref="Q34:Q37" si="4">M34-1</f>
        <v>-4.8000000000000265E-3</v>
      </c>
      <c r="S34">
        <f t="shared" ref="S34:S37" si="5">O34-1</f>
        <v>-4.0999999999999925E-3</v>
      </c>
      <c r="W34" s="523"/>
    </row>
    <row r="35" spans="1:26" ht="19" customHeight="1">
      <c r="A35" s="183" t="s">
        <v>3089</v>
      </c>
      <c r="B35" s="299">
        <v>2018</v>
      </c>
      <c r="C35" s="303" t="s">
        <v>190</v>
      </c>
      <c r="D35" s="197">
        <v>1</v>
      </c>
      <c r="E35" s="299" t="s">
        <v>3100</v>
      </c>
      <c r="F35" s="300">
        <v>43669</v>
      </c>
      <c r="G35" s="299">
        <v>2380.6</v>
      </c>
      <c r="I35">
        <v>26</v>
      </c>
      <c r="J35" s="67">
        <v>43696</v>
      </c>
      <c r="K35" s="526">
        <v>0.3576388888888889</v>
      </c>
      <c r="M35">
        <v>0.99050000000000005</v>
      </c>
      <c r="O35">
        <v>0.99309999999999998</v>
      </c>
      <c r="Q35">
        <f t="shared" si="4"/>
        <v>-9.4999999999999529E-3</v>
      </c>
      <c r="S35">
        <f t="shared" si="5"/>
        <v>-6.9000000000000172E-3</v>
      </c>
    </row>
    <row r="36" spans="1:26" ht="19" customHeight="1">
      <c r="A36" s="183" t="s">
        <v>3089</v>
      </c>
      <c r="B36" s="299">
        <v>2018</v>
      </c>
      <c r="C36" s="299" t="s">
        <v>190</v>
      </c>
      <c r="D36" s="456">
        <v>2</v>
      </c>
      <c r="E36" s="299" t="s">
        <v>3100</v>
      </c>
      <c r="F36" s="300">
        <v>43669</v>
      </c>
      <c r="G36" s="299">
        <v>2441.1999999999998</v>
      </c>
      <c r="I36">
        <v>27</v>
      </c>
      <c r="J36" s="67">
        <v>43696</v>
      </c>
      <c r="K36" s="526">
        <v>0.3576388888888889</v>
      </c>
      <c r="M36">
        <v>0.99480000000000002</v>
      </c>
      <c r="O36">
        <v>0.99419999999999997</v>
      </c>
      <c r="Q36">
        <f t="shared" si="4"/>
        <v>-5.1999999999999824E-3</v>
      </c>
      <c r="S36">
        <f t="shared" si="5"/>
        <v>-5.8000000000000274E-3</v>
      </c>
    </row>
    <row r="37" spans="1:26" ht="19" customHeight="1">
      <c r="A37" s="183" t="s">
        <v>3089</v>
      </c>
      <c r="B37" s="299">
        <v>2018</v>
      </c>
      <c r="C37" s="299" t="s">
        <v>190</v>
      </c>
      <c r="D37" s="456" t="s">
        <v>2675</v>
      </c>
      <c r="E37" s="299" t="s">
        <v>3100</v>
      </c>
      <c r="F37" s="300">
        <v>43669</v>
      </c>
      <c r="G37" s="299">
        <v>2444.3000000000002</v>
      </c>
      <c r="H37" t="s">
        <v>3098</v>
      </c>
      <c r="I37">
        <v>28</v>
      </c>
      <c r="J37" s="67">
        <v>43696</v>
      </c>
      <c r="K37" s="526">
        <v>0.3576388888888889</v>
      </c>
      <c r="M37">
        <v>0.99739999999999995</v>
      </c>
      <c r="O37">
        <v>0.997</v>
      </c>
      <c r="Q37">
        <f t="shared" si="4"/>
        <v>-2.6000000000000467E-3</v>
      </c>
      <c r="S37">
        <f t="shared" si="5"/>
        <v>-3.0000000000000027E-3</v>
      </c>
    </row>
    <row r="38" spans="1:26" ht="19" customHeight="1">
      <c r="A38" s="183" t="s">
        <v>3089</v>
      </c>
      <c r="B38" s="299">
        <v>2018</v>
      </c>
      <c r="C38" s="299" t="s">
        <v>190</v>
      </c>
      <c r="D38" s="456" t="s">
        <v>2677</v>
      </c>
      <c r="E38" s="299" t="s">
        <v>3100</v>
      </c>
      <c r="F38" s="300">
        <v>43669</v>
      </c>
      <c r="G38" s="299">
        <v>2053.4</v>
      </c>
      <c r="H38" t="s">
        <v>3098</v>
      </c>
      <c r="I38">
        <v>29</v>
      </c>
      <c r="J38" s="67">
        <v>43696</v>
      </c>
      <c r="K38" s="526">
        <v>0.3576388888888889</v>
      </c>
    </row>
    <row r="39" spans="1:26" ht="19" customHeight="1">
      <c r="A39" s="183" t="s">
        <v>3089</v>
      </c>
      <c r="B39" s="299">
        <v>2018</v>
      </c>
      <c r="C39" s="299" t="s">
        <v>190</v>
      </c>
      <c r="D39" s="456" t="s">
        <v>3096</v>
      </c>
      <c r="E39" s="299" t="s">
        <v>3100</v>
      </c>
      <c r="F39" s="300">
        <v>43669</v>
      </c>
      <c r="G39" s="299">
        <v>2384.9</v>
      </c>
      <c r="H39" t="s">
        <v>3098</v>
      </c>
      <c r="I39">
        <v>30</v>
      </c>
      <c r="J39" s="67">
        <v>43696</v>
      </c>
      <c r="K39" s="526">
        <v>0.3576388888888889</v>
      </c>
    </row>
    <row r="40" spans="1:26" ht="19" customHeight="1">
      <c r="A40" s="183" t="s">
        <v>3089</v>
      </c>
      <c r="B40" s="299">
        <v>2018</v>
      </c>
      <c r="C40" s="299" t="s">
        <v>190</v>
      </c>
      <c r="D40" s="290">
        <v>4</v>
      </c>
      <c r="E40" s="299" t="s">
        <v>3100</v>
      </c>
      <c r="F40" s="300">
        <v>43669</v>
      </c>
      <c r="G40" s="299">
        <v>2270.5</v>
      </c>
      <c r="I40">
        <v>31</v>
      </c>
      <c r="J40" s="67">
        <v>43696</v>
      </c>
      <c r="K40" s="526">
        <v>0.3576388888888889</v>
      </c>
    </row>
    <row r="41" spans="1:26" ht="19" customHeight="1">
      <c r="A41" s="183" t="s">
        <v>3089</v>
      </c>
      <c r="B41" s="299">
        <v>2018</v>
      </c>
      <c r="C41" s="299" t="s">
        <v>190</v>
      </c>
      <c r="D41" s="290">
        <v>5</v>
      </c>
      <c r="E41" s="299" t="s">
        <v>3100</v>
      </c>
      <c r="F41" s="300">
        <v>43669</v>
      </c>
      <c r="G41" s="299">
        <v>2078.6999999999998</v>
      </c>
      <c r="I41">
        <v>32</v>
      </c>
      <c r="J41" s="67">
        <v>43696</v>
      </c>
      <c r="K41" s="526">
        <v>0.3576388888888889</v>
      </c>
    </row>
    <row r="42" spans="1:26" ht="19" customHeight="1">
      <c r="A42" s="183" t="s">
        <v>3089</v>
      </c>
      <c r="B42" s="299">
        <v>2018</v>
      </c>
      <c r="C42" s="299" t="s">
        <v>190</v>
      </c>
      <c r="D42" s="290">
        <v>6</v>
      </c>
      <c r="E42" s="299" t="s">
        <v>3100</v>
      </c>
      <c r="F42" s="300">
        <v>43669</v>
      </c>
      <c r="G42" s="299">
        <v>2356.6</v>
      </c>
      <c r="I42">
        <v>33</v>
      </c>
      <c r="J42" s="67">
        <v>43696</v>
      </c>
      <c r="K42" s="526">
        <v>0.3576388888888889</v>
      </c>
    </row>
    <row r="43" spans="1:26" ht="19" customHeight="1">
      <c r="A43" s="183" t="s">
        <v>3089</v>
      </c>
      <c r="B43" s="299">
        <v>2018</v>
      </c>
      <c r="C43" s="299" t="s">
        <v>190</v>
      </c>
      <c r="D43" s="290">
        <v>7</v>
      </c>
      <c r="E43" s="299" t="s">
        <v>3100</v>
      </c>
      <c r="F43" s="300">
        <v>43669</v>
      </c>
      <c r="G43" s="299">
        <v>2137.9</v>
      </c>
      <c r="I43">
        <v>34</v>
      </c>
      <c r="J43" s="67">
        <v>43696</v>
      </c>
      <c r="K43" s="526">
        <v>0.3576388888888889</v>
      </c>
    </row>
    <row r="44" spans="1:26" ht="19" customHeight="1">
      <c r="A44" s="183" t="s">
        <v>3089</v>
      </c>
      <c r="B44" s="299">
        <v>2018</v>
      </c>
      <c r="C44" s="299" t="s">
        <v>190</v>
      </c>
      <c r="D44" s="290">
        <v>8</v>
      </c>
      <c r="E44" s="299" t="s">
        <v>3100</v>
      </c>
      <c r="F44" s="300">
        <v>43669</v>
      </c>
      <c r="G44" s="299">
        <v>3056.4</v>
      </c>
      <c r="I44">
        <v>35</v>
      </c>
      <c r="J44" s="67">
        <v>43696</v>
      </c>
      <c r="K44" s="526">
        <v>0.3576388888888889</v>
      </c>
    </row>
    <row r="45" spans="1:26" ht="19" customHeight="1">
      <c r="A45" s="183" t="s">
        <v>3089</v>
      </c>
      <c r="B45" s="299">
        <v>2018</v>
      </c>
      <c r="C45" s="299" t="s">
        <v>190</v>
      </c>
      <c r="D45" s="290">
        <v>9</v>
      </c>
      <c r="E45" s="299" t="s">
        <v>3100</v>
      </c>
      <c r="F45" s="300">
        <v>43669</v>
      </c>
      <c r="G45" s="299">
        <v>2365.9</v>
      </c>
      <c r="I45">
        <v>36</v>
      </c>
      <c r="J45" s="67">
        <v>43696</v>
      </c>
      <c r="K45" s="526">
        <v>0.3576388888888889</v>
      </c>
    </row>
    <row r="46" spans="1:26" ht="19" customHeight="1">
      <c r="A46" s="183"/>
      <c r="B46" s="299"/>
      <c r="C46" s="299"/>
      <c r="D46" s="290"/>
      <c r="E46" s="299"/>
      <c r="F46" s="300"/>
      <c r="G46" s="299"/>
    </row>
    <row r="47" spans="1:26" ht="19" customHeight="1">
      <c r="A47" s="183" t="s">
        <v>3089</v>
      </c>
      <c r="B47" s="299">
        <v>2018</v>
      </c>
      <c r="C47" s="299" t="s">
        <v>190</v>
      </c>
      <c r="D47" s="290">
        <v>10</v>
      </c>
      <c r="E47" s="299" t="s">
        <v>3100</v>
      </c>
      <c r="F47" s="300">
        <v>43669</v>
      </c>
      <c r="G47" s="299">
        <v>2434.8000000000002</v>
      </c>
      <c r="I47">
        <v>37</v>
      </c>
      <c r="J47" s="67">
        <v>43696</v>
      </c>
      <c r="K47" s="526">
        <v>0.57500000000000007</v>
      </c>
    </row>
    <row r="48" spans="1:26" ht="19" customHeight="1">
      <c r="A48" s="183" t="s">
        <v>3089</v>
      </c>
      <c r="B48" s="299">
        <v>2018</v>
      </c>
      <c r="C48" s="299" t="s">
        <v>190</v>
      </c>
      <c r="D48" s="290">
        <v>11</v>
      </c>
      <c r="E48" s="299" t="s">
        <v>3100</v>
      </c>
      <c r="F48" s="300">
        <v>43669</v>
      </c>
      <c r="G48" s="299">
        <v>2146.9</v>
      </c>
      <c r="I48">
        <v>38</v>
      </c>
      <c r="J48" s="67">
        <v>43696</v>
      </c>
      <c r="K48" s="526">
        <v>0.57500000000000007</v>
      </c>
    </row>
    <row r="49" spans="1:11" ht="19" customHeight="1">
      <c r="A49" s="183" t="s">
        <v>3089</v>
      </c>
      <c r="B49" s="299">
        <v>2018</v>
      </c>
      <c r="C49" s="299" t="s">
        <v>190</v>
      </c>
      <c r="D49" s="290">
        <v>12</v>
      </c>
      <c r="E49" s="299" t="s">
        <v>3100</v>
      </c>
      <c r="F49" s="300">
        <v>43669</v>
      </c>
      <c r="G49" s="299">
        <v>2214.6</v>
      </c>
      <c r="I49">
        <v>39</v>
      </c>
      <c r="J49" s="67">
        <v>43696</v>
      </c>
      <c r="K49" s="526">
        <v>0.57500000000000007</v>
      </c>
    </row>
    <row r="50" spans="1:11" ht="19" customHeight="1">
      <c r="A50" s="183" t="s">
        <v>3089</v>
      </c>
      <c r="B50" s="299">
        <v>2018</v>
      </c>
      <c r="C50" s="299" t="s">
        <v>190</v>
      </c>
      <c r="D50" s="290">
        <v>13</v>
      </c>
      <c r="E50" s="299" t="s">
        <v>3100</v>
      </c>
      <c r="F50" s="300">
        <v>43669</v>
      </c>
      <c r="G50" s="299">
        <v>2583.8000000000002</v>
      </c>
      <c r="I50">
        <v>40</v>
      </c>
      <c r="J50" s="67">
        <v>43696</v>
      </c>
      <c r="K50" s="526">
        <v>0.57500000000000007</v>
      </c>
    </row>
    <row r="51" spans="1:11" ht="19" customHeight="1">
      <c r="A51" s="183" t="s">
        <v>3089</v>
      </c>
      <c r="B51" s="299">
        <v>2018</v>
      </c>
      <c r="C51" s="299" t="s">
        <v>190</v>
      </c>
      <c r="D51" s="290">
        <v>14</v>
      </c>
      <c r="E51" s="299" t="s">
        <v>3100</v>
      </c>
      <c r="F51" s="300">
        <v>43669</v>
      </c>
      <c r="G51" s="299">
        <v>2278.9</v>
      </c>
      <c r="I51">
        <v>41</v>
      </c>
      <c r="J51" s="67">
        <v>43696</v>
      </c>
      <c r="K51" s="526">
        <v>0.57500000000000007</v>
      </c>
    </row>
    <row r="52" spans="1:11" ht="19" customHeight="1">
      <c r="A52" s="183" t="s">
        <v>3089</v>
      </c>
      <c r="B52" s="299">
        <v>2018</v>
      </c>
      <c r="C52" s="299" t="s">
        <v>190</v>
      </c>
      <c r="D52" s="290">
        <v>15</v>
      </c>
      <c r="E52" s="299" t="s">
        <v>3100</v>
      </c>
      <c r="F52" s="300">
        <v>43669</v>
      </c>
      <c r="G52" s="299">
        <v>2444</v>
      </c>
      <c r="I52">
        <v>42</v>
      </c>
      <c r="J52" s="67">
        <v>43696</v>
      </c>
      <c r="K52" s="526">
        <v>0.57500000000000007</v>
      </c>
    </row>
    <row r="53" spans="1:11" ht="19" customHeight="1">
      <c r="A53" s="183" t="s">
        <v>3089</v>
      </c>
      <c r="B53" s="299">
        <v>2018</v>
      </c>
      <c r="C53" s="299" t="s">
        <v>190</v>
      </c>
      <c r="D53" s="290">
        <v>16</v>
      </c>
      <c r="E53" s="299" t="s">
        <v>3100</v>
      </c>
      <c r="F53" s="300">
        <v>43669</v>
      </c>
      <c r="G53" s="299">
        <v>2205.6</v>
      </c>
      <c r="I53">
        <v>43</v>
      </c>
      <c r="J53" s="67">
        <v>43696</v>
      </c>
      <c r="K53" s="526">
        <v>0.57500000000000007</v>
      </c>
    </row>
    <row r="54" spans="1:11" ht="19" customHeight="1">
      <c r="A54" s="183" t="s">
        <v>3089</v>
      </c>
      <c r="B54" s="299">
        <v>2018</v>
      </c>
      <c r="C54" s="299" t="s">
        <v>190</v>
      </c>
      <c r="D54" s="290" t="s">
        <v>2696</v>
      </c>
      <c r="E54" s="299" t="s">
        <v>3100</v>
      </c>
      <c r="F54" s="300">
        <v>43669</v>
      </c>
      <c r="G54" s="299">
        <v>2168.5</v>
      </c>
      <c r="H54" t="s">
        <v>3098</v>
      </c>
      <c r="I54">
        <v>44</v>
      </c>
      <c r="J54" s="67">
        <v>43696</v>
      </c>
      <c r="K54" s="526">
        <v>0.57500000000000007</v>
      </c>
    </row>
    <row r="55" spans="1:11" ht="19" customHeight="1">
      <c r="A55" s="183" t="s">
        <v>3089</v>
      </c>
      <c r="B55" s="299">
        <v>2018</v>
      </c>
      <c r="C55" s="299" t="s">
        <v>190</v>
      </c>
      <c r="D55" s="290" t="s">
        <v>2698</v>
      </c>
      <c r="E55" s="299" t="s">
        <v>3100</v>
      </c>
      <c r="F55" s="300">
        <v>43669</v>
      </c>
      <c r="G55" s="299">
        <v>2462</v>
      </c>
      <c r="H55" t="s">
        <v>3098</v>
      </c>
      <c r="I55">
        <v>45</v>
      </c>
      <c r="J55" s="67">
        <v>43696</v>
      </c>
      <c r="K55" s="526">
        <v>0.57500000000000007</v>
      </c>
    </row>
    <row r="56" spans="1:11" ht="19" customHeight="1">
      <c r="A56" s="183" t="s">
        <v>3089</v>
      </c>
      <c r="B56" s="299">
        <v>2018</v>
      </c>
      <c r="C56" s="299" t="s">
        <v>190</v>
      </c>
      <c r="D56" s="290" t="s">
        <v>3101</v>
      </c>
      <c r="E56" s="299" t="s">
        <v>3100</v>
      </c>
      <c r="F56" s="300">
        <v>43669</v>
      </c>
      <c r="G56" s="299">
        <v>2332.1999999999998</v>
      </c>
      <c r="H56" t="s">
        <v>3098</v>
      </c>
      <c r="I56">
        <v>46</v>
      </c>
      <c r="J56" s="67">
        <v>43696</v>
      </c>
      <c r="K56" s="526">
        <v>0.57500000000000007</v>
      </c>
    </row>
    <row r="57" spans="1:11" ht="19" customHeight="1">
      <c r="A57" s="183"/>
      <c r="B57" s="299"/>
      <c r="C57" s="299" t="s">
        <v>3206</v>
      </c>
      <c r="D57" s="290"/>
      <c r="E57" s="299"/>
      <c r="F57" s="300"/>
      <c r="G57" s="299"/>
      <c r="I57">
        <v>47</v>
      </c>
      <c r="J57" s="67">
        <v>43696</v>
      </c>
      <c r="K57" s="526">
        <v>0.57500000000000007</v>
      </c>
    </row>
    <row r="58" spans="1:11" ht="19" customHeight="1">
      <c r="A58" s="183" t="s">
        <v>3089</v>
      </c>
      <c r="B58" t="s">
        <v>3103</v>
      </c>
      <c r="C58" s="455" t="s">
        <v>2915</v>
      </c>
      <c r="D58" s="456">
        <v>2</v>
      </c>
      <c r="E58" s="299" t="s">
        <v>3102</v>
      </c>
      <c r="F58" s="300">
        <v>43669</v>
      </c>
      <c r="G58" s="299">
        <v>2191.1999999999998</v>
      </c>
      <c r="I58">
        <v>48</v>
      </c>
      <c r="J58" s="67">
        <v>43696</v>
      </c>
      <c r="K58" s="526">
        <v>0.57500000000000007</v>
      </c>
    </row>
    <row r="59" spans="1:11" ht="19" customHeight="1">
      <c r="A59" s="183"/>
      <c r="B59" s="299"/>
      <c r="C59" s="299"/>
      <c r="D59" s="290"/>
      <c r="E59" s="299"/>
      <c r="F59" s="300"/>
      <c r="G59" s="299"/>
    </row>
    <row r="60" spans="1:11" ht="19" customHeight="1">
      <c r="A60" s="183" t="s">
        <v>3089</v>
      </c>
      <c r="B60" s="299">
        <v>2018</v>
      </c>
      <c r="C60" s="299" t="s">
        <v>190</v>
      </c>
      <c r="D60" s="290">
        <v>18</v>
      </c>
      <c r="E60" s="299" t="s">
        <v>3100</v>
      </c>
      <c r="F60" s="300">
        <v>43669</v>
      </c>
      <c r="G60" s="299">
        <v>2754.5</v>
      </c>
      <c r="I60">
        <v>49</v>
      </c>
      <c r="J60" s="67">
        <v>43697</v>
      </c>
      <c r="K60" s="526">
        <v>0.4069444444444445</v>
      </c>
    </row>
    <row r="61" spans="1:11" ht="19" customHeight="1">
      <c r="A61" s="183" t="s">
        <v>3089</v>
      </c>
      <c r="B61" s="299">
        <v>2018</v>
      </c>
      <c r="C61" s="299" t="s">
        <v>190</v>
      </c>
      <c r="D61" s="290">
        <v>19</v>
      </c>
      <c r="E61" s="299" t="s">
        <v>3100</v>
      </c>
      <c r="F61" s="300">
        <v>43669</v>
      </c>
      <c r="G61" s="299">
        <v>2461.3000000000002</v>
      </c>
      <c r="I61">
        <v>50</v>
      </c>
      <c r="J61" s="67">
        <v>43697</v>
      </c>
      <c r="K61" s="526">
        <v>0.4069444444444445</v>
      </c>
    </row>
    <row r="62" spans="1:11" ht="19" customHeight="1">
      <c r="A62" s="183" t="s">
        <v>3089</v>
      </c>
      <c r="B62" s="299">
        <v>2018</v>
      </c>
      <c r="C62" s="299" t="s">
        <v>190</v>
      </c>
      <c r="D62" s="290">
        <v>20</v>
      </c>
      <c r="E62" s="299" t="s">
        <v>3100</v>
      </c>
      <c r="F62" s="300">
        <v>43669</v>
      </c>
      <c r="G62" s="299">
        <v>2397.6</v>
      </c>
      <c r="I62">
        <v>51</v>
      </c>
      <c r="J62" s="67">
        <v>43697</v>
      </c>
      <c r="K62" s="526">
        <v>0.4069444444444445</v>
      </c>
    </row>
    <row r="63" spans="1:11" ht="19" customHeight="1" thickBot="1">
      <c r="A63" s="183" t="s">
        <v>3089</v>
      </c>
      <c r="B63" s="299">
        <v>2018</v>
      </c>
      <c r="C63" s="305" t="s">
        <v>190</v>
      </c>
      <c r="D63" s="308">
        <v>21</v>
      </c>
      <c r="E63" s="299" t="s">
        <v>3100</v>
      </c>
      <c r="F63" s="300">
        <v>43669</v>
      </c>
      <c r="G63" s="299">
        <v>2063.3000000000002</v>
      </c>
      <c r="I63">
        <v>52</v>
      </c>
      <c r="J63" s="67">
        <v>43697</v>
      </c>
      <c r="K63" s="526">
        <v>0.4069444444444445</v>
      </c>
    </row>
    <row r="64" spans="1:11" ht="19" customHeight="1">
      <c r="A64" s="183" t="s">
        <v>3089</v>
      </c>
      <c r="B64" s="299">
        <v>2018</v>
      </c>
      <c r="C64" s="303" t="s">
        <v>194</v>
      </c>
      <c r="D64" s="197">
        <v>1</v>
      </c>
      <c r="E64" s="299" t="s">
        <v>3099</v>
      </c>
      <c r="F64" s="300">
        <v>43668</v>
      </c>
      <c r="G64" s="299">
        <v>2044.6</v>
      </c>
      <c r="I64">
        <v>53</v>
      </c>
      <c r="J64" s="67">
        <v>43697</v>
      </c>
      <c r="K64" s="526">
        <v>0.4069444444444445</v>
      </c>
    </row>
    <row r="65" spans="1:11" ht="19" customHeight="1">
      <c r="A65" s="183" t="s">
        <v>3089</v>
      </c>
      <c r="B65" s="299">
        <v>2018</v>
      </c>
      <c r="C65" s="299" t="s">
        <v>194</v>
      </c>
      <c r="D65" s="456">
        <v>2</v>
      </c>
      <c r="E65" s="299" t="s">
        <v>3099</v>
      </c>
      <c r="F65" s="300">
        <v>43668</v>
      </c>
      <c r="G65" s="299">
        <v>2027.6</v>
      </c>
      <c r="I65">
        <v>54</v>
      </c>
      <c r="J65" s="67">
        <v>43697</v>
      </c>
      <c r="K65" s="526">
        <v>0.4069444444444445</v>
      </c>
    </row>
    <row r="66" spans="1:11" ht="19" customHeight="1">
      <c r="A66" s="183" t="s">
        <v>3089</v>
      </c>
      <c r="B66" s="299">
        <v>2018</v>
      </c>
      <c r="C66" s="299" t="s">
        <v>194</v>
      </c>
      <c r="D66" s="456" t="s">
        <v>2675</v>
      </c>
      <c r="E66" s="299" t="s">
        <v>3099</v>
      </c>
      <c r="F66" s="300">
        <v>43668</v>
      </c>
      <c r="G66" s="299">
        <v>3339.6</v>
      </c>
      <c r="H66" t="s">
        <v>3098</v>
      </c>
      <c r="I66">
        <v>55</v>
      </c>
      <c r="J66" s="67">
        <v>43697</v>
      </c>
      <c r="K66" s="526">
        <v>0.4069444444444445</v>
      </c>
    </row>
    <row r="67" spans="1:11" ht="19" customHeight="1">
      <c r="A67" s="183" t="s">
        <v>3089</v>
      </c>
      <c r="B67" s="299">
        <v>2018</v>
      </c>
      <c r="C67" s="299" t="s">
        <v>194</v>
      </c>
      <c r="D67" s="456" t="s">
        <v>2677</v>
      </c>
      <c r="E67" s="299" t="s">
        <v>3099</v>
      </c>
      <c r="F67" s="300">
        <v>43668</v>
      </c>
      <c r="G67" s="299">
        <v>2175.1</v>
      </c>
      <c r="H67" t="s">
        <v>3098</v>
      </c>
      <c r="I67">
        <v>56</v>
      </c>
      <c r="J67" s="67">
        <v>43697</v>
      </c>
      <c r="K67" s="526">
        <v>0.4069444444444445</v>
      </c>
    </row>
    <row r="68" spans="1:11" ht="19" customHeight="1">
      <c r="A68" s="183" t="s">
        <v>3089</v>
      </c>
      <c r="B68" s="299">
        <v>2018</v>
      </c>
      <c r="C68" s="299" t="s">
        <v>194</v>
      </c>
      <c r="D68" s="456" t="s">
        <v>3096</v>
      </c>
      <c r="E68" s="299" t="s">
        <v>3099</v>
      </c>
      <c r="F68" s="300">
        <v>43668</v>
      </c>
      <c r="G68" s="458">
        <v>2840</v>
      </c>
      <c r="H68" t="s">
        <v>3098</v>
      </c>
      <c r="I68">
        <v>57</v>
      </c>
      <c r="J68" s="67">
        <v>43697</v>
      </c>
      <c r="K68" s="526">
        <v>0.4069444444444445</v>
      </c>
    </row>
    <row r="69" spans="1:11">
      <c r="A69" s="183" t="s">
        <v>3089</v>
      </c>
      <c r="B69" s="299">
        <v>2018</v>
      </c>
      <c r="C69" s="299" t="s">
        <v>194</v>
      </c>
      <c r="D69" s="456">
        <v>4</v>
      </c>
      <c r="E69" s="299" t="s">
        <v>3099</v>
      </c>
      <c r="F69" s="300">
        <v>43668</v>
      </c>
      <c r="G69" s="299">
        <v>2678.5</v>
      </c>
      <c r="I69">
        <v>58</v>
      </c>
      <c r="J69" s="67">
        <v>43697</v>
      </c>
      <c r="K69" s="526">
        <v>0.4069444444444445</v>
      </c>
    </row>
    <row r="70" spans="1:11" ht="19" customHeight="1">
      <c r="A70" s="183"/>
      <c r="B70" s="299"/>
      <c r="C70" s="299" t="s">
        <v>3208</v>
      </c>
      <c r="D70" s="456"/>
      <c r="E70" s="299"/>
      <c r="F70" s="300"/>
      <c r="G70" s="299"/>
      <c r="I70">
        <v>59</v>
      </c>
      <c r="J70" s="67">
        <v>43697</v>
      </c>
      <c r="K70" s="526">
        <v>0.4069444444444445</v>
      </c>
    </row>
    <row r="71" spans="1:11" ht="19" customHeight="1">
      <c r="A71" s="183" t="s">
        <v>3089</v>
      </c>
      <c r="B71" t="s">
        <v>3103</v>
      </c>
      <c r="C71" s="455" t="s">
        <v>2915</v>
      </c>
      <c r="D71" s="456">
        <v>3</v>
      </c>
      <c r="E71" s="299" t="s">
        <v>3102</v>
      </c>
      <c r="F71" s="300">
        <v>43669</v>
      </c>
      <c r="G71" s="299">
        <v>2718.1</v>
      </c>
      <c r="I71">
        <v>60</v>
      </c>
      <c r="J71" s="67">
        <v>43697</v>
      </c>
      <c r="K71" s="526">
        <v>0.4069444444444445</v>
      </c>
    </row>
    <row r="72" spans="1:11" ht="19" customHeight="1">
      <c r="A72" s="183"/>
      <c r="B72" s="299"/>
      <c r="C72" s="299"/>
      <c r="D72" s="456"/>
      <c r="E72" s="299"/>
      <c r="F72" s="300"/>
      <c r="G72" s="299"/>
    </row>
    <row r="73" spans="1:11" ht="19" customHeight="1">
      <c r="A73" s="183" t="s">
        <v>3089</v>
      </c>
      <c r="B73" s="299">
        <v>2018</v>
      </c>
      <c r="C73" s="299" t="s">
        <v>194</v>
      </c>
      <c r="D73" s="456">
        <v>5</v>
      </c>
      <c r="E73" s="299" t="s">
        <v>3099</v>
      </c>
      <c r="F73" s="300">
        <v>43668</v>
      </c>
      <c r="G73" s="299">
        <v>3028.5</v>
      </c>
      <c r="I73">
        <v>61</v>
      </c>
      <c r="J73" s="67">
        <v>43697</v>
      </c>
      <c r="K73" s="526">
        <v>0.47222222222222227</v>
      </c>
    </row>
    <row r="74" spans="1:11" ht="19" customHeight="1">
      <c r="A74" s="183" t="s">
        <v>3089</v>
      </c>
      <c r="B74" s="299">
        <v>2018</v>
      </c>
      <c r="C74" s="299" t="s">
        <v>194</v>
      </c>
      <c r="D74" s="456">
        <v>6</v>
      </c>
      <c r="E74" s="299" t="s">
        <v>3099</v>
      </c>
      <c r="F74" s="300">
        <v>43668</v>
      </c>
      <c r="G74" s="299">
        <v>2545.1999999999998</v>
      </c>
      <c r="I74">
        <v>62</v>
      </c>
      <c r="J74" s="67">
        <v>43697</v>
      </c>
      <c r="K74" s="526">
        <v>0.47222222222222227</v>
      </c>
    </row>
    <row r="75" spans="1:11" ht="19" customHeight="1">
      <c r="A75" s="183" t="s">
        <v>3089</v>
      </c>
      <c r="B75" s="299">
        <v>2018</v>
      </c>
      <c r="C75" s="299" t="s">
        <v>194</v>
      </c>
      <c r="D75" s="456">
        <v>7</v>
      </c>
      <c r="E75" s="299" t="s">
        <v>3099</v>
      </c>
      <c r="F75" s="300">
        <v>43668</v>
      </c>
      <c r="G75" s="299">
        <v>2627.9</v>
      </c>
      <c r="I75">
        <v>63</v>
      </c>
      <c r="J75" s="67">
        <v>43697</v>
      </c>
      <c r="K75" s="526">
        <v>0.47222222222222227</v>
      </c>
    </row>
    <row r="76" spans="1:11" ht="19" customHeight="1">
      <c r="A76" s="183" t="s">
        <v>3089</v>
      </c>
      <c r="B76" s="299">
        <v>2018</v>
      </c>
      <c r="C76" s="299" t="s">
        <v>194</v>
      </c>
      <c r="D76" s="456" t="s">
        <v>2712</v>
      </c>
      <c r="E76" s="299" t="s">
        <v>3099</v>
      </c>
      <c r="F76" s="300">
        <v>43668</v>
      </c>
      <c r="G76" s="299">
        <v>2008</v>
      </c>
      <c r="H76" t="s">
        <v>3098</v>
      </c>
      <c r="I76">
        <v>64</v>
      </c>
      <c r="J76" s="67">
        <v>43697</v>
      </c>
      <c r="K76" s="526">
        <v>0.47222222222222227</v>
      </c>
    </row>
    <row r="77" spans="1:11" ht="19" customHeight="1">
      <c r="A77" s="183" t="s">
        <v>3089</v>
      </c>
      <c r="B77" s="299">
        <v>2018</v>
      </c>
      <c r="C77" s="299" t="s">
        <v>194</v>
      </c>
      <c r="D77" s="456" t="s">
        <v>2714</v>
      </c>
      <c r="E77" s="299" t="s">
        <v>3099</v>
      </c>
      <c r="F77" s="300">
        <v>43668</v>
      </c>
      <c r="G77" s="299">
        <v>2736.6</v>
      </c>
      <c r="H77" t="s">
        <v>3098</v>
      </c>
      <c r="I77">
        <v>65</v>
      </c>
      <c r="J77" s="67">
        <v>43697</v>
      </c>
      <c r="K77" s="526">
        <v>0.47222222222222227</v>
      </c>
    </row>
    <row r="78" spans="1:11" ht="19" customHeight="1">
      <c r="A78" s="183" t="s">
        <v>3089</v>
      </c>
      <c r="B78" s="299">
        <v>2018</v>
      </c>
      <c r="C78" s="299" t="s">
        <v>194</v>
      </c>
      <c r="D78" s="456" t="s">
        <v>3097</v>
      </c>
      <c r="E78" s="299" t="s">
        <v>3099</v>
      </c>
      <c r="F78" s="300">
        <v>43668</v>
      </c>
      <c r="G78" s="458">
        <v>2554.8000000000002</v>
      </c>
      <c r="H78" t="s">
        <v>3098</v>
      </c>
      <c r="I78">
        <v>66</v>
      </c>
      <c r="J78" s="67">
        <v>43697</v>
      </c>
      <c r="K78" s="526">
        <v>0.47222222222222227</v>
      </c>
    </row>
    <row r="79" spans="1:11" ht="19" customHeight="1">
      <c r="A79" s="183" t="s">
        <v>3089</v>
      </c>
      <c r="B79" s="299">
        <v>2018</v>
      </c>
      <c r="C79" s="299" t="s">
        <v>194</v>
      </c>
      <c r="D79" s="456">
        <v>9</v>
      </c>
      <c r="E79" s="299" t="s">
        <v>3099</v>
      </c>
      <c r="F79" s="300">
        <v>43668</v>
      </c>
      <c r="G79" s="299">
        <v>2493.9</v>
      </c>
      <c r="I79">
        <v>67</v>
      </c>
      <c r="J79" s="67">
        <v>43697</v>
      </c>
      <c r="K79" s="526">
        <v>0.47222222222222227</v>
      </c>
    </row>
    <row r="80" spans="1:11" ht="19" customHeight="1">
      <c r="A80" s="183" t="s">
        <v>3089</v>
      </c>
      <c r="B80" s="299">
        <v>2018</v>
      </c>
      <c r="C80" s="299" t="s">
        <v>194</v>
      </c>
      <c r="D80" s="456">
        <v>10</v>
      </c>
      <c r="E80" s="299" t="s">
        <v>3099</v>
      </c>
      <c r="F80" s="300">
        <v>43668</v>
      </c>
      <c r="G80" s="299">
        <v>2216.8000000000002</v>
      </c>
      <c r="I80">
        <v>68</v>
      </c>
      <c r="J80" s="67">
        <v>43697</v>
      </c>
      <c r="K80" s="526">
        <v>0.47222222222222227</v>
      </c>
    </row>
    <row r="81" spans="1:11" ht="19" customHeight="1">
      <c r="A81" s="183" t="s">
        <v>3089</v>
      </c>
      <c r="B81" s="299">
        <v>2018</v>
      </c>
      <c r="C81" s="299" t="s">
        <v>194</v>
      </c>
      <c r="D81" s="456">
        <v>11</v>
      </c>
      <c r="E81" s="299" t="s">
        <v>3099</v>
      </c>
      <c r="F81" s="300">
        <v>43668</v>
      </c>
      <c r="G81" s="299">
        <v>2221.4</v>
      </c>
      <c r="I81">
        <v>69</v>
      </c>
      <c r="J81" s="67">
        <v>43697</v>
      </c>
      <c r="K81" s="526">
        <v>0.47222222222222227</v>
      </c>
    </row>
    <row r="82" spans="1:11" ht="19" customHeight="1">
      <c r="A82" s="183" t="s">
        <v>3089</v>
      </c>
      <c r="B82" s="299">
        <v>2018</v>
      </c>
      <c r="C82" s="299" t="s">
        <v>194</v>
      </c>
      <c r="D82" s="456">
        <v>12</v>
      </c>
      <c r="E82" s="299" t="s">
        <v>3099</v>
      </c>
      <c r="F82" s="300">
        <v>43668</v>
      </c>
      <c r="G82" s="299">
        <v>2793.2</v>
      </c>
      <c r="I82">
        <v>70</v>
      </c>
      <c r="J82" s="67">
        <v>43697</v>
      </c>
      <c r="K82" s="526">
        <v>0.47222222222222227</v>
      </c>
    </row>
    <row r="83" spans="1:11" ht="19" customHeight="1">
      <c r="A83" s="183" t="s">
        <v>3089</v>
      </c>
      <c r="B83" s="299">
        <v>2018</v>
      </c>
      <c r="C83" s="299" t="s">
        <v>194</v>
      </c>
      <c r="D83" s="456">
        <v>13</v>
      </c>
      <c r="E83" s="299" t="s">
        <v>3099</v>
      </c>
      <c r="F83" s="300">
        <v>43668</v>
      </c>
      <c r="G83" s="299">
        <v>2106.3000000000002</v>
      </c>
      <c r="I83">
        <v>71</v>
      </c>
      <c r="J83" s="67">
        <v>43697</v>
      </c>
      <c r="K83" s="526">
        <v>0.47222222222222227</v>
      </c>
    </row>
    <row r="84" spans="1:11" ht="19" customHeight="1">
      <c r="A84" s="183" t="s">
        <v>3089</v>
      </c>
      <c r="B84" s="299">
        <v>2018</v>
      </c>
      <c r="C84" s="299" t="s">
        <v>194</v>
      </c>
      <c r="D84" s="456">
        <v>14</v>
      </c>
      <c r="E84" s="299" t="s">
        <v>3099</v>
      </c>
      <c r="F84" s="300">
        <v>43668</v>
      </c>
      <c r="G84" s="299">
        <v>2273</v>
      </c>
      <c r="I84">
        <v>72</v>
      </c>
      <c r="J84" s="67">
        <v>43697</v>
      </c>
      <c r="K84" s="526">
        <v>0.47222222222222227</v>
      </c>
    </row>
    <row r="85" spans="1:11" ht="19" customHeight="1">
      <c r="A85" s="183"/>
      <c r="B85" s="299"/>
      <c r="C85" s="299"/>
      <c r="D85" s="456"/>
      <c r="E85" s="299"/>
      <c r="F85" s="300"/>
      <c r="G85" s="299"/>
    </row>
    <row r="86" spans="1:11" ht="19" customHeight="1">
      <c r="A86" s="183" t="s">
        <v>3089</v>
      </c>
      <c r="B86" s="299">
        <v>2018</v>
      </c>
      <c r="C86" s="299" t="s">
        <v>194</v>
      </c>
      <c r="D86" s="456">
        <v>15</v>
      </c>
      <c r="E86" s="299" t="s">
        <v>3099</v>
      </c>
      <c r="F86" s="300">
        <v>43668</v>
      </c>
      <c r="G86" s="299">
        <v>2668.1</v>
      </c>
      <c r="I86">
        <v>73</v>
      </c>
      <c r="J86" s="67">
        <v>43697</v>
      </c>
      <c r="K86" s="526">
        <v>0.54166666666666663</v>
      </c>
    </row>
    <row r="87" spans="1:11" ht="19" customHeight="1">
      <c r="A87" s="183" t="s">
        <v>3089</v>
      </c>
      <c r="B87" s="299">
        <v>2018</v>
      </c>
      <c r="C87" s="299" t="s">
        <v>194</v>
      </c>
      <c r="D87" s="456">
        <v>16</v>
      </c>
      <c r="E87" s="299" t="s">
        <v>3099</v>
      </c>
      <c r="F87" s="300">
        <v>43668</v>
      </c>
      <c r="G87" s="299">
        <v>2573.8000000000002</v>
      </c>
      <c r="I87">
        <v>74</v>
      </c>
      <c r="J87" s="67">
        <v>43697</v>
      </c>
      <c r="K87" s="526">
        <v>0.54166666666666663</v>
      </c>
    </row>
    <row r="88" spans="1:11" ht="19" customHeight="1">
      <c r="A88" s="183" t="s">
        <v>3089</v>
      </c>
      <c r="B88" s="299">
        <v>2018</v>
      </c>
      <c r="C88" s="299" t="s">
        <v>194</v>
      </c>
      <c r="D88" s="456">
        <v>17</v>
      </c>
      <c r="E88" s="299" t="s">
        <v>3099</v>
      </c>
      <c r="F88" s="300">
        <v>43668</v>
      </c>
      <c r="G88" s="299">
        <v>2056</v>
      </c>
      <c r="I88">
        <v>75</v>
      </c>
      <c r="J88" s="67">
        <v>43697</v>
      </c>
      <c r="K88" s="526">
        <v>0.54166666666666663</v>
      </c>
    </row>
    <row r="89" spans="1:11" ht="19" customHeight="1">
      <c r="A89" s="183" t="s">
        <v>3089</v>
      </c>
      <c r="B89" s="299">
        <v>2018</v>
      </c>
      <c r="C89" s="299" t="s">
        <v>194</v>
      </c>
      <c r="D89" s="456">
        <v>18</v>
      </c>
      <c r="E89" s="299" t="s">
        <v>3099</v>
      </c>
      <c r="F89" s="300">
        <v>43668</v>
      </c>
      <c r="G89" s="299">
        <v>2618.5</v>
      </c>
      <c r="I89">
        <v>76</v>
      </c>
      <c r="J89" s="67">
        <v>43697</v>
      </c>
      <c r="K89" s="526">
        <v>0.54166666666666663</v>
      </c>
    </row>
    <row r="90" spans="1:11" ht="19" customHeight="1">
      <c r="A90" s="183" t="s">
        <v>3089</v>
      </c>
      <c r="B90" s="299">
        <v>2018</v>
      </c>
      <c r="C90" s="299" t="s">
        <v>194</v>
      </c>
      <c r="D90" s="456">
        <v>19</v>
      </c>
      <c r="E90" s="299" t="s">
        <v>3099</v>
      </c>
      <c r="F90" s="300">
        <v>43668</v>
      </c>
      <c r="G90" s="299">
        <v>2863.8</v>
      </c>
      <c r="I90">
        <v>77</v>
      </c>
      <c r="J90" s="67">
        <v>43697</v>
      </c>
      <c r="K90" s="526">
        <v>0.54166666666666663</v>
      </c>
    </row>
    <row r="91" spans="1:11" ht="17" customHeight="1">
      <c r="A91" s="183" t="s">
        <v>3089</v>
      </c>
      <c r="B91" s="299">
        <v>2018</v>
      </c>
      <c r="C91" s="299" t="s">
        <v>194</v>
      </c>
      <c r="D91" s="456">
        <v>20</v>
      </c>
      <c r="E91" s="299" t="s">
        <v>3099</v>
      </c>
      <c r="F91" s="300">
        <v>43668</v>
      </c>
      <c r="G91" s="299">
        <v>2882.5</v>
      </c>
      <c r="I91">
        <v>78</v>
      </c>
      <c r="J91" s="67">
        <v>43697</v>
      </c>
      <c r="K91" s="526">
        <v>0.54166666666666663</v>
      </c>
    </row>
    <row r="92" spans="1:11">
      <c r="A92" s="183" t="s">
        <v>3089</v>
      </c>
      <c r="B92" s="299">
        <v>2018</v>
      </c>
      <c r="C92" s="299" t="s">
        <v>194</v>
      </c>
      <c r="D92" s="456">
        <v>21</v>
      </c>
      <c r="E92" s="299" t="s">
        <v>3099</v>
      </c>
      <c r="F92" s="300">
        <v>43668</v>
      </c>
      <c r="G92" s="299">
        <v>2151.4</v>
      </c>
      <c r="I92">
        <v>79</v>
      </c>
      <c r="J92" s="67">
        <v>43697</v>
      </c>
      <c r="K92" s="526">
        <v>0.54166666666666663</v>
      </c>
    </row>
    <row r="93" spans="1:11">
      <c r="C93" s="458" t="s">
        <v>3209</v>
      </c>
      <c r="I93">
        <v>80</v>
      </c>
      <c r="J93" s="67">
        <v>43697</v>
      </c>
      <c r="K93" s="526">
        <v>0.54166666666666663</v>
      </c>
    </row>
    <row r="94" spans="1:11">
      <c r="A94" s="183" t="s">
        <v>3089</v>
      </c>
      <c r="B94" t="s">
        <v>3103</v>
      </c>
      <c r="C94" s="455" t="s">
        <v>2915</v>
      </c>
      <c r="D94" s="456">
        <v>4</v>
      </c>
      <c r="E94" s="299" t="s">
        <v>3102</v>
      </c>
      <c r="F94" s="300">
        <v>43669</v>
      </c>
      <c r="G94" s="299">
        <v>2710.3</v>
      </c>
      <c r="I94">
        <v>81</v>
      </c>
      <c r="J94" s="67">
        <v>43697</v>
      </c>
      <c r="K94" s="526">
        <v>0.54166666666666663</v>
      </c>
    </row>
    <row r="95" spans="1:11">
      <c r="A95" s="183" t="s">
        <v>3089</v>
      </c>
      <c r="B95" t="s">
        <v>3103</v>
      </c>
      <c r="C95" s="455" t="s">
        <v>2915</v>
      </c>
      <c r="D95" s="456">
        <v>5</v>
      </c>
      <c r="E95" s="299" t="s">
        <v>3102</v>
      </c>
      <c r="F95" s="300">
        <v>43669</v>
      </c>
      <c r="G95" s="458">
        <v>2757.4</v>
      </c>
      <c r="I95">
        <v>82</v>
      </c>
      <c r="J95" s="67">
        <v>43697</v>
      </c>
      <c r="K95" s="526">
        <v>0.54166666666666663</v>
      </c>
    </row>
    <row r="96" spans="1:11">
      <c r="B96" s="299"/>
      <c r="C96" s="455"/>
      <c r="D96" s="299"/>
    </row>
    <row r="97" spans="2:4">
      <c r="B97" s="299"/>
      <c r="C97" s="455"/>
      <c r="D97" s="29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BE2F-7A23-4418-B8BE-032EE8826824}">
  <dimension ref="A1:XFD121"/>
  <sheetViews>
    <sheetView topLeftCell="A10" workbookViewId="0">
      <selection activeCell="M49" sqref="M49"/>
    </sheetView>
  </sheetViews>
  <sheetFormatPr defaultColWidth="8.6640625" defaultRowHeight="15.5"/>
  <cols>
    <col min="1" max="1" width="20.1640625" style="6" customWidth="1"/>
    <col min="2" max="2" width="8.6640625" style="6"/>
    <col min="3" max="3" width="12.33203125" style="6" customWidth="1"/>
    <col min="4" max="16384" width="8.6640625" style="6"/>
  </cols>
  <sheetData>
    <row r="1" spans="1:16384">
      <c r="A1" s="528" t="s">
        <v>3337</v>
      </c>
    </row>
    <row r="2" spans="1:16384">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8"/>
      <c r="CY2" s="528"/>
      <c r="CZ2" s="528"/>
      <c r="DA2" s="528"/>
      <c r="DB2" s="528"/>
      <c r="DC2" s="528"/>
      <c r="DD2" s="528"/>
      <c r="DE2" s="528"/>
      <c r="DF2" s="528"/>
      <c r="DG2" s="528"/>
      <c r="DH2" s="528"/>
      <c r="DI2" s="528"/>
      <c r="DJ2" s="528"/>
      <c r="DK2" s="528"/>
      <c r="DL2" s="528"/>
      <c r="DM2" s="528"/>
      <c r="DN2" s="528"/>
      <c r="DO2" s="528"/>
      <c r="DP2" s="528"/>
      <c r="DQ2" s="528"/>
      <c r="DR2" s="528"/>
      <c r="DS2" s="528"/>
      <c r="DT2" s="528"/>
      <c r="DU2" s="528"/>
      <c r="DV2" s="528"/>
      <c r="DW2" s="528"/>
      <c r="DX2" s="528"/>
      <c r="DY2" s="528"/>
      <c r="DZ2" s="528"/>
      <c r="EA2" s="528"/>
      <c r="EB2" s="528"/>
      <c r="EC2" s="528"/>
      <c r="ED2" s="528"/>
      <c r="EE2" s="528"/>
      <c r="EF2" s="528"/>
      <c r="EG2" s="528"/>
      <c r="EH2" s="528"/>
      <c r="EI2" s="528"/>
      <c r="EJ2" s="528"/>
      <c r="EK2" s="528"/>
      <c r="EL2" s="528"/>
      <c r="EM2" s="528"/>
      <c r="EN2" s="528"/>
      <c r="EO2" s="528"/>
      <c r="EP2" s="528"/>
      <c r="EQ2" s="528"/>
      <c r="ER2" s="528"/>
      <c r="ES2" s="528"/>
      <c r="ET2" s="528"/>
      <c r="EU2" s="528"/>
      <c r="EV2" s="528"/>
      <c r="EW2" s="528"/>
      <c r="EX2" s="528"/>
      <c r="EY2" s="528"/>
      <c r="EZ2" s="528"/>
      <c r="FA2" s="528"/>
      <c r="FB2" s="528"/>
      <c r="FC2" s="528"/>
      <c r="FD2" s="528"/>
      <c r="FE2" s="528"/>
      <c r="FF2" s="528"/>
      <c r="FG2" s="528"/>
      <c r="FH2" s="528"/>
      <c r="FI2" s="528"/>
      <c r="FJ2" s="528"/>
      <c r="FK2" s="528"/>
      <c r="FL2" s="528"/>
      <c r="FM2" s="528"/>
      <c r="FN2" s="528"/>
      <c r="FO2" s="528"/>
      <c r="FP2" s="528"/>
      <c r="FQ2" s="528"/>
      <c r="FR2" s="528"/>
      <c r="FS2" s="528"/>
      <c r="FT2" s="528"/>
      <c r="FU2" s="528"/>
      <c r="FV2" s="528"/>
      <c r="FW2" s="528"/>
      <c r="FX2" s="528"/>
      <c r="FY2" s="528"/>
      <c r="FZ2" s="528"/>
      <c r="GA2" s="528"/>
      <c r="GB2" s="528"/>
      <c r="GC2" s="528"/>
      <c r="GD2" s="528"/>
      <c r="GE2" s="528"/>
      <c r="GF2" s="528"/>
      <c r="GG2" s="528"/>
      <c r="GH2" s="528"/>
      <c r="GI2" s="528"/>
      <c r="GJ2" s="528"/>
      <c r="GK2" s="528"/>
      <c r="GL2" s="528"/>
      <c r="GM2" s="528"/>
      <c r="GN2" s="528"/>
      <c r="GO2" s="528"/>
      <c r="GP2" s="528"/>
      <c r="GQ2" s="528"/>
      <c r="GR2" s="528"/>
      <c r="GS2" s="528"/>
      <c r="GT2" s="528"/>
      <c r="GU2" s="528"/>
      <c r="GV2" s="528"/>
      <c r="GW2" s="528"/>
      <c r="GX2" s="528"/>
      <c r="GY2" s="528"/>
      <c r="GZ2" s="528"/>
      <c r="HA2" s="528"/>
      <c r="HB2" s="528"/>
      <c r="HC2" s="528"/>
      <c r="HD2" s="528"/>
      <c r="HE2" s="528"/>
      <c r="HF2" s="528"/>
      <c r="HG2" s="528"/>
      <c r="HH2" s="528"/>
      <c r="HI2" s="528"/>
      <c r="HJ2" s="528"/>
      <c r="HK2" s="528"/>
      <c r="HL2" s="528"/>
      <c r="HM2" s="528"/>
      <c r="HN2" s="528"/>
      <c r="HO2" s="528"/>
      <c r="HP2" s="528"/>
      <c r="HQ2" s="528"/>
      <c r="HR2" s="528"/>
      <c r="HS2" s="528"/>
      <c r="HT2" s="528"/>
      <c r="HU2" s="528"/>
      <c r="HV2" s="528"/>
      <c r="HW2" s="528"/>
      <c r="HX2" s="528"/>
      <c r="HY2" s="528"/>
      <c r="HZ2" s="528"/>
      <c r="IA2" s="528"/>
      <c r="IB2" s="528"/>
      <c r="IC2" s="528"/>
      <c r="ID2" s="528"/>
      <c r="IE2" s="528"/>
      <c r="IF2" s="528"/>
      <c r="IG2" s="528"/>
      <c r="IH2" s="528"/>
      <c r="II2" s="528"/>
      <c r="IJ2" s="528"/>
      <c r="IK2" s="528"/>
      <c r="IL2" s="528"/>
      <c r="IM2" s="528"/>
      <c r="IN2" s="528"/>
      <c r="IO2" s="528"/>
      <c r="IP2" s="528"/>
      <c r="IQ2" s="528"/>
      <c r="IR2" s="528"/>
      <c r="IS2" s="528"/>
      <c r="IT2" s="528"/>
      <c r="IU2" s="528"/>
      <c r="IV2" s="528"/>
      <c r="IW2" s="528"/>
      <c r="IX2" s="528"/>
      <c r="IY2" s="528"/>
      <c r="IZ2" s="528"/>
      <c r="JA2" s="528"/>
      <c r="JB2" s="528"/>
      <c r="JC2" s="528"/>
      <c r="JD2" s="528"/>
      <c r="JE2" s="528"/>
      <c r="JF2" s="528"/>
      <c r="JG2" s="528"/>
      <c r="JH2" s="528"/>
      <c r="JI2" s="528"/>
      <c r="JJ2" s="528"/>
      <c r="JK2" s="528"/>
      <c r="JL2" s="528"/>
      <c r="JM2" s="528"/>
      <c r="JN2" s="528"/>
      <c r="JO2" s="528"/>
      <c r="JP2" s="528"/>
      <c r="JQ2" s="528"/>
      <c r="JR2" s="528"/>
      <c r="JS2" s="528"/>
      <c r="JT2" s="528"/>
      <c r="JU2" s="528"/>
      <c r="JV2" s="528"/>
      <c r="JW2" s="528"/>
      <c r="JX2" s="528"/>
      <c r="JY2" s="528"/>
      <c r="JZ2" s="528"/>
      <c r="KA2" s="528"/>
      <c r="KB2" s="528"/>
      <c r="KC2" s="528"/>
      <c r="KD2" s="528"/>
      <c r="KE2" s="528"/>
      <c r="KF2" s="528"/>
      <c r="KG2" s="528"/>
      <c r="KH2" s="528"/>
      <c r="KI2" s="528"/>
      <c r="KJ2" s="528"/>
      <c r="KK2" s="528"/>
      <c r="KL2" s="528"/>
      <c r="KM2" s="528"/>
      <c r="KN2" s="528"/>
      <c r="KO2" s="528"/>
      <c r="KP2" s="528"/>
      <c r="KQ2" s="528"/>
      <c r="KR2" s="528"/>
      <c r="KS2" s="528"/>
      <c r="KT2" s="528"/>
      <c r="KU2" s="528"/>
      <c r="KV2" s="528"/>
      <c r="KW2" s="528"/>
      <c r="KX2" s="528"/>
      <c r="KY2" s="528"/>
      <c r="KZ2" s="528"/>
      <c r="LA2" s="528"/>
      <c r="LB2" s="528"/>
      <c r="LC2" s="528"/>
      <c r="LD2" s="528"/>
      <c r="LE2" s="528"/>
      <c r="LF2" s="528"/>
      <c r="LG2" s="528"/>
      <c r="LH2" s="528"/>
      <c r="LI2" s="528"/>
      <c r="LJ2" s="528"/>
      <c r="LK2" s="528"/>
      <c r="LL2" s="528"/>
      <c r="LM2" s="528"/>
      <c r="LN2" s="528"/>
      <c r="LO2" s="528"/>
      <c r="LP2" s="528"/>
      <c r="LQ2" s="528"/>
      <c r="LR2" s="528"/>
      <c r="LS2" s="528"/>
      <c r="LT2" s="528"/>
      <c r="LU2" s="528"/>
      <c r="LV2" s="528"/>
      <c r="LW2" s="528"/>
      <c r="LX2" s="528"/>
      <c r="LY2" s="528"/>
      <c r="LZ2" s="528"/>
      <c r="MA2" s="528"/>
      <c r="MB2" s="528"/>
      <c r="MC2" s="528"/>
      <c r="MD2" s="528"/>
      <c r="ME2" s="528"/>
      <c r="MF2" s="528"/>
      <c r="MG2" s="528"/>
      <c r="MH2" s="528"/>
      <c r="MI2" s="528"/>
      <c r="MJ2" s="528"/>
      <c r="MK2" s="528"/>
      <c r="ML2" s="528"/>
      <c r="MM2" s="528"/>
      <c r="MN2" s="528"/>
      <c r="MO2" s="528"/>
      <c r="MP2" s="528"/>
      <c r="MQ2" s="528"/>
      <c r="MR2" s="528"/>
      <c r="MS2" s="528"/>
      <c r="MT2" s="528"/>
      <c r="MU2" s="528"/>
      <c r="MV2" s="528"/>
      <c r="MW2" s="528"/>
      <c r="MX2" s="528"/>
      <c r="MY2" s="528"/>
      <c r="MZ2" s="528"/>
      <c r="NA2" s="528"/>
      <c r="NB2" s="528"/>
      <c r="NC2" s="528"/>
      <c r="ND2" s="528"/>
      <c r="NE2" s="528"/>
      <c r="NF2" s="528"/>
      <c r="NG2" s="528"/>
      <c r="NH2" s="528"/>
      <c r="NI2" s="528"/>
      <c r="NJ2" s="528"/>
      <c r="NK2" s="528"/>
      <c r="NL2" s="528"/>
      <c r="NM2" s="528"/>
      <c r="NN2" s="528"/>
      <c r="NO2" s="528"/>
      <c r="NP2" s="528"/>
      <c r="NQ2" s="528"/>
      <c r="NR2" s="528"/>
      <c r="NS2" s="528"/>
      <c r="NT2" s="528"/>
      <c r="NU2" s="528"/>
      <c r="NV2" s="528"/>
      <c r="NW2" s="528"/>
      <c r="NX2" s="528"/>
      <c r="NY2" s="528"/>
      <c r="NZ2" s="528"/>
      <c r="OA2" s="528"/>
      <c r="OB2" s="528"/>
      <c r="OC2" s="528"/>
      <c r="OD2" s="528"/>
      <c r="OE2" s="528"/>
      <c r="OF2" s="528"/>
      <c r="OG2" s="528"/>
      <c r="OH2" s="528"/>
      <c r="OI2" s="528"/>
      <c r="OJ2" s="528"/>
      <c r="OK2" s="528"/>
      <c r="OL2" s="528"/>
      <c r="OM2" s="528"/>
      <c r="ON2" s="528"/>
      <c r="OO2" s="528"/>
      <c r="OP2" s="528"/>
      <c r="OQ2" s="528"/>
      <c r="OR2" s="528"/>
      <c r="OS2" s="528"/>
      <c r="OT2" s="528"/>
      <c r="OU2" s="528"/>
      <c r="OV2" s="528"/>
      <c r="OW2" s="528"/>
      <c r="OX2" s="528"/>
      <c r="OY2" s="528"/>
      <c r="OZ2" s="528"/>
      <c r="PA2" s="528"/>
      <c r="PB2" s="528"/>
      <c r="PC2" s="528"/>
      <c r="PD2" s="528"/>
      <c r="PE2" s="528"/>
      <c r="PF2" s="528"/>
      <c r="PG2" s="528"/>
      <c r="PH2" s="528"/>
      <c r="PI2" s="528"/>
      <c r="PJ2" s="528"/>
      <c r="PK2" s="528"/>
      <c r="PL2" s="528"/>
      <c r="PM2" s="528"/>
      <c r="PN2" s="528"/>
      <c r="PO2" s="528"/>
      <c r="PP2" s="528"/>
      <c r="PQ2" s="528"/>
      <c r="PR2" s="528"/>
      <c r="PS2" s="528"/>
      <c r="PT2" s="528"/>
      <c r="PU2" s="528"/>
      <c r="PV2" s="528"/>
      <c r="PW2" s="528"/>
      <c r="PX2" s="528"/>
      <c r="PY2" s="528"/>
      <c r="PZ2" s="528"/>
      <c r="QA2" s="528"/>
      <c r="QB2" s="528"/>
      <c r="QC2" s="528"/>
      <c r="QD2" s="528"/>
      <c r="QE2" s="528"/>
      <c r="QF2" s="528"/>
      <c r="QG2" s="528"/>
      <c r="QH2" s="528"/>
      <c r="QI2" s="528"/>
      <c r="QJ2" s="528"/>
      <c r="QK2" s="528"/>
      <c r="QL2" s="528"/>
      <c r="QM2" s="528"/>
      <c r="QN2" s="528"/>
      <c r="QO2" s="528"/>
      <c r="QP2" s="528"/>
      <c r="QQ2" s="528"/>
      <c r="QR2" s="528"/>
      <c r="QS2" s="528"/>
      <c r="QT2" s="528"/>
      <c r="QU2" s="528"/>
      <c r="QV2" s="528"/>
      <c r="QW2" s="528"/>
      <c r="QX2" s="528"/>
      <c r="QY2" s="528"/>
      <c r="QZ2" s="528"/>
      <c r="RA2" s="528"/>
      <c r="RB2" s="528"/>
      <c r="RC2" s="528"/>
      <c r="RD2" s="528"/>
      <c r="RE2" s="528"/>
      <c r="RF2" s="528"/>
      <c r="RG2" s="528"/>
      <c r="RH2" s="528"/>
      <c r="RI2" s="528"/>
      <c r="RJ2" s="528"/>
      <c r="RK2" s="528"/>
      <c r="RL2" s="528"/>
      <c r="RM2" s="528"/>
      <c r="RN2" s="528"/>
      <c r="RO2" s="528"/>
      <c r="RP2" s="528"/>
      <c r="RQ2" s="528"/>
      <c r="RR2" s="528"/>
      <c r="RS2" s="528"/>
      <c r="RT2" s="528"/>
      <c r="RU2" s="528"/>
      <c r="RV2" s="528"/>
      <c r="RW2" s="528"/>
      <c r="RX2" s="528"/>
      <c r="RY2" s="528"/>
      <c r="RZ2" s="528"/>
      <c r="SA2" s="528"/>
      <c r="SB2" s="528"/>
      <c r="SC2" s="528"/>
      <c r="SD2" s="528"/>
      <c r="SE2" s="528"/>
      <c r="SF2" s="528"/>
      <c r="SG2" s="528"/>
      <c r="SH2" s="528"/>
      <c r="SI2" s="528"/>
      <c r="SJ2" s="528"/>
      <c r="SK2" s="528"/>
      <c r="SL2" s="528"/>
      <c r="SM2" s="528"/>
      <c r="SN2" s="528"/>
      <c r="SO2" s="528"/>
      <c r="SP2" s="528"/>
      <c r="SQ2" s="528"/>
      <c r="SR2" s="528"/>
      <c r="SS2" s="528"/>
      <c r="ST2" s="528"/>
      <c r="SU2" s="528"/>
      <c r="SV2" s="528"/>
      <c r="SW2" s="528"/>
      <c r="SX2" s="528"/>
      <c r="SY2" s="528"/>
      <c r="SZ2" s="528"/>
      <c r="TA2" s="528"/>
      <c r="TB2" s="528"/>
      <c r="TC2" s="528"/>
      <c r="TD2" s="528"/>
      <c r="TE2" s="528"/>
      <c r="TF2" s="528"/>
      <c r="TG2" s="528"/>
      <c r="TH2" s="528"/>
      <c r="TI2" s="528"/>
      <c r="TJ2" s="528"/>
      <c r="TK2" s="528"/>
      <c r="TL2" s="528"/>
      <c r="TM2" s="528"/>
      <c r="TN2" s="528"/>
      <c r="TO2" s="528"/>
      <c r="TP2" s="528"/>
      <c r="TQ2" s="528"/>
      <c r="TR2" s="528"/>
      <c r="TS2" s="528"/>
      <c r="TT2" s="528"/>
      <c r="TU2" s="528"/>
      <c r="TV2" s="528"/>
      <c r="TW2" s="528"/>
      <c r="TX2" s="528"/>
      <c r="TY2" s="528"/>
      <c r="TZ2" s="528"/>
      <c r="UA2" s="528"/>
      <c r="UB2" s="528"/>
      <c r="UC2" s="528"/>
      <c r="UD2" s="528"/>
      <c r="UE2" s="528"/>
      <c r="UF2" s="528"/>
      <c r="UG2" s="528"/>
      <c r="UH2" s="528"/>
      <c r="UI2" s="528"/>
      <c r="UJ2" s="528"/>
      <c r="UK2" s="528"/>
      <c r="UL2" s="528"/>
      <c r="UM2" s="528"/>
      <c r="UN2" s="528"/>
      <c r="UO2" s="528"/>
      <c r="UP2" s="528"/>
      <c r="UQ2" s="528"/>
      <c r="UR2" s="528"/>
      <c r="US2" s="528"/>
      <c r="UT2" s="528"/>
      <c r="UU2" s="528"/>
      <c r="UV2" s="528"/>
      <c r="UW2" s="528"/>
      <c r="UX2" s="528"/>
      <c r="UY2" s="528"/>
      <c r="UZ2" s="528"/>
      <c r="VA2" s="528"/>
      <c r="VB2" s="528"/>
      <c r="VC2" s="528"/>
      <c r="VD2" s="528"/>
      <c r="VE2" s="528"/>
      <c r="VF2" s="528"/>
      <c r="VG2" s="528"/>
      <c r="VH2" s="528"/>
      <c r="VI2" s="528"/>
      <c r="VJ2" s="528"/>
      <c r="VK2" s="528"/>
      <c r="VL2" s="528"/>
      <c r="VM2" s="528"/>
      <c r="VN2" s="528"/>
      <c r="VO2" s="528"/>
      <c r="VP2" s="528"/>
      <c r="VQ2" s="528"/>
      <c r="VR2" s="528"/>
      <c r="VS2" s="528"/>
      <c r="VT2" s="528"/>
      <c r="VU2" s="528"/>
      <c r="VV2" s="528"/>
      <c r="VW2" s="528"/>
      <c r="VX2" s="528"/>
      <c r="VY2" s="528"/>
      <c r="VZ2" s="528"/>
      <c r="WA2" s="528"/>
      <c r="WB2" s="528"/>
      <c r="WC2" s="528"/>
      <c r="WD2" s="528"/>
      <c r="WE2" s="528"/>
      <c r="WF2" s="528"/>
      <c r="WG2" s="528"/>
      <c r="WH2" s="528"/>
      <c r="WI2" s="528"/>
      <c r="WJ2" s="528"/>
      <c r="WK2" s="528"/>
      <c r="WL2" s="528"/>
      <c r="WM2" s="528"/>
      <c r="WN2" s="528"/>
      <c r="WO2" s="528"/>
      <c r="WP2" s="528"/>
      <c r="WQ2" s="528"/>
      <c r="WR2" s="528"/>
      <c r="WS2" s="528"/>
      <c r="WT2" s="528"/>
      <c r="WU2" s="528"/>
      <c r="WV2" s="528"/>
      <c r="WW2" s="528"/>
      <c r="WX2" s="528"/>
      <c r="WY2" s="528"/>
      <c r="WZ2" s="528"/>
      <c r="XA2" s="528"/>
      <c r="XB2" s="528"/>
      <c r="XC2" s="528"/>
      <c r="XD2" s="528"/>
      <c r="XE2" s="528"/>
      <c r="XF2" s="528"/>
      <c r="XG2" s="528"/>
      <c r="XH2" s="528"/>
      <c r="XI2" s="528"/>
      <c r="XJ2" s="528"/>
      <c r="XK2" s="528"/>
      <c r="XL2" s="528"/>
      <c r="XM2" s="528"/>
      <c r="XN2" s="528"/>
      <c r="XO2" s="528"/>
      <c r="XP2" s="528"/>
      <c r="XQ2" s="528"/>
      <c r="XR2" s="528"/>
      <c r="XS2" s="528"/>
      <c r="XT2" s="528"/>
      <c r="XU2" s="528"/>
      <c r="XV2" s="528"/>
      <c r="XW2" s="528"/>
      <c r="XX2" s="528"/>
      <c r="XY2" s="528"/>
      <c r="XZ2" s="528"/>
      <c r="YA2" s="528"/>
      <c r="YB2" s="528"/>
      <c r="YC2" s="528"/>
      <c r="YD2" s="528"/>
      <c r="YE2" s="528"/>
      <c r="YF2" s="528"/>
      <c r="YG2" s="528"/>
      <c r="YH2" s="528"/>
      <c r="YI2" s="528"/>
      <c r="YJ2" s="528"/>
      <c r="YK2" s="528"/>
      <c r="YL2" s="528"/>
      <c r="YM2" s="528"/>
      <c r="YN2" s="528"/>
      <c r="YO2" s="528"/>
      <c r="YP2" s="528"/>
      <c r="YQ2" s="528"/>
      <c r="YR2" s="528"/>
      <c r="YS2" s="528"/>
      <c r="YT2" s="528"/>
      <c r="YU2" s="528"/>
      <c r="YV2" s="528"/>
      <c r="YW2" s="528"/>
      <c r="YX2" s="528"/>
      <c r="YY2" s="528"/>
      <c r="YZ2" s="528"/>
      <c r="ZA2" s="528"/>
      <c r="ZB2" s="528"/>
      <c r="ZC2" s="528"/>
      <c r="ZD2" s="528"/>
      <c r="ZE2" s="528"/>
      <c r="ZF2" s="528"/>
      <c r="ZG2" s="528"/>
      <c r="ZH2" s="528"/>
      <c r="ZI2" s="528"/>
      <c r="ZJ2" s="528"/>
      <c r="ZK2" s="528"/>
      <c r="ZL2" s="528"/>
      <c r="ZM2" s="528"/>
      <c r="ZN2" s="528"/>
      <c r="ZO2" s="528"/>
      <c r="ZP2" s="528"/>
      <c r="ZQ2" s="528"/>
      <c r="ZR2" s="528"/>
      <c r="ZS2" s="528"/>
      <c r="ZT2" s="528"/>
      <c r="ZU2" s="528"/>
      <c r="ZV2" s="528"/>
      <c r="ZW2" s="528"/>
      <c r="ZX2" s="528"/>
      <c r="ZY2" s="528"/>
      <c r="ZZ2" s="528"/>
      <c r="AAA2" s="528"/>
      <c r="AAB2" s="528"/>
      <c r="AAC2" s="528"/>
      <c r="AAD2" s="528"/>
      <c r="AAE2" s="528"/>
      <c r="AAF2" s="528"/>
      <c r="AAG2" s="528"/>
      <c r="AAH2" s="528"/>
      <c r="AAI2" s="528"/>
      <c r="AAJ2" s="528"/>
      <c r="AAK2" s="528"/>
      <c r="AAL2" s="528"/>
      <c r="AAM2" s="528"/>
      <c r="AAN2" s="528"/>
      <c r="AAO2" s="528"/>
      <c r="AAP2" s="528"/>
      <c r="AAQ2" s="528"/>
      <c r="AAR2" s="528"/>
      <c r="AAS2" s="528"/>
      <c r="AAT2" s="528"/>
      <c r="AAU2" s="528"/>
      <c r="AAV2" s="528"/>
      <c r="AAW2" s="528"/>
      <c r="AAX2" s="528"/>
      <c r="AAY2" s="528"/>
      <c r="AAZ2" s="528"/>
      <c r="ABA2" s="528"/>
      <c r="ABB2" s="528"/>
      <c r="ABC2" s="528"/>
      <c r="ABD2" s="528"/>
      <c r="ABE2" s="528"/>
      <c r="ABF2" s="528"/>
      <c r="ABG2" s="528"/>
      <c r="ABH2" s="528"/>
      <c r="ABI2" s="528"/>
      <c r="ABJ2" s="528"/>
      <c r="ABK2" s="528"/>
      <c r="ABL2" s="528"/>
      <c r="ABM2" s="528"/>
      <c r="ABN2" s="528"/>
      <c r="ABO2" s="528"/>
      <c r="ABP2" s="528"/>
      <c r="ABQ2" s="528"/>
      <c r="ABR2" s="528"/>
      <c r="ABS2" s="528"/>
      <c r="ABT2" s="528"/>
      <c r="ABU2" s="528"/>
      <c r="ABV2" s="528"/>
      <c r="ABW2" s="528"/>
      <c r="ABX2" s="528"/>
      <c r="ABY2" s="528"/>
      <c r="ABZ2" s="528"/>
      <c r="ACA2" s="528"/>
      <c r="ACB2" s="528"/>
      <c r="ACC2" s="528"/>
      <c r="ACD2" s="528"/>
      <c r="ACE2" s="528"/>
      <c r="ACF2" s="528"/>
      <c r="ACG2" s="528"/>
      <c r="ACH2" s="528"/>
      <c r="ACI2" s="528"/>
      <c r="ACJ2" s="528"/>
      <c r="ACK2" s="528"/>
      <c r="ACL2" s="528"/>
      <c r="ACM2" s="528"/>
      <c r="ACN2" s="528"/>
      <c r="ACO2" s="528"/>
      <c r="ACP2" s="528"/>
      <c r="ACQ2" s="528"/>
      <c r="ACR2" s="528"/>
      <c r="ACS2" s="528"/>
      <c r="ACT2" s="528"/>
      <c r="ACU2" s="528"/>
      <c r="ACV2" s="528"/>
      <c r="ACW2" s="528"/>
      <c r="ACX2" s="528"/>
      <c r="ACY2" s="528"/>
      <c r="ACZ2" s="528"/>
      <c r="ADA2" s="528"/>
      <c r="ADB2" s="528"/>
      <c r="ADC2" s="528"/>
      <c r="ADD2" s="528"/>
      <c r="ADE2" s="528"/>
      <c r="ADF2" s="528"/>
      <c r="ADG2" s="528"/>
      <c r="ADH2" s="528"/>
      <c r="ADI2" s="528"/>
      <c r="ADJ2" s="528"/>
      <c r="ADK2" s="528"/>
      <c r="ADL2" s="528"/>
      <c r="ADM2" s="528"/>
      <c r="ADN2" s="528"/>
      <c r="ADO2" s="528"/>
      <c r="ADP2" s="528"/>
      <c r="ADQ2" s="528"/>
      <c r="ADR2" s="528"/>
      <c r="ADS2" s="528"/>
      <c r="ADT2" s="528"/>
      <c r="ADU2" s="528"/>
      <c r="ADV2" s="528"/>
      <c r="ADW2" s="528"/>
      <c r="ADX2" s="528"/>
      <c r="ADY2" s="528"/>
      <c r="ADZ2" s="528"/>
      <c r="AEA2" s="528"/>
      <c r="AEB2" s="528"/>
      <c r="AEC2" s="528"/>
      <c r="AED2" s="528"/>
      <c r="AEE2" s="528"/>
      <c r="AEF2" s="528"/>
      <c r="AEG2" s="528"/>
      <c r="AEH2" s="528"/>
      <c r="AEI2" s="528"/>
      <c r="AEJ2" s="528"/>
      <c r="AEK2" s="528"/>
      <c r="AEL2" s="528"/>
      <c r="AEM2" s="528"/>
      <c r="AEN2" s="528"/>
      <c r="AEO2" s="528"/>
      <c r="AEP2" s="528"/>
      <c r="AEQ2" s="528"/>
      <c r="AER2" s="528"/>
      <c r="AES2" s="528"/>
      <c r="AET2" s="528"/>
      <c r="AEU2" s="528"/>
      <c r="AEV2" s="528"/>
      <c r="AEW2" s="528"/>
      <c r="AEX2" s="528"/>
      <c r="AEY2" s="528"/>
      <c r="AEZ2" s="528"/>
      <c r="AFA2" s="528"/>
      <c r="AFB2" s="528"/>
      <c r="AFC2" s="528"/>
      <c r="AFD2" s="528"/>
      <c r="AFE2" s="528"/>
      <c r="AFF2" s="528"/>
      <c r="AFG2" s="528"/>
      <c r="AFH2" s="528"/>
      <c r="AFI2" s="528"/>
      <c r="AFJ2" s="528"/>
      <c r="AFK2" s="528"/>
      <c r="AFL2" s="528"/>
      <c r="AFM2" s="528"/>
      <c r="AFN2" s="528"/>
      <c r="AFO2" s="528"/>
      <c r="AFP2" s="528"/>
      <c r="AFQ2" s="528"/>
      <c r="AFR2" s="528"/>
      <c r="AFS2" s="528"/>
      <c r="AFT2" s="528"/>
      <c r="AFU2" s="528"/>
      <c r="AFV2" s="528"/>
      <c r="AFW2" s="528"/>
      <c r="AFX2" s="528"/>
      <c r="AFY2" s="528"/>
      <c r="AFZ2" s="528"/>
      <c r="AGA2" s="528"/>
      <c r="AGB2" s="528"/>
      <c r="AGC2" s="528"/>
      <c r="AGD2" s="528"/>
      <c r="AGE2" s="528"/>
      <c r="AGF2" s="528"/>
      <c r="AGG2" s="528"/>
      <c r="AGH2" s="528"/>
      <c r="AGI2" s="528"/>
      <c r="AGJ2" s="528"/>
      <c r="AGK2" s="528"/>
      <c r="AGL2" s="528"/>
      <c r="AGM2" s="528"/>
      <c r="AGN2" s="528"/>
      <c r="AGO2" s="528"/>
      <c r="AGP2" s="528"/>
      <c r="AGQ2" s="528"/>
      <c r="AGR2" s="528"/>
      <c r="AGS2" s="528"/>
      <c r="AGT2" s="528"/>
      <c r="AGU2" s="528"/>
      <c r="AGV2" s="528"/>
      <c r="AGW2" s="528"/>
      <c r="AGX2" s="528"/>
      <c r="AGY2" s="528"/>
      <c r="AGZ2" s="528"/>
      <c r="AHA2" s="528"/>
      <c r="AHB2" s="528"/>
      <c r="AHC2" s="528"/>
      <c r="AHD2" s="528"/>
      <c r="AHE2" s="528"/>
      <c r="AHF2" s="528"/>
      <c r="AHG2" s="528"/>
      <c r="AHH2" s="528"/>
      <c r="AHI2" s="528"/>
      <c r="AHJ2" s="528"/>
      <c r="AHK2" s="528"/>
      <c r="AHL2" s="528"/>
      <c r="AHM2" s="528"/>
      <c r="AHN2" s="528"/>
      <c r="AHO2" s="528"/>
      <c r="AHP2" s="528"/>
      <c r="AHQ2" s="528"/>
      <c r="AHR2" s="528"/>
      <c r="AHS2" s="528"/>
      <c r="AHT2" s="528"/>
      <c r="AHU2" s="528"/>
      <c r="AHV2" s="528"/>
      <c r="AHW2" s="528"/>
      <c r="AHX2" s="528"/>
      <c r="AHY2" s="528"/>
      <c r="AHZ2" s="528"/>
      <c r="AIA2" s="528"/>
      <c r="AIB2" s="528"/>
      <c r="AIC2" s="528"/>
      <c r="AID2" s="528"/>
      <c r="AIE2" s="528"/>
      <c r="AIF2" s="528"/>
      <c r="AIG2" s="528"/>
      <c r="AIH2" s="528"/>
      <c r="AII2" s="528"/>
      <c r="AIJ2" s="528"/>
      <c r="AIK2" s="528"/>
      <c r="AIL2" s="528"/>
      <c r="AIM2" s="528"/>
      <c r="AIN2" s="528"/>
      <c r="AIO2" s="528"/>
      <c r="AIP2" s="528"/>
      <c r="AIQ2" s="528"/>
      <c r="AIR2" s="528"/>
      <c r="AIS2" s="528"/>
      <c r="AIT2" s="528"/>
      <c r="AIU2" s="528"/>
      <c r="AIV2" s="528"/>
      <c r="AIW2" s="528"/>
      <c r="AIX2" s="528"/>
      <c r="AIY2" s="528"/>
      <c r="AIZ2" s="528"/>
      <c r="AJA2" s="528"/>
      <c r="AJB2" s="528"/>
      <c r="AJC2" s="528"/>
      <c r="AJD2" s="528"/>
      <c r="AJE2" s="528"/>
      <c r="AJF2" s="528"/>
      <c r="AJG2" s="528"/>
      <c r="AJH2" s="528"/>
      <c r="AJI2" s="528"/>
      <c r="AJJ2" s="528"/>
      <c r="AJK2" s="528"/>
      <c r="AJL2" s="528"/>
      <c r="AJM2" s="528"/>
      <c r="AJN2" s="528"/>
      <c r="AJO2" s="528"/>
      <c r="AJP2" s="528"/>
      <c r="AJQ2" s="528"/>
      <c r="AJR2" s="528"/>
      <c r="AJS2" s="528"/>
      <c r="AJT2" s="528"/>
      <c r="AJU2" s="528"/>
      <c r="AJV2" s="528"/>
      <c r="AJW2" s="528"/>
      <c r="AJX2" s="528"/>
      <c r="AJY2" s="528"/>
      <c r="AJZ2" s="528"/>
      <c r="AKA2" s="528"/>
      <c r="AKB2" s="528"/>
      <c r="AKC2" s="528"/>
      <c r="AKD2" s="528"/>
      <c r="AKE2" s="528"/>
      <c r="AKF2" s="528"/>
      <c r="AKG2" s="528"/>
      <c r="AKH2" s="528"/>
      <c r="AKI2" s="528"/>
      <c r="AKJ2" s="528"/>
      <c r="AKK2" s="528"/>
      <c r="AKL2" s="528"/>
      <c r="AKM2" s="528"/>
      <c r="AKN2" s="528"/>
      <c r="AKO2" s="528"/>
      <c r="AKP2" s="528"/>
      <c r="AKQ2" s="528"/>
      <c r="AKR2" s="528"/>
      <c r="AKS2" s="528"/>
      <c r="AKT2" s="528"/>
      <c r="AKU2" s="528"/>
      <c r="AKV2" s="528"/>
      <c r="AKW2" s="528"/>
      <c r="AKX2" s="528"/>
      <c r="AKY2" s="528"/>
      <c r="AKZ2" s="528"/>
      <c r="ALA2" s="528"/>
      <c r="ALB2" s="528"/>
      <c r="ALC2" s="528"/>
      <c r="ALD2" s="528"/>
      <c r="ALE2" s="528"/>
      <c r="ALF2" s="528"/>
      <c r="ALG2" s="528"/>
      <c r="ALH2" s="528"/>
      <c r="ALI2" s="528"/>
      <c r="ALJ2" s="528"/>
      <c r="ALK2" s="528"/>
      <c r="ALL2" s="528"/>
      <c r="ALM2" s="528"/>
      <c r="ALN2" s="528"/>
      <c r="ALO2" s="528"/>
      <c r="ALP2" s="528"/>
      <c r="ALQ2" s="528"/>
      <c r="ALR2" s="528"/>
      <c r="ALS2" s="528"/>
      <c r="ALT2" s="528"/>
      <c r="ALU2" s="528"/>
      <c r="ALV2" s="528"/>
      <c r="ALW2" s="528"/>
      <c r="ALX2" s="528"/>
      <c r="ALY2" s="528"/>
      <c r="ALZ2" s="528"/>
      <c r="AMA2" s="528"/>
      <c r="AMB2" s="528"/>
      <c r="AMC2" s="528"/>
      <c r="AMD2" s="528"/>
      <c r="AME2" s="528"/>
      <c r="AMF2" s="528"/>
      <c r="AMG2" s="528"/>
      <c r="AMH2" s="528"/>
      <c r="AMI2" s="528"/>
      <c r="AMJ2" s="528"/>
      <c r="AMK2" s="528"/>
      <c r="AML2" s="528"/>
      <c r="AMM2" s="528"/>
      <c r="AMN2" s="528"/>
      <c r="AMO2" s="528"/>
      <c r="AMP2" s="528"/>
      <c r="AMQ2" s="528"/>
      <c r="AMR2" s="528"/>
      <c r="AMS2" s="528"/>
      <c r="AMT2" s="528"/>
      <c r="AMU2" s="528"/>
      <c r="AMV2" s="528"/>
      <c r="AMW2" s="528"/>
      <c r="AMX2" s="528"/>
      <c r="AMY2" s="528"/>
      <c r="AMZ2" s="528"/>
      <c r="ANA2" s="528"/>
      <c r="ANB2" s="528"/>
      <c r="ANC2" s="528"/>
      <c r="AND2" s="528"/>
      <c r="ANE2" s="528"/>
      <c r="ANF2" s="528"/>
      <c r="ANG2" s="528"/>
      <c r="ANH2" s="528"/>
      <c r="ANI2" s="528"/>
      <c r="ANJ2" s="528"/>
      <c r="ANK2" s="528"/>
      <c r="ANL2" s="528"/>
      <c r="ANM2" s="528"/>
      <c r="ANN2" s="528"/>
      <c r="ANO2" s="528"/>
      <c r="ANP2" s="528"/>
      <c r="ANQ2" s="528"/>
      <c r="ANR2" s="528"/>
      <c r="ANS2" s="528"/>
      <c r="ANT2" s="528"/>
      <c r="ANU2" s="528"/>
      <c r="ANV2" s="528"/>
      <c r="ANW2" s="528"/>
      <c r="ANX2" s="528"/>
      <c r="ANY2" s="528"/>
      <c r="ANZ2" s="528"/>
      <c r="AOA2" s="528"/>
      <c r="AOB2" s="528"/>
      <c r="AOC2" s="528"/>
      <c r="AOD2" s="528"/>
      <c r="AOE2" s="528"/>
      <c r="AOF2" s="528"/>
      <c r="AOG2" s="528"/>
      <c r="AOH2" s="528"/>
      <c r="AOI2" s="528"/>
      <c r="AOJ2" s="528"/>
      <c r="AOK2" s="528"/>
      <c r="AOL2" s="528"/>
      <c r="AOM2" s="528"/>
      <c r="AON2" s="528"/>
      <c r="AOO2" s="528"/>
      <c r="AOP2" s="528"/>
      <c r="AOQ2" s="528"/>
      <c r="AOR2" s="528"/>
      <c r="AOS2" s="528"/>
      <c r="AOT2" s="528"/>
      <c r="AOU2" s="528"/>
      <c r="AOV2" s="528"/>
      <c r="AOW2" s="528"/>
      <c r="AOX2" s="528"/>
      <c r="AOY2" s="528"/>
      <c r="AOZ2" s="528"/>
      <c r="APA2" s="528"/>
      <c r="APB2" s="528"/>
      <c r="APC2" s="528"/>
      <c r="APD2" s="528"/>
      <c r="APE2" s="528"/>
      <c r="APF2" s="528"/>
      <c r="APG2" s="528"/>
      <c r="APH2" s="528"/>
      <c r="API2" s="528"/>
      <c r="APJ2" s="528"/>
      <c r="APK2" s="528"/>
      <c r="APL2" s="528"/>
      <c r="APM2" s="528"/>
      <c r="APN2" s="528"/>
      <c r="APO2" s="528"/>
      <c r="APP2" s="528"/>
      <c r="APQ2" s="528"/>
      <c r="APR2" s="528"/>
      <c r="APS2" s="528"/>
      <c r="APT2" s="528"/>
      <c r="APU2" s="528"/>
      <c r="APV2" s="528"/>
      <c r="APW2" s="528"/>
      <c r="APX2" s="528"/>
      <c r="APY2" s="528"/>
      <c r="APZ2" s="528"/>
      <c r="AQA2" s="528"/>
      <c r="AQB2" s="528"/>
      <c r="AQC2" s="528"/>
      <c r="AQD2" s="528"/>
      <c r="AQE2" s="528"/>
      <c r="AQF2" s="528"/>
      <c r="AQG2" s="528"/>
      <c r="AQH2" s="528"/>
      <c r="AQI2" s="528"/>
      <c r="AQJ2" s="528"/>
      <c r="AQK2" s="528"/>
      <c r="AQL2" s="528"/>
      <c r="AQM2" s="528"/>
      <c r="AQN2" s="528"/>
      <c r="AQO2" s="528"/>
      <c r="AQP2" s="528"/>
      <c r="AQQ2" s="528"/>
      <c r="AQR2" s="528"/>
      <c r="AQS2" s="528"/>
      <c r="AQT2" s="528"/>
      <c r="AQU2" s="528"/>
      <c r="AQV2" s="528"/>
      <c r="AQW2" s="528"/>
      <c r="AQX2" s="528"/>
      <c r="AQY2" s="528"/>
      <c r="AQZ2" s="528"/>
      <c r="ARA2" s="528"/>
      <c r="ARB2" s="528"/>
      <c r="ARC2" s="528"/>
      <c r="ARD2" s="528"/>
      <c r="ARE2" s="528"/>
      <c r="ARF2" s="528"/>
      <c r="ARG2" s="528"/>
      <c r="ARH2" s="528"/>
      <c r="ARI2" s="528"/>
      <c r="ARJ2" s="528"/>
      <c r="ARK2" s="528"/>
      <c r="ARL2" s="528"/>
      <c r="ARM2" s="528"/>
      <c r="ARN2" s="528"/>
      <c r="ARO2" s="528"/>
      <c r="ARP2" s="528"/>
      <c r="ARQ2" s="528"/>
      <c r="ARR2" s="528"/>
      <c r="ARS2" s="528"/>
      <c r="ART2" s="528"/>
      <c r="ARU2" s="528"/>
      <c r="ARV2" s="528"/>
      <c r="ARW2" s="528"/>
      <c r="ARX2" s="528"/>
      <c r="ARY2" s="528"/>
      <c r="ARZ2" s="528"/>
      <c r="ASA2" s="528"/>
      <c r="ASB2" s="528"/>
      <c r="ASC2" s="528"/>
      <c r="ASD2" s="528"/>
      <c r="ASE2" s="528"/>
      <c r="ASF2" s="528"/>
      <c r="ASG2" s="528"/>
      <c r="ASH2" s="528"/>
      <c r="ASI2" s="528"/>
      <c r="ASJ2" s="528"/>
      <c r="ASK2" s="528"/>
      <c r="ASL2" s="528"/>
      <c r="ASM2" s="528"/>
      <c r="ASN2" s="528"/>
      <c r="ASO2" s="528"/>
      <c r="ASP2" s="528"/>
      <c r="ASQ2" s="528"/>
      <c r="ASR2" s="528"/>
      <c r="ASS2" s="528"/>
      <c r="AST2" s="528"/>
      <c r="ASU2" s="528"/>
      <c r="ASV2" s="528"/>
      <c r="ASW2" s="528"/>
      <c r="ASX2" s="528"/>
      <c r="ASY2" s="528"/>
      <c r="ASZ2" s="528"/>
      <c r="ATA2" s="528"/>
      <c r="ATB2" s="528"/>
      <c r="ATC2" s="528"/>
      <c r="ATD2" s="528"/>
      <c r="ATE2" s="528"/>
      <c r="ATF2" s="528"/>
      <c r="ATG2" s="528"/>
      <c r="ATH2" s="528"/>
      <c r="ATI2" s="528"/>
      <c r="ATJ2" s="528"/>
      <c r="ATK2" s="528"/>
      <c r="ATL2" s="528"/>
      <c r="ATM2" s="528"/>
      <c r="ATN2" s="528"/>
      <c r="ATO2" s="528"/>
      <c r="ATP2" s="528"/>
      <c r="ATQ2" s="528"/>
      <c r="ATR2" s="528"/>
      <c r="ATS2" s="528"/>
      <c r="ATT2" s="528"/>
      <c r="ATU2" s="528"/>
      <c r="ATV2" s="528"/>
      <c r="ATW2" s="528"/>
      <c r="ATX2" s="528"/>
      <c r="ATY2" s="528"/>
      <c r="ATZ2" s="528"/>
      <c r="AUA2" s="528"/>
      <c r="AUB2" s="528"/>
      <c r="AUC2" s="528"/>
      <c r="AUD2" s="528"/>
      <c r="AUE2" s="528"/>
      <c r="AUF2" s="528"/>
      <c r="AUG2" s="528"/>
      <c r="AUH2" s="528"/>
      <c r="AUI2" s="528"/>
      <c r="AUJ2" s="528"/>
      <c r="AUK2" s="528"/>
      <c r="AUL2" s="528"/>
      <c r="AUM2" s="528"/>
      <c r="AUN2" s="528"/>
      <c r="AUO2" s="528"/>
      <c r="AUP2" s="528"/>
      <c r="AUQ2" s="528"/>
      <c r="AUR2" s="528"/>
      <c r="AUS2" s="528"/>
      <c r="AUT2" s="528"/>
      <c r="AUU2" s="528"/>
      <c r="AUV2" s="528"/>
      <c r="AUW2" s="528"/>
      <c r="AUX2" s="528"/>
      <c r="AUY2" s="528"/>
      <c r="AUZ2" s="528"/>
      <c r="AVA2" s="528"/>
      <c r="AVB2" s="528"/>
      <c r="AVC2" s="528"/>
      <c r="AVD2" s="528"/>
      <c r="AVE2" s="528"/>
      <c r="AVF2" s="528"/>
      <c r="AVG2" s="528"/>
      <c r="AVH2" s="528"/>
      <c r="AVI2" s="528"/>
      <c r="AVJ2" s="528"/>
      <c r="AVK2" s="528"/>
      <c r="AVL2" s="528"/>
      <c r="AVM2" s="528"/>
      <c r="AVN2" s="528"/>
      <c r="AVO2" s="528"/>
      <c r="AVP2" s="528"/>
      <c r="AVQ2" s="528"/>
      <c r="AVR2" s="528"/>
      <c r="AVS2" s="528"/>
      <c r="AVT2" s="528"/>
      <c r="AVU2" s="528"/>
      <c r="AVV2" s="528"/>
      <c r="AVW2" s="528"/>
      <c r="AVX2" s="528"/>
      <c r="AVY2" s="528"/>
      <c r="AVZ2" s="528"/>
      <c r="AWA2" s="528"/>
      <c r="AWB2" s="528"/>
      <c r="AWC2" s="528"/>
      <c r="AWD2" s="528"/>
      <c r="AWE2" s="528"/>
      <c r="AWF2" s="528"/>
      <c r="AWG2" s="528"/>
      <c r="AWH2" s="528"/>
      <c r="AWI2" s="528"/>
      <c r="AWJ2" s="528"/>
      <c r="AWK2" s="528"/>
      <c r="AWL2" s="528"/>
      <c r="AWM2" s="528"/>
      <c r="AWN2" s="528"/>
      <c r="AWO2" s="528"/>
      <c r="AWP2" s="528"/>
      <c r="AWQ2" s="528"/>
      <c r="AWR2" s="528"/>
      <c r="AWS2" s="528"/>
      <c r="AWT2" s="528"/>
      <c r="AWU2" s="528"/>
      <c r="AWV2" s="528"/>
      <c r="AWW2" s="528"/>
      <c r="AWX2" s="528"/>
      <c r="AWY2" s="528"/>
      <c r="AWZ2" s="528"/>
      <c r="AXA2" s="528"/>
      <c r="AXB2" s="528"/>
      <c r="AXC2" s="528"/>
      <c r="AXD2" s="528"/>
      <c r="AXE2" s="528"/>
      <c r="AXF2" s="528"/>
      <c r="AXG2" s="528"/>
      <c r="AXH2" s="528"/>
      <c r="AXI2" s="528"/>
      <c r="AXJ2" s="528"/>
      <c r="AXK2" s="528"/>
      <c r="AXL2" s="528"/>
      <c r="AXM2" s="528"/>
      <c r="AXN2" s="528"/>
      <c r="AXO2" s="528"/>
      <c r="AXP2" s="528"/>
      <c r="AXQ2" s="528"/>
      <c r="AXR2" s="528"/>
      <c r="AXS2" s="528"/>
      <c r="AXT2" s="528"/>
      <c r="AXU2" s="528"/>
      <c r="AXV2" s="528"/>
      <c r="AXW2" s="528"/>
      <c r="AXX2" s="528"/>
      <c r="AXY2" s="528"/>
      <c r="AXZ2" s="528"/>
      <c r="AYA2" s="528"/>
      <c r="AYB2" s="528"/>
      <c r="AYC2" s="528"/>
      <c r="AYD2" s="528"/>
      <c r="AYE2" s="528"/>
      <c r="AYF2" s="528"/>
      <c r="AYG2" s="528"/>
      <c r="AYH2" s="528"/>
      <c r="AYI2" s="528"/>
      <c r="AYJ2" s="528"/>
      <c r="AYK2" s="528"/>
      <c r="AYL2" s="528"/>
      <c r="AYM2" s="528"/>
      <c r="AYN2" s="528"/>
      <c r="AYO2" s="528"/>
      <c r="AYP2" s="528"/>
      <c r="AYQ2" s="528"/>
      <c r="AYR2" s="528"/>
      <c r="AYS2" s="528"/>
      <c r="AYT2" s="528"/>
      <c r="AYU2" s="528"/>
      <c r="AYV2" s="528"/>
      <c r="AYW2" s="528"/>
      <c r="AYX2" s="528"/>
      <c r="AYY2" s="528"/>
      <c r="AYZ2" s="528"/>
      <c r="AZA2" s="528"/>
      <c r="AZB2" s="528"/>
      <c r="AZC2" s="528"/>
      <c r="AZD2" s="528"/>
      <c r="AZE2" s="528"/>
      <c r="AZF2" s="528"/>
      <c r="AZG2" s="528"/>
      <c r="AZH2" s="528"/>
      <c r="AZI2" s="528"/>
      <c r="AZJ2" s="528"/>
      <c r="AZK2" s="528"/>
      <c r="AZL2" s="528"/>
      <c r="AZM2" s="528"/>
      <c r="AZN2" s="528"/>
      <c r="AZO2" s="528"/>
      <c r="AZP2" s="528"/>
      <c r="AZQ2" s="528"/>
      <c r="AZR2" s="528"/>
      <c r="AZS2" s="528"/>
      <c r="AZT2" s="528"/>
      <c r="AZU2" s="528"/>
      <c r="AZV2" s="528"/>
      <c r="AZW2" s="528"/>
      <c r="AZX2" s="528"/>
      <c r="AZY2" s="528"/>
      <c r="AZZ2" s="528"/>
      <c r="BAA2" s="528"/>
      <c r="BAB2" s="528"/>
      <c r="BAC2" s="528"/>
      <c r="BAD2" s="528"/>
      <c r="BAE2" s="528"/>
      <c r="BAF2" s="528"/>
      <c r="BAG2" s="528"/>
      <c r="BAH2" s="528"/>
      <c r="BAI2" s="528"/>
      <c r="BAJ2" s="528"/>
      <c r="BAK2" s="528"/>
      <c r="BAL2" s="528"/>
      <c r="BAM2" s="528"/>
      <c r="BAN2" s="528"/>
      <c r="BAO2" s="528"/>
      <c r="BAP2" s="528"/>
      <c r="BAQ2" s="528"/>
      <c r="BAR2" s="528"/>
      <c r="BAS2" s="528"/>
      <c r="BAT2" s="528"/>
      <c r="BAU2" s="528"/>
      <c r="BAV2" s="528"/>
      <c r="BAW2" s="528"/>
      <c r="BAX2" s="528"/>
      <c r="BAY2" s="528"/>
      <c r="BAZ2" s="528"/>
      <c r="BBA2" s="528"/>
      <c r="BBB2" s="528"/>
      <c r="BBC2" s="528"/>
      <c r="BBD2" s="528"/>
      <c r="BBE2" s="528"/>
      <c r="BBF2" s="528"/>
      <c r="BBG2" s="528"/>
      <c r="BBH2" s="528"/>
      <c r="BBI2" s="528"/>
      <c r="BBJ2" s="528"/>
      <c r="BBK2" s="528"/>
      <c r="BBL2" s="528"/>
      <c r="BBM2" s="528"/>
      <c r="BBN2" s="528"/>
      <c r="BBO2" s="528"/>
      <c r="BBP2" s="528"/>
      <c r="BBQ2" s="528"/>
      <c r="BBR2" s="528"/>
      <c r="BBS2" s="528"/>
      <c r="BBT2" s="528"/>
      <c r="BBU2" s="528"/>
      <c r="BBV2" s="528"/>
      <c r="BBW2" s="528"/>
      <c r="BBX2" s="528"/>
      <c r="BBY2" s="528"/>
      <c r="BBZ2" s="528"/>
      <c r="BCA2" s="528"/>
      <c r="BCB2" s="528"/>
      <c r="BCC2" s="528"/>
      <c r="BCD2" s="528"/>
      <c r="BCE2" s="528"/>
      <c r="BCF2" s="528"/>
      <c r="BCG2" s="528"/>
      <c r="BCH2" s="528"/>
      <c r="BCI2" s="528"/>
      <c r="BCJ2" s="528"/>
      <c r="BCK2" s="528"/>
      <c r="BCL2" s="528"/>
      <c r="BCM2" s="528"/>
      <c r="BCN2" s="528"/>
      <c r="BCO2" s="528"/>
      <c r="BCP2" s="528"/>
      <c r="BCQ2" s="528"/>
      <c r="BCR2" s="528"/>
      <c r="BCS2" s="528"/>
      <c r="BCT2" s="528"/>
      <c r="BCU2" s="528"/>
      <c r="BCV2" s="528"/>
      <c r="BCW2" s="528"/>
      <c r="BCX2" s="528"/>
      <c r="BCY2" s="528"/>
      <c r="BCZ2" s="528"/>
      <c r="BDA2" s="528"/>
      <c r="BDB2" s="528"/>
      <c r="BDC2" s="528"/>
      <c r="BDD2" s="528"/>
      <c r="BDE2" s="528"/>
      <c r="BDF2" s="528"/>
      <c r="BDG2" s="528"/>
      <c r="BDH2" s="528"/>
      <c r="BDI2" s="528"/>
      <c r="BDJ2" s="528"/>
      <c r="BDK2" s="528"/>
      <c r="BDL2" s="528"/>
      <c r="BDM2" s="528"/>
      <c r="BDN2" s="528"/>
      <c r="BDO2" s="528"/>
      <c r="BDP2" s="528"/>
      <c r="BDQ2" s="528"/>
      <c r="BDR2" s="528"/>
      <c r="BDS2" s="528"/>
      <c r="BDT2" s="528"/>
      <c r="BDU2" s="528"/>
      <c r="BDV2" s="528"/>
      <c r="BDW2" s="528"/>
      <c r="BDX2" s="528"/>
      <c r="BDY2" s="528"/>
      <c r="BDZ2" s="528"/>
      <c r="BEA2" s="528"/>
      <c r="BEB2" s="528"/>
      <c r="BEC2" s="528"/>
      <c r="BED2" s="528"/>
      <c r="BEE2" s="528"/>
      <c r="BEF2" s="528"/>
      <c r="BEG2" s="528"/>
      <c r="BEH2" s="528"/>
      <c r="BEI2" s="528"/>
      <c r="BEJ2" s="528"/>
      <c r="BEK2" s="528"/>
      <c r="BEL2" s="528"/>
      <c r="BEM2" s="528"/>
      <c r="BEN2" s="528"/>
      <c r="BEO2" s="528"/>
      <c r="BEP2" s="528"/>
      <c r="BEQ2" s="528"/>
      <c r="BER2" s="528"/>
      <c r="BES2" s="528"/>
      <c r="BET2" s="528"/>
      <c r="BEU2" s="528"/>
      <c r="BEV2" s="528"/>
      <c r="BEW2" s="528"/>
      <c r="BEX2" s="528"/>
      <c r="BEY2" s="528"/>
      <c r="BEZ2" s="528"/>
      <c r="BFA2" s="528"/>
      <c r="BFB2" s="528"/>
      <c r="BFC2" s="528"/>
      <c r="BFD2" s="528"/>
      <c r="BFE2" s="528"/>
      <c r="BFF2" s="528"/>
      <c r="BFG2" s="528"/>
      <c r="BFH2" s="528"/>
      <c r="BFI2" s="528"/>
      <c r="BFJ2" s="528"/>
      <c r="BFK2" s="528"/>
      <c r="BFL2" s="528"/>
      <c r="BFM2" s="528"/>
      <c r="BFN2" s="528"/>
      <c r="BFO2" s="528"/>
      <c r="BFP2" s="528"/>
      <c r="BFQ2" s="528"/>
      <c r="BFR2" s="528"/>
      <c r="BFS2" s="528"/>
      <c r="BFT2" s="528"/>
      <c r="BFU2" s="528"/>
      <c r="BFV2" s="528"/>
      <c r="BFW2" s="528"/>
      <c r="BFX2" s="528"/>
      <c r="BFY2" s="528"/>
      <c r="BFZ2" s="528"/>
      <c r="BGA2" s="528"/>
      <c r="BGB2" s="528"/>
      <c r="BGC2" s="528"/>
      <c r="BGD2" s="528"/>
      <c r="BGE2" s="528"/>
      <c r="BGF2" s="528"/>
      <c r="BGG2" s="528"/>
      <c r="BGH2" s="528"/>
      <c r="BGI2" s="528"/>
      <c r="BGJ2" s="528"/>
      <c r="BGK2" s="528"/>
      <c r="BGL2" s="528"/>
      <c r="BGM2" s="528"/>
      <c r="BGN2" s="528"/>
      <c r="BGO2" s="528"/>
      <c r="BGP2" s="528"/>
      <c r="BGQ2" s="528"/>
      <c r="BGR2" s="528"/>
      <c r="BGS2" s="528"/>
      <c r="BGT2" s="528"/>
      <c r="BGU2" s="528"/>
      <c r="BGV2" s="528"/>
      <c r="BGW2" s="528"/>
      <c r="BGX2" s="528"/>
      <c r="BGY2" s="528"/>
      <c r="BGZ2" s="528"/>
      <c r="BHA2" s="528"/>
      <c r="BHB2" s="528"/>
      <c r="BHC2" s="528"/>
      <c r="BHD2" s="528"/>
      <c r="BHE2" s="528"/>
      <c r="BHF2" s="528"/>
      <c r="BHG2" s="528"/>
      <c r="BHH2" s="528"/>
      <c r="BHI2" s="528"/>
      <c r="BHJ2" s="528"/>
      <c r="BHK2" s="528"/>
      <c r="BHL2" s="528"/>
      <c r="BHM2" s="528"/>
      <c r="BHN2" s="528"/>
      <c r="BHO2" s="528"/>
      <c r="BHP2" s="528"/>
      <c r="BHQ2" s="528"/>
      <c r="BHR2" s="528"/>
      <c r="BHS2" s="528"/>
      <c r="BHT2" s="528"/>
      <c r="BHU2" s="528"/>
      <c r="BHV2" s="528"/>
      <c r="BHW2" s="528"/>
      <c r="BHX2" s="528"/>
      <c r="BHY2" s="528"/>
      <c r="BHZ2" s="528"/>
      <c r="BIA2" s="528"/>
      <c r="BIB2" s="528"/>
      <c r="BIC2" s="528"/>
      <c r="BID2" s="528"/>
      <c r="BIE2" s="528"/>
      <c r="BIF2" s="528"/>
      <c r="BIG2" s="528"/>
      <c r="BIH2" s="528"/>
      <c r="BII2" s="528"/>
      <c r="BIJ2" s="528"/>
      <c r="BIK2" s="528"/>
      <c r="BIL2" s="528"/>
      <c r="BIM2" s="528"/>
      <c r="BIN2" s="528"/>
      <c r="BIO2" s="528"/>
      <c r="BIP2" s="528"/>
      <c r="BIQ2" s="528"/>
      <c r="BIR2" s="528"/>
      <c r="BIS2" s="528"/>
      <c r="BIT2" s="528"/>
      <c r="BIU2" s="528"/>
      <c r="BIV2" s="528"/>
      <c r="BIW2" s="528"/>
      <c r="BIX2" s="528"/>
      <c r="BIY2" s="528"/>
      <c r="BIZ2" s="528"/>
      <c r="BJA2" s="528"/>
      <c r="BJB2" s="528"/>
      <c r="BJC2" s="528"/>
      <c r="BJD2" s="528"/>
      <c r="BJE2" s="528"/>
      <c r="BJF2" s="528"/>
      <c r="BJG2" s="528"/>
      <c r="BJH2" s="528"/>
      <c r="BJI2" s="528"/>
      <c r="BJJ2" s="528"/>
      <c r="BJK2" s="528"/>
      <c r="BJL2" s="528"/>
      <c r="BJM2" s="528"/>
      <c r="BJN2" s="528"/>
      <c r="BJO2" s="528"/>
      <c r="BJP2" s="528"/>
      <c r="BJQ2" s="528"/>
      <c r="BJR2" s="528"/>
      <c r="BJS2" s="528"/>
      <c r="BJT2" s="528"/>
      <c r="BJU2" s="528"/>
      <c r="BJV2" s="528"/>
      <c r="BJW2" s="528"/>
      <c r="BJX2" s="528"/>
      <c r="BJY2" s="528"/>
      <c r="BJZ2" s="528"/>
      <c r="BKA2" s="528"/>
      <c r="BKB2" s="528"/>
      <c r="BKC2" s="528"/>
      <c r="BKD2" s="528"/>
      <c r="BKE2" s="528"/>
      <c r="BKF2" s="528"/>
      <c r="BKG2" s="528"/>
      <c r="BKH2" s="528"/>
      <c r="BKI2" s="528"/>
      <c r="BKJ2" s="528"/>
      <c r="BKK2" s="528"/>
      <c r="BKL2" s="528"/>
      <c r="BKM2" s="528"/>
      <c r="BKN2" s="528"/>
      <c r="BKO2" s="528"/>
      <c r="BKP2" s="528"/>
      <c r="BKQ2" s="528"/>
      <c r="BKR2" s="528"/>
      <c r="BKS2" s="528"/>
      <c r="BKT2" s="528"/>
      <c r="BKU2" s="528"/>
      <c r="BKV2" s="528"/>
      <c r="BKW2" s="528"/>
      <c r="BKX2" s="528"/>
      <c r="BKY2" s="528"/>
      <c r="BKZ2" s="528"/>
      <c r="BLA2" s="528"/>
      <c r="BLB2" s="528"/>
      <c r="BLC2" s="528"/>
      <c r="BLD2" s="528"/>
      <c r="BLE2" s="528"/>
      <c r="BLF2" s="528"/>
      <c r="BLG2" s="528"/>
      <c r="BLH2" s="528"/>
      <c r="BLI2" s="528"/>
      <c r="BLJ2" s="528"/>
      <c r="BLK2" s="528"/>
      <c r="BLL2" s="528"/>
      <c r="BLM2" s="528"/>
      <c r="BLN2" s="528"/>
      <c r="BLO2" s="528"/>
      <c r="BLP2" s="528"/>
      <c r="BLQ2" s="528"/>
      <c r="BLR2" s="528"/>
      <c r="BLS2" s="528"/>
      <c r="BLT2" s="528"/>
      <c r="BLU2" s="528"/>
      <c r="BLV2" s="528"/>
      <c r="BLW2" s="528"/>
      <c r="BLX2" s="528"/>
      <c r="BLY2" s="528"/>
      <c r="BLZ2" s="528"/>
      <c r="BMA2" s="528"/>
      <c r="BMB2" s="528"/>
      <c r="BMC2" s="528"/>
      <c r="BMD2" s="528"/>
      <c r="BME2" s="528"/>
      <c r="BMF2" s="528"/>
      <c r="BMG2" s="528"/>
      <c r="BMH2" s="528"/>
      <c r="BMI2" s="528"/>
      <c r="BMJ2" s="528"/>
      <c r="BMK2" s="528"/>
      <c r="BML2" s="528"/>
      <c r="BMM2" s="528"/>
      <c r="BMN2" s="528"/>
      <c r="BMO2" s="528"/>
      <c r="BMP2" s="528"/>
      <c r="BMQ2" s="528"/>
      <c r="BMR2" s="528"/>
      <c r="BMS2" s="528"/>
      <c r="BMT2" s="528"/>
      <c r="BMU2" s="528"/>
      <c r="BMV2" s="528"/>
      <c r="BMW2" s="528"/>
      <c r="BMX2" s="528"/>
      <c r="BMY2" s="528"/>
      <c r="BMZ2" s="528"/>
      <c r="BNA2" s="528"/>
      <c r="BNB2" s="528"/>
      <c r="BNC2" s="528"/>
      <c r="BND2" s="528"/>
      <c r="BNE2" s="528"/>
      <c r="BNF2" s="528"/>
      <c r="BNG2" s="528"/>
      <c r="BNH2" s="528"/>
      <c r="BNI2" s="528"/>
      <c r="BNJ2" s="528"/>
      <c r="BNK2" s="528"/>
      <c r="BNL2" s="528"/>
      <c r="BNM2" s="528"/>
      <c r="BNN2" s="528"/>
      <c r="BNO2" s="528"/>
      <c r="BNP2" s="528"/>
      <c r="BNQ2" s="528"/>
      <c r="BNR2" s="528"/>
      <c r="BNS2" s="528"/>
      <c r="BNT2" s="528"/>
      <c r="BNU2" s="528"/>
      <c r="BNV2" s="528"/>
      <c r="BNW2" s="528"/>
      <c r="BNX2" s="528"/>
      <c r="BNY2" s="528"/>
      <c r="BNZ2" s="528"/>
      <c r="BOA2" s="528"/>
      <c r="BOB2" s="528"/>
      <c r="BOC2" s="528"/>
      <c r="BOD2" s="528"/>
      <c r="BOE2" s="528"/>
      <c r="BOF2" s="528"/>
      <c r="BOG2" s="528"/>
      <c r="BOH2" s="528"/>
      <c r="BOI2" s="528"/>
      <c r="BOJ2" s="528"/>
      <c r="BOK2" s="528"/>
      <c r="BOL2" s="528"/>
      <c r="BOM2" s="528"/>
      <c r="BON2" s="528"/>
      <c r="BOO2" s="528"/>
      <c r="BOP2" s="528"/>
      <c r="BOQ2" s="528"/>
      <c r="BOR2" s="528"/>
      <c r="BOS2" s="528"/>
      <c r="BOT2" s="528"/>
      <c r="BOU2" s="528"/>
      <c r="BOV2" s="528"/>
      <c r="BOW2" s="528"/>
      <c r="BOX2" s="528"/>
      <c r="BOY2" s="528"/>
      <c r="BOZ2" s="528"/>
      <c r="BPA2" s="528"/>
      <c r="BPB2" s="528"/>
      <c r="BPC2" s="528"/>
      <c r="BPD2" s="528"/>
      <c r="BPE2" s="528"/>
      <c r="BPF2" s="528"/>
      <c r="BPG2" s="528"/>
      <c r="BPH2" s="528"/>
      <c r="BPI2" s="528"/>
      <c r="BPJ2" s="528"/>
      <c r="BPK2" s="528"/>
      <c r="BPL2" s="528"/>
      <c r="BPM2" s="528"/>
      <c r="BPN2" s="528"/>
      <c r="BPO2" s="528"/>
      <c r="BPP2" s="528"/>
      <c r="BPQ2" s="528"/>
      <c r="BPR2" s="528"/>
      <c r="BPS2" s="528"/>
      <c r="BPT2" s="528"/>
      <c r="BPU2" s="528"/>
      <c r="BPV2" s="528"/>
      <c r="BPW2" s="528"/>
      <c r="BPX2" s="528"/>
      <c r="BPY2" s="528"/>
      <c r="BPZ2" s="528"/>
      <c r="BQA2" s="528"/>
      <c r="BQB2" s="528"/>
      <c r="BQC2" s="528"/>
      <c r="BQD2" s="528"/>
      <c r="BQE2" s="528"/>
      <c r="BQF2" s="528"/>
      <c r="BQG2" s="528"/>
      <c r="BQH2" s="528"/>
      <c r="BQI2" s="528"/>
      <c r="BQJ2" s="528"/>
      <c r="BQK2" s="528"/>
      <c r="BQL2" s="528"/>
      <c r="BQM2" s="528"/>
      <c r="BQN2" s="528"/>
      <c r="BQO2" s="528"/>
      <c r="BQP2" s="528"/>
      <c r="BQQ2" s="528"/>
      <c r="BQR2" s="528"/>
      <c r="BQS2" s="528"/>
      <c r="BQT2" s="528"/>
      <c r="BQU2" s="528"/>
      <c r="BQV2" s="528"/>
      <c r="BQW2" s="528"/>
      <c r="BQX2" s="528"/>
      <c r="BQY2" s="528"/>
      <c r="BQZ2" s="528"/>
      <c r="BRA2" s="528"/>
      <c r="BRB2" s="528"/>
      <c r="BRC2" s="528"/>
      <c r="BRD2" s="528"/>
      <c r="BRE2" s="528"/>
      <c r="BRF2" s="528"/>
      <c r="BRG2" s="528"/>
      <c r="BRH2" s="528"/>
      <c r="BRI2" s="528"/>
      <c r="BRJ2" s="528"/>
      <c r="BRK2" s="528"/>
      <c r="BRL2" s="528"/>
      <c r="BRM2" s="528"/>
      <c r="BRN2" s="528"/>
      <c r="BRO2" s="528"/>
      <c r="BRP2" s="528"/>
      <c r="BRQ2" s="528"/>
      <c r="BRR2" s="528"/>
      <c r="BRS2" s="528"/>
      <c r="BRT2" s="528"/>
      <c r="BRU2" s="528"/>
      <c r="BRV2" s="528"/>
      <c r="BRW2" s="528"/>
      <c r="BRX2" s="528"/>
      <c r="BRY2" s="528"/>
      <c r="BRZ2" s="528"/>
      <c r="BSA2" s="528"/>
      <c r="BSB2" s="528"/>
      <c r="BSC2" s="528"/>
      <c r="BSD2" s="528"/>
      <c r="BSE2" s="528"/>
      <c r="BSF2" s="528"/>
      <c r="BSG2" s="528"/>
      <c r="BSH2" s="528"/>
      <c r="BSI2" s="528"/>
      <c r="BSJ2" s="528"/>
      <c r="BSK2" s="528"/>
      <c r="BSL2" s="528"/>
      <c r="BSM2" s="528"/>
      <c r="BSN2" s="528"/>
      <c r="BSO2" s="528"/>
      <c r="BSP2" s="528"/>
      <c r="BSQ2" s="528"/>
      <c r="BSR2" s="528"/>
      <c r="BSS2" s="528"/>
      <c r="BST2" s="528"/>
      <c r="BSU2" s="528"/>
      <c r="BSV2" s="528"/>
      <c r="BSW2" s="528"/>
      <c r="BSX2" s="528"/>
      <c r="BSY2" s="528"/>
      <c r="BSZ2" s="528"/>
      <c r="BTA2" s="528"/>
      <c r="BTB2" s="528"/>
      <c r="BTC2" s="528"/>
      <c r="BTD2" s="528"/>
      <c r="BTE2" s="528"/>
      <c r="BTF2" s="528"/>
      <c r="BTG2" s="528"/>
      <c r="BTH2" s="528"/>
      <c r="BTI2" s="528"/>
      <c r="BTJ2" s="528"/>
      <c r="BTK2" s="528"/>
      <c r="BTL2" s="528"/>
      <c r="BTM2" s="528"/>
      <c r="BTN2" s="528"/>
      <c r="BTO2" s="528"/>
      <c r="BTP2" s="528"/>
      <c r="BTQ2" s="528"/>
      <c r="BTR2" s="528"/>
      <c r="BTS2" s="528"/>
      <c r="BTT2" s="528"/>
      <c r="BTU2" s="528"/>
      <c r="BTV2" s="528"/>
      <c r="BTW2" s="528"/>
      <c r="BTX2" s="528"/>
      <c r="BTY2" s="528"/>
      <c r="BTZ2" s="528"/>
      <c r="BUA2" s="528"/>
      <c r="BUB2" s="528"/>
      <c r="BUC2" s="528"/>
      <c r="BUD2" s="528"/>
      <c r="BUE2" s="528"/>
      <c r="BUF2" s="528"/>
      <c r="BUG2" s="528"/>
      <c r="BUH2" s="528"/>
      <c r="BUI2" s="528"/>
      <c r="BUJ2" s="528"/>
      <c r="BUK2" s="528"/>
      <c r="BUL2" s="528"/>
      <c r="BUM2" s="528"/>
      <c r="BUN2" s="528"/>
      <c r="BUO2" s="528"/>
      <c r="BUP2" s="528"/>
      <c r="BUQ2" s="528"/>
      <c r="BUR2" s="528"/>
      <c r="BUS2" s="528"/>
      <c r="BUT2" s="528"/>
      <c r="BUU2" s="528"/>
      <c r="BUV2" s="528"/>
      <c r="BUW2" s="528"/>
      <c r="BUX2" s="528"/>
      <c r="BUY2" s="528"/>
      <c r="BUZ2" s="528"/>
      <c r="BVA2" s="528"/>
      <c r="BVB2" s="528"/>
      <c r="BVC2" s="528"/>
      <c r="BVD2" s="528"/>
      <c r="BVE2" s="528"/>
      <c r="BVF2" s="528"/>
      <c r="BVG2" s="528"/>
      <c r="BVH2" s="528"/>
      <c r="BVI2" s="528"/>
      <c r="BVJ2" s="528"/>
      <c r="BVK2" s="528"/>
      <c r="BVL2" s="528"/>
      <c r="BVM2" s="528"/>
      <c r="BVN2" s="528"/>
      <c r="BVO2" s="528"/>
      <c r="BVP2" s="528"/>
      <c r="BVQ2" s="528"/>
      <c r="BVR2" s="528"/>
      <c r="BVS2" s="528"/>
      <c r="BVT2" s="528"/>
      <c r="BVU2" s="528"/>
      <c r="BVV2" s="528"/>
      <c r="BVW2" s="528"/>
      <c r="BVX2" s="528"/>
      <c r="BVY2" s="528"/>
      <c r="BVZ2" s="528"/>
      <c r="BWA2" s="528"/>
      <c r="BWB2" s="528"/>
      <c r="BWC2" s="528"/>
      <c r="BWD2" s="528"/>
      <c r="BWE2" s="528"/>
      <c r="BWF2" s="528"/>
      <c r="BWG2" s="528"/>
      <c r="BWH2" s="528"/>
      <c r="BWI2" s="528"/>
      <c r="BWJ2" s="528"/>
      <c r="BWK2" s="528"/>
      <c r="BWL2" s="528"/>
      <c r="BWM2" s="528"/>
      <c r="BWN2" s="528"/>
      <c r="BWO2" s="528"/>
      <c r="BWP2" s="528"/>
      <c r="BWQ2" s="528"/>
      <c r="BWR2" s="528"/>
      <c r="BWS2" s="528"/>
      <c r="BWT2" s="528"/>
      <c r="BWU2" s="528"/>
      <c r="BWV2" s="528"/>
      <c r="BWW2" s="528"/>
      <c r="BWX2" s="528"/>
      <c r="BWY2" s="528"/>
      <c r="BWZ2" s="528"/>
      <c r="BXA2" s="528"/>
      <c r="BXB2" s="528"/>
      <c r="BXC2" s="528"/>
      <c r="BXD2" s="528"/>
      <c r="BXE2" s="528"/>
      <c r="BXF2" s="528"/>
      <c r="BXG2" s="528"/>
      <c r="BXH2" s="528"/>
      <c r="BXI2" s="528"/>
      <c r="BXJ2" s="528"/>
      <c r="BXK2" s="528"/>
      <c r="BXL2" s="528"/>
      <c r="BXM2" s="528"/>
      <c r="BXN2" s="528"/>
      <c r="BXO2" s="528"/>
      <c r="BXP2" s="528"/>
      <c r="BXQ2" s="528"/>
      <c r="BXR2" s="528"/>
      <c r="BXS2" s="528"/>
      <c r="BXT2" s="528"/>
      <c r="BXU2" s="528"/>
      <c r="BXV2" s="528"/>
      <c r="BXW2" s="528"/>
      <c r="BXX2" s="528"/>
      <c r="BXY2" s="528"/>
      <c r="BXZ2" s="528"/>
      <c r="BYA2" s="528"/>
      <c r="BYB2" s="528"/>
      <c r="BYC2" s="528"/>
      <c r="BYD2" s="528"/>
      <c r="BYE2" s="528"/>
      <c r="BYF2" s="528"/>
      <c r="BYG2" s="528"/>
      <c r="BYH2" s="528"/>
      <c r="BYI2" s="528"/>
      <c r="BYJ2" s="528"/>
      <c r="BYK2" s="528"/>
      <c r="BYL2" s="528"/>
      <c r="BYM2" s="528"/>
      <c r="BYN2" s="528"/>
      <c r="BYO2" s="528"/>
      <c r="BYP2" s="528"/>
      <c r="BYQ2" s="528"/>
      <c r="BYR2" s="528"/>
      <c r="BYS2" s="528"/>
      <c r="BYT2" s="528"/>
      <c r="BYU2" s="528"/>
      <c r="BYV2" s="528"/>
      <c r="BYW2" s="528"/>
      <c r="BYX2" s="528"/>
      <c r="BYY2" s="528"/>
      <c r="BYZ2" s="528"/>
      <c r="BZA2" s="528"/>
      <c r="BZB2" s="528"/>
      <c r="BZC2" s="528"/>
      <c r="BZD2" s="528"/>
      <c r="BZE2" s="528"/>
      <c r="BZF2" s="528"/>
      <c r="BZG2" s="528"/>
      <c r="BZH2" s="528"/>
      <c r="BZI2" s="528"/>
      <c r="BZJ2" s="528"/>
      <c r="BZK2" s="528"/>
      <c r="BZL2" s="528"/>
      <c r="BZM2" s="528"/>
      <c r="BZN2" s="528"/>
      <c r="BZO2" s="528"/>
      <c r="BZP2" s="528"/>
      <c r="BZQ2" s="528"/>
      <c r="BZR2" s="528"/>
      <c r="BZS2" s="528"/>
      <c r="BZT2" s="528"/>
      <c r="BZU2" s="528"/>
      <c r="BZV2" s="528"/>
      <c r="BZW2" s="528"/>
      <c r="BZX2" s="528"/>
      <c r="BZY2" s="528"/>
      <c r="BZZ2" s="528"/>
      <c r="CAA2" s="528"/>
      <c r="CAB2" s="528"/>
      <c r="CAC2" s="528"/>
      <c r="CAD2" s="528"/>
      <c r="CAE2" s="528"/>
      <c r="CAF2" s="528"/>
      <c r="CAG2" s="528"/>
      <c r="CAH2" s="528"/>
      <c r="CAI2" s="528"/>
      <c r="CAJ2" s="528"/>
      <c r="CAK2" s="528"/>
      <c r="CAL2" s="528"/>
      <c r="CAM2" s="528"/>
      <c r="CAN2" s="528"/>
      <c r="CAO2" s="528"/>
      <c r="CAP2" s="528"/>
      <c r="CAQ2" s="528"/>
      <c r="CAR2" s="528"/>
      <c r="CAS2" s="528"/>
      <c r="CAT2" s="528"/>
      <c r="CAU2" s="528"/>
      <c r="CAV2" s="528"/>
      <c r="CAW2" s="528"/>
      <c r="CAX2" s="528"/>
      <c r="CAY2" s="528"/>
      <c r="CAZ2" s="528"/>
      <c r="CBA2" s="528"/>
      <c r="CBB2" s="528"/>
      <c r="CBC2" s="528"/>
      <c r="CBD2" s="528"/>
      <c r="CBE2" s="528"/>
      <c r="CBF2" s="528"/>
      <c r="CBG2" s="528"/>
      <c r="CBH2" s="528"/>
      <c r="CBI2" s="528"/>
      <c r="CBJ2" s="528"/>
      <c r="CBK2" s="528"/>
      <c r="CBL2" s="528"/>
      <c r="CBM2" s="528"/>
      <c r="CBN2" s="528"/>
      <c r="CBO2" s="528"/>
      <c r="CBP2" s="528"/>
      <c r="CBQ2" s="528"/>
      <c r="CBR2" s="528"/>
      <c r="CBS2" s="528"/>
      <c r="CBT2" s="528"/>
      <c r="CBU2" s="528"/>
      <c r="CBV2" s="528"/>
      <c r="CBW2" s="528"/>
      <c r="CBX2" s="528"/>
      <c r="CBY2" s="528"/>
      <c r="CBZ2" s="528"/>
      <c r="CCA2" s="528"/>
      <c r="CCB2" s="528"/>
      <c r="CCC2" s="528"/>
      <c r="CCD2" s="528"/>
      <c r="CCE2" s="528"/>
      <c r="CCF2" s="528"/>
      <c r="CCG2" s="528"/>
      <c r="CCH2" s="528"/>
      <c r="CCI2" s="528"/>
      <c r="CCJ2" s="528"/>
      <c r="CCK2" s="528"/>
      <c r="CCL2" s="528"/>
      <c r="CCM2" s="528"/>
      <c r="CCN2" s="528"/>
      <c r="CCO2" s="528"/>
      <c r="CCP2" s="528"/>
      <c r="CCQ2" s="528"/>
      <c r="CCR2" s="528"/>
      <c r="CCS2" s="528"/>
      <c r="CCT2" s="528"/>
      <c r="CCU2" s="528"/>
      <c r="CCV2" s="528"/>
      <c r="CCW2" s="528"/>
      <c r="CCX2" s="528"/>
      <c r="CCY2" s="528"/>
      <c r="CCZ2" s="528"/>
      <c r="CDA2" s="528"/>
      <c r="CDB2" s="528"/>
      <c r="CDC2" s="528"/>
      <c r="CDD2" s="528"/>
      <c r="CDE2" s="528"/>
      <c r="CDF2" s="528"/>
      <c r="CDG2" s="528"/>
      <c r="CDH2" s="528"/>
      <c r="CDI2" s="528"/>
      <c r="CDJ2" s="528"/>
      <c r="CDK2" s="528"/>
      <c r="CDL2" s="528"/>
      <c r="CDM2" s="528"/>
      <c r="CDN2" s="528"/>
      <c r="CDO2" s="528"/>
      <c r="CDP2" s="528"/>
      <c r="CDQ2" s="528"/>
      <c r="CDR2" s="528"/>
      <c r="CDS2" s="528"/>
      <c r="CDT2" s="528"/>
      <c r="CDU2" s="528"/>
      <c r="CDV2" s="528"/>
      <c r="CDW2" s="528"/>
      <c r="CDX2" s="528"/>
      <c r="CDY2" s="528"/>
      <c r="CDZ2" s="528"/>
      <c r="CEA2" s="528"/>
      <c r="CEB2" s="528"/>
      <c r="CEC2" s="528"/>
      <c r="CED2" s="528"/>
      <c r="CEE2" s="528"/>
      <c r="CEF2" s="528"/>
      <c r="CEG2" s="528"/>
      <c r="CEH2" s="528"/>
      <c r="CEI2" s="528"/>
      <c r="CEJ2" s="528"/>
      <c r="CEK2" s="528"/>
      <c r="CEL2" s="528"/>
      <c r="CEM2" s="528"/>
      <c r="CEN2" s="528"/>
      <c r="CEO2" s="528"/>
      <c r="CEP2" s="528"/>
      <c r="CEQ2" s="528"/>
      <c r="CER2" s="528"/>
      <c r="CES2" s="528"/>
      <c r="CET2" s="528"/>
      <c r="CEU2" s="528"/>
      <c r="CEV2" s="528"/>
      <c r="CEW2" s="528"/>
      <c r="CEX2" s="528"/>
      <c r="CEY2" s="528"/>
      <c r="CEZ2" s="528"/>
      <c r="CFA2" s="528"/>
      <c r="CFB2" s="528"/>
      <c r="CFC2" s="528"/>
      <c r="CFD2" s="528"/>
      <c r="CFE2" s="528"/>
      <c r="CFF2" s="528"/>
      <c r="CFG2" s="528"/>
      <c r="CFH2" s="528"/>
      <c r="CFI2" s="528"/>
      <c r="CFJ2" s="528"/>
      <c r="CFK2" s="528"/>
      <c r="CFL2" s="528"/>
      <c r="CFM2" s="528"/>
      <c r="CFN2" s="528"/>
      <c r="CFO2" s="528"/>
      <c r="CFP2" s="528"/>
      <c r="CFQ2" s="528"/>
      <c r="CFR2" s="528"/>
      <c r="CFS2" s="528"/>
      <c r="CFT2" s="528"/>
      <c r="CFU2" s="528"/>
      <c r="CFV2" s="528"/>
      <c r="CFW2" s="528"/>
      <c r="CFX2" s="528"/>
      <c r="CFY2" s="528"/>
      <c r="CFZ2" s="528"/>
      <c r="CGA2" s="528"/>
      <c r="CGB2" s="528"/>
      <c r="CGC2" s="528"/>
      <c r="CGD2" s="528"/>
      <c r="CGE2" s="528"/>
      <c r="CGF2" s="528"/>
      <c r="CGG2" s="528"/>
      <c r="CGH2" s="528"/>
      <c r="CGI2" s="528"/>
      <c r="CGJ2" s="528"/>
      <c r="CGK2" s="528"/>
      <c r="CGL2" s="528"/>
      <c r="CGM2" s="528"/>
      <c r="CGN2" s="528"/>
      <c r="CGO2" s="528"/>
      <c r="CGP2" s="528"/>
      <c r="CGQ2" s="528"/>
      <c r="CGR2" s="528"/>
      <c r="CGS2" s="528"/>
      <c r="CGT2" s="528"/>
      <c r="CGU2" s="528"/>
      <c r="CGV2" s="528"/>
      <c r="CGW2" s="528"/>
      <c r="CGX2" s="528"/>
      <c r="CGY2" s="528"/>
      <c r="CGZ2" s="528"/>
      <c r="CHA2" s="528"/>
      <c r="CHB2" s="528"/>
      <c r="CHC2" s="528"/>
      <c r="CHD2" s="528"/>
      <c r="CHE2" s="528"/>
      <c r="CHF2" s="528"/>
      <c r="CHG2" s="528"/>
      <c r="CHH2" s="528"/>
      <c r="CHI2" s="528"/>
      <c r="CHJ2" s="528"/>
      <c r="CHK2" s="528"/>
      <c r="CHL2" s="528"/>
      <c r="CHM2" s="528"/>
      <c r="CHN2" s="528"/>
      <c r="CHO2" s="528"/>
      <c r="CHP2" s="528"/>
      <c r="CHQ2" s="528"/>
      <c r="CHR2" s="528"/>
      <c r="CHS2" s="528"/>
      <c r="CHT2" s="528"/>
      <c r="CHU2" s="528"/>
      <c r="CHV2" s="528"/>
      <c r="CHW2" s="528"/>
      <c r="CHX2" s="528"/>
      <c r="CHY2" s="528"/>
      <c r="CHZ2" s="528"/>
      <c r="CIA2" s="528"/>
      <c r="CIB2" s="528"/>
      <c r="CIC2" s="528"/>
      <c r="CID2" s="528"/>
      <c r="CIE2" s="528"/>
      <c r="CIF2" s="528"/>
      <c r="CIG2" s="528"/>
      <c r="CIH2" s="528"/>
      <c r="CII2" s="528"/>
      <c r="CIJ2" s="528"/>
      <c r="CIK2" s="528"/>
      <c r="CIL2" s="528"/>
      <c r="CIM2" s="528"/>
      <c r="CIN2" s="528"/>
      <c r="CIO2" s="528"/>
      <c r="CIP2" s="528"/>
      <c r="CIQ2" s="528"/>
      <c r="CIR2" s="528"/>
      <c r="CIS2" s="528"/>
      <c r="CIT2" s="528"/>
      <c r="CIU2" s="528"/>
      <c r="CIV2" s="528"/>
      <c r="CIW2" s="528"/>
      <c r="CIX2" s="528"/>
      <c r="CIY2" s="528"/>
      <c r="CIZ2" s="528"/>
      <c r="CJA2" s="528"/>
      <c r="CJB2" s="528"/>
      <c r="CJC2" s="528"/>
      <c r="CJD2" s="528"/>
      <c r="CJE2" s="528"/>
      <c r="CJF2" s="528"/>
      <c r="CJG2" s="528"/>
      <c r="CJH2" s="528"/>
      <c r="CJI2" s="528"/>
      <c r="CJJ2" s="528"/>
      <c r="CJK2" s="528"/>
      <c r="CJL2" s="528"/>
      <c r="CJM2" s="528"/>
      <c r="CJN2" s="528"/>
      <c r="CJO2" s="528"/>
      <c r="CJP2" s="528"/>
      <c r="CJQ2" s="528"/>
      <c r="CJR2" s="528"/>
      <c r="CJS2" s="528"/>
      <c r="CJT2" s="528"/>
      <c r="CJU2" s="528"/>
      <c r="CJV2" s="528"/>
      <c r="CJW2" s="528"/>
      <c r="CJX2" s="528"/>
      <c r="CJY2" s="528"/>
      <c r="CJZ2" s="528"/>
      <c r="CKA2" s="528"/>
      <c r="CKB2" s="528"/>
      <c r="CKC2" s="528"/>
      <c r="CKD2" s="528"/>
      <c r="CKE2" s="528"/>
      <c r="CKF2" s="528"/>
      <c r="CKG2" s="528"/>
      <c r="CKH2" s="528"/>
      <c r="CKI2" s="528"/>
      <c r="CKJ2" s="528"/>
      <c r="CKK2" s="528"/>
      <c r="CKL2" s="528"/>
      <c r="CKM2" s="528"/>
      <c r="CKN2" s="528"/>
      <c r="CKO2" s="528"/>
      <c r="CKP2" s="528"/>
      <c r="CKQ2" s="528"/>
      <c r="CKR2" s="528"/>
      <c r="CKS2" s="528"/>
      <c r="CKT2" s="528"/>
      <c r="CKU2" s="528"/>
      <c r="CKV2" s="528"/>
      <c r="CKW2" s="528"/>
      <c r="CKX2" s="528"/>
      <c r="CKY2" s="528"/>
      <c r="CKZ2" s="528"/>
      <c r="CLA2" s="528"/>
      <c r="CLB2" s="528"/>
      <c r="CLC2" s="528"/>
      <c r="CLD2" s="528"/>
      <c r="CLE2" s="528"/>
      <c r="CLF2" s="528"/>
      <c r="CLG2" s="528"/>
      <c r="CLH2" s="528"/>
      <c r="CLI2" s="528"/>
      <c r="CLJ2" s="528"/>
      <c r="CLK2" s="528"/>
      <c r="CLL2" s="528"/>
      <c r="CLM2" s="528"/>
      <c r="CLN2" s="528"/>
      <c r="CLO2" s="528"/>
      <c r="CLP2" s="528"/>
      <c r="CLQ2" s="528"/>
      <c r="CLR2" s="528"/>
      <c r="CLS2" s="528"/>
      <c r="CLT2" s="528"/>
      <c r="CLU2" s="528"/>
      <c r="CLV2" s="528"/>
      <c r="CLW2" s="528"/>
      <c r="CLX2" s="528"/>
      <c r="CLY2" s="528"/>
      <c r="CLZ2" s="528"/>
      <c r="CMA2" s="528"/>
      <c r="CMB2" s="528"/>
      <c r="CMC2" s="528"/>
      <c r="CMD2" s="528"/>
      <c r="CME2" s="528"/>
      <c r="CMF2" s="528"/>
      <c r="CMG2" s="528"/>
      <c r="CMH2" s="528"/>
      <c r="CMI2" s="528"/>
      <c r="CMJ2" s="528"/>
      <c r="CMK2" s="528"/>
      <c r="CML2" s="528"/>
      <c r="CMM2" s="528"/>
      <c r="CMN2" s="528"/>
      <c r="CMO2" s="528"/>
      <c r="CMP2" s="528"/>
      <c r="CMQ2" s="528"/>
      <c r="CMR2" s="528"/>
      <c r="CMS2" s="528"/>
      <c r="CMT2" s="528"/>
      <c r="CMU2" s="528"/>
      <c r="CMV2" s="528"/>
      <c r="CMW2" s="528"/>
      <c r="CMX2" s="528"/>
      <c r="CMY2" s="528"/>
      <c r="CMZ2" s="528"/>
      <c r="CNA2" s="528"/>
      <c r="CNB2" s="528"/>
      <c r="CNC2" s="528"/>
      <c r="CND2" s="528"/>
      <c r="CNE2" s="528"/>
      <c r="CNF2" s="528"/>
      <c r="CNG2" s="528"/>
      <c r="CNH2" s="528"/>
      <c r="CNI2" s="528"/>
      <c r="CNJ2" s="528"/>
      <c r="CNK2" s="528"/>
      <c r="CNL2" s="528"/>
      <c r="CNM2" s="528"/>
      <c r="CNN2" s="528"/>
      <c r="CNO2" s="528"/>
      <c r="CNP2" s="528"/>
      <c r="CNQ2" s="528"/>
      <c r="CNR2" s="528"/>
      <c r="CNS2" s="528"/>
      <c r="CNT2" s="528"/>
      <c r="CNU2" s="528"/>
      <c r="CNV2" s="528"/>
      <c r="CNW2" s="528"/>
      <c r="CNX2" s="528"/>
      <c r="CNY2" s="528"/>
      <c r="CNZ2" s="528"/>
      <c r="COA2" s="528"/>
      <c r="COB2" s="528"/>
      <c r="COC2" s="528"/>
      <c r="COD2" s="528"/>
      <c r="COE2" s="528"/>
      <c r="COF2" s="528"/>
      <c r="COG2" s="528"/>
      <c r="COH2" s="528"/>
      <c r="COI2" s="528"/>
      <c r="COJ2" s="528"/>
      <c r="COK2" s="528"/>
      <c r="COL2" s="528"/>
      <c r="COM2" s="528"/>
      <c r="CON2" s="528"/>
      <c r="COO2" s="528"/>
      <c r="COP2" s="528"/>
      <c r="COQ2" s="528"/>
      <c r="COR2" s="528"/>
      <c r="COS2" s="528"/>
      <c r="COT2" s="528"/>
      <c r="COU2" s="528"/>
      <c r="COV2" s="528"/>
      <c r="COW2" s="528"/>
      <c r="COX2" s="528"/>
      <c r="COY2" s="528"/>
      <c r="COZ2" s="528"/>
      <c r="CPA2" s="528"/>
      <c r="CPB2" s="528"/>
      <c r="CPC2" s="528"/>
      <c r="CPD2" s="528"/>
      <c r="CPE2" s="528"/>
      <c r="CPF2" s="528"/>
      <c r="CPG2" s="528"/>
      <c r="CPH2" s="528"/>
      <c r="CPI2" s="528"/>
      <c r="CPJ2" s="528"/>
      <c r="CPK2" s="528"/>
      <c r="CPL2" s="528"/>
      <c r="CPM2" s="528"/>
      <c r="CPN2" s="528"/>
      <c r="CPO2" s="528"/>
      <c r="CPP2" s="528"/>
      <c r="CPQ2" s="528"/>
      <c r="CPR2" s="528"/>
      <c r="CPS2" s="528"/>
      <c r="CPT2" s="528"/>
      <c r="CPU2" s="528"/>
      <c r="CPV2" s="528"/>
      <c r="CPW2" s="528"/>
      <c r="CPX2" s="528"/>
      <c r="CPY2" s="528"/>
      <c r="CPZ2" s="528"/>
      <c r="CQA2" s="528"/>
      <c r="CQB2" s="528"/>
      <c r="CQC2" s="528"/>
      <c r="CQD2" s="528"/>
      <c r="CQE2" s="528"/>
      <c r="CQF2" s="528"/>
      <c r="CQG2" s="528"/>
      <c r="CQH2" s="528"/>
      <c r="CQI2" s="528"/>
      <c r="CQJ2" s="528"/>
      <c r="CQK2" s="528"/>
      <c r="CQL2" s="528"/>
      <c r="CQM2" s="528"/>
      <c r="CQN2" s="528"/>
      <c r="CQO2" s="528"/>
      <c r="CQP2" s="528"/>
      <c r="CQQ2" s="528"/>
      <c r="CQR2" s="528"/>
      <c r="CQS2" s="528"/>
      <c r="CQT2" s="528"/>
      <c r="CQU2" s="528"/>
      <c r="CQV2" s="528"/>
      <c r="CQW2" s="528"/>
      <c r="CQX2" s="528"/>
      <c r="CQY2" s="528"/>
      <c r="CQZ2" s="528"/>
      <c r="CRA2" s="528"/>
      <c r="CRB2" s="528"/>
      <c r="CRC2" s="528"/>
      <c r="CRD2" s="528"/>
      <c r="CRE2" s="528"/>
      <c r="CRF2" s="528"/>
      <c r="CRG2" s="528"/>
      <c r="CRH2" s="528"/>
      <c r="CRI2" s="528"/>
      <c r="CRJ2" s="528"/>
      <c r="CRK2" s="528"/>
      <c r="CRL2" s="528"/>
      <c r="CRM2" s="528"/>
      <c r="CRN2" s="528"/>
      <c r="CRO2" s="528"/>
      <c r="CRP2" s="528"/>
      <c r="CRQ2" s="528"/>
      <c r="CRR2" s="528"/>
      <c r="CRS2" s="528"/>
      <c r="CRT2" s="528"/>
      <c r="CRU2" s="528"/>
      <c r="CRV2" s="528"/>
      <c r="CRW2" s="528"/>
      <c r="CRX2" s="528"/>
      <c r="CRY2" s="528"/>
      <c r="CRZ2" s="528"/>
      <c r="CSA2" s="528"/>
      <c r="CSB2" s="528"/>
      <c r="CSC2" s="528"/>
      <c r="CSD2" s="528"/>
      <c r="CSE2" s="528"/>
      <c r="CSF2" s="528"/>
      <c r="CSG2" s="528"/>
      <c r="CSH2" s="528"/>
      <c r="CSI2" s="528"/>
      <c r="CSJ2" s="528"/>
      <c r="CSK2" s="528"/>
      <c r="CSL2" s="528"/>
      <c r="CSM2" s="528"/>
      <c r="CSN2" s="528"/>
      <c r="CSO2" s="528"/>
      <c r="CSP2" s="528"/>
      <c r="CSQ2" s="528"/>
      <c r="CSR2" s="528"/>
      <c r="CSS2" s="528"/>
      <c r="CST2" s="528"/>
      <c r="CSU2" s="528"/>
      <c r="CSV2" s="528"/>
      <c r="CSW2" s="528"/>
      <c r="CSX2" s="528"/>
      <c r="CSY2" s="528"/>
      <c r="CSZ2" s="528"/>
      <c r="CTA2" s="528"/>
      <c r="CTB2" s="528"/>
      <c r="CTC2" s="528"/>
      <c r="CTD2" s="528"/>
      <c r="CTE2" s="528"/>
      <c r="CTF2" s="528"/>
      <c r="CTG2" s="528"/>
      <c r="CTH2" s="528"/>
      <c r="CTI2" s="528"/>
      <c r="CTJ2" s="528"/>
      <c r="CTK2" s="528"/>
      <c r="CTL2" s="528"/>
      <c r="CTM2" s="528"/>
      <c r="CTN2" s="528"/>
      <c r="CTO2" s="528"/>
      <c r="CTP2" s="528"/>
      <c r="CTQ2" s="528"/>
      <c r="CTR2" s="528"/>
      <c r="CTS2" s="528"/>
      <c r="CTT2" s="528"/>
      <c r="CTU2" s="528"/>
      <c r="CTV2" s="528"/>
      <c r="CTW2" s="528"/>
      <c r="CTX2" s="528"/>
      <c r="CTY2" s="528"/>
      <c r="CTZ2" s="528"/>
      <c r="CUA2" s="528"/>
      <c r="CUB2" s="528"/>
      <c r="CUC2" s="528"/>
      <c r="CUD2" s="528"/>
      <c r="CUE2" s="528"/>
      <c r="CUF2" s="528"/>
      <c r="CUG2" s="528"/>
      <c r="CUH2" s="528"/>
      <c r="CUI2" s="528"/>
      <c r="CUJ2" s="528"/>
      <c r="CUK2" s="528"/>
      <c r="CUL2" s="528"/>
      <c r="CUM2" s="528"/>
      <c r="CUN2" s="528"/>
      <c r="CUO2" s="528"/>
      <c r="CUP2" s="528"/>
      <c r="CUQ2" s="528"/>
      <c r="CUR2" s="528"/>
      <c r="CUS2" s="528"/>
      <c r="CUT2" s="528"/>
      <c r="CUU2" s="528"/>
      <c r="CUV2" s="528"/>
      <c r="CUW2" s="528"/>
      <c r="CUX2" s="528"/>
      <c r="CUY2" s="528"/>
      <c r="CUZ2" s="528"/>
      <c r="CVA2" s="528"/>
      <c r="CVB2" s="528"/>
      <c r="CVC2" s="528"/>
      <c r="CVD2" s="528"/>
      <c r="CVE2" s="528"/>
      <c r="CVF2" s="528"/>
      <c r="CVG2" s="528"/>
      <c r="CVH2" s="528"/>
      <c r="CVI2" s="528"/>
      <c r="CVJ2" s="528"/>
      <c r="CVK2" s="528"/>
      <c r="CVL2" s="528"/>
      <c r="CVM2" s="528"/>
      <c r="CVN2" s="528"/>
      <c r="CVO2" s="528"/>
      <c r="CVP2" s="528"/>
      <c r="CVQ2" s="528"/>
      <c r="CVR2" s="528"/>
      <c r="CVS2" s="528"/>
      <c r="CVT2" s="528"/>
      <c r="CVU2" s="528"/>
      <c r="CVV2" s="528"/>
      <c r="CVW2" s="528"/>
      <c r="CVX2" s="528"/>
      <c r="CVY2" s="528"/>
      <c r="CVZ2" s="528"/>
      <c r="CWA2" s="528"/>
      <c r="CWB2" s="528"/>
      <c r="CWC2" s="528"/>
      <c r="CWD2" s="528"/>
      <c r="CWE2" s="528"/>
      <c r="CWF2" s="528"/>
      <c r="CWG2" s="528"/>
      <c r="CWH2" s="528"/>
      <c r="CWI2" s="528"/>
      <c r="CWJ2" s="528"/>
      <c r="CWK2" s="528"/>
      <c r="CWL2" s="528"/>
      <c r="CWM2" s="528"/>
      <c r="CWN2" s="528"/>
      <c r="CWO2" s="528"/>
      <c r="CWP2" s="528"/>
      <c r="CWQ2" s="528"/>
      <c r="CWR2" s="528"/>
      <c r="CWS2" s="528"/>
      <c r="CWT2" s="528"/>
      <c r="CWU2" s="528"/>
      <c r="CWV2" s="528"/>
      <c r="CWW2" s="528"/>
      <c r="CWX2" s="528"/>
      <c r="CWY2" s="528"/>
      <c r="CWZ2" s="528"/>
      <c r="CXA2" s="528"/>
      <c r="CXB2" s="528"/>
      <c r="CXC2" s="528"/>
      <c r="CXD2" s="528"/>
      <c r="CXE2" s="528"/>
      <c r="CXF2" s="528"/>
      <c r="CXG2" s="528"/>
      <c r="CXH2" s="528"/>
      <c r="CXI2" s="528"/>
      <c r="CXJ2" s="528"/>
      <c r="CXK2" s="528"/>
      <c r="CXL2" s="528"/>
      <c r="CXM2" s="528"/>
      <c r="CXN2" s="528"/>
      <c r="CXO2" s="528"/>
      <c r="CXP2" s="528"/>
      <c r="CXQ2" s="528"/>
      <c r="CXR2" s="528"/>
      <c r="CXS2" s="528"/>
      <c r="CXT2" s="528"/>
      <c r="CXU2" s="528"/>
      <c r="CXV2" s="528"/>
      <c r="CXW2" s="528"/>
      <c r="CXX2" s="528"/>
      <c r="CXY2" s="528"/>
      <c r="CXZ2" s="528"/>
      <c r="CYA2" s="528"/>
      <c r="CYB2" s="528"/>
      <c r="CYC2" s="528"/>
      <c r="CYD2" s="528"/>
      <c r="CYE2" s="528"/>
      <c r="CYF2" s="528"/>
      <c r="CYG2" s="528"/>
      <c r="CYH2" s="528"/>
      <c r="CYI2" s="528"/>
      <c r="CYJ2" s="528"/>
      <c r="CYK2" s="528"/>
      <c r="CYL2" s="528"/>
      <c r="CYM2" s="528"/>
      <c r="CYN2" s="528"/>
      <c r="CYO2" s="528"/>
      <c r="CYP2" s="528"/>
      <c r="CYQ2" s="528"/>
      <c r="CYR2" s="528"/>
      <c r="CYS2" s="528"/>
      <c r="CYT2" s="528"/>
      <c r="CYU2" s="528"/>
      <c r="CYV2" s="528"/>
      <c r="CYW2" s="528"/>
      <c r="CYX2" s="528"/>
      <c r="CYY2" s="528"/>
      <c r="CYZ2" s="528"/>
      <c r="CZA2" s="528"/>
      <c r="CZB2" s="528"/>
      <c r="CZC2" s="528"/>
      <c r="CZD2" s="528"/>
      <c r="CZE2" s="528"/>
      <c r="CZF2" s="528"/>
      <c r="CZG2" s="528"/>
      <c r="CZH2" s="528"/>
      <c r="CZI2" s="528"/>
      <c r="CZJ2" s="528"/>
      <c r="CZK2" s="528"/>
      <c r="CZL2" s="528"/>
      <c r="CZM2" s="528"/>
      <c r="CZN2" s="528"/>
      <c r="CZO2" s="528"/>
      <c r="CZP2" s="528"/>
      <c r="CZQ2" s="528"/>
      <c r="CZR2" s="528"/>
      <c r="CZS2" s="528"/>
      <c r="CZT2" s="528"/>
      <c r="CZU2" s="528"/>
      <c r="CZV2" s="528"/>
      <c r="CZW2" s="528"/>
      <c r="CZX2" s="528"/>
      <c r="CZY2" s="528"/>
      <c r="CZZ2" s="528"/>
      <c r="DAA2" s="528"/>
      <c r="DAB2" s="528"/>
      <c r="DAC2" s="528"/>
      <c r="DAD2" s="528"/>
      <c r="DAE2" s="528"/>
      <c r="DAF2" s="528"/>
      <c r="DAG2" s="528"/>
      <c r="DAH2" s="528"/>
      <c r="DAI2" s="528"/>
      <c r="DAJ2" s="528"/>
      <c r="DAK2" s="528"/>
      <c r="DAL2" s="528"/>
      <c r="DAM2" s="528"/>
      <c r="DAN2" s="528"/>
      <c r="DAO2" s="528"/>
      <c r="DAP2" s="528"/>
      <c r="DAQ2" s="528"/>
      <c r="DAR2" s="528"/>
      <c r="DAS2" s="528"/>
      <c r="DAT2" s="528"/>
      <c r="DAU2" s="528"/>
      <c r="DAV2" s="528"/>
      <c r="DAW2" s="528"/>
      <c r="DAX2" s="528"/>
      <c r="DAY2" s="528"/>
      <c r="DAZ2" s="528"/>
      <c r="DBA2" s="528"/>
      <c r="DBB2" s="528"/>
      <c r="DBC2" s="528"/>
      <c r="DBD2" s="528"/>
      <c r="DBE2" s="528"/>
      <c r="DBF2" s="528"/>
      <c r="DBG2" s="528"/>
      <c r="DBH2" s="528"/>
      <c r="DBI2" s="528"/>
      <c r="DBJ2" s="528"/>
      <c r="DBK2" s="528"/>
      <c r="DBL2" s="528"/>
      <c r="DBM2" s="528"/>
      <c r="DBN2" s="528"/>
      <c r="DBO2" s="528"/>
      <c r="DBP2" s="528"/>
      <c r="DBQ2" s="528"/>
      <c r="DBR2" s="528"/>
      <c r="DBS2" s="528"/>
      <c r="DBT2" s="528"/>
      <c r="DBU2" s="528"/>
      <c r="DBV2" s="528"/>
      <c r="DBW2" s="528"/>
      <c r="DBX2" s="528"/>
      <c r="DBY2" s="528"/>
      <c r="DBZ2" s="528"/>
      <c r="DCA2" s="528"/>
      <c r="DCB2" s="528"/>
      <c r="DCC2" s="528"/>
      <c r="DCD2" s="528"/>
      <c r="DCE2" s="528"/>
      <c r="DCF2" s="528"/>
      <c r="DCG2" s="528"/>
      <c r="DCH2" s="528"/>
      <c r="DCI2" s="528"/>
      <c r="DCJ2" s="528"/>
      <c r="DCK2" s="528"/>
      <c r="DCL2" s="528"/>
      <c r="DCM2" s="528"/>
      <c r="DCN2" s="528"/>
      <c r="DCO2" s="528"/>
      <c r="DCP2" s="528"/>
      <c r="DCQ2" s="528"/>
      <c r="DCR2" s="528"/>
      <c r="DCS2" s="528"/>
      <c r="DCT2" s="528"/>
      <c r="DCU2" s="528"/>
      <c r="DCV2" s="528"/>
      <c r="DCW2" s="528"/>
      <c r="DCX2" s="528"/>
      <c r="DCY2" s="528"/>
      <c r="DCZ2" s="528"/>
      <c r="DDA2" s="528"/>
      <c r="DDB2" s="528"/>
      <c r="DDC2" s="528"/>
      <c r="DDD2" s="528"/>
      <c r="DDE2" s="528"/>
      <c r="DDF2" s="528"/>
      <c r="DDG2" s="528"/>
      <c r="DDH2" s="528"/>
      <c r="DDI2" s="528"/>
      <c r="DDJ2" s="528"/>
      <c r="DDK2" s="528"/>
      <c r="DDL2" s="528"/>
      <c r="DDM2" s="528"/>
      <c r="DDN2" s="528"/>
      <c r="DDO2" s="528"/>
      <c r="DDP2" s="528"/>
      <c r="DDQ2" s="528"/>
      <c r="DDR2" s="528"/>
      <c r="DDS2" s="528"/>
      <c r="DDT2" s="528"/>
      <c r="DDU2" s="528"/>
      <c r="DDV2" s="528"/>
      <c r="DDW2" s="528"/>
      <c r="DDX2" s="528"/>
      <c r="DDY2" s="528"/>
      <c r="DDZ2" s="528"/>
      <c r="DEA2" s="528"/>
      <c r="DEB2" s="528"/>
      <c r="DEC2" s="528"/>
      <c r="DED2" s="528"/>
      <c r="DEE2" s="528"/>
      <c r="DEF2" s="528"/>
      <c r="DEG2" s="528"/>
      <c r="DEH2" s="528"/>
      <c r="DEI2" s="528"/>
      <c r="DEJ2" s="528"/>
      <c r="DEK2" s="528"/>
      <c r="DEL2" s="528"/>
      <c r="DEM2" s="528"/>
      <c r="DEN2" s="528"/>
      <c r="DEO2" s="528"/>
      <c r="DEP2" s="528"/>
      <c r="DEQ2" s="528"/>
      <c r="DER2" s="528"/>
      <c r="DES2" s="528"/>
      <c r="DET2" s="528"/>
      <c r="DEU2" s="528"/>
      <c r="DEV2" s="528"/>
      <c r="DEW2" s="528"/>
      <c r="DEX2" s="528"/>
      <c r="DEY2" s="528"/>
      <c r="DEZ2" s="528"/>
      <c r="DFA2" s="528"/>
      <c r="DFB2" s="528"/>
      <c r="DFC2" s="528"/>
      <c r="DFD2" s="528"/>
      <c r="DFE2" s="528"/>
      <c r="DFF2" s="528"/>
      <c r="DFG2" s="528"/>
      <c r="DFH2" s="528"/>
      <c r="DFI2" s="528"/>
      <c r="DFJ2" s="528"/>
      <c r="DFK2" s="528"/>
      <c r="DFL2" s="528"/>
      <c r="DFM2" s="528"/>
      <c r="DFN2" s="528"/>
      <c r="DFO2" s="528"/>
      <c r="DFP2" s="528"/>
      <c r="DFQ2" s="528"/>
      <c r="DFR2" s="528"/>
      <c r="DFS2" s="528"/>
      <c r="DFT2" s="528"/>
      <c r="DFU2" s="528"/>
      <c r="DFV2" s="528"/>
      <c r="DFW2" s="528"/>
      <c r="DFX2" s="528"/>
      <c r="DFY2" s="528"/>
      <c r="DFZ2" s="528"/>
      <c r="DGA2" s="528"/>
      <c r="DGB2" s="528"/>
      <c r="DGC2" s="528"/>
      <c r="DGD2" s="528"/>
      <c r="DGE2" s="528"/>
      <c r="DGF2" s="528"/>
      <c r="DGG2" s="528"/>
      <c r="DGH2" s="528"/>
      <c r="DGI2" s="528"/>
      <c r="DGJ2" s="528"/>
      <c r="DGK2" s="528"/>
      <c r="DGL2" s="528"/>
      <c r="DGM2" s="528"/>
      <c r="DGN2" s="528"/>
      <c r="DGO2" s="528"/>
      <c r="DGP2" s="528"/>
      <c r="DGQ2" s="528"/>
      <c r="DGR2" s="528"/>
      <c r="DGS2" s="528"/>
      <c r="DGT2" s="528"/>
      <c r="DGU2" s="528"/>
      <c r="DGV2" s="528"/>
      <c r="DGW2" s="528"/>
      <c r="DGX2" s="528"/>
      <c r="DGY2" s="528"/>
      <c r="DGZ2" s="528"/>
      <c r="DHA2" s="528"/>
      <c r="DHB2" s="528"/>
      <c r="DHC2" s="528"/>
      <c r="DHD2" s="528"/>
      <c r="DHE2" s="528"/>
      <c r="DHF2" s="528"/>
      <c r="DHG2" s="528"/>
      <c r="DHH2" s="528"/>
      <c r="DHI2" s="528"/>
      <c r="DHJ2" s="528"/>
      <c r="DHK2" s="528"/>
      <c r="DHL2" s="528"/>
      <c r="DHM2" s="528"/>
      <c r="DHN2" s="528"/>
      <c r="DHO2" s="528"/>
      <c r="DHP2" s="528"/>
      <c r="DHQ2" s="528"/>
      <c r="DHR2" s="528"/>
      <c r="DHS2" s="528"/>
      <c r="DHT2" s="528"/>
      <c r="DHU2" s="528"/>
      <c r="DHV2" s="528"/>
      <c r="DHW2" s="528"/>
      <c r="DHX2" s="528"/>
      <c r="DHY2" s="528"/>
      <c r="DHZ2" s="528"/>
      <c r="DIA2" s="528"/>
      <c r="DIB2" s="528"/>
      <c r="DIC2" s="528"/>
      <c r="DID2" s="528"/>
      <c r="DIE2" s="528"/>
      <c r="DIF2" s="528"/>
      <c r="DIG2" s="528"/>
      <c r="DIH2" s="528"/>
      <c r="DII2" s="528"/>
      <c r="DIJ2" s="528"/>
      <c r="DIK2" s="528"/>
      <c r="DIL2" s="528"/>
      <c r="DIM2" s="528"/>
      <c r="DIN2" s="528"/>
      <c r="DIO2" s="528"/>
      <c r="DIP2" s="528"/>
      <c r="DIQ2" s="528"/>
      <c r="DIR2" s="528"/>
      <c r="DIS2" s="528"/>
      <c r="DIT2" s="528"/>
      <c r="DIU2" s="528"/>
      <c r="DIV2" s="528"/>
      <c r="DIW2" s="528"/>
      <c r="DIX2" s="528"/>
      <c r="DIY2" s="528"/>
      <c r="DIZ2" s="528"/>
      <c r="DJA2" s="528"/>
      <c r="DJB2" s="528"/>
      <c r="DJC2" s="528"/>
      <c r="DJD2" s="528"/>
      <c r="DJE2" s="528"/>
      <c r="DJF2" s="528"/>
      <c r="DJG2" s="528"/>
      <c r="DJH2" s="528"/>
      <c r="DJI2" s="528"/>
      <c r="DJJ2" s="528"/>
      <c r="DJK2" s="528"/>
      <c r="DJL2" s="528"/>
      <c r="DJM2" s="528"/>
      <c r="DJN2" s="528"/>
      <c r="DJO2" s="528"/>
      <c r="DJP2" s="528"/>
      <c r="DJQ2" s="528"/>
      <c r="DJR2" s="528"/>
      <c r="DJS2" s="528"/>
      <c r="DJT2" s="528"/>
      <c r="DJU2" s="528"/>
      <c r="DJV2" s="528"/>
      <c r="DJW2" s="528"/>
      <c r="DJX2" s="528"/>
      <c r="DJY2" s="528"/>
      <c r="DJZ2" s="528"/>
      <c r="DKA2" s="528"/>
      <c r="DKB2" s="528"/>
      <c r="DKC2" s="528"/>
      <c r="DKD2" s="528"/>
      <c r="DKE2" s="528"/>
      <c r="DKF2" s="528"/>
      <c r="DKG2" s="528"/>
      <c r="DKH2" s="528"/>
      <c r="DKI2" s="528"/>
      <c r="DKJ2" s="528"/>
      <c r="DKK2" s="528"/>
      <c r="DKL2" s="528"/>
      <c r="DKM2" s="528"/>
      <c r="DKN2" s="528"/>
      <c r="DKO2" s="528"/>
      <c r="DKP2" s="528"/>
      <c r="DKQ2" s="528"/>
      <c r="DKR2" s="528"/>
      <c r="DKS2" s="528"/>
      <c r="DKT2" s="528"/>
      <c r="DKU2" s="528"/>
      <c r="DKV2" s="528"/>
      <c r="DKW2" s="528"/>
      <c r="DKX2" s="528"/>
      <c r="DKY2" s="528"/>
      <c r="DKZ2" s="528"/>
      <c r="DLA2" s="528"/>
      <c r="DLB2" s="528"/>
      <c r="DLC2" s="528"/>
      <c r="DLD2" s="528"/>
      <c r="DLE2" s="528"/>
      <c r="DLF2" s="528"/>
      <c r="DLG2" s="528"/>
      <c r="DLH2" s="528"/>
      <c r="DLI2" s="528"/>
      <c r="DLJ2" s="528"/>
      <c r="DLK2" s="528"/>
      <c r="DLL2" s="528"/>
      <c r="DLM2" s="528"/>
      <c r="DLN2" s="528"/>
      <c r="DLO2" s="528"/>
      <c r="DLP2" s="528"/>
      <c r="DLQ2" s="528"/>
      <c r="DLR2" s="528"/>
      <c r="DLS2" s="528"/>
      <c r="DLT2" s="528"/>
      <c r="DLU2" s="528"/>
      <c r="DLV2" s="528"/>
      <c r="DLW2" s="528"/>
      <c r="DLX2" s="528"/>
      <c r="DLY2" s="528"/>
      <c r="DLZ2" s="528"/>
      <c r="DMA2" s="528"/>
      <c r="DMB2" s="528"/>
      <c r="DMC2" s="528"/>
      <c r="DMD2" s="528"/>
      <c r="DME2" s="528"/>
      <c r="DMF2" s="528"/>
      <c r="DMG2" s="528"/>
      <c r="DMH2" s="528"/>
      <c r="DMI2" s="528"/>
      <c r="DMJ2" s="528"/>
      <c r="DMK2" s="528"/>
      <c r="DML2" s="528"/>
      <c r="DMM2" s="528"/>
      <c r="DMN2" s="528"/>
      <c r="DMO2" s="528"/>
      <c r="DMP2" s="528"/>
      <c r="DMQ2" s="528"/>
      <c r="DMR2" s="528"/>
      <c r="DMS2" s="528"/>
      <c r="DMT2" s="528"/>
      <c r="DMU2" s="528"/>
      <c r="DMV2" s="528"/>
      <c r="DMW2" s="528"/>
      <c r="DMX2" s="528"/>
      <c r="DMY2" s="528"/>
      <c r="DMZ2" s="528"/>
      <c r="DNA2" s="528"/>
      <c r="DNB2" s="528"/>
      <c r="DNC2" s="528"/>
      <c r="DND2" s="528"/>
      <c r="DNE2" s="528"/>
      <c r="DNF2" s="528"/>
      <c r="DNG2" s="528"/>
      <c r="DNH2" s="528"/>
      <c r="DNI2" s="528"/>
      <c r="DNJ2" s="528"/>
      <c r="DNK2" s="528"/>
      <c r="DNL2" s="528"/>
      <c r="DNM2" s="528"/>
      <c r="DNN2" s="528"/>
      <c r="DNO2" s="528"/>
      <c r="DNP2" s="528"/>
      <c r="DNQ2" s="528"/>
      <c r="DNR2" s="528"/>
      <c r="DNS2" s="528"/>
      <c r="DNT2" s="528"/>
      <c r="DNU2" s="528"/>
      <c r="DNV2" s="528"/>
      <c r="DNW2" s="528"/>
      <c r="DNX2" s="528"/>
      <c r="DNY2" s="528"/>
      <c r="DNZ2" s="528"/>
      <c r="DOA2" s="528"/>
      <c r="DOB2" s="528"/>
      <c r="DOC2" s="528"/>
      <c r="DOD2" s="528"/>
      <c r="DOE2" s="528"/>
      <c r="DOF2" s="528"/>
      <c r="DOG2" s="528"/>
      <c r="DOH2" s="528"/>
      <c r="DOI2" s="528"/>
      <c r="DOJ2" s="528"/>
      <c r="DOK2" s="528"/>
      <c r="DOL2" s="528"/>
      <c r="DOM2" s="528"/>
      <c r="DON2" s="528"/>
      <c r="DOO2" s="528"/>
      <c r="DOP2" s="528"/>
      <c r="DOQ2" s="528"/>
      <c r="DOR2" s="528"/>
      <c r="DOS2" s="528"/>
      <c r="DOT2" s="528"/>
      <c r="DOU2" s="528"/>
      <c r="DOV2" s="528"/>
      <c r="DOW2" s="528"/>
      <c r="DOX2" s="528"/>
      <c r="DOY2" s="528"/>
      <c r="DOZ2" s="528"/>
      <c r="DPA2" s="528"/>
      <c r="DPB2" s="528"/>
      <c r="DPC2" s="528"/>
      <c r="DPD2" s="528"/>
      <c r="DPE2" s="528"/>
      <c r="DPF2" s="528"/>
      <c r="DPG2" s="528"/>
      <c r="DPH2" s="528"/>
      <c r="DPI2" s="528"/>
      <c r="DPJ2" s="528"/>
      <c r="DPK2" s="528"/>
      <c r="DPL2" s="528"/>
      <c r="DPM2" s="528"/>
      <c r="DPN2" s="528"/>
      <c r="DPO2" s="528"/>
      <c r="DPP2" s="528"/>
      <c r="DPQ2" s="528"/>
      <c r="DPR2" s="528"/>
      <c r="DPS2" s="528"/>
      <c r="DPT2" s="528"/>
      <c r="DPU2" s="528"/>
      <c r="DPV2" s="528"/>
      <c r="DPW2" s="528"/>
      <c r="DPX2" s="528"/>
      <c r="DPY2" s="528"/>
      <c r="DPZ2" s="528"/>
      <c r="DQA2" s="528"/>
      <c r="DQB2" s="528"/>
      <c r="DQC2" s="528"/>
      <c r="DQD2" s="528"/>
      <c r="DQE2" s="528"/>
      <c r="DQF2" s="528"/>
      <c r="DQG2" s="528"/>
      <c r="DQH2" s="528"/>
      <c r="DQI2" s="528"/>
      <c r="DQJ2" s="528"/>
      <c r="DQK2" s="528"/>
      <c r="DQL2" s="528"/>
      <c r="DQM2" s="528"/>
      <c r="DQN2" s="528"/>
      <c r="DQO2" s="528"/>
      <c r="DQP2" s="528"/>
      <c r="DQQ2" s="528"/>
      <c r="DQR2" s="528"/>
      <c r="DQS2" s="528"/>
      <c r="DQT2" s="528"/>
      <c r="DQU2" s="528"/>
      <c r="DQV2" s="528"/>
      <c r="DQW2" s="528"/>
      <c r="DQX2" s="528"/>
      <c r="DQY2" s="528"/>
      <c r="DQZ2" s="528"/>
      <c r="DRA2" s="528"/>
      <c r="DRB2" s="528"/>
      <c r="DRC2" s="528"/>
      <c r="DRD2" s="528"/>
      <c r="DRE2" s="528"/>
      <c r="DRF2" s="528"/>
      <c r="DRG2" s="528"/>
      <c r="DRH2" s="528"/>
      <c r="DRI2" s="528"/>
      <c r="DRJ2" s="528"/>
      <c r="DRK2" s="528"/>
      <c r="DRL2" s="528"/>
      <c r="DRM2" s="528"/>
      <c r="DRN2" s="528"/>
      <c r="DRO2" s="528"/>
      <c r="DRP2" s="528"/>
      <c r="DRQ2" s="528"/>
      <c r="DRR2" s="528"/>
      <c r="DRS2" s="528"/>
      <c r="DRT2" s="528"/>
      <c r="DRU2" s="528"/>
      <c r="DRV2" s="528"/>
      <c r="DRW2" s="528"/>
      <c r="DRX2" s="528"/>
      <c r="DRY2" s="528"/>
      <c r="DRZ2" s="528"/>
      <c r="DSA2" s="528"/>
      <c r="DSB2" s="528"/>
      <c r="DSC2" s="528"/>
      <c r="DSD2" s="528"/>
      <c r="DSE2" s="528"/>
      <c r="DSF2" s="528"/>
      <c r="DSG2" s="528"/>
      <c r="DSH2" s="528"/>
      <c r="DSI2" s="528"/>
      <c r="DSJ2" s="528"/>
      <c r="DSK2" s="528"/>
      <c r="DSL2" s="528"/>
      <c r="DSM2" s="528"/>
      <c r="DSN2" s="528"/>
      <c r="DSO2" s="528"/>
      <c r="DSP2" s="528"/>
      <c r="DSQ2" s="528"/>
      <c r="DSR2" s="528"/>
      <c r="DSS2" s="528"/>
      <c r="DST2" s="528"/>
      <c r="DSU2" s="528"/>
      <c r="DSV2" s="528"/>
      <c r="DSW2" s="528"/>
      <c r="DSX2" s="528"/>
      <c r="DSY2" s="528"/>
      <c r="DSZ2" s="528"/>
      <c r="DTA2" s="528"/>
      <c r="DTB2" s="528"/>
      <c r="DTC2" s="528"/>
      <c r="DTD2" s="528"/>
      <c r="DTE2" s="528"/>
      <c r="DTF2" s="528"/>
      <c r="DTG2" s="528"/>
      <c r="DTH2" s="528"/>
      <c r="DTI2" s="528"/>
      <c r="DTJ2" s="528"/>
      <c r="DTK2" s="528"/>
      <c r="DTL2" s="528"/>
      <c r="DTM2" s="528"/>
      <c r="DTN2" s="528"/>
      <c r="DTO2" s="528"/>
      <c r="DTP2" s="528"/>
      <c r="DTQ2" s="528"/>
      <c r="DTR2" s="528"/>
      <c r="DTS2" s="528"/>
      <c r="DTT2" s="528"/>
      <c r="DTU2" s="528"/>
      <c r="DTV2" s="528"/>
      <c r="DTW2" s="528"/>
      <c r="DTX2" s="528"/>
      <c r="DTY2" s="528"/>
      <c r="DTZ2" s="528"/>
      <c r="DUA2" s="528"/>
      <c r="DUB2" s="528"/>
      <c r="DUC2" s="528"/>
      <c r="DUD2" s="528"/>
      <c r="DUE2" s="528"/>
      <c r="DUF2" s="528"/>
      <c r="DUG2" s="528"/>
      <c r="DUH2" s="528"/>
      <c r="DUI2" s="528"/>
      <c r="DUJ2" s="528"/>
      <c r="DUK2" s="528"/>
      <c r="DUL2" s="528"/>
      <c r="DUM2" s="528"/>
      <c r="DUN2" s="528"/>
      <c r="DUO2" s="528"/>
      <c r="DUP2" s="528"/>
      <c r="DUQ2" s="528"/>
      <c r="DUR2" s="528"/>
      <c r="DUS2" s="528"/>
      <c r="DUT2" s="528"/>
      <c r="DUU2" s="528"/>
      <c r="DUV2" s="528"/>
      <c r="DUW2" s="528"/>
      <c r="DUX2" s="528"/>
      <c r="DUY2" s="528"/>
      <c r="DUZ2" s="528"/>
      <c r="DVA2" s="528"/>
      <c r="DVB2" s="528"/>
      <c r="DVC2" s="528"/>
      <c r="DVD2" s="528"/>
      <c r="DVE2" s="528"/>
      <c r="DVF2" s="528"/>
      <c r="DVG2" s="528"/>
      <c r="DVH2" s="528"/>
      <c r="DVI2" s="528"/>
      <c r="DVJ2" s="528"/>
      <c r="DVK2" s="528"/>
      <c r="DVL2" s="528"/>
      <c r="DVM2" s="528"/>
      <c r="DVN2" s="528"/>
      <c r="DVO2" s="528"/>
      <c r="DVP2" s="528"/>
      <c r="DVQ2" s="528"/>
      <c r="DVR2" s="528"/>
      <c r="DVS2" s="528"/>
      <c r="DVT2" s="528"/>
      <c r="DVU2" s="528"/>
      <c r="DVV2" s="528"/>
      <c r="DVW2" s="528"/>
      <c r="DVX2" s="528"/>
      <c r="DVY2" s="528"/>
      <c r="DVZ2" s="528"/>
      <c r="DWA2" s="528"/>
      <c r="DWB2" s="528"/>
      <c r="DWC2" s="528"/>
      <c r="DWD2" s="528"/>
      <c r="DWE2" s="528"/>
      <c r="DWF2" s="528"/>
      <c r="DWG2" s="528"/>
      <c r="DWH2" s="528"/>
      <c r="DWI2" s="528"/>
      <c r="DWJ2" s="528"/>
      <c r="DWK2" s="528"/>
      <c r="DWL2" s="528"/>
      <c r="DWM2" s="528"/>
      <c r="DWN2" s="528"/>
      <c r="DWO2" s="528"/>
      <c r="DWP2" s="528"/>
      <c r="DWQ2" s="528"/>
      <c r="DWR2" s="528"/>
      <c r="DWS2" s="528"/>
      <c r="DWT2" s="528"/>
      <c r="DWU2" s="528"/>
      <c r="DWV2" s="528"/>
      <c r="DWW2" s="528"/>
      <c r="DWX2" s="528"/>
      <c r="DWY2" s="528"/>
      <c r="DWZ2" s="528"/>
      <c r="DXA2" s="528"/>
      <c r="DXB2" s="528"/>
      <c r="DXC2" s="528"/>
      <c r="DXD2" s="528"/>
      <c r="DXE2" s="528"/>
      <c r="DXF2" s="528"/>
      <c r="DXG2" s="528"/>
      <c r="DXH2" s="528"/>
      <c r="DXI2" s="528"/>
      <c r="DXJ2" s="528"/>
      <c r="DXK2" s="528"/>
      <c r="DXL2" s="528"/>
      <c r="DXM2" s="528"/>
      <c r="DXN2" s="528"/>
      <c r="DXO2" s="528"/>
      <c r="DXP2" s="528"/>
      <c r="DXQ2" s="528"/>
      <c r="DXR2" s="528"/>
      <c r="DXS2" s="528"/>
      <c r="DXT2" s="528"/>
      <c r="DXU2" s="528"/>
      <c r="DXV2" s="528"/>
      <c r="DXW2" s="528"/>
      <c r="DXX2" s="528"/>
      <c r="DXY2" s="528"/>
      <c r="DXZ2" s="528"/>
      <c r="DYA2" s="528"/>
      <c r="DYB2" s="528"/>
      <c r="DYC2" s="528"/>
      <c r="DYD2" s="528"/>
      <c r="DYE2" s="528"/>
      <c r="DYF2" s="528"/>
      <c r="DYG2" s="528"/>
      <c r="DYH2" s="528"/>
      <c r="DYI2" s="528"/>
      <c r="DYJ2" s="528"/>
      <c r="DYK2" s="528"/>
      <c r="DYL2" s="528"/>
      <c r="DYM2" s="528"/>
      <c r="DYN2" s="528"/>
      <c r="DYO2" s="528"/>
      <c r="DYP2" s="528"/>
      <c r="DYQ2" s="528"/>
      <c r="DYR2" s="528"/>
      <c r="DYS2" s="528"/>
      <c r="DYT2" s="528"/>
      <c r="DYU2" s="528"/>
      <c r="DYV2" s="528"/>
      <c r="DYW2" s="528"/>
      <c r="DYX2" s="528"/>
      <c r="DYY2" s="528"/>
      <c r="DYZ2" s="528"/>
      <c r="DZA2" s="528"/>
      <c r="DZB2" s="528"/>
      <c r="DZC2" s="528"/>
      <c r="DZD2" s="528"/>
      <c r="DZE2" s="528"/>
      <c r="DZF2" s="528"/>
      <c r="DZG2" s="528"/>
      <c r="DZH2" s="528"/>
      <c r="DZI2" s="528"/>
      <c r="DZJ2" s="528"/>
      <c r="DZK2" s="528"/>
      <c r="DZL2" s="528"/>
      <c r="DZM2" s="528"/>
      <c r="DZN2" s="528"/>
      <c r="DZO2" s="528"/>
      <c r="DZP2" s="528"/>
      <c r="DZQ2" s="528"/>
      <c r="DZR2" s="528"/>
      <c r="DZS2" s="528"/>
      <c r="DZT2" s="528"/>
      <c r="DZU2" s="528"/>
      <c r="DZV2" s="528"/>
      <c r="DZW2" s="528"/>
      <c r="DZX2" s="528"/>
      <c r="DZY2" s="528"/>
      <c r="DZZ2" s="528"/>
      <c r="EAA2" s="528"/>
      <c r="EAB2" s="528"/>
      <c r="EAC2" s="528"/>
      <c r="EAD2" s="528"/>
      <c r="EAE2" s="528"/>
      <c r="EAF2" s="528"/>
      <c r="EAG2" s="528"/>
      <c r="EAH2" s="528"/>
      <c r="EAI2" s="528"/>
      <c r="EAJ2" s="528"/>
      <c r="EAK2" s="528"/>
      <c r="EAL2" s="528"/>
      <c r="EAM2" s="528"/>
      <c r="EAN2" s="528"/>
      <c r="EAO2" s="528"/>
      <c r="EAP2" s="528"/>
      <c r="EAQ2" s="528"/>
      <c r="EAR2" s="528"/>
      <c r="EAS2" s="528"/>
      <c r="EAT2" s="528"/>
      <c r="EAU2" s="528"/>
      <c r="EAV2" s="528"/>
      <c r="EAW2" s="528"/>
      <c r="EAX2" s="528"/>
      <c r="EAY2" s="528"/>
      <c r="EAZ2" s="528"/>
      <c r="EBA2" s="528"/>
      <c r="EBB2" s="528"/>
      <c r="EBC2" s="528"/>
      <c r="EBD2" s="528"/>
      <c r="EBE2" s="528"/>
      <c r="EBF2" s="528"/>
      <c r="EBG2" s="528"/>
      <c r="EBH2" s="528"/>
      <c r="EBI2" s="528"/>
      <c r="EBJ2" s="528"/>
      <c r="EBK2" s="528"/>
      <c r="EBL2" s="528"/>
      <c r="EBM2" s="528"/>
      <c r="EBN2" s="528"/>
      <c r="EBO2" s="528"/>
      <c r="EBP2" s="528"/>
      <c r="EBQ2" s="528"/>
      <c r="EBR2" s="528"/>
      <c r="EBS2" s="528"/>
      <c r="EBT2" s="528"/>
      <c r="EBU2" s="528"/>
      <c r="EBV2" s="528"/>
      <c r="EBW2" s="528"/>
      <c r="EBX2" s="528"/>
      <c r="EBY2" s="528"/>
      <c r="EBZ2" s="528"/>
      <c r="ECA2" s="528"/>
      <c r="ECB2" s="528"/>
      <c r="ECC2" s="528"/>
      <c r="ECD2" s="528"/>
      <c r="ECE2" s="528"/>
      <c r="ECF2" s="528"/>
      <c r="ECG2" s="528"/>
      <c r="ECH2" s="528"/>
      <c r="ECI2" s="528"/>
      <c r="ECJ2" s="528"/>
      <c r="ECK2" s="528"/>
      <c r="ECL2" s="528"/>
      <c r="ECM2" s="528"/>
      <c r="ECN2" s="528"/>
      <c r="ECO2" s="528"/>
      <c r="ECP2" s="528"/>
      <c r="ECQ2" s="528"/>
      <c r="ECR2" s="528"/>
      <c r="ECS2" s="528"/>
      <c r="ECT2" s="528"/>
      <c r="ECU2" s="528"/>
      <c r="ECV2" s="528"/>
      <c r="ECW2" s="528"/>
      <c r="ECX2" s="528"/>
      <c r="ECY2" s="528"/>
      <c r="ECZ2" s="528"/>
      <c r="EDA2" s="528"/>
      <c r="EDB2" s="528"/>
      <c r="EDC2" s="528"/>
      <c r="EDD2" s="528"/>
      <c r="EDE2" s="528"/>
      <c r="EDF2" s="528"/>
      <c r="EDG2" s="528"/>
      <c r="EDH2" s="528"/>
      <c r="EDI2" s="528"/>
      <c r="EDJ2" s="528"/>
      <c r="EDK2" s="528"/>
      <c r="EDL2" s="528"/>
      <c r="EDM2" s="528"/>
      <c r="EDN2" s="528"/>
      <c r="EDO2" s="528"/>
      <c r="EDP2" s="528"/>
      <c r="EDQ2" s="528"/>
      <c r="EDR2" s="528"/>
      <c r="EDS2" s="528"/>
      <c r="EDT2" s="528"/>
      <c r="EDU2" s="528"/>
      <c r="EDV2" s="528"/>
      <c r="EDW2" s="528"/>
      <c r="EDX2" s="528"/>
      <c r="EDY2" s="528"/>
      <c r="EDZ2" s="528"/>
      <c r="EEA2" s="528"/>
      <c r="EEB2" s="528"/>
      <c r="EEC2" s="528"/>
      <c r="EED2" s="528"/>
      <c r="EEE2" s="528"/>
      <c r="EEF2" s="528"/>
      <c r="EEG2" s="528"/>
      <c r="EEH2" s="528"/>
      <c r="EEI2" s="528"/>
      <c r="EEJ2" s="528"/>
      <c r="EEK2" s="528"/>
      <c r="EEL2" s="528"/>
      <c r="EEM2" s="528"/>
      <c r="EEN2" s="528"/>
      <c r="EEO2" s="528"/>
      <c r="EEP2" s="528"/>
      <c r="EEQ2" s="528"/>
      <c r="EER2" s="528"/>
      <c r="EES2" s="528"/>
      <c r="EET2" s="528"/>
      <c r="EEU2" s="528"/>
      <c r="EEV2" s="528"/>
      <c r="EEW2" s="528"/>
      <c r="EEX2" s="528"/>
      <c r="EEY2" s="528"/>
      <c r="EEZ2" s="528"/>
      <c r="EFA2" s="528"/>
      <c r="EFB2" s="528"/>
      <c r="EFC2" s="528"/>
      <c r="EFD2" s="528"/>
      <c r="EFE2" s="528"/>
      <c r="EFF2" s="528"/>
      <c r="EFG2" s="528"/>
      <c r="EFH2" s="528"/>
      <c r="EFI2" s="528"/>
      <c r="EFJ2" s="528"/>
      <c r="EFK2" s="528"/>
      <c r="EFL2" s="528"/>
      <c r="EFM2" s="528"/>
      <c r="EFN2" s="528"/>
      <c r="EFO2" s="528"/>
      <c r="EFP2" s="528"/>
      <c r="EFQ2" s="528"/>
      <c r="EFR2" s="528"/>
      <c r="EFS2" s="528"/>
      <c r="EFT2" s="528"/>
      <c r="EFU2" s="528"/>
      <c r="EFV2" s="528"/>
      <c r="EFW2" s="528"/>
      <c r="EFX2" s="528"/>
      <c r="EFY2" s="528"/>
      <c r="EFZ2" s="528"/>
      <c r="EGA2" s="528"/>
      <c r="EGB2" s="528"/>
      <c r="EGC2" s="528"/>
      <c r="EGD2" s="528"/>
      <c r="EGE2" s="528"/>
      <c r="EGF2" s="528"/>
      <c r="EGG2" s="528"/>
      <c r="EGH2" s="528"/>
      <c r="EGI2" s="528"/>
      <c r="EGJ2" s="528"/>
      <c r="EGK2" s="528"/>
      <c r="EGL2" s="528"/>
      <c r="EGM2" s="528"/>
      <c r="EGN2" s="528"/>
      <c r="EGO2" s="528"/>
      <c r="EGP2" s="528"/>
      <c r="EGQ2" s="528"/>
      <c r="EGR2" s="528"/>
      <c r="EGS2" s="528"/>
      <c r="EGT2" s="528"/>
      <c r="EGU2" s="528"/>
      <c r="EGV2" s="528"/>
      <c r="EGW2" s="528"/>
      <c r="EGX2" s="528"/>
      <c r="EGY2" s="528"/>
      <c r="EGZ2" s="528"/>
      <c r="EHA2" s="528"/>
      <c r="EHB2" s="528"/>
      <c r="EHC2" s="528"/>
      <c r="EHD2" s="528"/>
      <c r="EHE2" s="528"/>
      <c r="EHF2" s="528"/>
      <c r="EHG2" s="528"/>
      <c r="EHH2" s="528"/>
      <c r="EHI2" s="528"/>
      <c r="EHJ2" s="528"/>
      <c r="EHK2" s="528"/>
      <c r="EHL2" s="528"/>
      <c r="EHM2" s="528"/>
      <c r="EHN2" s="528"/>
      <c r="EHO2" s="528"/>
      <c r="EHP2" s="528"/>
      <c r="EHQ2" s="528"/>
      <c r="EHR2" s="528"/>
      <c r="EHS2" s="528"/>
      <c r="EHT2" s="528"/>
      <c r="EHU2" s="528"/>
      <c r="EHV2" s="528"/>
      <c r="EHW2" s="528"/>
      <c r="EHX2" s="528"/>
      <c r="EHY2" s="528"/>
      <c r="EHZ2" s="528"/>
      <c r="EIA2" s="528"/>
      <c r="EIB2" s="528"/>
      <c r="EIC2" s="528"/>
      <c r="EID2" s="528"/>
      <c r="EIE2" s="528"/>
      <c r="EIF2" s="528"/>
      <c r="EIG2" s="528"/>
      <c r="EIH2" s="528"/>
      <c r="EII2" s="528"/>
      <c r="EIJ2" s="528"/>
      <c r="EIK2" s="528"/>
      <c r="EIL2" s="528"/>
      <c r="EIM2" s="528"/>
      <c r="EIN2" s="528"/>
      <c r="EIO2" s="528"/>
      <c r="EIP2" s="528"/>
      <c r="EIQ2" s="528"/>
      <c r="EIR2" s="528"/>
      <c r="EIS2" s="528"/>
      <c r="EIT2" s="528"/>
      <c r="EIU2" s="528"/>
      <c r="EIV2" s="528"/>
      <c r="EIW2" s="528"/>
      <c r="EIX2" s="528"/>
      <c r="EIY2" s="528"/>
      <c r="EIZ2" s="528"/>
      <c r="EJA2" s="528"/>
      <c r="EJB2" s="528"/>
      <c r="EJC2" s="528"/>
      <c r="EJD2" s="528"/>
      <c r="EJE2" s="528"/>
      <c r="EJF2" s="528"/>
      <c r="EJG2" s="528"/>
      <c r="EJH2" s="528"/>
      <c r="EJI2" s="528"/>
      <c r="EJJ2" s="528"/>
      <c r="EJK2" s="528"/>
      <c r="EJL2" s="528"/>
      <c r="EJM2" s="528"/>
      <c r="EJN2" s="528"/>
      <c r="EJO2" s="528"/>
      <c r="EJP2" s="528"/>
      <c r="EJQ2" s="528"/>
      <c r="EJR2" s="528"/>
      <c r="EJS2" s="528"/>
      <c r="EJT2" s="528"/>
      <c r="EJU2" s="528"/>
      <c r="EJV2" s="528"/>
      <c r="EJW2" s="528"/>
      <c r="EJX2" s="528"/>
      <c r="EJY2" s="528"/>
      <c r="EJZ2" s="528"/>
      <c r="EKA2" s="528"/>
      <c r="EKB2" s="528"/>
      <c r="EKC2" s="528"/>
      <c r="EKD2" s="528"/>
      <c r="EKE2" s="528"/>
      <c r="EKF2" s="528"/>
      <c r="EKG2" s="528"/>
      <c r="EKH2" s="528"/>
      <c r="EKI2" s="528"/>
      <c r="EKJ2" s="528"/>
      <c r="EKK2" s="528"/>
      <c r="EKL2" s="528"/>
      <c r="EKM2" s="528"/>
      <c r="EKN2" s="528"/>
      <c r="EKO2" s="528"/>
      <c r="EKP2" s="528"/>
      <c r="EKQ2" s="528"/>
      <c r="EKR2" s="528"/>
      <c r="EKS2" s="528"/>
      <c r="EKT2" s="528"/>
      <c r="EKU2" s="528"/>
      <c r="EKV2" s="528"/>
      <c r="EKW2" s="528"/>
      <c r="EKX2" s="528"/>
      <c r="EKY2" s="528"/>
      <c r="EKZ2" s="528"/>
      <c r="ELA2" s="528"/>
      <c r="ELB2" s="528"/>
      <c r="ELC2" s="528"/>
      <c r="ELD2" s="528"/>
      <c r="ELE2" s="528"/>
      <c r="ELF2" s="528"/>
      <c r="ELG2" s="528"/>
      <c r="ELH2" s="528"/>
      <c r="ELI2" s="528"/>
      <c r="ELJ2" s="528"/>
      <c r="ELK2" s="528"/>
      <c r="ELL2" s="528"/>
      <c r="ELM2" s="528"/>
      <c r="ELN2" s="528"/>
      <c r="ELO2" s="528"/>
      <c r="ELP2" s="528"/>
      <c r="ELQ2" s="528"/>
      <c r="ELR2" s="528"/>
      <c r="ELS2" s="528"/>
      <c r="ELT2" s="528"/>
      <c r="ELU2" s="528"/>
      <c r="ELV2" s="528"/>
      <c r="ELW2" s="528"/>
      <c r="ELX2" s="528"/>
      <c r="ELY2" s="528"/>
      <c r="ELZ2" s="528"/>
      <c r="EMA2" s="528"/>
      <c r="EMB2" s="528"/>
      <c r="EMC2" s="528"/>
      <c r="EMD2" s="528"/>
      <c r="EME2" s="528"/>
      <c r="EMF2" s="528"/>
      <c r="EMG2" s="528"/>
      <c r="EMH2" s="528"/>
      <c r="EMI2" s="528"/>
      <c r="EMJ2" s="528"/>
      <c r="EMK2" s="528"/>
      <c r="EML2" s="528"/>
      <c r="EMM2" s="528"/>
      <c r="EMN2" s="528"/>
      <c r="EMO2" s="528"/>
      <c r="EMP2" s="528"/>
      <c r="EMQ2" s="528"/>
      <c r="EMR2" s="528"/>
      <c r="EMS2" s="528"/>
      <c r="EMT2" s="528"/>
      <c r="EMU2" s="528"/>
      <c r="EMV2" s="528"/>
      <c r="EMW2" s="528"/>
      <c r="EMX2" s="528"/>
      <c r="EMY2" s="528"/>
      <c r="EMZ2" s="528"/>
      <c r="ENA2" s="528"/>
      <c r="ENB2" s="528"/>
      <c r="ENC2" s="528"/>
      <c r="END2" s="528"/>
      <c r="ENE2" s="528"/>
      <c r="ENF2" s="528"/>
      <c r="ENG2" s="528"/>
      <c r="ENH2" s="528"/>
      <c r="ENI2" s="528"/>
      <c r="ENJ2" s="528"/>
      <c r="ENK2" s="528"/>
      <c r="ENL2" s="528"/>
      <c r="ENM2" s="528"/>
      <c r="ENN2" s="528"/>
      <c r="ENO2" s="528"/>
      <c r="ENP2" s="528"/>
      <c r="ENQ2" s="528"/>
      <c r="ENR2" s="528"/>
      <c r="ENS2" s="528"/>
      <c r="ENT2" s="528"/>
      <c r="ENU2" s="528"/>
      <c r="ENV2" s="528"/>
      <c r="ENW2" s="528"/>
      <c r="ENX2" s="528"/>
      <c r="ENY2" s="528"/>
      <c r="ENZ2" s="528"/>
      <c r="EOA2" s="528"/>
      <c r="EOB2" s="528"/>
      <c r="EOC2" s="528"/>
      <c r="EOD2" s="528"/>
      <c r="EOE2" s="528"/>
      <c r="EOF2" s="528"/>
      <c r="EOG2" s="528"/>
      <c r="EOH2" s="528"/>
      <c r="EOI2" s="528"/>
      <c r="EOJ2" s="528"/>
      <c r="EOK2" s="528"/>
      <c r="EOL2" s="528"/>
      <c r="EOM2" s="528"/>
      <c r="EON2" s="528"/>
      <c r="EOO2" s="528"/>
      <c r="EOP2" s="528"/>
      <c r="EOQ2" s="528"/>
      <c r="EOR2" s="528"/>
      <c r="EOS2" s="528"/>
      <c r="EOT2" s="528"/>
      <c r="EOU2" s="528"/>
      <c r="EOV2" s="528"/>
      <c r="EOW2" s="528"/>
      <c r="EOX2" s="528"/>
      <c r="EOY2" s="528"/>
      <c r="EOZ2" s="528"/>
      <c r="EPA2" s="528"/>
      <c r="EPB2" s="528"/>
      <c r="EPC2" s="528"/>
      <c r="EPD2" s="528"/>
      <c r="EPE2" s="528"/>
      <c r="EPF2" s="528"/>
      <c r="EPG2" s="528"/>
      <c r="EPH2" s="528"/>
      <c r="EPI2" s="528"/>
      <c r="EPJ2" s="528"/>
      <c r="EPK2" s="528"/>
      <c r="EPL2" s="528"/>
      <c r="EPM2" s="528"/>
      <c r="EPN2" s="528"/>
      <c r="EPO2" s="528"/>
      <c r="EPP2" s="528"/>
      <c r="EPQ2" s="528"/>
      <c r="EPR2" s="528"/>
      <c r="EPS2" s="528"/>
      <c r="EPT2" s="528"/>
      <c r="EPU2" s="528"/>
      <c r="EPV2" s="528"/>
      <c r="EPW2" s="528"/>
      <c r="EPX2" s="528"/>
      <c r="EPY2" s="528"/>
      <c r="EPZ2" s="528"/>
      <c r="EQA2" s="528"/>
      <c r="EQB2" s="528"/>
      <c r="EQC2" s="528"/>
      <c r="EQD2" s="528"/>
      <c r="EQE2" s="528"/>
      <c r="EQF2" s="528"/>
      <c r="EQG2" s="528"/>
      <c r="EQH2" s="528"/>
      <c r="EQI2" s="528"/>
      <c r="EQJ2" s="528"/>
      <c r="EQK2" s="528"/>
      <c r="EQL2" s="528"/>
      <c r="EQM2" s="528"/>
      <c r="EQN2" s="528"/>
      <c r="EQO2" s="528"/>
      <c r="EQP2" s="528"/>
      <c r="EQQ2" s="528"/>
      <c r="EQR2" s="528"/>
      <c r="EQS2" s="528"/>
      <c r="EQT2" s="528"/>
      <c r="EQU2" s="528"/>
      <c r="EQV2" s="528"/>
      <c r="EQW2" s="528"/>
      <c r="EQX2" s="528"/>
      <c r="EQY2" s="528"/>
      <c r="EQZ2" s="528"/>
      <c r="ERA2" s="528"/>
      <c r="ERB2" s="528"/>
      <c r="ERC2" s="528"/>
      <c r="ERD2" s="528"/>
      <c r="ERE2" s="528"/>
      <c r="ERF2" s="528"/>
      <c r="ERG2" s="528"/>
      <c r="ERH2" s="528"/>
      <c r="ERI2" s="528"/>
      <c r="ERJ2" s="528"/>
      <c r="ERK2" s="528"/>
      <c r="ERL2" s="528"/>
      <c r="ERM2" s="528"/>
      <c r="ERN2" s="528"/>
      <c r="ERO2" s="528"/>
      <c r="ERP2" s="528"/>
      <c r="ERQ2" s="528"/>
      <c r="ERR2" s="528"/>
      <c r="ERS2" s="528"/>
      <c r="ERT2" s="528"/>
      <c r="ERU2" s="528"/>
      <c r="ERV2" s="528"/>
      <c r="ERW2" s="528"/>
      <c r="ERX2" s="528"/>
      <c r="ERY2" s="528"/>
      <c r="ERZ2" s="528"/>
      <c r="ESA2" s="528"/>
      <c r="ESB2" s="528"/>
      <c r="ESC2" s="528"/>
      <c r="ESD2" s="528"/>
      <c r="ESE2" s="528"/>
      <c r="ESF2" s="528"/>
      <c r="ESG2" s="528"/>
      <c r="ESH2" s="528"/>
      <c r="ESI2" s="528"/>
      <c r="ESJ2" s="528"/>
      <c r="ESK2" s="528"/>
      <c r="ESL2" s="528"/>
      <c r="ESM2" s="528"/>
      <c r="ESN2" s="528"/>
      <c r="ESO2" s="528"/>
      <c r="ESP2" s="528"/>
      <c r="ESQ2" s="528"/>
      <c r="ESR2" s="528"/>
      <c r="ESS2" s="528"/>
      <c r="EST2" s="528"/>
      <c r="ESU2" s="528"/>
      <c r="ESV2" s="528"/>
      <c r="ESW2" s="528"/>
      <c r="ESX2" s="528"/>
      <c r="ESY2" s="528"/>
      <c r="ESZ2" s="528"/>
      <c r="ETA2" s="528"/>
      <c r="ETB2" s="528"/>
      <c r="ETC2" s="528"/>
      <c r="ETD2" s="528"/>
      <c r="ETE2" s="528"/>
      <c r="ETF2" s="528"/>
      <c r="ETG2" s="528"/>
      <c r="ETH2" s="528"/>
      <c r="ETI2" s="528"/>
      <c r="ETJ2" s="528"/>
      <c r="ETK2" s="528"/>
      <c r="ETL2" s="528"/>
      <c r="ETM2" s="528"/>
      <c r="ETN2" s="528"/>
      <c r="ETO2" s="528"/>
      <c r="ETP2" s="528"/>
      <c r="ETQ2" s="528"/>
      <c r="ETR2" s="528"/>
      <c r="ETS2" s="528"/>
      <c r="ETT2" s="528"/>
      <c r="ETU2" s="528"/>
      <c r="ETV2" s="528"/>
      <c r="ETW2" s="528"/>
      <c r="ETX2" s="528"/>
      <c r="ETY2" s="528"/>
      <c r="ETZ2" s="528"/>
      <c r="EUA2" s="528"/>
      <c r="EUB2" s="528"/>
      <c r="EUC2" s="528"/>
      <c r="EUD2" s="528"/>
      <c r="EUE2" s="528"/>
      <c r="EUF2" s="528"/>
      <c r="EUG2" s="528"/>
      <c r="EUH2" s="528"/>
      <c r="EUI2" s="528"/>
      <c r="EUJ2" s="528"/>
      <c r="EUK2" s="528"/>
      <c r="EUL2" s="528"/>
      <c r="EUM2" s="528"/>
      <c r="EUN2" s="528"/>
      <c r="EUO2" s="528"/>
      <c r="EUP2" s="528"/>
      <c r="EUQ2" s="528"/>
      <c r="EUR2" s="528"/>
      <c r="EUS2" s="528"/>
      <c r="EUT2" s="528"/>
      <c r="EUU2" s="528"/>
      <c r="EUV2" s="528"/>
      <c r="EUW2" s="528"/>
      <c r="EUX2" s="528"/>
      <c r="EUY2" s="528"/>
      <c r="EUZ2" s="528"/>
      <c r="EVA2" s="528"/>
      <c r="EVB2" s="528"/>
      <c r="EVC2" s="528"/>
      <c r="EVD2" s="528"/>
      <c r="EVE2" s="528"/>
      <c r="EVF2" s="528"/>
      <c r="EVG2" s="528"/>
      <c r="EVH2" s="528"/>
      <c r="EVI2" s="528"/>
      <c r="EVJ2" s="528"/>
      <c r="EVK2" s="528"/>
      <c r="EVL2" s="528"/>
      <c r="EVM2" s="528"/>
      <c r="EVN2" s="528"/>
      <c r="EVO2" s="528"/>
      <c r="EVP2" s="528"/>
      <c r="EVQ2" s="528"/>
      <c r="EVR2" s="528"/>
      <c r="EVS2" s="528"/>
      <c r="EVT2" s="528"/>
      <c r="EVU2" s="528"/>
      <c r="EVV2" s="528"/>
      <c r="EVW2" s="528"/>
      <c r="EVX2" s="528"/>
      <c r="EVY2" s="528"/>
      <c r="EVZ2" s="528"/>
      <c r="EWA2" s="528"/>
      <c r="EWB2" s="528"/>
      <c r="EWC2" s="528"/>
      <c r="EWD2" s="528"/>
      <c r="EWE2" s="528"/>
      <c r="EWF2" s="528"/>
      <c r="EWG2" s="528"/>
      <c r="EWH2" s="528"/>
      <c r="EWI2" s="528"/>
      <c r="EWJ2" s="528"/>
      <c r="EWK2" s="528"/>
      <c r="EWL2" s="528"/>
      <c r="EWM2" s="528"/>
      <c r="EWN2" s="528"/>
      <c r="EWO2" s="528"/>
      <c r="EWP2" s="528"/>
      <c r="EWQ2" s="528"/>
      <c r="EWR2" s="528"/>
      <c r="EWS2" s="528"/>
      <c r="EWT2" s="528"/>
      <c r="EWU2" s="528"/>
      <c r="EWV2" s="528"/>
      <c r="EWW2" s="528"/>
      <c r="EWX2" s="528"/>
      <c r="EWY2" s="528"/>
      <c r="EWZ2" s="528"/>
      <c r="EXA2" s="528"/>
      <c r="EXB2" s="528"/>
      <c r="EXC2" s="528"/>
      <c r="EXD2" s="528"/>
      <c r="EXE2" s="528"/>
      <c r="EXF2" s="528"/>
      <c r="EXG2" s="528"/>
      <c r="EXH2" s="528"/>
      <c r="EXI2" s="528"/>
      <c r="EXJ2" s="528"/>
      <c r="EXK2" s="528"/>
      <c r="EXL2" s="528"/>
      <c r="EXM2" s="528"/>
      <c r="EXN2" s="528"/>
      <c r="EXO2" s="528"/>
      <c r="EXP2" s="528"/>
      <c r="EXQ2" s="528"/>
      <c r="EXR2" s="528"/>
      <c r="EXS2" s="528"/>
      <c r="EXT2" s="528"/>
      <c r="EXU2" s="528"/>
      <c r="EXV2" s="528"/>
      <c r="EXW2" s="528"/>
      <c r="EXX2" s="528"/>
      <c r="EXY2" s="528"/>
      <c r="EXZ2" s="528"/>
      <c r="EYA2" s="528"/>
      <c r="EYB2" s="528"/>
      <c r="EYC2" s="528"/>
      <c r="EYD2" s="528"/>
      <c r="EYE2" s="528"/>
      <c r="EYF2" s="528"/>
      <c r="EYG2" s="528"/>
      <c r="EYH2" s="528"/>
      <c r="EYI2" s="528"/>
      <c r="EYJ2" s="528"/>
      <c r="EYK2" s="528"/>
      <c r="EYL2" s="528"/>
      <c r="EYM2" s="528"/>
      <c r="EYN2" s="528"/>
      <c r="EYO2" s="528"/>
      <c r="EYP2" s="528"/>
      <c r="EYQ2" s="528"/>
      <c r="EYR2" s="528"/>
      <c r="EYS2" s="528"/>
      <c r="EYT2" s="528"/>
      <c r="EYU2" s="528"/>
      <c r="EYV2" s="528"/>
      <c r="EYW2" s="528"/>
      <c r="EYX2" s="528"/>
      <c r="EYY2" s="528"/>
      <c r="EYZ2" s="528"/>
      <c r="EZA2" s="528"/>
      <c r="EZB2" s="528"/>
      <c r="EZC2" s="528"/>
      <c r="EZD2" s="528"/>
      <c r="EZE2" s="528"/>
      <c r="EZF2" s="528"/>
      <c r="EZG2" s="528"/>
      <c r="EZH2" s="528"/>
      <c r="EZI2" s="528"/>
      <c r="EZJ2" s="528"/>
      <c r="EZK2" s="528"/>
      <c r="EZL2" s="528"/>
      <c r="EZM2" s="528"/>
      <c r="EZN2" s="528"/>
      <c r="EZO2" s="528"/>
      <c r="EZP2" s="528"/>
      <c r="EZQ2" s="528"/>
      <c r="EZR2" s="528"/>
      <c r="EZS2" s="528"/>
      <c r="EZT2" s="528"/>
      <c r="EZU2" s="528"/>
      <c r="EZV2" s="528"/>
      <c r="EZW2" s="528"/>
      <c r="EZX2" s="528"/>
      <c r="EZY2" s="528"/>
      <c r="EZZ2" s="528"/>
      <c r="FAA2" s="528"/>
      <c r="FAB2" s="528"/>
      <c r="FAC2" s="528"/>
      <c r="FAD2" s="528"/>
      <c r="FAE2" s="528"/>
      <c r="FAF2" s="528"/>
      <c r="FAG2" s="528"/>
      <c r="FAH2" s="528"/>
      <c r="FAI2" s="528"/>
      <c r="FAJ2" s="528"/>
      <c r="FAK2" s="528"/>
      <c r="FAL2" s="528"/>
      <c r="FAM2" s="528"/>
      <c r="FAN2" s="528"/>
      <c r="FAO2" s="528"/>
      <c r="FAP2" s="528"/>
      <c r="FAQ2" s="528"/>
      <c r="FAR2" s="528"/>
      <c r="FAS2" s="528"/>
      <c r="FAT2" s="528"/>
      <c r="FAU2" s="528"/>
      <c r="FAV2" s="528"/>
      <c r="FAW2" s="528"/>
      <c r="FAX2" s="528"/>
      <c r="FAY2" s="528"/>
      <c r="FAZ2" s="528"/>
      <c r="FBA2" s="528"/>
      <c r="FBB2" s="528"/>
      <c r="FBC2" s="528"/>
      <c r="FBD2" s="528"/>
      <c r="FBE2" s="528"/>
      <c r="FBF2" s="528"/>
      <c r="FBG2" s="528"/>
      <c r="FBH2" s="528"/>
      <c r="FBI2" s="528"/>
      <c r="FBJ2" s="528"/>
      <c r="FBK2" s="528"/>
      <c r="FBL2" s="528"/>
      <c r="FBM2" s="528"/>
      <c r="FBN2" s="528"/>
      <c r="FBO2" s="528"/>
      <c r="FBP2" s="528"/>
      <c r="FBQ2" s="528"/>
      <c r="FBR2" s="528"/>
      <c r="FBS2" s="528"/>
      <c r="FBT2" s="528"/>
      <c r="FBU2" s="528"/>
      <c r="FBV2" s="528"/>
      <c r="FBW2" s="528"/>
      <c r="FBX2" s="528"/>
      <c r="FBY2" s="528"/>
      <c r="FBZ2" s="528"/>
      <c r="FCA2" s="528"/>
      <c r="FCB2" s="528"/>
      <c r="FCC2" s="528"/>
      <c r="FCD2" s="528"/>
      <c r="FCE2" s="528"/>
      <c r="FCF2" s="528"/>
      <c r="FCG2" s="528"/>
      <c r="FCH2" s="528"/>
      <c r="FCI2" s="528"/>
      <c r="FCJ2" s="528"/>
      <c r="FCK2" s="528"/>
      <c r="FCL2" s="528"/>
      <c r="FCM2" s="528"/>
      <c r="FCN2" s="528"/>
      <c r="FCO2" s="528"/>
      <c r="FCP2" s="528"/>
      <c r="FCQ2" s="528"/>
      <c r="FCR2" s="528"/>
      <c r="FCS2" s="528"/>
      <c r="FCT2" s="528"/>
      <c r="FCU2" s="528"/>
      <c r="FCV2" s="528"/>
      <c r="FCW2" s="528"/>
      <c r="FCX2" s="528"/>
      <c r="FCY2" s="528"/>
      <c r="FCZ2" s="528"/>
      <c r="FDA2" s="528"/>
      <c r="FDB2" s="528"/>
      <c r="FDC2" s="528"/>
      <c r="FDD2" s="528"/>
      <c r="FDE2" s="528"/>
      <c r="FDF2" s="528"/>
      <c r="FDG2" s="528"/>
      <c r="FDH2" s="528"/>
      <c r="FDI2" s="528"/>
      <c r="FDJ2" s="528"/>
      <c r="FDK2" s="528"/>
      <c r="FDL2" s="528"/>
      <c r="FDM2" s="528"/>
      <c r="FDN2" s="528"/>
      <c r="FDO2" s="528"/>
      <c r="FDP2" s="528"/>
      <c r="FDQ2" s="528"/>
      <c r="FDR2" s="528"/>
      <c r="FDS2" s="528"/>
      <c r="FDT2" s="528"/>
      <c r="FDU2" s="528"/>
      <c r="FDV2" s="528"/>
      <c r="FDW2" s="528"/>
      <c r="FDX2" s="528"/>
      <c r="FDY2" s="528"/>
      <c r="FDZ2" s="528"/>
      <c r="FEA2" s="528"/>
      <c r="FEB2" s="528"/>
      <c r="FEC2" s="528"/>
      <c r="FED2" s="528"/>
      <c r="FEE2" s="528"/>
      <c r="FEF2" s="528"/>
      <c r="FEG2" s="528"/>
      <c r="FEH2" s="528"/>
      <c r="FEI2" s="528"/>
      <c r="FEJ2" s="528"/>
      <c r="FEK2" s="528"/>
      <c r="FEL2" s="528"/>
      <c r="FEM2" s="528"/>
      <c r="FEN2" s="528"/>
      <c r="FEO2" s="528"/>
      <c r="FEP2" s="528"/>
      <c r="FEQ2" s="528"/>
      <c r="FER2" s="528"/>
      <c r="FES2" s="528"/>
      <c r="FET2" s="528"/>
      <c r="FEU2" s="528"/>
      <c r="FEV2" s="528"/>
      <c r="FEW2" s="528"/>
      <c r="FEX2" s="528"/>
      <c r="FEY2" s="528"/>
      <c r="FEZ2" s="528"/>
      <c r="FFA2" s="528"/>
      <c r="FFB2" s="528"/>
      <c r="FFC2" s="528"/>
      <c r="FFD2" s="528"/>
      <c r="FFE2" s="528"/>
      <c r="FFF2" s="528"/>
      <c r="FFG2" s="528"/>
      <c r="FFH2" s="528"/>
      <c r="FFI2" s="528"/>
      <c r="FFJ2" s="528"/>
      <c r="FFK2" s="528"/>
      <c r="FFL2" s="528"/>
      <c r="FFM2" s="528"/>
      <c r="FFN2" s="528"/>
      <c r="FFO2" s="528"/>
      <c r="FFP2" s="528"/>
      <c r="FFQ2" s="528"/>
      <c r="FFR2" s="528"/>
      <c r="FFS2" s="528"/>
      <c r="FFT2" s="528"/>
      <c r="FFU2" s="528"/>
      <c r="FFV2" s="528"/>
      <c r="FFW2" s="528"/>
      <c r="FFX2" s="528"/>
      <c r="FFY2" s="528"/>
      <c r="FFZ2" s="528"/>
      <c r="FGA2" s="528"/>
      <c r="FGB2" s="528"/>
      <c r="FGC2" s="528"/>
      <c r="FGD2" s="528"/>
      <c r="FGE2" s="528"/>
      <c r="FGF2" s="528"/>
      <c r="FGG2" s="528"/>
      <c r="FGH2" s="528"/>
      <c r="FGI2" s="528"/>
      <c r="FGJ2" s="528"/>
      <c r="FGK2" s="528"/>
      <c r="FGL2" s="528"/>
      <c r="FGM2" s="528"/>
      <c r="FGN2" s="528"/>
      <c r="FGO2" s="528"/>
      <c r="FGP2" s="528"/>
      <c r="FGQ2" s="528"/>
      <c r="FGR2" s="528"/>
      <c r="FGS2" s="528"/>
      <c r="FGT2" s="528"/>
      <c r="FGU2" s="528"/>
      <c r="FGV2" s="528"/>
      <c r="FGW2" s="528"/>
      <c r="FGX2" s="528"/>
      <c r="FGY2" s="528"/>
      <c r="FGZ2" s="528"/>
      <c r="FHA2" s="528"/>
      <c r="FHB2" s="528"/>
      <c r="FHC2" s="528"/>
      <c r="FHD2" s="528"/>
      <c r="FHE2" s="528"/>
      <c r="FHF2" s="528"/>
      <c r="FHG2" s="528"/>
      <c r="FHH2" s="528"/>
      <c r="FHI2" s="528"/>
      <c r="FHJ2" s="528"/>
      <c r="FHK2" s="528"/>
      <c r="FHL2" s="528"/>
      <c r="FHM2" s="528"/>
      <c r="FHN2" s="528"/>
      <c r="FHO2" s="528"/>
      <c r="FHP2" s="528"/>
      <c r="FHQ2" s="528"/>
      <c r="FHR2" s="528"/>
      <c r="FHS2" s="528"/>
      <c r="FHT2" s="528"/>
      <c r="FHU2" s="528"/>
      <c r="FHV2" s="528"/>
      <c r="FHW2" s="528"/>
      <c r="FHX2" s="528"/>
      <c r="FHY2" s="528"/>
      <c r="FHZ2" s="528"/>
      <c r="FIA2" s="528"/>
      <c r="FIB2" s="528"/>
      <c r="FIC2" s="528"/>
      <c r="FID2" s="528"/>
      <c r="FIE2" s="528"/>
      <c r="FIF2" s="528"/>
      <c r="FIG2" s="528"/>
      <c r="FIH2" s="528"/>
      <c r="FII2" s="528"/>
      <c r="FIJ2" s="528"/>
      <c r="FIK2" s="528"/>
      <c r="FIL2" s="528"/>
      <c r="FIM2" s="528"/>
      <c r="FIN2" s="528"/>
      <c r="FIO2" s="528"/>
      <c r="FIP2" s="528"/>
      <c r="FIQ2" s="528"/>
      <c r="FIR2" s="528"/>
      <c r="FIS2" s="528"/>
      <c r="FIT2" s="528"/>
      <c r="FIU2" s="528"/>
      <c r="FIV2" s="528"/>
      <c r="FIW2" s="528"/>
      <c r="FIX2" s="528"/>
      <c r="FIY2" s="528"/>
      <c r="FIZ2" s="528"/>
      <c r="FJA2" s="528"/>
      <c r="FJB2" s="528"/>
      <c r="FJC2" s="528"/>
      <c r="FJD2" s="528"/>
      <c r="FJE2" s="528"/>
      <c r="FJF2" s="528"/>
      <c r="FJG2" s="528"/>
      <c r="FJH2" s="528"/>
      <c r="FJI2" s="528"/>
      <c r="FJJ2" s="528"/>
      <c r="FJK2" s="528"/>
      <c r="FJL2" s="528"/>
      <c r="FJM2" s="528"/>
      <c r="FJN2" s="528"/>
      <c r="FJO2" s="528"/>
      <c r="FJP2" s="528"/>
      <c r="FJQ2" s="528"/>
      <c r="FJR2" s="528"/>
      <c r="FJS2" s="528"/>
      <c r="FJT2" s="528"/>
      <c r="FJU2" s="528"/>
      <c r="FJV2" s="528"/>
      <c r="FJW2" s="528"/>
      <c r="FJX2" s="528"/>
      <c r="FJY2" s="528"/>
      <c r="FJZ2" s="528"/>
      <c r="FKA2" s="528"/>
      <c r="FKB2" s="528"/>
      <c r="FKC2" s="528"/>
      <c r="FKD2" s="528"/>
      <c r="FKE2" s="528"/>
      <c r="FKF2" s="528"/>
      <c r="FKG2" s="528"/>
      <c r="FKH2" s="528"/>
      <c r="FKI2" s="528"/>
      <c r="FKJ2" s="528"/>
      <c r="FKK2" s="528"/>
      <c r="FKL2" s="528"/>
      <c r="FKM2" s="528"/>
      <c r="FKN2" s="528"/>
      <c r="FKO2" s="528"/>
      <c r="FKP2" s="528"/>
      <c r="FKQ2" s="528"/>
      <c r="FKR2" s="528"/>
      <c r="FKS2" s="528"/>
      <c r="FKT2" s="528"/>
      <c r="FKU2" s="528"/>
      <c r="FKV2" s="528"/>
      <c r="FKW2" s="528"/>
      <c r="FKX2" s="528"/>
      <c r="FKY2" s="528"/>
      <c r="FKZ2" s="528"/>
      <c r="FLA2" s="528"/>
      <c r="FLB2" s="528"/>
      <c r="FLC2" s="528"/>
      <c r="FLD2" s="528"/>
      <c r="FLE2" s="528"/>
      <c r="FLF2" s="528"/>
      <c r="FLG2" s="528"/>
      <c r="FLH2" s="528"/>
      <c r="FLI2" s="528"/>
      <c r="FLJ2" s="528"/>
      <c r="FLK2" s="528"/>
      <c r="FLL2" s="528"/>
      <c r="FLM2" s="528"/>
      <c r="FLN2" s="528"/>
      <c r="FLO2" s="528"/>
      <c r="FLP2" s="528"/>
      <c r="FLQ2" s="528"/>
      <c r="FLR2" s="528"/>
      <c r="FLS2" s="528"/>
      <c r="FLT2" s="528"/>
      <c r="FLU2" s="528"/>
      <c r="FLV2" s="528"/>
      <c r="FLW2" s="528"/>
      <c r="FLX2" s="528"/>
      <c r="FLY2" s="528"/>
      <c r="FLZ2" s="528"/>
      <c r="FMA2" s="528"/>
      <c r="FMB2" s="528"/>
      <c r="FMC2" s="528"/>
      <c r="FMD2" s="528"/>
      <c r="FME2" s="528"/>
      <c r="FMF2" s="528"/>
      <c r="FMG2" s="528"/>
      <c r="FMH2" s="528"/>
      <c r="FMI2" s="528"/>
      <c r="FMJ2" s="528"/>
      <c r="FMK2" s="528"/>
      <c r="FML2" s="528"/>
      <c r="FMM2" s="528"/>
      <c r="FMN2" s="528"/>
      <c r="FMO2" s="528"/>
      <c r="FMP2" s="528"/>
      <c r="FMQ2" s="528"/>
      <c r="FMR2" s="528"/>
      <c r="FMS2" s="528"/>
      <c r="FMT2" s="528"/>
      <c r="FMU2" s="528"/>
      <c r="FMV2" s="528"/>
      <c r="FMW2" s="528"/>
      <c r="FMX2" s="528"/>
      <c r="FMY2" s="528"/>
      <c r="FMZ2" s="528"/>
      <c r="FNA2" s="528"/>
      <c r="FNB2" s="528"/>
      <c r="FNC2" s="528"/>
      <c r="FND2" s="528"/>
      <c r="FNE2" s="528"/>
      <c r="FNF2" s="528"/>
      <c r="FNG2" s="528"/>
      <c r="FNH2" s="528"/>
      <c r="FNI2" s="528"/>
      <c r="FNJ2" s="528"/>
      <c r="FNK2" s="528"/>
      <c r="FNL2" s="528"/>
      <c r="FNM2" s="528"/>
      <c r="FNN2" s="528"/>
      <c r="FNO2" s="528"/>
      <c r="FNP2" s="528"/>
      <c r="FNQ2" s="528"/>
      <c r="FNR2" s="528"/>
      <c r="FNS2" s="528"/>
      <c r="FNT2" s="528"/>
      <c r="FNU2" s="528"/>
      <c r="FNV2" s="528"/>
      <c r="FNW2" s="528"/>
      <c r="FNX2" s="528"/>
      <c r="FNY2" s="528"/>
      <c r="FNZ2" s="528"/>
      <c r="FOA2" s="528"/>
      <c r="FOB2" s="528"/>
      <c r="FOC2" s="528"/>
      <c r="FOD2" s="528"/>
      <c r="FOE2" s="528"/>
      <c r="FOF2" s="528"/>
      <c r="FOG2" s="528"/>
      <c r="FOH2" s="528"/>
      <c r="FOI2" s="528"/>
      <c r="FOJ2" s="528"/>
      <c r="FOK2" s="528"/>
      <c r="FOL2" s="528"/>
      <c r="FOM2" s="528"/>
      <c r="FON2" s="528"/>
      <c r="FOO2" s="528"/>
      <c r="FOP2" s="528"/>
      <c r="FOQ2" s="528"/>
      <c r="FOR2" s="528"/>
      <c r="FOS2" s="528"/>
      <c r="FOT2" s="528"/>
      <c r="FOU2" s="528"/>
      <c r="FOV2" s="528"/>
      <c r="FOW2" s="528"/>
      <c r="FOX2" s="528"/>
      <c r="FOY2" s="528"/>
      <c r="FOZ2" s="528"/>
      <c r="FPA2" s="528"/>
      <c r="FPB2" s="528"/>
      <c r="FPC2" s="528"/>
      <c r="FPD2" s="528"/>
      <c r="FPE2" s="528"/>
      <c r="FPF2" s="528"/>
      <c r="FPG2" s="528"/>
      <c r="FPH2" s="528"/>
      <c r="FPI2" s="528"/>
      <c r="FPJ2" s="528"/>
      <c r="FPK2" s="528"/>
      <c r="FPL2" s="528"/>
      <c r="FPM2" s="528"/>
      <c r="FPN2" s="528"/>
      <c r="FPO2" s="528"/>
      <c r="FPP2" s="528"/>
      <c r="FPQ2" s="528"/>
      <c r="FPR2" s="528"/>
      <c r="FPS2" s="528"/>
      <c r="FPT2" s="528"/>
      <c r="FPU2" s="528"/>
      <c r="FPV2" s="528"/>
      <c r="FPW2" s="528"/>
      <c r="FPX2" s="528"/>
      <c r="FPY2" s="528"/>
      <c r="FPZ2" s="528"/>
      <c r="FQA2" s="528"/>
      <c r="FQB2" s="528"/>
      <c r="FQC2" s="528"/>
      <c r="FQD2" s="528"/>
      <c r="FQE2" s="528"/>
      <c r="FQF2" s="528"/>
      <c r="FQG2" s="528"/>
      <c r="FQH2" s="528"/>
      <c r="FQI2" s="528"/>
      <c r="FQJ2" s="528"/>
      <c r="FQK2" s="528"/>
      <c r="FQL2" s="528"/>
      <c r="FQM2" s="528"/>
      <c r="FQN2" s="528"/>
      <c r="FQO2" s="528"/>
      <c r="FQP2" s="528"/>
      <c r="FQQ2" s="528"/>
      <c r="FQR2" s="528"/>
      <c r="FQS2" s="528"/>
      <c r="FQT2" s="528"/>
      <c r="FQU2" s="528"/>
      <c r="FQV2" s="528"/>
      <c r="FQW2" s="528"/>
      <c r="FQX2" s="528"/>
      <c r="FQY2" s="528"/>
      <c r="FQZ2" s="528"/>
      <c r="FRA2" s="528"/>
      <c r="FRB2" s="528"/>
      <c r="FRC2" s="528"/>
      <c r="FRD2" s="528"/>
      <c r="FRE2" s="528"/>
      <c r="FRF2" s="528"/>
      <c r="FRG2" s="528"/>
      <c r="FRH2" s="528"/>
      <c r="FRI2" s="528"/>
      <c r="FRJ2" s="528"/>
      <c r="FRK2" s="528"/>
      <c r="FRL2" s="528"/>
      <c r="FRM2" s="528"/>
      <c r="FRN2" s="528"/>
      <c r="FRO2" s="528"/>
      <c r="FRP2" s="528"/>
      <c r="FRQ2" s="528"/>
      <c r="FRR2" s="528"/>
      <c r="FRS2" s="528"/>
      <c r="FRT2" s="528"/>
      <c r="FRU2" s="528"/>
      <c r="FRV2" s="528"/>
      <c r="FRW2" s="528"/>
      <c r="FRX2" s="528"/>
      <c r="FRY2" s="528"/>
      <c r="FRZ2" s="528"/>
      <c r="FSA2" s="528"/>
      <c r="FSB2" s="528"/>
      <c r="FSC2" s="528"/>
      <c r="FSD2" s="528"/>
      <c r="FSE2" s="528"/>
      <c r="FSF2" s="528"/>
      <c r="FSG2" s="528"/>
      <c r="FSH2" s="528"/>
      <c r="FSI2" s="528"/>
      <c r="FSJ2" s="528"/>
      <c r="FSK2" s="528"/>
      <c r="FSL2" s="528"/>
      <c r="FSM2" s="528"/>
      <c r="FSN2" s="528"/>
      <c r="FSO2" s="528"/>
      <c r="FSP2" s="528"/>
      <c r="FSQ2" s="528"/>
      <c r="FSR2" s="528"/>
      <c r="FSS2" s="528"/>
      <c r="FST2" s="528"/>
      <c r="FSU2" s="528"/>
      <c r="FSV2" s="528"/>
      <c r="FSW2" s="528"/>
      <c r="FSX2" s="528"/>
      <c r="FSY2" s="528"/>
      <c r="FSZ2" s="528"/>
      <c r="FTA2" s="528"/>
      <c r="FTB2" s="528"/>
      <c r="FTC2" s="528"/>
      <c r="FTD2" s="528"/>
      <c r="FTE2" s="528"/>
      <c r="FTF2" s="528"/>
      <c r="FTG2" s="528"/>
      <c r="FTH2" s="528"/>
      <c r="FTI2" s="528"/>
      <c r="FTJ2" s="528"/>
      <c r="FTK2" s="528"/>
      <c r="FTL2" s="528"/>
      <c r="FTM2" s="528"/>
      <c r="FTN2" s="528"/>
      <c r="FTO2" s="528"/>
      <c r="FTP2" s="528"/>
      <c r="FTQ2" s="528"/>
      <c r="FTR2" s="528"/>
      <c r="FTS2" s="528"/>
      <c r="FTT2" s="528"/>
      <c r="FTU2" s="528"/>
      <c r="FTV2" s="528"/>
      <c r="FTW2" s="528"/>
      <c r="FTX2" s="528"/>
      <c r="FTY2" s="528"/>
      <c r="FTZ2" s="528"/>
      <c r="FUA2" s="528"/>
      <c r="FUB2" s="528"/>
      <c r="FUC2" s="528"/>
      <c r="FUD2" s="528"/>
      <c r="FUE2" s="528"/>
      <c r="FUF2" s="528"/>
      <c r="FUG2" s="528"/>
      <c r="FUH2" s="528"/>
      <c r="FUI2" s="528"/>
      <c r="FUJ2" s="528"/>
      <c r="FUK2" s="528"/>
      <c r="FUL2" s="528"/>
      <c r="FUM2" s="528"/>
      <c r="FUN2" s="528"/>
      <c r="FUO2" s="528"/>
      <c r="FUP2" s="528"/>
      <c r="FUQ2" s="528"/>
      <c r="FUR2" s="528"/>
      <c r="FUS2" s="528"/>
      <c r="FUT2" s="528"/>
      <c r="FUU2" s="528"/>
      <c r="FUV2" s="528"/>
      <c r="FUW2" s="528"/>
      <c r="FUX2" s="528"/>
      <c r="FUY2" s="528"/>
      <c r="FUZ2" s="528"/>
      <c r="FVA2" s="528"/>
      <c r="FVB2" s="528"/>
      <c r="FVC2" s="528"/>
      <c r="FVD2" s="528"/>
      <c r="FVE2" s="528"/>
      <c r="FVF2" s="528"/>
      <c r="FVG2" s="528"/>
      <c r="FVH2" s="528"/>
      <c r="FVI2" s="528"/>
      <c r="FVJ2" s="528"/>
      <c r="FVK2" s="528"/>
      <c r="FVL2" s="528"/>
      <c r="FVM2" s="528"/>
      <c r="FVN2" s="528"/>
      <c r="FVO2" s="528"/>
      <c r="FVP2" s="528"/>
      <c r="FVQ2" s="528"/>
      <c r="FVR2" s="528"/>
      <c r="FVS2" s="528"/>
      <c r="FVT2" s="528"/>
      <c r="FVU2" s="528"/>
      <c r="FVV2" s="528"/>
      <c r="FVW2" s="528"/>
      <c r="FVX2" s="528"/>
      <c r="FVY2" s="528"/>
      <c r="FVZ2" s="528"/>
      <c r="FWA2" s="528"/>
      <c r="FWB2" s="528"/>
      <c r="FWC2" s="528"/>
      <c r="FWD2" s="528"/>
      <c r="FWE2" s="528"/>
      <c r="FWF2" s="528"/>
      <c r="FWG2" s="528"/>
      <c r="FWH2" s="528"/>
      <c r="FWI2" s="528"/>
      <c r="FWJ2" s="528"/>
      <c r="FWK2" s="528"/>
      <c r="FWL2" s="528"/>
      <c r="FWM2" s="528"/>
      <c r="FWN2" s="528"/>
      <c r="FWO2" s="528"/>
      <c r="FWP2" s="528"/>
      <c r="FWQ2" s="528"/>
      <c r="FWR2" s="528"/>
      <c r="FWS2" s="528"/>
      <c r="FWT2" s="528"/>
      <c r="FWU2" s="528"/>
      <c r="FWV2" s="528"/>
      <c r="FWW2" s="528"/>
      <c r="FWX2" s="528"/>
      <c r="FWY2" s="528"/>
      <c r="FWZ2" s="528"/>
      <c r="FXA2" s="528"/>
      <c r="FXB2" s="528"/>
      <c r="FXC2" s="528"/>
      <c r="FXD2" s="528"/>
      <c r="FXE2" s="528"/>
      <c r="FXF2" s="528"/>
      <c r="FXG2" s="528"/>
      <c r="FXH2" s="528"/>
      <c r="FXI2" s="528"/>
      <c r="FXJ2" s="528"/>
      <c r="FXK2" s="528"/>
      <c r="FXL2" s="528"/>
      <c r="FXM2" s="528"/>
      <c r="FXN2" s="528"/>
      <c r="FXO2" s="528"/>
      <c r="FXP2" s="528"/>
      <c r="FXQ2" s="528"/>
      <c r="FXR2" s="528"/>
      <c r="FXS2" s="528"/>
      <c r="FXT2" s="528"/>
      <c r="FXU2" s="528"/>
      <c r="FXV2" s="528"/>
      <c r="FXW2" s="528"/>
      <c r="FXX2" s="528"/>
      <c r="FXY2" s="528"/>
      <c r="FXZ2" s="528"/>
      <c r="FYA2" s="528"/>
      <c r="FYB2" s="528"/>
      <c r="FYC2" s="528"/>
      <c r="FYD2" s="528"/>
      <c r="FYE2" s="528"/>
      <c r="FYF2" s="528"/>
      <c r="FYG2" s="528"/>
      <c r="FYH2" s="528"/>
      <c r="FYI2" s="528"/>
      <c r="FYJ2" s="528"/>
      <c r="FYK2" s="528"/>
      <c r="FYL2" s="528"/>
      <c r="FYM2" s="528"/>
      <c r="FYN2" s="528"/>
      <c r="FYO2" s="528"/>
      <c r="FYP2" s="528"/>
      <c r="FYQ2" s="528"/>
      <c r="FYR2" s="528"/>
      <c r="FYS2" s="528"/>
      <c r="FYT2" s="528"/>
      <c r="FYU2" s="528"/>
      <c r="FYV2" s="528"/>
      <c r="FYW2" s="528"/>
      <c r="FYX2" s="528"/>
      <c r="FYY2" s="528"/>
      <c r="FYZ2" s="528"/>
      <c r="FZA2" s="528"/>
      <c r="FZB2" s="528"/>
      <c r="FZC2" s="528"/>
      <c r="FZD2" s="528"/>
      <c r="FZE2" s="528"/>
      <c r="FZF2" s="528"/>
      <c r="FZG2" s="528"/>
      <c r="FZH2" s="528"/>
      <c r="FZI2" s="528"/>
      <c r="FZJ2" s="528"/>
      <c r="FZK2" s="528"/>
      <c r="FZL2" s="528"/>
      <c r="FZM2" s="528"/>
      <c r="FZN2" s="528"/>
      <c r="FZO2" s="528"/>
      <c r="FZP2" s="528"/>
      <c r="FZQ2" s="528"/>
      <c r="FZR2" s="528"/>
      <c r="FZS2" s="528"/>
      <c r="FZT2" s="528"/>
      <c r="FZU2" s="528"/>
      <c r="FZV2" s="528"/>
      <c r="FZW2" s="528"/>
      <c r="FZX2" s="528"/>
      <c r="FZY2" s="528"/>
      <c r="FZZ2" s="528"/>
      <c r="GAA2" s="528"/>
      <c r="GAB2" s="528"/>
      <c r="GAC2" s="528"/>
      <c r="GAD2" s="528"/>
      <c r="GAE2" s="528"/>
      <c r="GAF2" s="528"/>
      <c r="GAG2" s="528"/>
      <c r="GAH2" s="528"/>
      <c r="GAI2" s="528"/>
      <c r="GAJ2" s="528"/>
      <c r="GAK2" s="528"/>
      <c r="GAL2" s="528"/>
      <c r="GAM2" s="528"/>
      <c r="GAN2" s="528"/>
      <c r="GAO2" s="528"/>
      <c r="GAP2" s="528"/>
      <c r="GAQ2" s="528"/>
      <c r="GAR2" s="528"/>
      <c r="GAS2" s="528"/>
      <c r="GAT2" s="528"/>
      <c r="GAU2" s="528"/>
      <c r="GAV2" s="528"/>
      <c r="GAW2" s="528"/>
      <c r="GAX2" s="528"/>
      <c r="GAY2" s="528"/>
      <c r="GAZ2" s="528"/>
      <c r="GBA2" s="528"/>
      <c r="GBB2" s="528"/>
      <c r="GBC2" s="528"/>
      <c r="GBD2" s="528"/>
      <c r="GBE2" s="528"/>
      <c r="GBF2" s="528"/>
      <c r="GBG2" s="528"/>
      <c r="GBH2" s="528"/>
      <c r="GBI2" s="528"/>
      <c r="GBJ2" s="528"/>
      <c r="GBK2" s="528"/>
      <c r="GBL2" s="528"/>
      <c r="GBM2" s="528"/>
      <c r="GBN2" s="528"/>
      <c r="GBO2" s="528"/>
      <c r="GBP2" s="528"/>
      <c r="GBQ2" s="528"/>
      <c r="GBR2" s="528"/>
      <c r="GBS2" s="528"/>
      <c r="GBT2" s="528"/>
      <c r="GBU2" s="528"/>
      <c r="GBV2" s="528"/>
      <c r="GBW2" s="528"/>
      <c r="GBX2" s="528"/>
      <c r="GBY2" s="528"/>
      <c r="GBZ2" s="528"/>
      <c r="GCA2" s="528"/>
      <c r="GCB2" s="528"/>
      <c r="GCC2" s="528"/>
      <c r="GCD2" s="528"/>
      <c r="GCE2" s="528"/>
      <c r="GCF2" s="528"/>
      <c r="GCG2" s="528"/>
      <c r="GCH2" s="528"/>
      <c r="GCI2" s="528"/>
      <c r="GCJ2" s="528"/>
      <c r="GCK2" s="528"/>
      <c r="GCL2" s="528"/>
      <c r="GCM2" s="528"/>
      <c r="GCN2" s="528"/>
      <c r="GCO2" s="528"/>
      <c r="GCP2" s="528"/>
      <c r="GCQ2" s="528"/>
      <c r="GCR2" s="528"/>
      <c r="GCS2" s="528"/>
      <c r="GCT2" s="528"/>
      <c r="GCU2" s="528"/>
      <c r="GCV2" s="528"/>
      <c r="GCW2" s="528"/>
      <c r="GCX2" s="528"/>
      <c r="GCY2" s="528"/>
      <c r="GCZ2" s="528"/>
      <c r="GDA2" s="528"/>
      <c r="GDB2" s="528"/>
      <c r="GDC2" s="528"/>
      <c r="GDD2" s="528"/>
      <c r="GDE2" s="528"/>
      <c r="GDF2" s="528"/>
      <c r="GDG2" s="528"/>
      <c r="GDH2" s="528"/>
      <c r="GDI2" s="528"/>
      <c r="GDJ2" s="528"/>
      <c r="GDK2" s="528"/>
      <c r="GDL2" s="528"/>
      <c r="GDM2" s="528"/>
      <c r="GDN2" s="528"/>
      <c r="GDO2" s="528"/>
      <c r="GDP2" s="528"/>
      <c r="GDQ2" s="528"/>
      <c r="GDR2" s="528"/>
      <c r="GDS2" s="528"/>
      <c r="GDT2" s="528"/>
      <c r="GDU2" s="528"/>
      <c r="GDV2" s="528"/>
      <c r="GDW2" s="528"/>
      <c r="GDX2" s="528"/>
      <c r="GDY2" s="528"/>
      <c r="GDZ2" s="528"/>
      <c r="GEA2" s="528"/>
      <c r="GEB2" s="528"/>
      <c r="GEC2" s="528"/>
      <c r="GED2" s="528"/>
      <c r="GEE2" s="528"/>
      <c r="GEF2" s="528"/>
      <c r="GEG2" s="528"/>
      <c r="GEH2" s="528"/>
      <c r="GEI2" s="528"/>
      <c r="GEJ2" s="528"/>
      <c r="GEK2" s="528"/>
      <c r="GEL2" s="528"/>
      <c r="GEM2" s="528"/>
      <c r="GEN2" s="528"/>
      <c r="GEO2" s="528"/>
      <c r="GEP2" s="528"/>
      <c r="GEQ2" s="528"/>
      <c r="GER2" s="528"/>
      <c r="GES2" s="528"/>
      <c r="GET2" s="528"/>
      <c r="GEU2" s="528"/>
      <c r="GEV2" s="528"/>
      <c r="GEW2" s="528"/>
      <c r="GEX2" s="528"/>
      <c r="GEY2" s="528"/>
      <c r="GEZ2" s="528"/>
      <c r="GFA2" s="528"/>
      <c r="GFB2" s="528"/>
      <c r="GFC2" s="528"/>
      <c r="GFD2" s="528"/>
      <c r="GFE2" s="528"/>
      <c r="GFF2" s="528"/>
      <c r="GFG2" s="528"/>
      <c r="GFH2" s="528"/>
      <c r="GFI2" s="528"/>
      <c r="GFJ2" s="528"/>
      <c r="GFK2" s="528"/>
      <c r="GFL2" s="528"/>
      <c r="GFM2" s="528"/>
      <c r="GFN2" s="528"/>
      <c r="GFO2" s="528"/>
      <c r="GFP2" s="528"/>
      <c r="GFQ2" s="528"/>
      <c r="GFR2" s="528"/>
      <c r="GFS2" s="528"/>
      <c r="GFT2" s="528"/>
      <c r="GFU2" s="528"/>
      <c r="GFV2" s="528"/>
      <c r="GFW2" s="528"/>
      <c r="GFX2" s="528"/>
      <c r="GFY2" s="528"/>
      <c r="GFZ2" s="528"/>
      <c r="GGA2" s="528"/>
      <c r="GGB2" s="528"/>
      <c r="GGC2" s="528"/>
      <c r="GGD2" s="528"/>
      <c r="GGE2" s="528"/>
      <c r="GGF2" s="528"/>
      <c r="GGG2" s="528"/>
      <c r="GGH2" s="528"/>
      <c r="GGI2" s="528"/>
      <c r="GGJ2" s="528"/>
      <c r="GGK2" s="528"/>
      <c r="GGL2" s="528"/>
      <c r="GGM2" s="528"/>
      <c r="GGN2" s="528"/>
      <c r="GGO2" s="528"/>
      <c r="GGP2" s="528"/>
      <c r="GGQ2" s="528"/>
      <c r="GGR2" s="528"/>
      <c r="GGS2" s="528"/>
      <c r="GGT2" s="528"/>
      <c r="GGU2" s="528"/>
      <c r="GGV2" s="528"/>
      <c r="GGW2" s="528"/>
      <c r="GGX2" s="528"/>
      <c r="GGY2" s="528"/>
      <c r="GGZ2" s="528"/>
      <c r="GHA2" s="528"/>
      <c r="GHB2" s="528"/>
      <c r="GHC2" s="528"/>
      <c r="GHD2" s="528"/>
      <c r="GHE2" s="528"/>
      <c r="GHF2" s="528"/>
      <c r="GHG2" s="528"/>
      <c r="GHH2" s="528"/>
      <c r="GHI2" s="528"/>
      <c r="GHJ2" s="528"/>
      <c r="GHK2" s="528"/>
      <c r="GHL2" s="528"/>
      <c r="GHM2" s="528"/>
      <c r="GHN2" s="528"/>
      <c r="GHO2" s="528"/>
      <c r="GHP2" s="528"/>
      <c r="GHQ2" s="528"/>
      <c r="GHR2" s="528"/>
      <c r="GHS2" s="528"/>
      <c r="GHT2" s="528"/>
      <c r="GHU2" s="528"/>
      <c r="GHV2" s="528"/>
      <c r="GHW2" s="528"/>
      <c r="GHX2" s="528"/>
      <c r="GHY2" s="528"/>
      <c r="GHZ2" s="528"/>
      <c r="GIA2" s="528"/>
      <c r="GIB2" s="528"/>
      <c r="GIC2" s="528"/>
      <c r="GID2" s="528"/>
      <c r="GIE2" s="528"/>
      <c r="GIF2" s="528"/>
      <c r="GIG2" s="528"/>
      <c r="GIH2" s="528"/>
      <c r="GII2" s="528"/>
      <c r="GIJ2" s="528"/>
      <c r="GIK2" s="528"/>
      <c r="GIL2" s="528"/>
      <c r="GIM2" s="528"/>
      <c r="GIN2" s="528"/>
      <c r="GIO2" s="528"/>
      <c r="GIP2" s="528"/>
      <c r="GIQ2" s="528"/>
      <c r="GIR2" s="528"/>
      <c r="GIS2" s="528"/>
      <c r="GIT2" s="528"/>
      <c r="GIU2" s="528"/>
      <c r="GIV2" s="528"/>
      <c r="GIW2" s="528"/>
      <c r="GIX2" s="528"/>
      <c r="GIY2" s="528"/>
      <c r="GIZ2" s="528"/>
      <c r="GJA2" s="528"/>
      <c r="GJB2" s="528"/>
      <c r="GJC2" s="528"/>
      <c r="GJD2" s="528"/>
      <c r="GJE2" s="528"/>
      <c r="GJF2" s="528"/>
      <c r="GJG2" s="528"/>
      <c r="GJH2" s="528"/>
      <c r="GJI2" s="528"/>
      <c r="GJJ2" s="528"/>
      <c r="GJK2" s="528"/>
      <c r="GJL2" s="528"/>
      <c r="GJM2" s="528"/>
      <c r="GJN2" s="528"/>
      <c r="GJO2" s="528"/>
      <c r="GJP2" s="528"/>
      <c r="GJQ2" s="528"/>
      <c r="GJR2" s="528"/>
      <c r="GJS2" s="528"/>
      <c r="GJT2" s="528"/>
      <c r="GJU2" s="528"/>
      <c r="GJV2" s="528"/>
      <c r="GJW2" s="528"/>
      <c r="GJX2" s="528"/>
      <c r="GJY2" s="528"/>
      <c r="GJZ2" s="528"/>
      <c r="GKA2" s="528"/>
      <c r="GKB2" s="528"/>
      <c r="GKC2" s="528"/>
      <c r="GKD2" s="528"/>
      <c r="GKE2" s="528"/>
      <c r="GKF2" s="528"/>
      <c r="GKG2" s="528"/>
      <c r="GKH2" s="528"/>
      <c r="GKI2" s="528"/>
      <c r="GKJ2" s="528"/>
      <c r="GKK2" s="528"/>
      <c r="GKL2" s="528"/>
      <c r="GKM2" s="528"/>
      <c r="GKN2" s="528"/>
      <c r="GKO2" s="528"/>
      <c r="GKP2" s="528"/>
      <c r="GKQ2" s="528"/>
      <c r="GKR2" s="528"/>
      <c r="GKS2" s="528"/>
      <c r="GKT2" s="528"/>
      <c r="GKU2" s="528"/>
      <c r="GKV2" s="528"/>
      <c r="GKW2" s="528"/>
      <c r="GKX2" s="528"/>
      <c r="GKY2" s="528"/>
      <c r="GKZ2" s="528"/>
      <c r="GLA2" s="528"/>
      <c r="GLB2" s="528"/>
      <c r="GLC2" s="528"/>
      <c r="GLD2" s="528"/>
      <c r="GLE2" s="528"/>
      <c r="GLF2" s="528"/>
      <c r="GLG2" s="528"/>
      <c r="GLH2" s="528"/>
      <c r="GLI2" s="528"/>
      <c r="GLJ2" s="528"/>
      <c r="GLK2" s="528"/>
      <c r="GLL2" s="528"/>
      <c r="GLM2" s="528"/>
      <c r="GLN2" s="528"/>
      <c r="GLO2" s="528"/>
      <c r="GLP2" s="528"/>
      <c r="GLQ2" s="528"/>
      <c r="GLR2" s="528"/>
      <c r="GLS2" s="528"/>
      <c r="GLT2" s="528"/>
      <c r="GLU2" s="528"/>
      <c r="GLV2" s="528"/>
      <c r="GLW2" s="528"/>
      <c r="GLX2" s="528"/>
      <c r="GLY2" s="528"/>
      <c r="GLZ2" s="528"/>
      <c r="GMA2" s="528"/>
      <c r="GMB2" s="528"/>
      <c r="GMC2" s="528"/>
      <c r="GMD2" s="528"/>
      <c r="GME2" s="528"/>
      <c r="GMF2" s="528"/>
      <c r="GMG2" s="528"/>
      <c r="GMH2" s="528"/>
      <c r="GMI2" s="528"/>
      <c r="GMJ2" s="528"/>
      <c r="GMK2" s="528"/>
      <c r="GML2" s="528"/>
      <c r="GMM2" s="528"/>
      <c r="GMN2" s="528"/>
      <c r="GMO2" s="528"/>
      <c r="GMP2" s="528"/>
      <c r="GMQ2" s="528"/>
      <c r="GMR2" s="528"/>
      <c r="GMS2" s="528"/>
      <c r="GMT2" s="528"/>
      <c r="GMU2" s="528"/>
      <c r="GMV2" s="528"/>
      <c r="GMW2" s="528"/>
      <c r="GMX2" s="528"/>
      <c r="GMY2" s="528"/>
      <c r="GMZ2" s="528"/>
      <c r="GNA2" s="528"/>
      <c r="GNB2" s="528"/>
      <c r="GNC2" s="528"/>
      <c r="GND2" s="528"/>
      <c r="GNE2" s="528"/>
      <c r="GNF2" s="528"/>
      <c r="GNG2" s="528"/>
      <c r="GNH2" s="528"/>
      <c r="GNI2" s="528"/>
      <c r="GNJ2" s="528"/>
      <c r="GNK2" s="528"/>
      <c r="GNL2" s="528"/>
      <c r="GNM2" s="528"/>
      <c r="GNN2" s="528"/>
      <c r="GNO2" s="528"/>
      <c r="GNP2" s="528"/>
      <c r="GNQ2" s="528"/>
      <c r="GNR2" s="528"/>
      <c r="GNS2" s="528"/>
      <c r="GNT2" s="528"/>
      <c r="GNU2" s="528"/>
      <c r="GNV2" s="528"/>
      <c r="GNW2" s="528"/>
      <c r="GNX2" s="528"/>
      <c r="GNY2" s="528"/>
      <c r="GNZ2" s="528"/>
      <c r="GOA2" s="528"/>
      <c r="GOB2" s="528"/>
      <c r="GOC2" s="528"/>
      <c r="GOD2" s="528"/>
      <c r="GOE2" s="528"/>
      <c r="GOF2" s="528"/>
      <c r="GOG2" s="528"/>
      <c r="GOH2" s="528"/>
      <c r="GOI2" s="528"/>
      <c r="GOJ2" s="528"/>
      <c r="GOK2" s="528"/>
      <c r="GOL2" s="528"/>
      <c r="GOM2" s="528"/>
      <c r="GON2" s="528"/>
      <c r="GOO2" s="528"/>
      <c r="GOP2" s="528"/>
      <c r="GOQ2" s="528"/>
      <c r="GOR2" s="528"/>
      <c r="GOS2" s="528"/>
      <c r="GOT2" s="528"/>
      <c r="GOU2" s="528"/>
      <c r="GOV2" s="528"/>
      <c r="GOW2" s="528"/>
      <c r="GOX2" s="528"/>
      <c r="GOY2" s="528"/>
      <c r="GOZ2" s="528"/>
      <c r="GPA2" s="528"/>
      <c r="GPB2" s="528"/>
      <c r="GPC2" s="528"/>
      <c r="GPD2" s="528"/>
      <c r="GPE2" s="528"/>
      <c r="GPF2" s="528"/>
      <c r="GPG2" s="528"/>
      <c r="GPH2" s="528"/>
      <c r="GPI2" s="528"/>
      <c r="GPJ2" s="528"/>
      <c r="GPK2" s="528"/>
      <c r="GPL2" s="528"/>
      <c r="GPM2" s="528"/>
      <c r="GPN2" s="528"/>
      <c r="GPO2" s="528"/>
      <c r="GPP2" s="528"/>
      <c r="GPQ2" s="528"/>
      <c r="GPR2" s="528"/>
      <c r="GPS2" s="528"/>
      <c r="GPT2" s="528"/>
      <c r="GPU2" s="528"/>
      <c r="GPV2" s="528"/>
      <c r="GPW2" s="528"/>
      <c r="GPX2" s="528"/>
      <c r="GPY2" s="528"/>
      <c r="GPZ2" s="528"/>
      <c r="GQA2" s="528"/>
      <c r="GQB2" s="528"/>
      <c r="GQC2" s="528"/>
      <c r="GQD2" s="528"/>
      <c r="GQE2" s="528"/>
      <c r="GQF2" s="528"/>
      <c r="GQG2" s="528"/>
      <c r="GQH2" s="528"/>
      <c r="GQI2" s="528"/>
      <c r="GQJ2" s="528"/>
      <c r="GQK2" s="528"/>
      <c r="GQL2" s="528"/>
      <c r="GQM2" s="528"/>
      <c r="GQN2" s="528"/>
      <c r="GQO2" s="528"/>
      <c r="GQP2" s="528"/>
      <c r="GQQ2" s="528"/>
      <c r="GQR2" s="528"/>
      <c r="GQS2" s="528"/>
      <c r="GQT2" s="528"/>
      <c r="GQU2" s="528"/>
      <c r="GQV2" s="528"/>
      <c r="GQW2" s="528"/>
      <c r="GQX2" s="528"/>
      <c r="GQY2" s="528"/>
      <c r="GQZ2" s="528"/>
      <c r="GRA2" s="528"/>
      <c r="GRB2" s="528"/>
      <c r="GRC2" s="528"/>
      <c r="GRD2" s="528"/>
      <c r="GRE2" s="528"/>
      <c r="GRF2" s="528"/>
      <c r="GRG2" s="528"/>
      <c r="GRH2" s="528"/>
      <c r="GRI2" s="528"/>
      <c r="GRJ2" s="528"/>
      <c r="GRK2" s="528"/>
      <c r="GRL2" s="528"/>
      <c r="GRM2" s="528"/>
      <c r="GRN2" s="528"/>
      <c r="GRO2" s="528"/>
      <c r="GRP2" s="528"/>
      <c r="GRQ2" s="528"/>
      <c r="GRR2" s="528"/>
      <c r="GRS2" s="528"/>
      <c r="GRT2" s="528"/>
      <c r="GRU2" s="528"/>
      <c r="GRV2" s="528"/>
      <c r="GRW2" s="528"/>
      <c r="GRX2" s="528"/>
      <c r="GRY2" s="528"/>
      <c r="GRZ2" s="528"/>
      <c r="GSA2" s="528"/>
      <c r="GSB2" s="528"/>
      <c r="GSC2" s="528"/>
      <c r="GSD2" s="528"/>
      <c r="GSE2" s="528"/>
      <c r="GSF2" s="528"/>
      <c r="GSG2" s="528"/>
      <c r="GSH2" s="528"/>
      <c r="GSI2" s="528"/>
      <c r="GSJ2" s="528"/>
      <c r="GSK2" s="528"/>
      <c r="GSL2" s="528"/>
      <c r="GSM2" s="528"/>
      <c r="GSN2" s="528"/>
      <c r="GSO2" s="528"/>
      <c r="GSP2" s="528"/>
      <c r="GSQ2" s="528"/>
      <c r="GSR2" s="528"/>
      <c r="GSS2" s="528"/>
      <c r="GST2" s="528"/>
      <c r="GSU2" s="528"/>
      <c r="GSV2" s="528"/>
      <c r="GSW2" s="528"/>
      <c r="GSX2" s="528"/>
      <c r="GSY2" s="528"/>
      <c r="GSZ2" s="528"/>
      <c r="GTA2" s="528"/>
      <c r="GTB2" s="528"/>
      <c r="GTC2" s="528"/>
      <c r="GTD2" s="528"/>
      <c r="GTE2" s="528"/>
      <c r="GTF2" s="528"/>
      <c r="GTG2" s="528"/>
      <c r="GTH2" s="528"/>
      <c r="GTI2" s="528"/>
      <c r="GTJ2" s="528"/>
      <c r="GTK2" s="528"/>
      <c r="GTL2" s="528"/>
      <c r="GTM2" s="528"/>
      <c r="GTN2" s="528"/>
      <c r="GTO2" s="528"/>
      <c r="GTP2" s="528"/>
      <c r="GTQ2" s="528"/>
      <c r="GTR2" s="528"/>
      <c r="GTS2" s="528"/>
      <c r="GTT2" s="528"/>
      <c r="GTU2" s="528"/>
      <c r="GTV2" s="528"/>
      <c r="GTW2" s="528"/>
      <c r="GTX2" s="528"/>
      <c r="GTY2" s="528"/>
      <c r="GTZ2" s="528"/>
      <c r="GUA2" s="528"/>
      <c r="GUB2" s="528"/>
      <c r="GUC2" s="528"/>
      <c r="GUD2" s="528"/>
      <c r="GUE2" s="528"/>
      <c r="GUF2" s="528"/>
      <c r="GUG2" s="528"/>
      <c r="GUH2" s="528"/>
      <c r="GUI2" s="528"/>
      <c r="GUJ2" s="528"/>
      <c r="GUK2" s="528"/>
      <c r="GUL2" s="528"/>
      <c r="GUM2" s="528"/>
      <c r="GUN2" s="528"/>
      <c r="GUO2" s="528"/>
      <c r="GUP2" s="528"/>
      <c r="GUQ2" s="528"/>
      <c r="GUR2" s="528"/>
      <c r="GUS2" s="528"/>
      <c r="GUT2" s="528"/>
      <c r="GUU2" s="528"/>
      <c r="GUV2" s="528"/>
      <c r="GUW2" s="528"/>
      <c r="GUX2" s="528"/>
      <c r="GUY2" s="528"/>
      <c r="GUZ2" s="528"/>
      <c r="GVA2" s="528"/>
      <c r="GVB2" s="528"/>
      <c r="GVC2" s="528"/>
      <c r="GVD2" s="528"/>
      <c r="GVE2" s="528"/>
      <c r="GVF2" s="528"/>
      <c r="GVG2" s="528"/>
      <c r="GVH2" s="528"/>
      <c r="GVI2" s="528"/>
      <c r="GVJ2" s="528"/>
      <c r="GVK2" s="528"/>
      <c r="GVL2" s="528"/>
      <c r="GVM2" s="528"/>
      <c r="GVN2" s="528"/>
      <c r="GVO2" s="528"/>
      <c r="GVP2" s="528"/>
      <c r="GVQ2" s="528"/>
      <c r="GVR2" s="528"/>
      <c r="GVS2" s="528"/>
      <c r="GVT2" s="528"/>
      <c r="GVU2" s="528"/>
      <c r="GVV2" s="528"/>
      <c r="GVW2" s="528"/>
      <c r="GVX2" s="528"/>
      <c r="GVY2" s="528"/>
      <c r="GVZ2" s="528"/>
      <c r="GWA2" s="528"/>
      <c r="GWB2" s="528"/>
      <c r="GWC2" s="528"/>
      <c r="GWD2" s="528"/>
      <c r="GWE2" s="528"/>
      <c r="GWF2" s="528"/>
      <c r="GWG2" s="528"/>
      <c r="GWH2" s="528"/>
      <c r="GWI2" s="528"/>
      <c r="GWJ2" s="528"/>
      <c r="GWK2" s="528"/>
      <c r="GWL2" s="528"/>
      <c r="GWM2" s="528"/>
      <c r="GWN2" s="528"/>
      <c r="GWO2" s="528"/>
      <c r="GWP2" s="528"/>
      <c r="GWQ2" s="528"/>
      <c r="GWR2" s="528"/>
      <c r="GWS2" s="528"/>
      <c r="GWT2" s="528"/>
      <c r="GWU2" s="528"/>
      <c r="GWV2" s="528"/>
      <c r="GWW2" s="528"/>
      <c r="GWX2" s="528"/>
      <c r="GWY2" s="528"/>
      <c r="GWZ2" s="528"/>
      <c r="GXA2" s="528"/>
      <c r="GXB2" s="528"/>
      <c r="GXC2" s="528"/>
      <c r="GXD2" s="528"/>
      <c r="GXE2" s="528"/>
      <c r="GXF2" s="528"/>
      <c r="GXG2" s="528"/>
      <c r="GXH2" s="528"/>
      <c r="GXI2" s="528"/>
      <c r="GXJ2" s="528"/>
      <c r="GXK2" s="528"/>
      <c r="GXL2" s="528"/>
      <c r="GXM2" s="528"/>
      <c r="GXN2" s="528"/>
      <c r="GXO2" s="528"/>
      <c r="GXP2" s="528"/>
      <c r="GXQ2" s="528"/>
      <c r="GXR2" s="528"/>
      <c r="GXS2" s="528"/>
      <c r="GXT2" s="528"/>
      <c r="GXU2" s="528"/>
      <c r="GXV2" s="528"/>
      <c r="GXW2" s="528"/>
      <c r="GXX2" s="528"/>
      <c r="GXY2" s="528"/>
      <c r="GXZ2" s="528"/>
      <c r="GYA2" s="528"/>
      <c r="GYB2" s="528"/>
      <c r="GYC2" s="528"/>
      <c r="GYD2" s="528"/>
      <c r="GYE2" s="528"/>
      <c r="GYF2" s="528"/>
      <c r="GYG2" s="528"/>
      <c r="GYH2" s="528"/>
      <c r="GYI2" s="528"/>
      <c r="GYJ2" s="528"/>
      <c r="GYK2" s="528"/>
      <c r="GYL2" s="528"/>
      <c r="GYM2" s="528"/>
      <c r="GYN2" s="528"/>
      <c r="GYO2" s="528"/>
      <c r="GYP2" s="528"/>
      <c r="GYQ2" s="528"/>
      <c r="GYR2" s="528"/>
      <c r="GYS2" s="528"/>
      <c r="GYT2" s="528"/>
      <c r="GYU2" s="528"/>
      <c r="GYV2" s="528"/>
      <c r="GYW2" s="528"/>
      <c r="GYX2" s="528"/>
      <c r="GYY2" s="528"/>
      <c r="GYZ2" s="528"/>
      <c r="GZA2" s="528"/>
      <c r="GZB2" s="528"/>
      <c r="GZC2" s="528"/>
      <c r="GZD2" s="528"/>
      <c r="GZE2" s="528"/>
      <c r="GZF2" s="528"/>
      <c r="GZG2" s="528"/>
      <c r="GZH2" s="528"/>
      <c r="GZI2" s="528"/>
      <c r="GZJ2" s="528"/>
      <c r="GZK2" s="528"/>
      <c r="GZL2" s="528"/>
      <c r="GZM2" s="528"/>
      <c r="GZN2" s="528"/>
      <c r="GZO2" s="528"/>
      <c r="GZP2" s="528"/>
      <c r="GZQ2" s="528"/>
      <c r="GZR2" s="528"/>
      <c r="GZS2" s="528"/>
      <c r="GZT2" s="528"/>
      <c r="GZU2" s="528"/>
      <c r="GZV2" s="528"/>
      <c r="GZW2" s="528"/>
      <c r="GZX2" s="528"/>
      <c r="GZY2" s="528"/>
      <c r="GZZ2" s="528"/>
      <c r="HAA2" s="528"/>
      <c r="HAB2" s="528"/>
      <c r="HAC2" s="528"/>
      <c r="HAD2" s="528"/>
      <c r="HAE2" s="528"/>
      <c r="HAF2" s="528"/>
      <c r="HAG2" s="528"/>
      <c r="HAH2" s="528"/>
      <c r="HAI2" s="528"/>
      <c r="HAJ2" s="528"/>
      <c r="HAK2" s="528"/>
      <c r="HAL2" s="528"/>
      <c r="HAM2" s="528"/>
      <c r="HAN2" s="528"/>
      <c r="HAO2" s="528"/>
      <c r="HAP2" s="528"/>
      <c r="HAQ2" s="528"/>
      <c r="HAR2" s="528"/>
      <c r="HAS2" s="528"/>
      <c r="HAT2" s="528"/>
      <c r="HAU2" s="528"/>
      <c r="HAV2" s="528"/>
      <c r="HAW2" s="528"/>
      <c r="HAX2" s="528"/>
      <c r="HAY2" s="528"/>
      <c r="HAZ2" s="528"/>
      <c r="HBA2" s="528"/>
      <c r="HBB2" s="528"/>
      <c r="HBC2" s="528"/>
      <c r="HBD2" s="528"/>
      <c r="HBE2" s="528"/>
      <c r="HBF2" s="528"/>
      <c r="HBG2" s="528"/>
      <c r="HBH2" s="528"/>
      <c r="HBI2" s="528"/>
      <c r="HBJ2" s="528"/>
      <c r="HBK2" s="528"/>
      <c r="HBL2" s="528"/>
      <c r="HBM2" s="528"/>
      <c r="HBN2" s="528"/>
      <c r="HBO2" s="528"/>
      <c r="HBP2" s="528"/>
      <c r="HBQ2" s="528"/>
      <c r="HBR2" s="528"/>
      <c r="HBS2" s="528"/>
      <c r="HBT2" s="528"/>
      <c r="HBU2" s="528"/>
      <c r="HBV2" s="528"/>
      <c r="HBW2" s="528"/>
      <c r="HBX2" s="528"/>
      <c r="HBY2" s="528"/>
      <c r="HBZ2" s="528"/>
      <c r="HCA2" s="528"/>
      <c r="HCB2" s="528"/>
      <c r="HCC2" s="528"/>
      <c r="HCD2" s="528"/>
      <c r="HCE2" s="528"/>
      <c r="HCF2" s="528"/>
      <c r="HCG2" s="528"/>
      <c r="HCH2" s="528"/>
      <c r="HCI2" s="528"/>
      <c r="HCJ2" s="528"/>
      <c r="HCK2" s="528"/>
      <c r="HCL2" s="528"/>
      <c r="HCM2" s="528"/>
      <c r="HCN2" s="528"/>
      <c r="HCO2" s="528"/>
      <c r="HCP2" s="528"/>
      <c r="HCQ2" s="528"/>
      <c r="HCR2" s="528"/>
      <c r="HCS2" s="528"/>
      <c r="HCT2" s="528"/>
      <c r="HCU2" s="528"/>
      <c r="HCV2" s="528"/>
      <c r="HCW2" s="528"/>
      <c r="HCX2" s="528"/>
      <c r="HCY2" s="528"/>
      <c r="HCZ2" s="528"/>
      <c r="HDA2" s="528"/>
      <c r="HDB2" s="528"/>
      <c r="HDC2" s="528"/>
      <c r="HDD2" s="528"/>
      <c r="HDE2" s="528"/>
      <c r="HDF2" s="528"/>
      <c r="HDG2" s="528"/>
      <c r="HDH2" s="528"/>
      <c r="HDI2" s="528"/>
      <c r="HDJ2" s="528"/>
      <c r="HDK2" s="528"/>
      <c r="HDL2" s="528"/>
      <c r="HDM2" s="528"/>
      <c r="HDN2" s="528"/>
      <c r="HDO2" s="528"/>
      <c r="HDP2" s="528"/>
      <c r="HDQ2" s="528"/>
      <c r="HDR2" s="528"/>
      <c r="HDS2" s="528"/>
      <c r="HDT2" s="528"/>
      <c r="HDU2" s="528"/>
      <c r="HDV2" s="528"/>
      <c r="HDW2" s="528"/>
      <c r="HDX2" s="528"/>
      <c r="HDY2" s="528"/>
      <c r="HDZ2" s="528"/>
      <c r="HEA2" s="528"/>
      <c r="HEB2" s="528"/>
      <c r="HEC2" s="528"/>
      <c r="HED2" s="528"/>
      <c r="HEE2" s="528"/>
      <c r="HEF2" s="528"/>
      <c r="HEG2" s="528"/>
      <c r="HEH2" s="528"/>
      <c r="HEI2" s="528"/>
      <c r="HEJ2" s="528"/>
      <c r="HEK2" s="528"/>
      <c r="HEL2" s="528"/>
      <c r="HEM2" s="528"/>
      <c r="HEN2" s="528"/>
      <c r="HEO2" s="528"/>
      <c r="HEP2" s="528"/>
      <c r="HEQ2" s="528"/>
      <c r="HER2" s="528"/>
      <c r="HES2" s="528"/>
      <c r="HET2" s="528"/>
      <c r="HEU2" s="528"/>
      <c r="HEV2" s="528"/>
      <c r="HEW2" s="528"/>
      <c r="HEX2" s="528"/>
      <c r="HEY2" s="528"/>
      <c r="HEZ2" s="528"/>
      <c r="HFA2" s="528"/>
      <c r="HFB2" s="528"/>
      <c r="HFC2" s="528"/>
      <c r="HFD2" s="528"/>
      <c r="HFE2" s="528"/>
      <c r="HFF2" s="528"/>
      <c r="HFG2" s="528"/>
      <c r="HFH2" s="528"/>
      <c r="HFI2" s="528"/>
      <c r="HFJ2" s="528"/>
      <c r="HFK2" s="528"/>
      <c r="HFL2" s="528"/>
      <c r="HFM2" s="528"/>
      <c r="HFN2" s="528"/>
      <c r="HFO2" s="528"/>
      <c r="HFP2" s="528"/>
      <c r="HFQ2" s="528"/>
      <c r="HFR2" s="528"/>
      <c r="HFS2" s="528"/>
      <c r="HFT2" s="528"/>
      <c r="HFU2" s="528"/>
      <c r="HFV2" s="528"/>
      <c r="HFW2" s="528"/>
      <c r="HFX2" s="528"/>
      <c r="HFY2" s="528"/>
      <c r="HFZ2" s="528"/>
      <c r="HGA2" s="528"/>
      <c r="HGB2" s="528"/>
      <c r="HGC2" s="528"/>
      <c r="HGD2" s="528"/>
      <c r="HGE2" s="528"/>
      <c r="HGF2" s="528"/>
      <c r="HGG2" s="528"/>
      <c r="HGH2" s="528"/>
      <c r="HGI2" s="528"/>
      <c r="HGJ2" s="528"/>
      <c r="HGK2" s="528"/>
      <c r="HGL2" s="528"/>
      <c r="HGM2" s="528"/>
      <c r="HGN2" s="528"/>
      <c r="HGO2" s="528"/>
      <c r="HGP2" s="528"/>
      <c r="HGQ2" s="528"/>
      <c r="HGR2" s="528"/>
      <c r="HGS2" s="528"/>
      <c r="HGT2" s="528"/>
      <c r="HGU2" s="528"/>
      <c r="HGV2" s="528"/>
      <c r="HGW2" s="528"/>
      <c r="HGX2" s="528"/>
      <c r="HGY2" s="528"/>
      <c r="HGZ2" s="528"/>
      <c r="HHA2" s="528"/>
      <c r="HHB2" s="528"/>
      <c r="HHC2" s="528"/>
      <c r="HHD2" s="528"/>
      <c r="HHE2" s="528"/>
      <c r="HHF2" s="528"/>
      <c r="HHG2" s="528"/>
      <c r="HHH2" s="528"/>
      <c r="HHI2" s="528"/>
      <c r="HHJ2" s="528"/>
      <c r="HHK2" s="528"/>
      <c r="HHL2" s="528"/>
      <c r="HHM2" s="528"/>
      <c r="HHN2" s="528"/>
      <c r="HHO2" s="528"/>
      <c r="HHP2" s="528"/>
      <c r="HHQ2" s="528"/>
      <c r="HHR2" s="528"/>
      <c r="HHS2" s="528"/>
      <c r="HHT2" s="528"/>
      <c r="HHU2" s="528"/>
      <c r="HHV2" s="528"/>
      <c r="HHW2" s="528"/>
      <c r="HHX2" s="528"/>
      <c r="HHY2" s="528"/>
      <c r="HHZ2" s="528"/>
      <c r="HIA2" s="528"/>
      <c r="HIB2" s="528"/>
      <c r="HIC2" s="528"/>
      <c r="HID2" s="528"/>
      <c r="HIE2" s="528"/>
      <c r="HIF2" s="528"/>
      <c r="HIG2" s="528"/>
      <c r="HIH2" s="528"/>
      <c r="HII2" s="528"/>
      <c r="HIJ2" s="528"/>
      <c r="HIK2" s="528"/>
      <c r="HIL2" s="528"/>
      <c r="HIM2" s="528"/>
      <c r="HIN2" s="528"/>
      <c r="HIO2" s="528"/>
      <c r="HIP2" s="528"/>
      <c r="HIQ2" s="528"/>
      <c r="HIR2" s="528"/>
      <c r="HIS2" s="528"/>
      <c r="HIT2" s="528"/>
      <c r="HIU2" s="528"/>
      <c r="HIV2" s="528"/>
      <c r="HIW2" s="528"/>
      <c r="HIX2" s="528"/>
      <c r="HIY2" s="528"/>
      <c r="HIZ2" s="528"/>
      <c r="HJA2" s="528"/>
      <c r="HJB2" s="528"/>
      <c r="HJC2" s="528"/>
      <c r="HJD2" s="528"/>
      <c r="HJE2" s="528"/>
      <c r="HJF2" s="528"/>
      <c r="HJG2" s="528"/>
      <c r="HJH2" s="528"/>
      <c r="HJI2" s="528"/>
      <c r="HJJ2" s="528"/>
      <c r="HJK2" s="528"/>
      <c r="HJL2" s="528"/>
      <c r="HJM2" s="528"/>
      <c r="HJN2" s="528"/>
      <c r="HJO2" s="528"/>
      <c r="HJP2" s="528"/>
      <c r="HJQ2" s="528"/>
      <c r="HJR2" s="528"/>
      <c r="HJS2" s="528"/>
      <c r="HJT2" s="528"/>
      <c r="HJU2" s="528"/>
      <c r="HJV2" s="528"/>
      <c r="HJW2" s="528"/>
      <c r="HJX2" s="528"/>
      <c r="HJY2" s="528"/>
      <c r="HJZ2" s="528"/>
      <c r="HKA2" s="528"/>
      <c r="HKB2" s="528"/>
      <c r="HKC2" s="528"/>
      <c r="HKD2" s="528"/>
      <c r="HKE2" s="528"/>
      <c r="HKF2" s="528"/>
      <c r="HKG2" s="528"/>
      <c r="HKH2" s="528"/>
      <c r="HKI2" s="528"/>
      <c r="HKJ2" s="528"/>
      <c r="HKK2" s="528"/>
      <c r="HKL2" s="528"/>
      <c r="HKM2" s="528"/>
      <c r="HKN2" s="528"/>
      <c r="HKO2" s="528"/>
      <c r="HKP2" s="528"/>
      <c r="HKQ2" s="528"/>
      <c r="HKR2" s="528"/>
      <c r="HKS2" s="528"/>
      <c r="HKT2" s="528"/>
      <c r="HKU2" s="528"/>
      <c r="HKV2" s="528"/>
      <c r="HKW2" s="528"/>
      <c r="HKX2" s="528"/>
      <c r="HKY2" s="528"/>
      <c r="HKZ2" s="528"/>
      <c r="HLA2" s="528"/>
      <c r="HLB2" s="528"/>
      <c r="HLC2" s="528"/>
      <c r="HLD2" s="528"/>
      <c r="HLE2" s="528"/>
      <c r="HLF2" s="528"/>
      <c r="HLG2" s="528"/>
      <c r="HLH2" s="528"/>
      <c r="HLI2" s="528"/>
      <c r="HLJ2" s="528"/>
      <c r="HLK2" s="528"/>
      <c r="HLL2" s="528"/>
      <c r="HLM2" s="528"/>
      <c r="HLN2" s="528"/>
      <c r="HLO2" s="528"/>
      <c r="HLP2" s="528"/>
      <c r="HLQ2" s="528"/>
      <c r="HLR2" s="528"/>
      <c r="HLS2" s="528"/>
      <c r="HLT2" s="528"/>
      <c r="HLU2" s="528"/>
      <c r="HLV2" s="528"/>
      <c r="HLW2" s="528"/>
      <c r="HLX2" s="528"/>
      <c r="HLY2" s="528"/>
      <c r="HLZ2" s="528"/>
      <c r="HMA2" s="528"/>
      <c r="HMB2" s="528"/>
      <c r="HMC2" s="528"/>
      <c r="HMD2" s="528"/>
      <c r="HME2" s="528"/>
      <c r="HMF2" s="528"/>
      <c r="HMG2" s="528"/>
      <c r="HMH2" s="528"/>
      <c r="HMI2" s="528"/>
      <c r="HMJ2" s="528"/>
      <c r="HMK2" s="528"/>
      <c r="HML2" s="528"/>
      <c r="HMM2" s="528"/>
      <c r="HMN2" s="528"/>
      <c r="HMO2" s="528"/>
      <c r="HMP2" s="528"/>
      <c r="HMQ2" s="528"/>
      <c r="HMR2" s="528"/>
      <c r="HMS2" s="528"/>
      <c r="HMT2" s="528"/>
      <c r="HMU2" s="528"/>
      <c r="HMV2" s="528"/>
      <c r="HMW2" s="528"/>
      <c r="HMX2" s="528"/>
      <c r="HMY2" s="528"/>
      <c r="HMZ2" s="528"/>
      <c r="HNA2" s="528"/>
      <c r="HNB2" s="528"/>
      <c r="HNC2" s="528"/>
      <c r="HND2" s="528"/>
      <c r="HNE2" s="528"/>
      <c r="HNF2" s="528"/>
      <c r="HNG2" s="528"/>
      <c r="HNH2" s="528"/>
      <c r="HNI2" s="528"/>
      <c r="HNJ2" s="528"/>
      <c r="HNK2" s="528"/>
      <c r="HNL2" s="528"/>
      <c r="HNM2" s="528"/>
      <c r="HNN2" s="528"/>
      <c r="HNO2" s="528"/>
      <c r="HNP2" s="528"/>
      <c r="HNQ2" s="528"/>
      <c r="HNR2" s="528"/>
      <c r="HNS2" s="528"/>
      <c r="HNT2" s="528"/>
      <c r="HNU2" s="528"/>
      <c r="HNV2" s="528"/>
      <c r="HNW2" s="528"/>
      <c r="HNX2" s="528"/>
      <c r="HNY2" s="528"/>
      <c r="HNZ2" s="528"/>
      <c r="HOA2" s="528"/>
      <c r="HOB2" s="528"/>
      <c r="HOC2" s="528"/>
      <c r="HOD2" s="528"/>
      <c r="HOE2" s="528"/>
      <c r="HOF2" s="528"/>
      <c r="HOG2" s="528"/>
      <c r="HOH2" s="528"/>
      <c r="HOI2" s="528"/>
      <c r="HOJ2" s="528"/>
      <c r="HOK2" s="528"/>
      <c r="HOL2" s="528"/>
      <c r="HOM2" s="528"/>
      <c r="HON2" s="528"/>
      <c r="HOO2" s="528"/>
      <c r="HOP2" s="528"/>
      <c r="HOQ2" s="528"/>
      <c r="HOR2" s="528"/>
      <c r="HOS2" s="528"/>
      <c r="HOT2" s="528"/>
      <c r="HOU2" s="528"/>
      <c r="HOV2" s="528"/>
      <c r="HOW2" s="528"/>
      <c r="HOX2" s="528"/>
      <c r="HOY2" s="528"/>
      <c r="HOZ2" s="528"/>
      <c r="HPA2" s="528"/>
      <c r="HPB2" s="528"/>
      <c r="HPC2" s="528"/>
      <c r="HPD2" s="528"/>
      <c r="HPE2" s="528"/>
      <c r="HPF2" s="528"/>
      <c r="HPG2" s="528"/>
      <c r="HPH2" s="528"/>
      <c r="HPI2" s="528"/>
      <c r="HPJ2" s="528"/>
      <c r="HPK2" s="528"/>
      <c r="HPL2" s="528"/>
      <c r="HPM2" s="528"/>
      <c r="HPN2" s="528"/>
      <c r="HPO2" s="528"/>
      <c r="HPP2" s="528"/>
      <c r="HPQ2" s="528"/>
      <c r="HPR2" s="528"/>
      <c r="HPS2" s="528"/>
      <c r="HPT2" s="528"/>
      <c r="HPU2" s="528"/>
      <c r="HPV2" s="528"/>
      <c r="HPW2" s="528"/>
      <c r="HPX2" s="528"/>
      <c r="HPY2" s="528"/>
      <c r="HPZ2" s="528"/>
      <c r="HQA2" s="528"/>
      <c r="HQB2" s="528"/>
      <c r="HQC2" s="528"/>
      <c r="HQD2" s="528"/>
      <c r="HQE2" s="528"/>
      <c r="HQF2" s="528"/>
      <c r="HQG2" s="528"/>
      <c r="HQH2" s="528"/>
      <c r="HQI2" s="528"/>
      <c r="HQJ2" s="528"/>
      <c r="HQK2" s="528"/>
      <c r="HQL2" s="528"/>
      <c r="HQM2" s="528"/>
      <c r="HQN2" s="528"/>
      <c r="HQO2" s="528"/>
      <c r="HQP2" s="528"/>
      <c r="HQQ2" s="528"/>
      <c r="HQR2" s="528"/>
      <c r="HQS2" s="528"/>
      <c r="HQT2" s="528"/>
      <c r="HQU2" s="528"/>
      <c r="HQV2" s="528"/>
      <c r="HQW2" s="528"/>
      <c r="HQX2" s="528"/>
      <c r="HQY2" s="528"/>
      <c r="HQZ2" s="528"/>
      <c r="HRA2" s="528"/>
      <c r="HRB2" s="528"/>
      <c r="HRC2" s="528"/>
      <c r="HRD2" s="528"/>
      <c r="HRE2" s="528"/>
      <c r="HRF2" s="528"/>
      <c r="HRG2" s="528"/>
      <c r="HRH2" s="528"/>
      <c r="HRI2" s="528"/>
      <c r="HRJ2" s="528"/>
      <c r="HRK2" s="528"/>
      <c r="HRL2" s="528"/>
      <c r="HRM2" s="528"/>
      <c r="HRN2" s="528"/>
      <c r="HRO2" s="528"/>
      <c r="HRP2" s="528"/>
      <c r="HRQ2" s="528"/>
      <c r="HRR2" s="528"/>
      <c r="HRS2" s="528"/>
      <c r="HRT2" s="528"/>
      <c r="HRU2" s="528"/>
      <c r="HRV2" s="528"/>
      <c r="HRW2" s="528"/>
      <c r="HRX2" s="528"/>
      <c r="HRY2" s="528"/>
      <c r="HRZ2" s="528"/>
      <c r="HSA2" s="528"/>
      <c r="HSB2" s="528"/>
      <c r="HSC2" s="528"/>
      <c r="HSD2" s="528"/>
      <c r="HSE2" s="528"/>
      <c r="HSF2" s="528"/>
      <c r="HSG2" s="528"/>
      <c r="HSH2" s="528"/>
      <c r="HSI2" s="528"/>
      <c r="HSJ2" s="528"/>
      <c r="HSK2" s="528"/>
      <c r="HSL2" s="528"/>
      <c r="HSM2" s="528"/>
      <c r="HSN2" s="528"/>
      <c r="HSO2" s="528"/>
      <c r="HSP2" s="528"/>
      <c r="HSQ2" s="528"/>
      <c r="HSR2" s="528"/>
      <c r="HSS2" s="528"/>
      <c r="HST2" s="528"/>
      <c r="HSU2" s="528"/>
      <c r="HSV2" s="528"/>
      <c r="HSW2" s="528"/>
      <c r="HSX2" s="528"/>
      <c r="HSY2" s="528"/>
      <c r="HSZ2" s="528"/>
      <c r="HTA2" s="528"/>
      <c r="HTB2" s="528"/>
      <c r="HTC2" s="528"/>
      <c r="HTD2" s="528"/>
      <c r="HTE2" s="528"/>
      <c r="HTF2" s="528"/>
      <c r="HTG2" s="528"/>
      <c r="HTH2" s="528"/>
      <c r="HTI2" s="528"/>
      <c r="HTJ2" s="528"/>
      <c r="HTK2" s="528"/>
      <c r="HTL2" s="528"/>
      <c r="HTM2" s="528"/>
      <c r="HTN2" s="528"/>
      <c r="HTO2" s="528"/>
      <c r="HTP2" s="528"/>
      <c r="HTQ2" s="528"/>
      <c r="HTR2" s="528"/>
      <c r="HTS2" s="528"/>
      <c r="HTT2" s="528"/>
      <c r="HTU2" s="528"/>
      <c r="HTV2" s="528"/>
      <c r="HTW2" s="528"/>
      <c r="HTX2" s="528"/>
      <c r="HTY2" s="528"/>
      <c r="HTZ2" s="528"/>
      <c r="HUA2" s="528"/>
      <c r="HUB2" s="528"/>
      <c r="HUC2" s="528"/>
      <c r="HUD2" s="528"/>
      <c r="HUE2" s="528"/>
      <c r="HUF2" s="528"/>
      <c r="HUG2" s="528"/>
      <c r="HUH2" s="528"/>
      <c r="HUI2" s="528"/>
      <c r="HUJ2" s="528"/>
      <c r="HUK2" s="528"/>
      <c r="HUL2" s="528"/>
      <c r="HUM2" s="528"/>
      <c r="HUN2" s="528"/>
      <c r="HUO2" s="528"/>
      <c r="HUP2" s="528"/>
      <c r="HUQ2" s="528"/>
      <c r="HUR2" s="528"/>
      <c r="HUS2" s="528"/>
      <c r="HUT2" s="528"/>
      <c r="HUU2" s="528"/>
      <c r="HUV2" s="528"/>
      <c r="HUW2" s="528"/>
      <c r="HUX2" s="528"/>
      <c r="HUY2" s="528"/>
      <c r="HUZ2" s="528"/>
      <c r="HVA2" s="528"/>
      <c r="HVB2" s="528"/>
      <c r="HVC2" s="528"/>
      <c r="HVD2" s="528"/>
      <c r="HVE2" s="528"/>
      <c r="HVF2" s="528"/>
      <c r="HVG2" s="528"/>
      <c r="HVH2" s="528"/>
      <c r="HVI2" s="528"/>
      <c r="HVJ2" s="528"/>
      <c r="HVK2" s="528"/>
      <c r="HVL2" s="528"/>
      <c r="HVM2" s="528"/>
      <c r="HVN2" s="528"/>
      <c r="HVO2" s="528"/>
      <c r="HVP2" s="528"/>
      <c r="HVQ2" s="528"/>
      <c r="HVR2" s="528"/>
      <c r="HVS2" s="528"/>
      <c r="HVT2" s="528"/>
      <c r="HVU2" s="528"/>
      <c r="HVV2" s="528"/>
      <c r="HVW2" s="528"/>
      <c r="HVX2" s="528"/>
      <c r="HVY2" s="528"/>
      <c r="HVZ2" s="528"/>
      <c r="HWA2" s="528"/>
      <c r="HWB2" s="528"/>
      <c r="HWC2" s="528"/>
      <c r="HWD2" s="528"/>
      <c r="HWE2" s="528"/>
      <c r="HWF2" s="528"/>
      <c r="HWG2" s="528"/>
      <c r="HWH2" s="528"/>
      <c r="HWI2" s="528"/>
      <c r="HWJ2" s="528"/>
      <c r="HWK2" s="528"/>
      <c r="HWL2" s="528"/>
      <c r="HWM2" s="528"/>
      <c r="HWN2" s="528"/>
      <c r="HWO2" s="528"/>
      <c r="HWP2" s="528"/>
      <c r="HWQ2" s="528"/>
      <c r="HWR2" s="528"/>
      <c r="HWS2" s="528"/>
      <c r="HWT2" s="528"/>
      <c r="HWU2" s="528"/>
      <c r="HWV2" s="528"/>
      <c r="HWW2" s="528"/>
      <c r="HWX2" s="528"/>
      <c r="HWY2" s="528"/>
      <c r="HWZ2" s="528"/>
      <c r="HXA2" s="528"/>
      <c r="HXB2" s="528"/>
      <c r="HXC2" s="528"/>
      <c r="HXD2" s="528"/>
      <c r="HXE2" s="528"/>
      <c r="HXF2" s="528"/>
      <c r="HXG2" s="528"/>
      <c r="HXH2" s="528"/>
      <c r="HXI2" s="528"/>
      <c r="HXJ2" s="528"/>
      <c r="HXK2" s="528"/>
      <c r="HXL2" s="528"/>
      <c r="HXM2" s="528"/>
      <c r="HXN2" s="528"/>
      <c r="HXO2" s="528"/>
      <c r="HXP2" s="528"/>
      <c r="HXQ2" s="528"/>
      <c r="HXR2" s="528"/>
      <c r="HXS2" s="528"/>
      <c r="HXT2" s="528"/>
      <c r="HXU2" s="528"/>
      <c r="HXV2" s="528"/>
      <c r="HXW2" s="528"/>
      <c r="HXX2" s="528"/>
      <c r="HXY2" s="528"/>
      <c r="HXZ2" s="528"/>
      <c r="HYA2" s="528"/>
      <c r="HYB2" s="528"/>
      <c r="HYC2" s="528"/>
      <c r="HYD2" s="528"/>
      <c r="HYE2" s="528"/>
      <c r="HYF2" s="528"/>
      <c r="HYG2" s="528"/>
      <c r="HYH2" s="528"/>
      <c r="HYI2" s="528"/>
      <c r="HYJ2" s="528"/>
      <c r="HYK2" s="528"/>
      <c r="HYL2" s="528"/>
      <c r="HYM2" s="528"/>
      <c r="HYN2" s="528"/>
      <c r="HYO2" s="528"/>
      <c r="HYP2" s="528"/>
      <c r="HYQ2" s="528"/>
      <c r="HYR2" s="528"/>
      <c r="HYS2" s="528"/>
      <c r="HYT2" s="528"/>
      <c r="HYU2" s="528"/>
      <c r="HYV2" s="528"/>
      <c r="HYW2" s="528"/>
      <c r="HYX2" s="528"/>
      <c r="HYY2" s="528"/>
      <c r="HYZ2" s="528"/>
      <c r="HZA2" s="528"/>
      <c r="HZB2" s="528"/>
      <c r="HZC2" s="528"/>
      <c r="HZD2" s="528"/>
      <c r="HZE2" s="528"/>
      <c r="HZF2" s="528"/>
      <c r="HZG2" s="528"/>
      <c r="HZH2" s="528"/>
      <c r="HZI2" s="528"/>
      <c r="HZJ2" s="528"/>
      <c r="HZK2" s="528"/>
      <c r="HZL2" s="528"/>
      <c r="HZM2" s="528"/>
      <c r="HZN2" s="528"/>
      <c r="HZO2" s="528"/>
      <c r="HZP2" s="528"/>
      <c r="HZQ2" s="528"/>
      <c r="HZR2" s="528"/>
      <c r="HZS2" s="528"/>
      <c r="HZT2" s="528"/>
      <c r="HZU2" s="528"/>
      <c r="HZV2" s="528"/>
      <c r="HZW2" s="528"/>
      <c r="HZX2" s="528"/>
      <c r="HZY2" s="528"/>
      <c r="HZZ2" s="528"/>
      <c r="IAA2" s="528"/>
      <c r="IAB2" s="528"/>
      <c r="IAC2" s="528"/>
      <c r="IAD2" s="528"/>
      <c r="IAE2" s="528"/>
      <c r="IAF2" s="528"/>
      <c r="IAG2" s="528"/>
      <c r="IAH2" s="528"/>
      <c r="IAI2" s="528"/>
      <c r="IAJ2" s="528"/>
      <c r="IAK2" s="528"/>
      <c r="IAL2" s="528"/>
      <c r="IAM2" s="528"/>
      <c r="IAN2" s="528"/>
      <c r="IAO2" s="528"/>
      <c r="IAP2" s="528"/>
      <c r="IAQ2" s="528"/>
      <c r="IAR2" s="528"/>
      <c r="IAS2" s="528"/>
      <c r="IAT2" s="528"/>
      <c r="IAU2" s="528"/>
      <c r="IAV2" s="528"/>
      <c r="IAW2" s="528"/>
      <c r="IAX2" s="528"/>
      <c r="IAY2" s="528"/>
      <c r="IAZ2" s="528"/>
      <c r="IBA2" s="528"/>
      <c r="IBB2" s="528"/>
      <c r="IBC2" s="528"/>
      <c r="IBD2" s="528"/>
      <c r="IBE2" s="528"/>
      <c r="IBF2" s="528"/>
      <c r="IBG2" s="528"/>
      <c r="IBH2" s="528"/>
      <c r="IBI2" s="528"/>
      <c r="IBJ2" s="528"/>
      <c r="IBK2" s="528"/>
      <c r="IBL2" s="528"/>
      <c r="IBM2" s="528"/>
      <c r="IBN2" s="528"/>
      <c r="IBO2" s="528"/>
      <c r="IBP2" s="528"/>
      <c r="IBQ2" s="528"/>
      <c r="IBR2" s="528"/>
      <c r="IBS2" s="528"/>
      <c r="IBT2" s="528"/>
      <c r="IBU2" s="528"/>
      <c r="IBV2" s="528"/>
      <c r="IBW2" s="528"/>
      <c r="IBX2" s="528"/>
      <c r="IBY2" s="528"/>
      <c r="IBZ2" s="528"/>
      <c r="ICA2" s="528"/>
      <c r="ICB2" s="528"/>
      <c r="ICC2" s="528"/>
      <c r="ICD2" s="528"/>
      <c r="ICE2" s="528"/>
      <c r="ICF2" s="528"/>
      <c r="ICG2" s="528"/>
      <c r="ICH2" s="528"/>
      <c r="ICI2" s="528"/>
      <c r="ICJ2" s="528"/>
      <c r="ICK2" s="528"/>
      <c r="ICL2" s="528"/>
      <c r="ICM2" s="528"/>
      <c r="ICN2" s="528"/>
      <c r="ICO2" s="528"/>
      <c r="ICP2" s="528"/>
      <c r="ICQ2" s="528"/>
      <c r="ICR2" s="528"/>
      <c r="ICS2" s="528"/>
      <c r="ICT2" s="528"/>
      <c r="ICU2" s="528"/>
      <c r="ICV2" s="528"/>
      <c r="ICW2" s="528"/>
      <c r="ICX2" s="528"/>
      <c r="ICY2" s="528"/>
      <c r="ICZ2" s="528"/>
      <c r="IDA2" s="528"/>
      <c r="IDB2" s="528"/>
      <c r="IDC2" s="528"/>
      <c r="IDD2" s="528"/>
      <c r="IDE2" s="528"/>
      <c r="IDF2" s="528"/>
      <c r="IDG2" s="528"/>
      <c r="IDH2" s="528"/>
      <c r="IDI2" s="528"/>
      <c r="IDJ2" s="528"/>
      <c r="IDK2" s="528"/>
      <c r="IDL2" s="528"/>
      <c r="IDM2" s="528"/>
      <c r="IDN2" s="528"/>
      <c r="IDO2" s="528"/>
      <c r="IDP2" s="528"/>
      <c r="IDQ2" s="528"/>
      <c r="IDR2" s="528"/>
      <c r="IDS2" s="528"/>
      <c r="IDT2" s="528"/>
      <c r="IDU2" s="528"/>
      <c r="IDV2" s="528"/>
      <c r="IDW2" s="528"/>
      <c r="IDX2" s="528"/>
      <c r="IDY2" s="528"/>
      <c r="IDZ2" s="528"/>
      <c r="IEA2" s="528"/>
      <c r="IEB2" s="528"/>
      <c r="IEC2" s="528"/>
      <c r="IED2" s="528"/>
      <c r="IEE2" s="528"/>
      <c r="IEF2" s="528"/>
      <c r="IEG2" s="528"/>
      <c r="IEH2" s="528"/>
      <c r="IEI2" s="528"/>
      <c r="IEJ2" s="528"/>
      <c r="IEK2" s="528"/>
      <c r="IEL2" s="528"/>
      <c r="IEM2" s="528"/>
      <c r="IEN2" s="528"/>
      <c r="IEO2" s="528"/>
      <c r="IEP2" s="528"/>
      <c r="IEQ2" s="528"/>
      <c r="IER2" s="528"/>
      <c r="IES2" s="528"/>
      <c r="IET2" s="528"/>
      <c r="IEU2" s="528"/>
      <c r="IEV2" s="528"/>
      <c r="IEW2" s="528"/>
      <c r="IEX2" s="528"/>
      <c r="IEY2" s="528"/>
      <c r="IEZ2" s="528"/>
      <c r="IFA2" s="528"/>
      <c r="IFB2" s="528"/>
      <c r="IFC2" s="528"/>
      <c r="IFD2" s="528"/>
      <c r="IFE2" s="528"/>
      <c r="IFF2" s="528"/>
      <c r="IFG2" s="528"/>
      <c r="IFH2" s="528"/>
      <c r="IFI2" s="528"/>
      <c r="IFJ2" s="528"/>
      <c r="IFK2" s="528"/>
      <c r="IFL2" s="528"/>
      <c r="IFM2" s="528"/>
      <c r="IFN2" s="528"/>
      <c r="IFO2" s="528"/>
      <c r="IFP2" s="528"/>
      <c r="IFQ2" s="528"/>
      <c r="IFR2" s="528"/>
      <c r="IFS2" s="528"/>
      <c r="IFT2" s="528"/>
      <c r="IFU2" s="528"/>
      <c r="IFV2" s="528"/>
      <c r="IFW2" s="528"/>
      <c r="IFX2" s="528"/>
      <c r="IFY2" s="528"/>
      <c r="IFZ2" s="528"/>
      <c r="IGA2" s="528"/>
      <c r="IGB2" s="528"/>
      <c r="IGC2" s="528"/>
      <c r="IGD2" s="528"/>
      <c r="IGE2" s="528"/>
      <c r="IGF2" s="528"/>
      <c r="IGG2" s="528"/>
      <c r="IGH2" s="528"/>
      <c r="IGI2" s="528"/>
      <c r="IGJ2" s="528"/>
      <c r="IGK2" s="528"/>
      <c r="IGL2" s="528"/>
      <c r="IGM2" s="528"/>
      <c r="IGN2" s="528"/>
      <c r="IGO2" s="528"/>
      <c r="IGP2" s="528"/>
      <c r="IGQ2" s="528"/>
      <c r="IGR2" s="528"/>
      <c r="IGS2" s="528"/>
      <c r="IGT2" s="528"/>
      <c r="IGU2" s="528"/>
      <c r="IGV2" s="528"/>
      <c r="IGW2" s="528"/>
      <c r="IGX2" s="528"/>
      <c r="IGY2" s="528"/>
      <c r="IGZ2" s="528"/>
      <c r="IHA2" s="528"/>
      <c r="IHB2" s="528"/>
      <c r="IHC2" s="528"/>
      <c r="IHD2" s="528"/>
      <c r="IHE2" s="528"/>
      <c r="IHF2" s="528"/>
      <c r="IHG2" s="528"/>
      <c r="IHH2" s="528"/>
      <c r="IHI2" s="528"/>
      <c r="IHJ2" s="528"/>
      <c r="IHK2" s="528"/>
      <c r="IHL2" s="528"/>
      <c r="IHM2" s="528"/>
      <c r="IHN2" s="528"/>
      <c r="IHO2" s="528"/>
      <c r="IHP2" s="528"/>
      <c r="IHQ2" s="528"/>
      <c r="IHR2" s="528"/>
      <c r="IHS2" s="528"/>
      <c r="IHT2" s="528"/>
      <c r="IHU2" s="528"/>
      <c r="IHV2" s="528"/>
      <c r="IHW2" s="528"/>
      <c r="IHX2" s="528"/>
      <c r="IHY2" s="528"/>
      <c r="IHZ2" s="528"/>
      <c r="IIA2" s="528"/>
      <c r="IIB2" s="528"/>
      <c r="IIC2" s="528"/>
      <c r="IID2" s="528"/>
      <c r="IIE2" s="528"/>
      <c r="IIF2" s="528"/>
      <c r="IIG2" s="528"/>
      <c r="IIH2" s="528"/>
      <c r="III2" s="528"/>
      <c r="IIJ2" s="528"/>
      <c r="IIK2" s="528"/>
      <c r="IIL2" s="528"/>
      <c r="IIM2" s="528"/>
      <c r="IIN2" s="528"/>
      <c r="IIO2" s="528"/>
      <c r="IIP2" s="528"/>
      <c r="IIQ2" s="528"/>
      <c r="IIR2" s="528"/>
      <c r="IIS2" s="528"/>
      <c r="IIT2" s="528"/>
      <c r="IIU2" s="528"/>
      <c r="IIV2" s="528"/>
      <c r="IIW2" s="528"/>
      <c r="IIX2" s="528"/>
      <c r="IIY2" s="528"/>
      <c r="IIZ2" s="528"/>
      <c r="IJA2" s="528"/>
      <c r="IJB2" s="528"/>
      <c r="IJC2" s="528"/>
      <c r="IJD2" s="528"/>
      <c r="IJE2" s="528"/>
      <c r="IJF2" s="528"/>
      <c r="IJG2" s="528"/>
      <c r="IJH2" s="528"/>
      <c r="IJI2" s="528"/>
      <c r="IJJ2" s="528"/>
      <c r="IJK2" s="528"/>
      <c r="IJL2" s="528"/>
      <c r="IJM2" s="528"/>
      <c r="IJN2" s="528"/>
      <c r="IJO2" s="528"/>
      <c r="IJP2" s="528"/>
      <c r="IJQ2" s="528"/>
      <c r="IJR2" s="528"/>
      <c r="IJS2" s="528"/>
      <c r="IJT2" s="528"/>
      <c r="IJU2" s="528"/>
      <c r="IJV2" s="528"/>
      <c r="IJW2" s="528"/>
      <c r="IJX2" s="528"/>
      <c r="IJY2" s="528"/>
      <c r="IJZ2" s="528"/>
      <c r="IKA2" s="528"/>
      <c r="IKB2" s="528"/>
      <c r="IKC2" s="528"/>
      <c r="IKD2" s="528"/>
      <c r="IKE2" s="528"/>
      <c r="IKF2" s="528"/>
      <c r="IKG2" s="528"/>
      <c r="IKH2" s="528"/>
      <c r="IKI2" s="528"/>
      <c r="IKJ2" s="528"/>
      <c r="IKK2" s="528"/>
      <c r="IKL2" s="528"/>
      <c r="IKM2" s="528"/>
      <c r="IKN2" s="528"/>
      <c r="IKO2" s="528"/>
      <c r="IKP2" s="528"/>
      <c r="IKQ2" s="528"/>
      <c r="IKR2" s="528"/>
      <c r="IKS2" s="528"/>
      <c r="IKT2" s="528"/>
      <c r="IKU2" s="528"/>
      <c r="IKV2" s="528"/>
      <c r="IKW2" s="528"/>
      <c r="IKX2" s="528"/>
      <c r="IKY2" s="528"/>
      <c r="IKZ2" s="528"/>
      <c r="ILA2" s="528"/>
      <c r="ILB2" s="528"/>
      <c r="ILC2" s="528"/>
      <c r="ILD2" s="528"/>
      <c r="ILE2" s="528"/>
      <c r="ILF2" s="528"/>
      <c r="ILG2" s="528"/>
      <c r="ILH2" s="528"/>
      <c r="ILI2" s="528"/>
      <c r="ILJ2" s="528"/>
      <c r="ILK2" s="528"/>
      <c r="ILL2" s="528"/>
      <c r="ILM2" s="528"/>
      <c r="ILN2" s="528"/>
      <c r="ILO2" s="528"/>
      <c r="ILP2" s="528"/>
      <c r="ILQ2" s="528"/>
      <c r="ILR2" s="528"/>
      <c r="ILS2" s="528"/>
      <c r="ILT2" s="528"/>
      <c r="ILU2" s="528"/>
      <c r="ILV2" s="528"/>
      <c r="ILW2" s="528"/>
      <c r="ILX2" s="528"/>
      <c r="ILY2" s="528"/>
      <c r="ILZ2" s="528"/>
      <c r="IMA2" s="528"/>
      <c r="IMB2" s="528"/>
      <c r="IMC2" s="528"/>
      <c r="IMD2" s="528"/>
      <c r="IME2" s="528"/>
      <c r="IMF2" s="528"/>
      <c r="IMG2" s="528"/>
      <c r="IMH2" s="528"/>
      <c r="IMI2" s="528"/>
      <c r="IMJ2" s="528"/>
      <c r="IMK2" s="528"/>
      <c r="IML2" s="528"/>
      <c r="IMM2" s="528"/>
      <c r="IMN2" s="528"/>
      <c r="IMO2" s="528"/>
      <c r="IMP2" s="528"/>
      <c r="IMQ2" s="528"/>
      <c r="IMR2" s="528"/>
      <c r="IMS2" s="528"/>
      <c r="IMT2" s="528"/>
      <c r="IMU2" s="528"/>
      <c r="IMV2" s="528"/>
      <c r="IMW2" s="528"/>
      <c r="IMX2" s="528"/>
      <c r="IMY2" s="528"/>
      <c r="IMZ2" s="528"/>
      <c r="INA2" s="528"/>
      <c r="INB2" s="528"/>
      <c r="INC2" s="528"/>
      <c r="IND2" s="528"/>
      <c r="INE2" s="528"/>
      <c r="INF2" s="528"/>
      <c r="ING2" s="528"/>
      <c r="INH2" s="528"/>
      <c r="INI2" s="528"/>
      <c r="INJ2" s="528"/>
      <c r="INK2" s="528"/>
      <c r="INL2" s="528"/>
      <c r="INM2" s="528"/>
      <c r="INN2" s="528"/>
      <c r="INO2" s="528"/>
      <c r="INP2" s="528"/>
      <c r="INQ2" s="528"/>
      <c r="INR2" s="528"/>
      <c r="INS2" s="528"/>
      <c r="INT2" s="528"/>
      <c r="INU2" s="528"/>
      <c r="INV2" s="528"/>
      <c r="INW2" s="528"/>
      <c r="INX2" s="528"/>
      <c r="INY2" s="528"/>
      <c r="INZ2" s="528"/>
      <c r="IOA2" s="528"/>
      <c r="IOB2" s="528"/>
      <c r="IOC2" s="528"/>
      <c r="IOD2" s="528"/>
      <c r="IOE2" s="528"/>
      <c r="IOF2" s="528"/>
      <c r="IOG2" s="528"/>
      <c r="IOH2" s="528"/>
      <c r="IOI2" s="528"/>
      <c r="IOJ2" s="528"/>
      <c r="IOK2" s="528"/>
      <c r="IOL2" s="528"/>
      <c r="IOM2" s="528"/>
      <c r="ION2" s="528"/>
      <c r="IOO2" s="528"/>
      <c r="IOP2" s="528"/>
      <c r="IOQ2" s="528"/>
      <c r="IOR2" s="528"/>
      <c r="IOS2" s="528"/>
      <c r="IOT2" s="528"/>
      <c r="IOU2" s="528"/>
      <c r="IOV2" s="528"/>
      <c r="IOW2" s="528"/>
      <c r="IOX2" s="528"/>
      <c r="IOY2" s="528"/>
      <c r="IOZ2" s="528"/>
      <c r="IPA2" s="528"/>
      <c r="IPB2" s="528"/>
      <c r="IPC2" s="528"/>
      <c r="IPD2" s="528"/>
      <c r="IPE2" s="528"/>
      <c r="IPF2" s="528"/>
      <c r="IPG2" s="528"/>
      <c r="IPH2" s="528"/>
      <c r="IPI2" s="528"/>
      <c r="IPJ2" s="528"/>
      <c r="IPK2" s="528"/>
      <c r="IPL2" s="528"/>
      <c r="IPM2" s="528"/>
      <c r="IPN2" s="528"/>
      <c r="IPO2" s="528"/>
      <c r="IPP2" s="528"/>
      <c r="IPQ2" s="528"/>
      <c r="IPR2" s="528"/>
      <c r="IPS2" s="528"/>
      <c r="IPT2" s="528"/>
      <c r="IPU2" s="528"/>
      <c r="IPV2" s="528"/>
      <c r="IPW2" s="528"/>
      <c r="IPX2" s="528"/>
      <c r="IPY2" s="528"/>
      <c r="IPZ2" s="528"/>
      <c r="IQA2" s="528"/>
      <c r="IQB2" s="528"/>
      <c r="IQC2" s="528"/>
      <c r="IQD2" s="528"/>
      <c r="IQE2" s="528"/>
      <c r="IQF2" s="528"/>
      <c r="IQG2" s="528"/>
      <c r="IQH2" s="528"/>
      <c r="IQI2" s="528"/>
      <c r="IQJ2" s="528"/>
      <c r="IQK2" s="528"/>
      <c r="IQL2" s="528"/>
      <c r="IQM2" s="528"/>
      <c r="IQN2" s="528"/>
      <c r="IQO2" s="528"/>
      <c r="IQP2" s="528"/>
      <c r="IQQ2" s="528"/>
      <c r="IQR2" s="528"/>
      <c r="IQS2" s="528"/>
      <c r="IQT2" s="528"/>
      <c r="IQU2" s="528"/>
      <c r="IQV2" s="528"/>
      <c r="IQW2" s="528"/>
      <c r="IQX2" s="528"/>
      <c r="IQY2" s="528"/>
      <c r="IQZ2" s="528"/>
      <c r="IRA2" s="528"/>
      <c r="IRB2" s="528"/>
      <c r="IRC2" s="528"/>
      <c r="IRD2" s="528"/>
      <c r="IRE2" s="528"/>
      <c r="IRF2" s="528"/>
      <c r="IRG2" s="528"/>
      <c r="IRH2" s="528"/>
      <c r="IRI2" s="528"/>
      <c r="IRJ2" s="528"/>
      <c r="IRK2" s="528"/>
      <c r="IRL2" s="528"/>
      <c r="IRM2" s="528"/>
      <c r="IRN2" s="528"/>
      <c r="IRO2" s="528"/>
      <c r="IRP2" s="528"/>
      <c r="IRQ2" s="528"/>
      <c r="IRR2" s="528"/>
      <c r="IRS2" s="528"/>
      <c r="IRT2" s="528"/>
      <c r="IRU2" s="528"/>
      <c r="IRV2" s="528"/>
      <c r="IRW2" s="528"/>
      <c r="IRX2" s="528"/>
      <c r="IRY2" s="528"/>
      <c r="IRZ2" s="528"/>
      <c r="ISA2" s="528"/>
      <c r="ISB2" s="528"/>
      <c r="ISC2" s="528"/>
      <c r="ISD2" s="528"/>
      <c r="ISE2" s="528"/>
      <c r="ISF2" s="528"/>
      <c r="ISG2" s="528"/>
      <c r="ISH2" s="528"/>
      <c r="ISI2" s="528"/>
      <c r="ISJ2" s="528"/>
      <c r="ISK2" s="528"/>
      <c r="ISL2" s="528"/>
      <c r="ISM2" s="528"/>
      <c r="ISN2" s="528"/>
      <c r="ISO2" s="528"/>
      <c r="ISP2" s="528"/>
      <c r="ISQ2" s="528"/>
      <c r="ISR2" s="528"/>
      <c r="ISS2" s="528"/>
      <c r="IST2" s="528"/>
      <c r="ISU2" s="528"/>
      <c r="ISV2" s="528"/>
      <c r="ISW2" s="528"/>
      <c r="ISX2" s="528"/>
      <c r="ISY2" s="528"/>
      <c r="ISZ2" s="528"/>
      <c r="ITA2" s="528"/>
      <c r="ITB2" s="528"/>
      <c r="ITC2" s="528"/>
      <c r="ITD2" s="528"/>
      <c r="ITE2" s="528"/>
      <c r="ITF2" s="528"/>
      <c r="ITG2" s="528"/>
      <c r="ITH2" s="528"/>
      <c r="ITI2" s="528"/>
      <c r="ITJ2" s="528"/>
      <c r="ITK2" s="528"/>
      <c r="ITL2" s="528"/>
      <c r="ITM2" s="528"/>
      <c r="ITN2" s="528"/>
      <c r="ITO2" s="528"/>
      <c r="ITP2" s="528"/>
      <c r="ITQ2" s="528"/>
      <c r="ITR2" s="528"/>
      <c r="ITS2" s="528"/>
      <c r="ITT2" s="528"/>
      <c r="ITU2" s="528"/>
      <c r="ITV2" s="528"/>
      <c r="ITW2" s="528"/>
      <c r="ITX2" s="528"/>
      <c r="ITY2" s="528"/>
      <c r="ITZ2" s="528"/>
      <c r="IUA2" s="528"/>
      <c r="IUB2" s="528"/>
      <c r="IUC2" s="528"/>
      <c r="IUD2" s="528"/>
      <c r="IUE2" s="528"/>
      <c r="IUF2" s="528"/>
      <c r="IUG2" s="528"/>
      <c r="IUH2" s="528"/>
      <c r="IUI2" s="528"/>
      <c r="IUJ2" s="528"/>
      <c r="IUK2" s="528"/>
      <c r="IUL2" s="528"/>
      <c r="IUM2" s="528"/>
      <c r="IUN2" s="528"/>
      <c r="IUO2" s="528"/>
      <c r="IUP2" s="528"/>
      <c r="IUQ2" s="528"/>
      <c r="IUR2" s="528"/>
      <c r="IUS2" s="528"/>
      <c r="IUT2" s="528"/>
      <c r="IUU2" s="528"/>
      <c r="IUV2" s="528"/>
      <c r="IUW2" s="528"/>
      <c r="IUX2" s="528"/>
      <c r="IUY2" s="528"/>
      <c r="IUZ2" s="528"/>
      <c r="IVA2" s="528"/>
      <c r="IVB2" s="528"/>
      <c r="IVC2" s="528"/>
      <c r="IVD2" s="528"/>
      <c r="IVE2" s="528"/>
      <c r="IVF2" s="528"/>
      <c r="IVG2" s="528"/>
      <c r="IVH2" s="528"/>
      <c r="IVI2" s="528"/>
      <c r="IVJ2" s="528"/>
      <c r="IVK2" s="528"/>
      <c r="IVL2" s="528"/>
      <c r="IVM2" s="528"/>
      <c r="IVN2" s="528"/>
      <c r="IVO2" s="528"/>
      <c r="IVP2" s="528"/>
      <c r="IVQ2" s="528"/>
      <c r="IVR2" s="528"/>
      <c r="IVS2" s="528"/>
      <c r="IVT2" s="528"/>
      <c r="IVU2" s="528"/>
      <c r="IVV2" s="528"/>
      <c r="IVW2" s="528"/>
      <c r="IVX2" s="528"/>
      <c r="IVY2" s="528"/>
      <c r="IVZ2" s="528"/>
      <c r="IWA2" s="528"/>
      <c r="IWB2" s="528"/>
      <c r="IWC2" s="528"/>
      <c r="IWD2" s="528"/>
      <c r="IWE2" s="528"/>
      <c r="IWF2" s="528"/>
      <c r="IWG2" s="528"/>
      <c r="IWH2" s="528"/>
      <c r="IWI2" s="528"/>
      <c r="IWJ2" s="528"/>
      <c r="IWK2" s="528"/>
      <c r="IWL2" s="528"/>
      <c r="IWM2" s="528"/>
      <c r="IWN2" s="528"/>
      <c r="IWO2" s="528"/>
      <c r="IWP2" s="528"/>
      <c r="IWQ2" s="528"/>
      <c r="IWR2" s="528"/>
      <c r="IWS2" s="528"/>
      <c r="IWT2" s="528"/>
      <c r="IWU2" s="528"/>
      <c r="IWV2" s="528"/>
      <c r="IWW2" s="528"/>
      <c r="IWX2" s="528"/>
      <c r="IWY2" s="528"/>
      <c r="IWZ2" s="528"/>
      <c r="IXA2" s="528"/>
      <c r="IXB2" s="528"/>
      <c r="IXC2" s="528"/>
      <c r="IXD2" s="528"/>
      <c r="IXE2" s="528"/>
      <c r="IXF2" s="528"/>
      <c r="IXG2" s="528"/>
      <c r="IXH2" s="528"/>
      <c r="IXI2" s="528"/>
      <c r="IXJ2" s="528"/>
      <c r="IXK2" s="528"/>
      <c r="IXL2" s="528"/>
      <c r="IXM2" s="528"/>
      <c r="IXN2" s="528"/>
      <c r="IXO2" s="528"/>
      <c r="IXP2" s="528"/>
      <c r="IXQ2" s="528"/>
      <c r="IXR2" s="528"/>
      <c r="IXS2" s="528"/>
      <c r="IXT2" s="528"/>
      <c r="IXU2" s="528"/>
      <c r="IXV2" s="528"/>
      <c r="IXW2" s="528"/>
      <c r="IXX2" s="528"/>
      <c r="IXY2" s="528"/>
      <c r="IXZ2" s="528"/>
      <c r="IYA2" s="528"/>
      <c r="IYB2" s="528"/>
      <c r="IYC2" s="528"/>
      <c r="IYD2" s="528"/>
      <c r="IYE2" s="528"/>
      <c r="IYF2" s="528"/>
      <c r="IYG2" s="528"/>
      <c r="IYH2" s="528"/>
      <c r="IYI2" s="528"/>
      <c r="IYJ2" s="528"/>
      <c r="IYK2" s="528"/>
      <c r="IYL2" s="528"/>
      <c r="IYM2" s="528"/>
      <c r="IYN2" s="528"/>
      <c r="IYO2" s="528"/>
      <c r="IYP2" s="528"/>
      <c r="IYQ2" s="528"/>
      <c r="IYR2" s="528"/>
      <c r="IYS2" s="528"/>
      <c r="IYT2" s="528"/>
      <c r="IYU2" s="528"/>
      <c r="IYV2" s="528"/>
      <c r="IYW2" s="528"/>
      <c r="IYX2" s="528"/>
      <c r="IYY2" s="528"/>
      <c r="IYZ2" s="528"/>
      <c r="IZA2" s="528"/>
      <c r="IZB2" s="528"/>
      <c r="IZC2" s="528"/>
      <c r="IZD2" s="528"/>
      <c r="IZE2" s="528"/>
      <c r="IZF2" s="528"/>
      <c r="IZG2" s="528"/>
      <c r="IZH2" s="528"/>
      <c r="IZI2" s="528"/>
      <c r="IZJ2" s="528"/>
      <c r="IZK2" s="528"/>
      <c r="IZL2" s="528"/>
      <c r="IZM2" s="528"/>
      <c r="IZN2" s="528"/>
      <c r="IZO2" s="528"/>
      <c r="IZP2" s="528"/>
      <c r="IZQ2" s="528"/>
      <c r="IZR2" s="528"/>
      <c r="IZS2" s="528"/>
      <c r="IZT2" s="528"/>
      <c r="IZU2" s="528"/>
      <c r="IZV2" s="528"/>
      <c r="IZW2" s="528"/>
      <c r="IZX2" s="528"/>
      <c r="IZY2" s="528"/>
      <c r="IZZ2" s="528"/>
      <c r="JAA2" s="528"/>
      <c r="JAB2" s="528"/>
      <c r="JAC2" s="528"/>
      <c r="JAD2" s="528"/>
      <c r="JAE2" s="528"/>
      <c r="JAF2" s="528"/>
      <c r="JAG2" s="528"/>
      <c r="JAH2" s="528"/>
      <c r="JAI2" s="528"/>
      <c r="JAJ2" s="528"/>
      <c r="JAK2" s="528"/>
      <c r="JAL2" s="528"/>
      <c r="JAM2" s="528"/>
      <c r="JAN2" s="528"/>
      <c r="JAO2" s="528"/>
      <c r="JAP2" s="528"/>
      <c r="JAQ2" s="528"/>
      <c r="JAR2" s="528"/>
      <c r="JAS2" s="528"/>
      <c r="JAT2" s="528"/>
      <c r="JAU2" s="528"/>
      <c r="JAV2" s="528"/>
      <c r="JAW2" s="528"/>
      <c r="JAX2" s="528"/>
      <c r="JAY2" s="528"/>
      <c r="JAZ2" s="528"/>
      <c r="JBA2" s="528"/>
      <c r="JBB2" s="528"/>
      <c r="JBC2" s="528"/>
      <c r="JBD2" s="528"/>
      <c r="JBE2" s="528"/>
      <c r="JBF2" s="528"/>
      <c r="JBG2" s="528"/>
      <c r="JBH2" s="528"/>
      <c r="JBI2" s="528"/>
      <c r="JBJ2" s="528"/>
      <c r="JBK2" s="528"/>
      <c r="JBL2" s="528"/>
      <c r="JBM2" s="528"/>
      <c r="JBN2" s="528"/>
      <c r="JBO2" s="528"/>
      <c r="JBP2" s="528"/>
      <c r="JBQ2" s="528"/>
      <c r="JBR2" s="528"/>
      <c r="JBS2" s="528"/>
      <c r="JBT2" s="528"/>
      <c r="JBU2" s="528"/>
      <c r="JBV2" s="528"/>
      <c r="JBW2" s="528"/>
      <c r="JBX2" s="528"/>
      <c r="JBY2" s="528"/>
      <c r="JBZ2" s="528"/>
      <c r="JCA2" s="528"/>
      <c r="JCB2" s="528"/>
      <c r="JCC2" s="528"/>
      <c r="JCD2" s="528"/>
      <c r="JCE2" s="528"/>
      <c r="JCF2" s="528"/>
      <c r="JCG2" s="528"/>
      <c r="JCH2" s="528"/>
      <c r="JCI2" s="528"/>
      <c r="JCJ2" s="528"/>
      <c r="JCK2" s="528"/>
      <c r="JCL2" s="528"/>
      <c r="JCM2" s="528"/>
      <c r="JCN2" s="528"/>
      <c r="JCO2" s="528"/>
      <c r="JCP2" s="528"/>
      <c r="JCQ2" s="528"/>
      <c r="JCR2" s="528"/>
      <c r="JCS2" s="528"/>
      <c r="JCT2" s="528"/>
      <c r="JCU2" s="528"/>
      <c r="JCV2" s="528"/>
      <c r="JCW2" s="528"/>
      <c r="JCX2" s="528"/>
      <c r="JCY2" s="528"/>
      <c r="JCZ2" s="528"/>
      <c r="JDA2" s="528"/>
      <c r="JDB2" s="528"/>
      <c r="JDC2" s="528"/>
      <c r="JDD2" s="528"/>
      <c r="JDE2" s="528"/>
      <c r="JDF2" s="528"/>
      <c r="JDG2" s="528"/>
      <c r="JDH2" s="528"/>
      <c r="JDI2" s="528"/>
      <c r="JDJ2" s="528"/>
      <c r="JDK2" s="528"/>
      <c r="JDL2" s="528"/>
      <c r="JDM2" s="528"/>
      <c r="JDN2" s="528"/>
      <c r="JDO2" s="528"/>
      <c r="JDP2" s="528"/>
      <c r="JDQ2" s="528"/>
      <c r="JDR2" s="528"/>
      <c r="JDS2" s="528"/>
      <c r="JDT2" s="528"/>
      <c r="JDU2" s="528"/>
      <c r="JDV2" s="528"/>
      <c r="JDW2" s="528"/>
      <c r="JDX2" s="528"/>
      <c r="JDY2" s="528"/>
      <c r="JDZ2" s="528"/>
      <c r="JEA2" s="528"/>
      <c r="JEB2" s="528"/>
      <c r="JEC2" s="528"/>
      <c r="JED2" s="528"/>
      <c r="JEE2" s="528"/>
      <c r="JEF2" s="528"/>
      <c r="JEG2" s="528"/>
      <c r="JEH2" s="528"/>
      <c r="JEI2" s="528"/>
      <c r="JEJ2" s="528"/>
      <c r="JEK2" s="528"/>
      <c r="JEL2" s="528"/>
      <c r="JEM2" s="528"/>
      <c r="JEN2" s="528"/>
      <c r="JEO2" s="528"/>
      <c r="JEP2" s="528"/>
      <c r="JEQ2" s="528"/>
      <c r="JER2" s="528"/>
      <c r="JES2" s="528"/>
      <c r="JET2" s="528"/>
      <c r="JEU2" s="528"/>
      <c r="JEV2" s="528"/>
      <c r="JEW2" s="528"/>
      <c r="JEX2" s="528"/>
      <c r="JEY2" s="528"/>
      <c r="JEZ2" s="528"/>
      <c r="JFA2" s="528"/>
      <c r="JFB2" s="528"/>
      <c r="JFC2" s="528"/>
      <c r="JFD2" s="528"/>
      <c r="JFE2" s="528"/>
      <c r="JFF2" s="528"/>
      <c r="JFG2" s="528"/>
      <c r="JFH2" s="528"/>
      <c r="JFI2" s="528"/>
      <c r="JFJ2" s="528"/>
      <c r="JFK2" s="528"/>
      <c r="JFL2" s="528"/>
      <c r="JFM2" s="528"/>
      <c r="JFN2" s="528"/>
      <c r="JFO2" s="528"/>
      <c r="JFP2" s="528"/>
      <c r="JFQ2" s="528"/>
      <c r="JFR2" s="528"/>
      <c r="JFS2" s="528"/>
      <c r="JFT2" s="528"/>
      <c r="JFU2" s="528"/>
      <c r="JFV2" s="528"/>
      <c r="JFW2" s="528"/>
      <c r="JFX2" s="528"/>
      <c r="JFY2" s="528"/>
      <c r="JFZ2" s="528"/>
      <c r="JGA2" s="528"/>
      <c r="JGB2" s="528"/>
      <c r="JGC2" s="528"/>
      <c r="JGD2" s="528"/>
      <c r="JGE2" s="528"/>
      <c r="JGF2" s="528"/>
      <c r="JGG2" s="528"/>
      <c r="JGH2" s="528"/>
      <c r="JGI2" s="528"/>
      <c r="JGJ2" s="528"/>
      <c r="JGK2" s="528"/>
      <c r="JGL2" s="528"/>
      <c r="JGM2" s="528"/>
      <c r="JGN2" s="528"/>
      <c r="JGO2" s="528"/>
      <c r="JGP2" s="528"/>
      <c r="JGQ2" s="528"/>
      <c r="JGR2" s="528"/>
      <c r="JGS2" s="528"/>
      <c r="JGT2" s="528"/>
      <c r="JGU2" s="528"/>
      <c r="JGV2" s="528"/>
      <c r="JGW2" s="528"/>
      <c r="JGX2" s="528"/>
      <c r="JGY2" s="528"/>
      <c r="JGZ2" s="528"/>
      <c r="JHA2" s="528"/>
      <c r="JHB2" s="528"/>
      <c r="JHC2" s="528"/>
      <c r="JHD2" s="528"/>
      <c r="JHE2" s="528"/>
      <c r="JHF2" s="528"/>
      <c r="JHG2" s="528"/>
      <c r="JHH2" s="528"/>
      <c r="JHI2" s="528"/>
      <c r="JHJ2" s="528"/>
      <c r="JHK2" s="528"/>
      <c r="JHL2" s="528"/>
      <c r="JHM2" s="528"/>
      <c r="JHN2" s="528"/>
      <c r="JHO2" s="528"/>
      <c r="JHP2" s="528"/>
      <c r="JHQ2" s="528"/>
      <c r="JHR2" s="528"/>
      <c r="JHS2" s="528"/>
      <c r="JHT2" s="528"/>
      <c r="JHU2" s="528"/>
      <c r="JHV2" s="528"/>
      <c r="JHW2" s="528"/>
      <c r="JHX2" s="528"/>
      <c r="JHY2" s="528"/>
      <c r="JHZ2" s="528"/>
      <c r="JIA2" s="528"/>
      <c r="JIB2" s="528"/>
      <c r="JIC2" s="528"/>
      <c r="JID2" s="528"/>
      <c r="JIE2" s="528"/>
      <c r="JIF2" s="528"/>
      <c r="JIG2" s="528"/>
      <c r="JIH2" s="528"/>
      <c r="JII2" s="528"/>
      <c r="JIJ2" s="528"/>
      <c r="JIK2" s="528"/>
      <c r="JIL2" s="528"/>
      <c r="JIM2" s="528"/>
      <c r="JIN2" s="528"/>
      <c r="JIO2" s="528"/>
      <c r="JIP2" s="528"/>
      <c r="JIQ2" s="528"/>
      <c r="JIR2" s="528"/>
      <c r="JIS2" s="528"/>
      <c r="JIT2" s="528"/>
      <c r="JIU2" s="528"/>
      <c r="JIV2" s="528"/>
      <c r="JIW2" s="528"/>
      <c r="JIX2" s="528"/>
      <c r="JIY2" s="528"/>
      <c r="JIZ2" s="528"/>
      <c r="JJA2" s="528"/>
      <c r="JJB2" s="528"/>
      <c r="JJC2" s="528"/>
      <c r="JJD2" s="528"/>
      <c r="JJE2" s="528"/>
      <c r="JJF2" s="528"/>
      <c r="JJG2" s="528"/>
      <c r="JJH2" s="528"/>
      <c r="JJI2" s="528"/>
      <c r="JJJ2" s="528"/>
      <c r="JJK2" s="528"/>
      <c r="JJL2" s="528"/>
      <c r="JJM2" s="528"/>
      <c r="JJN2" s="528"/>
      <c r="JJO2" s="528"/>
      <c r="JJP2" s="528"/>
      <c r="JJQ2" s="528"/>
      <c r="JJR2" s="528"/>
      <c r="JJS2" s="528"/>
      <c r="JJT2" s="528"/>
      <c r="JJU2" s="528"/>
      <c r="JJV2" s="528"/>
      <c r="JJW2" s="528"/>
      <c r="JJX2" s="528"/>
      <c r="JJY2" s="528"/>
      <c r="JJZ2" s="528"/>
      <c r="JKA2" s="528"/>
      <c r="JKB2" s="528"/>
      <c r="JKC2" s="528"/>
      <c r="JKD2" s="528"/>
      <c r="JKE2" s="528"/>
      <c r="JKF2" s="528"/>
      <c r="JKG2" s="528"/>
      <c r="JKH2" s="528"/>
      <c r="JKI2" s="528"/>
      <c r="JKJ2" s="528"/>
      <c r="JKK2" s="528"/>
      <c r="JKL2" s="528"/>
      <c r="JKM2" s="528"/>
      <c r="JKN2" s="528"/>
      <c r="JKO2" s="528"/>
      <c r="JKP2" s="528"/>
      <c r="JKQ2" s="528"/>
      <c r="JKR2" s="528"/>
      <c r="JKS2" s="528"/>
      <c r="JKT2" s="528"/>
      <c r="JKU2" s="528"/>
      <c r="JKV2" s="528"/>
      <c r="JKW2" s="528"/>
      <c r="JKX2" s="528"/>
      <c r="JKY2" s="528"/>
      <c r="JKZ2" s="528"/>
      <c r="JLA2" s="528"/>
      <c r="JLB2" s="528"/>
      <c r="JLC2" s="528"/>
      <c r="JLD2" s="528"/>
      <c r="JLE2" s="528"/>
      <c r="JLF2" s="528"/>
      <c r="JLG2" s="528"/>
      <c r="JLH2" s="528"/>
      <c r="JLI2" s="528"/>
      <c r="JLJ2" s="528"/>
      <c r="JLK2" s="528"/>
      <c r="JLL2" s="528"/>
      <c r="JLM2" s="528"/>
      <c r="JLN2" s="528"/>
      <c r="JLO2" s="528"/>
      <c r="JLP2" s="528"/>
      <c r="JLQ2" s="528"/>
      <c r="JLR2" s="528"/>
      <c r="JLS2" s="528"/>
      <c r="JLT2" s="528"/>
      <c r="JLU2" s="528"/>
      <c r="JLV2" s="528"/>
      <c r="JLW2" s="528"/>
      <c r="JLX2" s="528"/>
      <c r="JLY2" s="528"/>
      <c r="JLZ2" s="528"/>
      <c r="JMA2" s="528"/>
      <c r="JMB2" s="528"/>
      <c r="JMC2" s="528"/>
      <c r="JMD2" s="528"/>
      <c r="JME2" s="528"/>
      <c r="JMF2" s="528"/>
      <c r="JMG2" s="528"/>
      <c r="JMH2" s="528"/>
      <c r="JMI2" s="528"/>
      <c r="JMJ2" s="528"/>
      <c r="JMK2" s="528"/>
      <c r="JML2" s="528"/>
      <c r="JMM2" s="528"/>
      <c r="JMN2" s="528"/>
      <c r="JMO2" s="528"/>
      <c r="JMP2" s="528"/>
      <c r="JMQ2" s="528"/>
      <c r="JMR2" s="528"/>
      <c r="JMS2" s="528"/>
      <c r="JMT2" s="528"/>
      <c r="JMU2" s="528"/>
      <c r="JMV2" s="528"/>
      <c r="JMW2" s="528"/>
      <c r="JMX2" s="528"/>
      <c r="JMY2" s="528"/>
      <c r="JMZ2" s="528"/>
      <c r="JNA2" s="528"/>
      <c r="JNB2" s="528"/>
      <c r="JNC2" s="528"/>
      <c r="JND2" s="528"/>
      <c r="JNE2" s="528"/>
      <c r="JNF2" s="528"/>
      <c r="JNG2" s="528"/>
      <c r="JNH2" s="528"/>
      <c r="JNI2" s="528"/>
      <c r="JNJ2" s="528"/>
      <c r="JNK2" s="528"/>
      <c r="JNL2" s="528"/>
      <c r="JNM2" s="528"/>
      <c r="JNN2" s="528"/>
      <c r="JNO2" s="528"/>
      <c r="JNP2" s="528"/>
      <c r="JNQ2" s="528"/>
      <c r="JNR2" s="528"/>
      <c r="JNS2" s="528"/>
      <c r="JNT2" s="528"/>
      <c r="JNU2" s="528"/>
      <c r="JNV2" s="528"/>
      <c r="JNW2" s="528"/>
      <c r="JNX2" s="528"/>
      <c r="JNY2" s="528"/>
      <c r="JNZ2" s="528"/>
      <c r="JOA2" s="528"/>
      <c r="JOB2" s="528"/>
      <c r="JOC2" s="528"/>
      <c r="JOD2" s="528"/>
      <c r="JOE2" s="528"/>
      <c r="JOF2" s="528"/>
      <c r="JOG2" s="528"/>
      <c r="JOH2" s="528"/>
      <c r="JOI2" s="528"/>
      <c r="JOJ2" s="528"/>
      <c r="JOK2" s="528"/>
      <c r="JOL2" s="528"/>
      <c r="JOM2" s="528"/>
      <c r="JON2" s="528"/>
      <c r="JOO2" s="528"/>
      <c r="JOP2" s="528"/>
      <c r="JOQ2" s="528"/>
      <c r="JOR2" s="528"/>
      <c r="JOS2" s="528"/>
      <c r="JOT2" s="528"/>
      <c r="JOU2" s="528"/>
      <c r="JOV2" s="528"/>
      <c r="JOW2" s="528"/>
      <c r="JOX2" s="528"/>
      <c r="JOY2" s="528"/>
      <c r="JOZ2" s="528"/>
      <c r="JPA2" s="528"/>
      <c r="JPB2" s="528"/>
      <c r="JPC2" s="528"/>
      <c r="JPD2" s="528"/>
      <c r="JPE2" s="528"/>
      <c r="JPF2" s="528"/>
      <c r="JPG2" s="528"/>
      <c r="JPH2" s="528"/>
      <c r="JPI2" s="528"/>
      <c r="JPJ2" s="528"/>
      <c r="JPK2" s="528"/>
      <c r="JPL2" s="528"/>
      <c r="JPM2" s="528"/>
      <c r="JPN2" s="528"/>
      <c r="JPO2" s="528"/>
      <c r="JPP2" s="528"/>
      <c r="JPQ2" s="528"/>
      <c r="JPR2" s="528"/>
      <c r="JPS2" s="528"/>
      <c r="JPT2" s="528"/>
      <c r="JPU2" s="528"/>
      <c r="JPV2" s="528"/>
      <c r="JPW2" s="528"/>
      <c r="JPX2" s="528"/>
      <c r="JPY2" s="528"/>
      <c r="JPZ2" s="528"/>
      <c r="JQA2" s="528"/>
      <c r="JQB2" s="528"/>
      <c r="JQC2" s="528"/>
      <c r="JQD2" s="528"/>
      <c r="JQE2" s="528"/>
      <c r="JQF2" s="528"/>
      <c r="JQG2" s="528"/>
      <c r="JQH2" s="528"/>
      <c r="JQI2" s="528"/>
      <c r="JQJ2" s="528"/>
      <c r="JQK2" s="528"/>
      <c r="JQL2" s="528"/>
      <c r="JQM2" s="528"/>
      <c r="JQN2" s="528"/>
      <c r="JQO2" s="528"/>
      <c r="JQP2" s="528"/>
      <c r="JQQ2" s="528"/>
      <c r="JQR2" s="528"/>
      <c r="JQS2" s="528"/>
      <c r="JQT2" s="528"/>
      <c r="JQU2" s="528"/>
      <c r="JQV2" s="528"/>
      <c r="JQW2" s="528"/>
      <c r="JQX2" s="528"/>
      <c r="JQY2" s="528"/>
      <c r="JQZ2" s="528"/>
      <c r="JRA2" s="528"/>
      <c r="JRB2" s="528"/>
      <c r="JRC2" s="528"/>
      <c r="JRD2" s="528"/>
      <c r="JRE2" s="528"/>
      <c r="JRF2" s="528"/>
      <c r="JRG2" s="528"/>
      <c r="JRH2" s="528"/>
      <c r="JRI2" s="528"/>
      <c r="JRJ2" s="528"/>
      <c r="JRK2" s="528"/>
      <c r="JRL2" s="528"/>
      <c r="JRM2" s="528"/>
      <c r="JRN2" s="528"/>
      <c r="JRO2" s="528"/>
      <c r="JRP2" s="528"/>
      <c r="JRQ2" s="528"/>
      <c r="JRR2" s="528"/>
      <c r="JRS2" s="528"/>
      <c r="JRT2" s="528"/>
      <c r="JRU2" s="528"/>
      <c r="JRV2" s="528"/>
      <c r="JRW2" s="528"/>
      <c r="JRX2" s="528"/>
      <c r="JRY2" s="528"/>
      <c r="JRZ2" s="528"/>
      <c r="JSA2" s="528"/>
      <c r="JSB2" s="528"/>
      <c r="JSC2" s="528"/>
      <c r="JSD2" s="528"/>
      <c r="JSE2" s="528"/>
      <c r="JSF2" s="528"/>
      <c r="JSG2" s="528"/>
      <c r="JSH2" s="528"/>
      <c r="JSI2" s="528"/>
      <c r="JSJ2" s="528"/>
      <c r="JSK2" s="528"/>
      <c r="JSL2" s="528"/>
      <c r="JSM2" s="528"/>
      <c r="JSN2" s="528"/>
      <c r="JSO2" s="528"/>
      <c r="JSP2" s="528"/>
      <c r="JSQ2" s="528"/>
      <c r="JSR2" s="528"/>
      <c r="JSS2" s="528"/>
      <c r="JST2" s="528"/>
      <c r="JSU2" s="528"/>
      <c r="JSV2" s="528"/>
      <c r="JSW2" s="528"/>
      <c r="JSX2" s="528"/>
      <c r="JSY2" s="528"/>
      <c r="JSZ2" s="528"/>
      <c r="JTA2" s="528"/>
      <c r="JTB2" s="528"/>
      <c r="JTC2" s="528"/>
      <c r="JTD2" s="528"/>
      <c r="JTE2" s="528"/>
      <c r="JTF2" s="528"/>
      <c r="JTG2" s="528"/>
      <c r="JTH2" s="528"/>
      <c r="JTI2" s="528"/>
      <c r="JTJ2" s="528"/>
      <c r="JTK2" s="528"/>
      <c r="JTL2" s="528"/>
      <c r="JTM2" s="528"/>
      <c r="JTN2" s="528"/>
      <c r="JTO2" s="528"/>
      <c r="JTP2" s="528"/>
      <c r="JTQ2" s="528"/>
      <c r="JTR2" s="528"/>
      <c r="JTS2" s="528"/>
      <c r="JTT2" s="528"/>
      <c r="JTU2" s="528"/>
      <c r="JTV2" s="528"/>
      <c r="JTW2" s="528"/>
      <c r="JTX2" s="528"/>
      <c r="JTY2" s="528"/>
      <c r="JTZ2" s="528"/>
      <c r="JUA2" s="528"/>
      <c r="JUB2" s="528"/>
      <c r="JUC2" s="528"/>
      <c r="JUD2" s="528"/>
      <c r="JUE2" s="528"/>
      <c r="JUF2" s="528"/>
      <c r="JUG2" s="528"/>
      <c r="JUH2" s="528"/>
      <c r="JUI2" s="528"/>
      <c r="JUJ2" s="528"/>
      <c r="JUK2" s="528"/>
      <c r="JUL2" s="528"/>
      <c r="JUM2" s="528"/>
      <c r="JUN2" s="528"/>
      <c r="JUO2" s="528"/>
      <c r="JUP2" s="528"/>
      <c r="JUQ2" s="528"/>
      <c r="JUR2" s="528"/>
      <c r="JUS2" s="528"/>
      <c r="JUT2" s="528"/>
      <c r="JUU2" s="528"/>
      <c r="JUV2" s="528"/>
      <c r="JUW2" s="528"/>
      <c r="JUX2" s="528"/>
      <c r="JUY2" s="528"/>
      <c r="JUZ2" s="528"/>
      <c r="JVA2" s="528"/>
      <c r="JVB2" s="528"/>
      <c r="JVC2" s="528"/>
      <c r="JVD2" s="528"/>
      <c r="JVE2" s="528"/>
      <c r="JVF2" s="528"/>
      <c r="JVG2" s="528"/>
      <c r="JVH2" s="528"/>
      <c r="JVI2" s="528"/>
      <c r="JVJ2" s="528"/>
      <c r="JVK2" s="528"/>
      <c r="JVL2" s="528"/>
      <c r="JVM2" s="528"/>
      <c r="JVN2" s="528"/>
      <c r="JVO2" s="528"/>
      <c r="JVP2" s="528"/>
      <c r="JVQ2" s="528"/>
      <c r="JVR2" s="528"/>
      <c r="JVS2" s="528"/>
      <c r="JVT2" s="528"/>
      <c r="JVU2" s="528"/>
      <c r="JVV2" s="528"/>
      <c r="JVW2" s="528"/>
      <c r="JVX2" s="528"/>
      <c r="JVY2" s="528"/>
      <c r="JVZ2" s="528"/>
      <c r="JWA2" s="528"/>
      <c r="JWB2" s="528"/>
      <c r="JWC2" s="528"/>
      <c r="JWD2" s="528"/>
      <c r="JWE2" s="528"/>
      <c r="JWF2" s="528"/>
      <c r="JWG2" s="528"/>
      <c r="JWH2" s="528"/>
      <c r="JWI2" s="528"/>
      <c r="JWJ2" s="528"/>
      <c r="JWK2" s="528"/>
      <c r="JWL2" s="528"/>
      <c r="JWM2" s="528"/>
      <c r="JWN2" s="528"/>
      <c r="JWO2" s="528"/>
      <c r="JWP2" s="528"/>
      <c r="JWQ2" s="528"/>
      <c r="JWR2" s="528"/>
      <c r="JWS2" s="528"/>
      <c r="JWT2" s="528"/>
      <c r="JWU2" s="528"/>
      <c r="JWV2" s="528"/>
      <c r="JWW2" s="528"/>
      <c r="JWX2" s="528"/>
      <c r="JWY2" s="528"/>
      <c r="JWZ2" s="528"/>
      <c r="JXA2" s="528"/>
      <c r="JXB2" s="528"/>
      <c r="JXC2" s="528"/>
      <c r="JXD2" s="528"/>
      <c r="JXE2" s="528"/>
      <c r="JXF2" s="528"/>
      <c r="JXG2" s="528"/>
      <c r="JXH2" s="528"/>
      <c r="JXI2" s="528"/>
      <c r="JXJ2" s="528"/>
      <c r="JXK2" s="528"/>
      <c r="JXL2" s="528"/>
      <c r="JXM2" s="528"/>
      <c r="JXN2" s="528"/>
      <c r="JXO2" s="528"/>
      <c r="JXP2" s="528"/>
      <c r="JXQ2" s="528"/>
      <c r="JXR2" s="528"/>
      <c r="JXS2" s="528"/>
      <c r="JXT2" s="528"/>
      <c r="JXU2" s="528"/>
      <c r="JXV2" s="528"/>
      <c r="JXW2" s="528"/>
      <c r="JXX2" s="528"/>
      <c r="JXY2" s="528"/>
      <c r="JXZ2" s="528"/>
      <c r="JYA2" s="528"/>
      <c r="JYB2" s="528"/>
      <c r="JYC2" s="528"/>
      <c r="JYD2" s="528"/>
      <c r="JYE2" s="528"/>
      <c r="JYF2" s="528"/>
      <c r="JYG2" s="528"/>
      <c r="JYH2" s="528"/>
      <c r="JYI2" s="528"/>
      <c r="JYJ2" s="528"/>
      <c r="JYK2" s="528"/>
      <c r="JYL2" s="528"/>
      <c r="JYM2" s="528"/>
      <c r="JYN2" s="528"/>
      <c r="JYO2" s="528"/>
      <c r="JYP2" s="528"/>
      <c r="JYQ2" s="528"/>
      <c r="JYR2" s="528"/>
      <c r="JYS2" s="528"/>
      <c r="JYT2" s="528"/>
      <c r="JYU2" s="528"/>
      <c r="JYV2" s="528"/>
      <c r="JYW2" s="528"/>
      <c r="JYX2" s="528"/>
      <c r="JYY2" s="528"/>
      <c r="JYZ2" s="528"/>
      <c r="JZA2" s="528"/>
      <c r="JZB2" s="528"/>
      <c r="JZC2" s="528"/>
      <c r="JZD2" s="528"/>
      <c r="JZE2" s="528"/>
      <c r="JZF2" s="528"/>
      <c r="JZG2" s="528"/>
      <c r="JZH2" s="528"/>
      <c r="JZI2" s="528"/>
      <c r="JZJ2" s="528"/>
      <c r="JZK2" s="528"/>
      <c r="JZL2" s="528"/>
      <c r="JZM2" s="528"/>
      <c r="JZN2" s="528"/>
      <c r="JZO2" s="528"/>
      <c r="JZP2" s="528"/>
      <c r="JZQ2" s="528"/>
      <c r="JZR2" s="528"/>
      <c r="JZS2" s="528"/>
      <c r="JZT2" s="528"/>
      <c r="JZU2" s="528"/>
      <c r="JZV2" s="528"/>
      <c r="JZW2" s="528"/>
      <c r="JZX2" s="528"/>
      <c r="JZY2" s="528"/>
      <c r="JZZ2" s="528"/>
      <c r="KAA2" s="528"/>
      <c r="KAB2" s="528"/>
      <c r="KAC2" s="528"/>
      <c r="KAD2" s="528"/>
      <c r="KAE2" s="528"/>
      <c r="KAF2" s="528"/>
      <c r="KAG2" s="528"/>
      <c r="KAH2" s="528"/>
      <c r="KAI2" s="528"/>
      <c r="KAJ2" s="528"/>
      <c r="KAK2" s="528"/>
      <c r="KAL2" s="528"/>
      <c r="KAM2" s="528"/>
      <c r="KAN2" s="528"/>
      <c r="KAO2" s="528"/>
      <c r="KAP2" s="528"/>
      <c r="KAQ2" s="528"/>
      <c r="KAR2" s="528"/>
      <c r="KAS2" s="528"/>
      <c r="KAT2" s="528"/>
      <c r="KAU2" s="528"/>
      <c r="KAV2" s="528"/>
      <c r="KAW2" s="528"/>
      <c r="KAX2" s="528"/>
      <c r="KAY2" s="528"/>
      <c r="KAZ2" s="528"/>
      <c r="KBA2" s="528"/>
      <c r="KBB2" s="528"/>
      <c r="KBC2" s="528"/>
      <c r="KBD2" s="528"/>
      <c r="KBE2" s="528"/>
      <c r="KBF2" s="528"/>
      <c r="KBG2" s="528"/>
      <c r="KBH2" s="528"/>
      <c r="KBI2" s="528"/>
      <c r="KBJ2" s="528"/>
      <c r="KBK2" s="528"/>
      <c r="KBL2" s="528"/>
      <c r="KBM2" s="528"/>
      <c r="KBN2" s="528"/>
      <c r="KBO2" s="528"/>
      <c r="KBP2" s="528"/>
      <c r="KBQ2" s="528"/>
      <c r="KBR2" s="528"/>
      <c r="KBS2" s="528"/>
      <c r="KBT2" s="528"/>
      <c r="KBU2" s="528"/>
      <c r="KBV2" s="528"/>
      <c r="KBW2" s="528"/>
      <c r="KBX2" s="528"/>
      <c r="KBY2" s="528"/>
      <c r="KBZ2" s="528"/>
      <c r="KCA2" s="528"/>
      <c r="KCB2" s="528"/>
      <c r="KCC2" s="528"/>
      <c r="KCD2" s="528"/>
      <c r="KCE2" s="528"/>
      <c r="KCF2" s="528"/>
      <c r="KCG2" s="528"/>
      <c r="KCH2" s="528"/>
      <c r="KCI2" s="528"/>
      <c r="KCJ2" s="528"/>
      <c r="KCK2" s="528"/>
      <c r="KCL2" s="528"/>
      <c r="KCM2" s="528"/>
      <c r="KCN2" s="528"/>
      <c r="KCO2" s="528"/>
      <c r="KCP2" s="528"/>
      <c r="KCQ2" s="528"/>
      <c r="KCR2" s="528"/>
      <c r="KCS2" s="528"/>
      <c r="KCT2" s="528"/>
      <c r="KCU2" s="528"/>
      <c r="KCV2" s="528"/>
      <c r="KCW2" s="528"/>
      <c r="KCX2" s="528"/>
      <c r="KCY2" s="528"/>
      <c r="KCZ2" s="528"/>
      <c r="KDA2" s="528"/>
      <c r="KDB2" s="528"/>
      <c r="KDC2" s="528"/>
      <c r="KDD2" s="528"/>
      <c r="KDE2" s="528"/>
      <c r="KDF2" s="528"/>
      <c r="KDG2" s="528"/>
      <c r="KDH2" s="528"/>
      <c r="KDI2" s="528"/>
      <c r="KDJ2" s="528"/>
      <c r="KDK2" s="528"/>
      <c r="KDL2" s="528"/>
      <c r="KDM2" s="528"/>
      <c r="KDN2" s="528"/>
      <c r="KDO2" s="528"/>
      <c r="KDP2" s="528"/>
      <c r="KDQ2" s="528"/>
      <c r="KDR2" s="528"/>
      <c r="KDS2" s="528"/>
      <c r="KDT2" s="528"/>
      <c r="KDU2" s="528"/>
      <c r="KDV2" s="528"/>
      <c r="KDW2" s="528"/>
      <c r="KDX2" s="528"/>
      <c r="KDY2" s="528"/>
      <c r="KDZ2" s="528"/>
      <c r="KEA2" s="528"/>
      <c r="KEB2" s="528"/>
      <c r="KEC2" s="528"/>
      <c r="KED2" s="528"/>
      <c r="KEE2" s="528"/>
      <c r="KEF2" s="528"/>
      <c r="KEG2" s="528"/>
      <c r="KEH2" s="528"/>
      <c r="KEI2" s="528"/>
      <c r="KEJ2" s="528"/>
      <c r="KEK2" s="528"/>
      <c r="KEL2" s="528"/>
      <c r="KEM2" s="528"/>
      <c r="KEN2" s="528"/>
      <c r="KEO2" s="528"/>
      <c r="KEP2" s="528"/>
      <c r="KEQ2" s="528"/>
      <c r="KER2" s="528"/>
      <c r="KES2" s="528"/>
      <c r="KET2" s="528"/>
      <c r="KEU2" s="528"/>
      <c r="KEV2" s="528"/>
      <c r="KEW2" s="528"/>
      <c r="KEX2" s="528"/>
      <c r="KEY2" s="528"/>
      <c r="KEZ2" s="528"/>
      <c r="KFA2" s="528"/>
      <c r="KFB2" s="528"/>
      <c r="KFC2" s="528"/>
      <c r="KFD2" s="528"/>
      <c r="KFE2" s="528"/>
      <c r="KFF2" s="528"/>
      <c r="KFG2" s="528"/>
      <c r="KFH2" s="528"/>
      <c r="KFI2" s="528"/>
      <c r="KFJ2" s="528"/>
      <c r="KFK2" s="528"/>
      <c r="KFL2" s="528"/>
      <c r="KFM2" s="528"/>
      <c r="KFN2" s="528"/>
      <c r="KFO2" s="528"/>
      <c r="KFP2" s="528"/>
      <c r="KFQ2" s="528"/>
      <c r="KFR2" s="528"/>
      <c r="KFS2" s="528"/>
      <c r="KFT2" s="528"/>
      <c r="KFU2" s="528"/>
      <c r="KFV2" s="528"/>
      <c r="KFW2" s="528"/>
      <c r="KFX2" s="528"/>
      <c r="KFY2" s="528"/>
      <c r="KFZ2" s="528"/>
      <c r="KGA2" s="528"/>
      <c r="KGB2" s="528"/>
      <c r="KGC2" s="528"/>
      <c r="KGD2" s="528"/>
      <c r="KGE2" s="528"/>
      <c r="KGF2" s="528"/>
      <c r="KGG2" s="528"/>
      <c r="KGH2" s="528"/>
      <c r="KGI2" s="528"/>
      <c r="KGJ2" s="528"/>
      <c r="KGK2" s="528"/>
      <c r="KGL2" s="528"/>
      <c r="KGM2" s="528"/>
      <c r="KGN2" s="528"/>
      <c r="KGO2" s="528"/>
      <c r="KGP2" s="528"/>
      <c r="KGQ2" s="528"/>
      <c r="KGR2" s="528"/>
      <c r="KGS2" s="528"/>
      <c r="KGT2" s="528"/>
      <c r="KGU2" s="528"/>
      <c r="KGV2" s="528"/>
      <c r="KGW2" s="528"/>
      <c r="KGX2" s="528"/>
      <c r="KGY2" s="528"/>
      <c r="KGZ2" s="528"/>
      <c r="KHA2" s="528"/>
      <c r="KHB2" s="528"/>
      <c r="KHC2" s="528"/>
      <c r="KHD2" s="528"/>
      <c r="KHE2" s="528"/>
      <c r="KHF2" s="528"/>
      <c r="KHG2" s="528"/>
      <c r="KHH2" s="528"/>
      <c r="KHI2" s="528"/>
      <c r="KHJ2" s="528"/>
      <c r="KHK2" s="528"/>
      <c r="KHL2" s="528"/>
      <c r="KHM2" s="528"/>
      <c r="KHN2" s="528"/>
      <c r="KHO2" s="528"/>
      <c r="KHP2" s="528"/>
      <c r="KHQ2" s="528"/>
      <c r="KHR2" s="528"/>
      <c r="KHS2" s="528"/>
      <c r="KHT2" s="528"/>
      <c r="KHU2" s="528"/>
      <c r="KHV2" s="528"/>
      <c r="KHW2" s="528"/>
      <c r="KHX2" s="528"/>
      <c r="KHY2" s="528"/>
      <c r="KHZ2" s="528"/>
      <c r="KIA2" s="528"/>
      <c r="KIB2" s="528"/>
      <c r="KIC2" s="528"/>
      <c r="KID2" s="528"/>
      <c r="KIE2" s="528"/>
      <c r="KIF2" s="528"/>
      <c r="KIG2" s="528"/>
      <c r="KIH2" s="528"/>
      <c r="KII2" s="528"/>
      <c r="KIJ2" s="528"/>
      <c r="KIK2" s="528"/>
      <c r="KIL2" s="528"/>
      <c r="KIM2" s="528"/>
      <c r="KIN2" s="528"/>
      <c r="KIO2" s="528"/>
      <c r="KIP2" s="528"/>
      <c r="KIQ2" s="528"/>
      <c r="KIR2" s="528"/>
      <c r="KIS2" s="528"/>
      <c r="KIT2" s="528"/>
      <c r="KIU2" s="528"/>
      <c r="KIV2" s="528"/>
      <c r="KIW2" s="528"/>
      <c r="KIX2" s="528"/>
      <c r="KIY2" s="528"/>
      <c r="KIZ2" s="528"/>
      <c r="KJA2" s="528"/>
      <c r="KJB2" s="528"/>
      <c r="KJC2" s="528"/>
      <c r="KJD2" s="528"/>
      <c r="KJE2" s="528"/>
      <c r="KJF2" s="528"/>
      <c r="KJG2" s="528"/>
      <c r="KJH2" s="528"/>
      <c r="KJI2" s="528"/>
      <c r="KJJ2" s="528"/>
      <c r="KJK2" s="528"/>
      <c r="KJL2" s="528"/>
      <c r="KJM2" s="528"/>
      <c r="KJN2" s="528"/>
      <c r="KJO2" s="528"/>
      <c r="KJP2" s="528"/>
      <c r="KJQ2" s="528"/>
      <c r="KJR2" s="528"/>
      <c r="KJS2" s="528"/>
      <c r="KJT2" s="528"/>
      <c r="KJU2" s="528"/>
      <c r="KJV2" s="528"/>
      <c r="KJW2" s="528"/>
      <c r="KJX2" s="528"/>
      <c r="KJY2" s="528"/>
      <c r="KJZ2" s="528"/>
      <c r="KKA2" s="528"/>
      <c r="KKB2" s="528"/>
      <c r="KKC2" s="528"/>
      <c r="KKD2" s="528"/>
      <c r="KKE2" s="528"/>
      <c r="KKF2" s="528"/>
      <c r="KKG2" s="528"/>
      <c r="KKH2" s="528"/>
      <c r="KKI2" s="528"/>
      <c r="KKJ2" s="528"/>
      <c r="KKK2" s="528"/>
      <c r="KKL2" s="528"/>
      <c r="KKM2" s="528"/>
      <c r="KKN2" s="528"/>
      <c r="KKO2" s="528"/>
      <c r="KKP2" s="528"/>
      <c r="KKQ2" s="528"/>
      <c r="KKR2" s="528"/>
      <c r="KKS2" s="528"/>
      <c r="KKT2" s="528"/>
      <c r="KKU2" s="528"/>
      <c r="KKV2" s="528"/>
      <c r="KKW2" s="528"/>
      <c r="KKX2" s="528"/>
      <c r="KKY2" s="528"/>
      <c r="KKZ2" s="528"/>
      <c r="KLA2" s="528"/>
      <c r="KLB2" s="528"/>
      <c r="KLC2" s="528"/>
      <c r="KLD2" s="528"/>
      <c r="KLE2" s="528"/>
      <c r="KLF2" s="528"/>
      <c r="KLG2" s="528"/>
      <c r="KLH2" s="528"/>
      <c r="KLI2" s="528"/>
      <c r="KLJ2" s="528"/>
      <c r="KLK2" s="528"/>
      <c r="KLL2" s="528"/>
      <c r="KLM2" s="528"/>
      <c r="KLN2" s="528"/>
      <c r="KLO2" s="528"/>
      <c r="KLP2" s="528"/>
      <c r="KLQ2" s="528"/>
      <c r="KLR2" s="528"/>
      <c r="KLS2" s="528"/>
      <c r="KLT2" s="528"/>
      <c r="KLU2" s="528"/>
      <c r="KLV2" s="528"/>
      <c r="KLW2" s="528"/>
      <c r="KLX2" s="528"/>
      <c r="KLY2" s="528"/>
      <c r="KLZ2" s="528"/>
      <c r="KMA2" s="528"/>
      <c r="KMB2" s="528"/>
      <c r="KMC2" s="528"/>
      <c r="KMD2" s="528"/>
      <c r="KME2" s="528"/>
      <c r="KMF2" s="528"/>
      <c r="KMG2" s="528"/>
      <c r="KMH2" s="528"/>
      <c r="KMI2" s="528"/>
      <c r="KMJ2" s="528"/>
      <c r="KMK2" s="528"/>
      <c r="KML2" s="528"/>
      <c r="KMM2" s="528"/>
      <c r="KMN2" s="528"/>
      <c r="KMO2" s="528"/>
      <c r="KMP2" s="528"/>
      <c r="KMQ2" s="528"/>
      <c r="KMR2" s="528"/>
      <c r="KMS2" s="528"/>
      <c r="KMT2" s="528"/>
      <c r="KMU2" s="528"/>
      <c r="KMV2" s="528"/>
      <c r="KMW2" s="528"/>
      <c r="KMX2" s="528"/>
      <c r="KMY2" s="528"/>
      <c r="KMZ2" s="528"/>
      <c r="KNA2" s="528"/>
      <c r="KNB2" s="528"/>
      <c r="KNC2" s="528"/>
      <c r="KND2" s="528"/>
      <c r="KNE2" s="528"/>
      <c r="KNF2" s="528"/>
      <c r="KNG2" s="528"/>
      <c r="KNH2" s="528"/>
      <c r="KNI2" s="528"/>
      <c r="KNJ2" s="528"/>
      <c r="KNK2" s="528"/>
      <c r="KNL2" s="528"/>
      <c r="KNM2" s="528"/>
      <c r="KNN2" s="528"/>
      <c r="KNO2" s="528"/>
      <c r="KNP2" s="528"/>
      <c r="KNQ2" s="528"/>
      <c r="KNR2" s="528"/>
      <c r="KNS2" s="528"/>
      <c r="KNT2" s="528"/>
      <c r="KNU2" s="528"/>
      <c r="KNV2" s="528"/>
      <c r="KNW2" s="528"/>
      <c r="KNX2" s="528"/>
      <c r="KNY2" s="528"/>
      <c r="KNZ2" s="528"/>
      <c r="KOA2" s="528"/>
      <c r="KOB2" s="528"/>
      <c r="KOC2" s="528"/>
      <c r="KOD2" s="528"/>
      <c r="KOE2" s="528"/>
      <c r="KOF2" s="528"/>
      <c r="KOG2" s="528"/>
      <c r="KOH2" s="528"/>
      <c r="KOI2" s="528"/>
      <c r="KOJ2" s="528"/>
      <c r="KOK2" s="528"/>
      <c r="KOL2" s="528"/>
      <c r="KOM2" s="528"/>
      <c r="KON2" s="528"/>
      <c r="KOO2" s="528"/>
      <c r="KOP2" s="528"/>
      <c r="KOQ2" s="528"/>
      <c r="KOR2" s="528"/>
      <c r="KOS2" s="528"/>
      <c r="KOT2" s="528"/>
      <c r="KOU2" s="528"/>
      <c r="KOV2" s="528"/>
      <c r="KOW2" s="528"/>
      <c r="KOX2" s="528"/>
      <c r="KOY2" s="528"/>
      <c r="KOZ2" s="528"/>
      <c r="KPA2" s="528"/>
      <c r="KPB2" s="528"/>
      <c r="KPC2" s="528"/>
      <c r="KPD2" s="528"/>
      <c r="KPE2" s="528"/>
      <c r="KPF2" s="528"/>
      <c r="KPG2" s="528"/>
      <c r="KPH2" s="528"/>
      <c r="KPI2" s="528"/>
      <c r="KPJ2" s="528"/>
      <c r="KPK2" s="528"/>
      <c r="KPL2" s="528"/>
      <c r="KPM2" s="528"/>
      <c r="KPN2" s="528"/>
      <c r="KPO2" s="528"/>
      <c r="KPP2" s="528"/>
      <c r="KPQ2" s="528"/>
      <c r="KPR2" s="528"/>
      <c r="KPS2" s="528"/>
      <c r="KPT2" s="528"/>
      <c r="KPU2" s="528"/>
      <c r="KPV2" s="528"/>
      <c r="KPW2" s="528"/>
      <c r="KPX2" s="528"/>
      <c r="KPY2" s="528"/>
      <c r="KPZ2" s="528"/>
      <c r="KQA2" s="528"/>
      <c r="KQB2" s="528"/>
      <c r="KQC2" s="528"/>
      <c r="KQD2" s="528"/>
      <c r="KQE2" s="528"/>
      <c r="KQF2" s="528"/>
      <c r="KQG2" s="528"/>
      <c r="KQH2" s="528"/>
      <c r="KQI2" s="528"/>
      <c r="KQJ2" s="528"/>
      <c r="KQK2" s="528"/>
      <c r="KQL2" s="528"/>
      <c r="KQM2" s="528"/>
      <c r="KQN2" s="528"/>
      <c r="KQO2" s="528"/>
      <c r="KQP2" s="528"/>
      <c r="KQQ2" s="528"/>
      <c r="KQR2" s="528"/>
      <c r="KQS2" s="528"/>
      <c r="KQT2" s="528"/>
      <c r="KQU2" s="528"/>
      <c r="KQV2" s="528"/>
      <c r="KQW2" s="528"/>
      <c r="KQX2" s="528"/>
      <c r="KQY2" s="528"/>
      <c r="KQZ2" s="528"/>
      <c r="KRA2" s="528"/>
      <c r="KRB2" s="528"/>
      <c r="KRC2" s="528"/>
      <c r="KRD2" s="528"/>
      <c r="KRE2" s="528"/>
      <c r="KRF2" s="528"/>
      <c r="KRG2" s="528"/>
      <c r="KRH2" s="528"/>
      <c r="KRI2" s="528"/>
      <c r="KRJ2" s="528"/>
      <c r="KRK2" s="528"/>
      <c r="KRL2" s="528"/>
      <c r="KRM2" s="528"/>
      <c r="KRN2" s="528"/>
      <c r="KRO2" s="528"/>
      <c r="KRP2" s="528"/>
      <c r="KRQ2" s="528"/>
      <c r="KRR2" s="528"/>
      <c r="KRS2" s="528"/>
      <c r="KRT2" s="528"/>
      <c r="KRU2" s="528"/>
      <c r="KRV2" s="528"/>
      <c r="KRW2" s="528"/>
      <c r="KRX2" s="528"/>
      <c r="KRY2" s="528"/>
      <c r="KRZ2" s="528"/>
      <c r="KSA2" s="528"/>
      <c r="KSB2" s="528"/>
      <c r="KSC2" s="528"/>
      <c r="KSD2" s="528"/>
      <c r="KSE2" s="528"/>
      <c r="KSF2" s="528"/>
      <c r="KSG2" s="528"/>
      <c r="KSH2" s="528"/>
      <c r="KSI2" s="528"/>
      <c r="KSJ2" s="528"/>
      <c r="KSK2" s="528"/>
      <c r="KSL2" s="528"/>
      <c r="KSM2" s="528"/>
      <c r="KSN2" s="528"/>
      <c r="KSO2" s="528"/>
      <c r="KSP2" s="528"/>
      <c r="KSQ2" s="528"/>
      <c r="KSR2" s="528"/>
      <c r="KSS2" s="528"/>
      <c r="KST2" s="528"/>
      <c r="KSU2" s="528"/>
      <c r="KSV2" s="528"/>
      <c r="KSW2" s="528"/>
      <c r="KSX2" s="528"/>
      <c r="KSY2" s="528"/>
      <c r="KSZ2" s="528"/>
      <c r="KTA2" s="528"/>
      <c r="KTB2" s="528"/>
      <c r="KTC2" s="528"/>
      <c r="KTD2" s="528"/>
      <c r="KTE2" s="528"/>
      <c r="KTF2" s="528"/>
      <c r="KTG2" s="528"/>
      <c r="KTH2" s="528"/>
      <c r="KTI2" s="528"/>
      <c r="KTJ2" s="528"/>
      <c r="KTK2" s="528"/>
      <c r="KTL2" s="528"/>
      <c r="KTM2" s="528"/>
      <c r="KTN2" s="528"/>
      <c r="KTO2" s="528"/>
      <c r="KTP2" s="528"/>
      <c r="KTQ2" s="528"/>
      <c r="KTR2" s="528"/>
      <c r="KTS2" s="528"/>
      <c r="KTT2" s="528"/>
      <c r="KTU2" s="528"/>
      <c r="KTV2" s="528"/>
      <c r="KTW2" s="528"/>
      <c r="KTX2" s="528"/>
      <c r="KTY2" s="528"/>
      <c r="KTZ2" s="528"/>
      <c r="KUA2" s="528"/>
      <c r="KUB2" s="528"/>
      <c r="KUC2" s="528"/>
      <c r="KUD2" s="528"/>
      <c r="KUE2" s="528"/>
      <c r="KUF2" s="528"/>
      <c r="KUG2" s="528"/>
      <c r="KUH2" s="528"/>
      <c r="KUI2" s="528"/>
      <c r="KUJ2" s="528"/>
      <c r="KUK2" s="528"/>
      <c r="KUL2" s="528"/>
      <c r="KUM2" s="528"/>
      <c r="KUN2" s="528"/>
      <c r="KUO2" s="528"/>
      <c r="KUP2" s="528"/>
      <c r="KUQ2" s="528"/>
      <c r="KUR2" s="528"/>
      <c r="KUS2" s="528"/>
      <c r="KUT2" s="528"/>
      <c r="KUU2" s="528"/>
      <c r="KUV2" s="528"/>
      <c r="KUW2" s="528"/>
      <c r="KUX2" s="528"/>
      <c r="KUY2" s="528"/>
      <c r="KUZ2" s="528"/>
      <c r="KVA2" s="528"/>
      <c r="KVB2" s="528"/>
      <c r="KVC2" s="528"/>
      <c r="KVD2" s="528"/>
      <c r="KVE2" s="528"/>
      <c r="KVF2" s="528"/>
      <c r="KVG2" s="528"/>
      <c r="KVH2" s="528"/>
      <c r="KVI2" s="528"/>
      <c r="KVJ2" s="528"/>
      <c r="KVK2" s="528"/>
      <c r="KVL2" s="528"/>
      <c r="KVM2" s="528"/>
      <c r="KVN2" s="528"/>
      <c r="KVO2" s="528"/>
      <c r="KVP2" s="528"/>
      <c r="KVQ2" s="528"/>
      <c r="KVR2" s="528"/>
      <c r="KVS2" s="528"/>
      <c r="KVT2" s="528"/>
      <c r="KVU2" s="528"/>
      <c r="KVV2" s="528"/>
      <c r="KVW2" s="528"/>
      <c r="KVX2" s="528"/>
      <c r="KVY2" s="528"/>
      <c r="KVZ2" s="528"/>
      <c r="KWA2" s="528"/>
      <c r="KWB2" s="528"/>
      <c r="KWC2" s="528"/>
      <c r="KWD2" s="528"/>
      <c r="KWE2" s="528"/>
      <c r="KWF2" s="528"/>
      <c r="KWG2" s="528"/>
      <c r="KWH2" s="528"/>
      <c r="KWI2" s="528"/>
      <c r="KWJ2" s="528"/>
      <c r="KWK2" s="528"/>
      <c r="KWL2" s="528"/>
      <c r="KWM2" s="528"/>
      <c r="KWN2" s="528"/>
      <c r="KWO2" s="528"/>
      <c r="KWP2" s="528"/>
      <c r="KWQ2" s="528"/>
      <c r="KWR2" s="528"/>
      <c r="KWS2" s="528"/>
      <c r="KWT2" s="528"/>
      <c r="KWU2" s="528"/>
      <c r="KWV2" s="528"/>
      <c r="KWW2" s="528"/>
      <c r="KWX2" s="528"/>
      <c r="KWY2" s="528"/>
      <c r="KWZ2" s="528"/>
      <c r="KXA2" s="528"/>
      <c r="KXB2" s="528"/>
      <c r="KXC2" s="528"/>
      <c r="KXD2" s="528"/>
      <c r="KXE2" s="528"/>
      <c r="KXF2" s="528"/>
      <c r="KXG2" s="528"/>
      <c r="KXH2" s="528"/>
      <c r="KXI2" s="528"/>
      <c r="KXJ2" s="528"/>
      <c r="KXK2" s="528"/>
      <c r="KXL2" s="528"/>
      <c r="KXM2" s="528"/>
      <c r="KXN2" s="528"/>
      <c r="KXO2" s="528"/>
      <c r="KXP2" s="528"/>
      <c r="KXQ2" s="528"/>
      <c r="KXR2" s="528"/>
      <c r="KXS2" s="528"/>
      <c r="KXT2" s="528"/>
      <c r="KXU2" s="528"/>
      <c r="KXV2" s="528"/>
      <c r="KXW2" s="528"/>
      <c r="KXX2" s="528"/>
      <c r="KXY2" s="528"/>
      <c r="KXZ2" s="528"/>
      <c r="KYA2" s="528"/>
      <c r="KYB2" s="528"/>
      <c r="KYC2" s="528"/>
      <c r="KYD2" s="528"/>
      <c r="KYE2" s="528"/>
      <c r="KYF2" s="528"/>
      <c r="KYG2" s="528"/>
      <c r="KYH2" s="528"/>
      <c r="KYI2" s="528"/>
      <c r="KYJ2" s="528"/>
      <c r="KYK2" s="528"/>
      <c r="KYL2" s="528"/>
      <c r="KYM2" s="528"/>
      <c r="KYN2" s="528"/>
      <c r="KYO2" s="528"/>
      <c r="KYP2" s="528"/>
      <c r="KYQ2" s="528"/>
      <c r="KYR2" s="528"/>
      <c r="KYS2" s="528"/>
      <c r="KYT2" s="528"/>
      <c r="KYU2" s="528"/>
      <c r="KYV2" s="528"/>
      <c r="KYW2" s="528"/>
      <c r="KYX2" s="528"/>
      <c r="KYY2" s="528"/>
      <c r="KYZ2" s="528"/>
      <c r="KZA2" s="528"/>
      <c r="KZB2" s="528"/>
      <c r="KZC2" s="528"/>
      <c r="KZD2" s="528"/>
      <c r="KZE2" s="528"/>
      <c r="KZF2" s="528"/>
      <c r="KZG2" s="528"/>
      <c r="KZH2" s="528"/>
      <c r="KZI2" s="528"/>
      <c r="KZJ2" s="528"/>
      <c r="KZK2" s="528"/>
      <c r="KZL2" s="528"/>
      <c r="KZM2" s="528"/>
      <c r="KZN2" s="528"/>
      <c r="KZO2" s="528"/>
      <c r="KZP2" s="528"/>
      <c r="KZQ2" s="528"/>
      <c r="KZR2" s="528"/>
      <c r="KZS2" s="528"/>
      <c r="KZT2" s="528"/>
      <c r="KZU2" s="528"/>
      <c r="KZV2" s="528"/>
      <c r="KZW2" s="528"/>
      <c r="KZX2" s="528"/>
      <c r="KZY2" s="528"/>
      <c r="KZZ2" s="528"/>
      <c r="LAA2" s="528"/>
      <c r="LAB2" s="528"/>
      <c r="LAC2" s="528"/>
      <c r="LAD2" s="528"/>
      <c r="LAE2" s="528"/>
      <c r="LAF2" s="528"/>
      <c r="LAG2" s="528"/>
      <c r="LAH2" s="528"/>
      <c r="LAI2" s="528"/>
      <c r="LAJ2" s="528"/>
      <c r="LAK2" s="528"/>
      <c r="LAL2" s="528"/>
      <c r="LAM2" s="528"/>
      <c r="LAN2" s="528"/>
      <c r="LAO2" s="528"/>
      <c r="LAP2" s="528"/>
      <c r="LAQ2" s="528"/>
      <c r="LAR2" s="528"/>
      <c r="LAS2" s="528"/>
      <c r="LAT2" s="528"/>
      <c r="LAU2" s="528"/>
      <c r="LAV2" s="528"/>
      <c r="LAW2" s="528"/>
      <c r="LAX2" s="528"/>
      <c r="LAY2" s="528"/>
      <c r="LAZ2" s="528"/>
      <c r="LBA2" s="528"/>
      <c r="LBB2" s="528"/>
      <c r="LBC2" s="528"/>
      <c r="LBD2" s="528"/>
      <c r="LBE2" s="528"/>
      <c r="LBF2" s="528"/>
      <c r="LBG2" s="528"/>
      <c r="LBH2" s="528"/>
      <c r="LBI2" s="528"/>
      <c r="LBJ2" s="528"/>
      <c r="LBK2" s="528"/>
      <c r="LBL2" s="528"/>
      <c r="LBM2" s="528"/>
      <c r="LBN2" s="528"/>
      <c r="LBO2" s="528"/>
      <c r="LBP2" s="528"/>
      <c r="LBQ2" s="528"/>
      <c r="LBR2" s="528"/>
      <c r="LBS2" s="528"/>
      <c r="LBT2" s="528"/>
      <c r="LBU2" s="528"/>
      <c r="LBV2" s="528"/>
      <c r="LBW2" s="528"/>
      <c r="LBX2" s="528"/>
      <c r="LBY2" s="528"/>
      <c r="LBZ2" s="528"/>
      <c r="LCA2" s="528"/>
      <c r="LCB2" s="528"/>
      <c r="LCC2" s="528"/>
      <c r="LCD2" s="528"/>
      <c r="LCE2" s="528"/>
      <c r="LCF2" s="528"/>
      <c r="LCG2" s="528"/>
      <c r="LCH2" s="528"/>
      <c r="LCI2" s="528"/>
      <c r="LCJ2" s="528"/>
      <c r="LCK2" s="528"/>
      <c r="LCL2" s="528"/>
      <c r="LCM2" s="528"/>
      <c r="LCN2" s="528"/>
      <c r="LCO2" s="528"/>
      <c r="LCP2" s="528"/>
      <c r="LCQ2" s="528"/>
      <c r="LCR2" s="528"/>
      <c r="LCS2" s="528"/>
      <c r="LCT2" s="528"/>
      <c r="LCU2" s="528"/>
      <c r="LCV2" s="528"/>
      <c r="LCW2" s="528"/>
      <c r="LCX2" s="528"/>
      <c r="LCY2" s="528"/>
      <c r="LCZ2" s="528"/>
      <c r="LDA2" s="528"/>
      <c r="LDB2" s="528"/>
      <c r="LDC2" s="528"/>
      <c r="LDD2" s="528"/>
      <c r="LDE2" s="528"/>
      <c r="LDF2" s="528"/>
      <c r="LDG2" s="528"/>
      <c r="LDH2" s="528"/>
      <c r="LDI2" s="528"/>
      <c r="LDJ2" s="528"/>
      <c r="LDK2" s="528"/>
      <c r="LDL2" s="528"/>
      <c r="LDM2" s="528"/>
      <c r="LDN2" s="528"/>
      <c r="LDO2" s="528"/>
      <c r="LDP2" s="528"/>
      <c r="LDQ2" s="528"/>
      <c r="LDR2" s="528"/>
      <c r="LDS2" s="528"/>
      <c r="LDT2" s="528"/>
      <c r="LDU2" s="528"/>
      <c r="LDV2" s="528"/>
      <c r="LDW2" s="528"/>
      <c r="LDX2" s="528"/>
      <c r="LDY2" s="528"/>
      <c r="LDZ2" s="528"/>
      <c r="LEA2" s="528"/>
      <c r="LEB2" s="528"/>
      <c r="LEC2" s="528"/>
      <c r="LED2" s="528"/>
      <c r="LEE2" s="528"/>
      <c r="LEF2" s="528"/>
      <c r="LEG2" s="528"/>
      <c r="LEH2" s="528"/>
      <c r="LEI2" s="528"/>
      <c r="LEJ2" s="528"/>
      <c r="LEK2" s="528"/>
      <c r="LEL2" s="528"/>
      <c r="LEM2" s="528"/>
      <c r="LEN2" s="528"/>
      <c r="LEO2" s="528"/>
      <c r="LEP2" s="528"/>
      <c r="LEQ2" s="528"/>
      <c r="LER2" s="528"/>
      <c r="LES2" s="528"/>
      <c r="LET2" s="528"/>
      <c r="LEU2" s="528"/>
      <c r="LEV2" s="528"/>
      <c r="LEW2" s="528"/>
      <c r="LEX2" s="528"/>
      <c r="LEY2" s="528"/>
      <c r="LEZ2" s="528"/>
      <c r="LFA2" s="528"/>
      <c r="LFB2" s="528"/>
      <c r="LFC2" s="528"/>
      <c r="LFD2" s="528"/>
      <c r="LFE2" s="528"/>
      <c r="LFF2" s="528"/>
      <c r="LFG2" s="528"/>
      <c r="LFH2" s="528"/>
      <c r="LFI2" s="528"/>
      <c r="LFJ2" s="528"/>
      <c r="LFK2" s="528"/>
      <c r="LFL2" s="528"/>
      <c r="LFM2" s="528"/>
      <c r="LFN2" s="528"/>
      <c r="LFO2" s="528"/>
      <c r="LFP2" s="528"/>
      <c r="LFQ2" s="528"/>
      <c r="LFR2" s="528"/>
      <c r="LFS2" s="528"/>
      <c r="LFT2" s="528"/>
      <c r="LFU2" s="528"/>
      <c r="LFV2" s="528"/>
      <c r="LFW2" s="528"/>
      <c r="LFX2" s="528"/>
      <c r="LFY2" s="528"/>
      <c r="LFZ2" s="528"/>
      <c r="LGA2" s="528"/>
      <c r="LGB2" s="528"/>
      <c r="LGC2" s="528"/>
      <c r="LGD2" s="528"/>
      <c r="LGE2" s="528"/>
      <c r="LGF2" s="528"/>
      <c r="LGG2" s="528"/>
      <c r="LGH2" s="528"/>
      <c r="LGI2" s="528"/>
      <c r="LGJ2" s="528"/>
      <c r="LGK2" s="528"/>
      <c r="LGL2" s="528"/>
      <c r="LGM2" s="528"/>
      <c r="LGN2" s="528"/>
      <c r="LGO2" s="528"/>
      <c r="LGP2" s="528"/>
      <c r="LGQ2" s="528"/>
      <c r="LGR2" s="528"/>
      <c r="LGS2" s="528"/>
      <c r="LGT2" s="528"/>
      <c r="LGU2" s="528"/>
      <c r="LGV2" s="528"/>
      <c r="LGW2" s="528"/>
      <c r="LGX2" s="528"/>
      <c r="LGY2" s="528"/>
      <c r="LGZ2" s="528"/>
      <c r="LHA2" s="528"/>
      <c r="LHB2" s="528"/>
      <c r="LHC2" s="528"/>
      <c r="LHD2" s="528"/>
      <c r="LHE2" s="528"/>
      <c r="LHF2" s="528"/>
      <c r="LHG2" s="528"/>
      <c r="LHH2" s="528"/>
      <c r="LHI2" s="528"/>
      <c r="LHJ2" s="528"/>
      <c r="LHK2" s="528"/>
      <c r="LHL2" s="528"/>
      <c r="LHM2" s="528"/>
      <c r="LHN2" s="528"/>
      <c r="LHO2" s="528"/>
      <c r="LHP2" s="528"/>
      <c r="LHQ2" s="528"/>
      <c r="LHR2" s="528"/>
      <c r="LHS2" s="528"/>
      <c r="LHT2" s="528"/>
      <c r="LHU2" s="528"/>
      <c r="LHV2" s="528"/>
      <c r="LHW2" s="528"/>
      <c r="LHX2" s="528"/>
      <c r="LHY2" s="528"/>
      <c r="LHZ2" s="528"/>
      <c r="LIA2" s="528"/>
      <c r="LIB2" s="528"/>
      <c r="LIC2" s="528"/>
      <c r="LID2" s="528"/>
      <c r="LIE2" s="528"/>
      <c r="LIF2" s="528"/>
      <c r="LIG2" s="528"/>
      <c r="LIH2" s="528"/>
      <c r="LII2" s="528"/>
      <c r="LIJ2" s="528"/>
      <c r="LIK2" s="528"/>
      <c r="LIL2" s="528"/>
      <c r="LIM2" s="528"/>
      <c r="LIN2" s="528"/>
      <c r="LIO2" s="528"/>
      <c r="LIP2" s="528"/>
      <c r="LIQ2" s="528"/>
      <c r="LIR2" s="528"/>
      <c r="LIS2" s="528"/>
      <c r="LIT2" s="528"/>
      <c r="LIU2" s="528"/>
      <c r="LIV2" s="528"/>
      <c r="LIW2" s="528"/>
      <c r="LIX2" s="528"/>
      <c r="LIY2" s="528"/>
      <c r="LIZ2" s="528"/>
      <c r="LJA2" s="528"/>
      <c r="LJB2" s="528"/>
      <c r="LJC2" s="528"/>
      <c r="LJD2" s="528"/>
      <c r="LJE2" s="528"/>
      <c r="LJF2" s="528"/>
      <c r="LJG2" s="528"/>
      <c r="LJH2" s="528"/>
      <c r="LJI2" s="528"/>
      <c r="LJJ2" s="528"/>
      <c r="LJK2" s="528"/>
      <c r="LJL2" s="528"/>
      <c r="LJM2" s="528"/>
      <c r="LJN2" s="528"/>
      <c r="LJO2" s="528"/>
      <c r="LJP2" s="528"/>
      <c r="LJQ2" s="528"/>
      <c r="LJR2" s="528"/>
      <c r="LJS2" s="528"/>
      <c r="LJT2" s="528"/>
      <c r="LJU2" s="528"/>
      <c r="LJV2" s="528"/>
      <c r="LJW2" s="528"/>
      <c r="LJX2" s="528"/>
      <c r="LJY2" s="528"/>
      <c r="LJZ2" s="528"/>
      <c r="LKA2" s="528"/>
      <c r="LKB2" s="528"/>
      <c r="LKC2" s="528"/>
      <c r="LKD2" s="528"/>
      <c r="LKE2" s="528"/>
      <c r="LKF2" s="528"/>
      <c r="LKG2" s="528"/>
      <c r="LKH2" s="528"/>
      <c r="LKI2" s="528"/>
      <c r="LKJ2" s="528"/>
      <c r="LKK2" s="528"/>
      <c r="LKL2" s="528"/>
      <c r="LKM2" s="528"/>
      <c r="LKN2" s="528"/>
      <c r="LKO2" s="528"/>
      <c r="LKP2" s="528"/>
      <c r="LKQ2" s="528"/>
      <c r="LKR2" s="528"/>
      <c r="LKS2" s="528"/>
      <c r="LKT2" s="528"/>
      <c r="LKU2" s="528"/>
      <c r="LKV2" s="528"/>
      <c r="LKW2" s="528"/>
      <c r="LKX2" s="528"/>
      <c r="LKY2" s="528"/>
      <c r="LKZ2" s="528"/>
      <c r="LLA2" s="528"/>
      <c r="LLB2" s="528"/>
      <c r="LLC2" s="528"/>
      <c r="LLD2" s="528"/>
      <c r="LLE2" s="528"/>
      <c r="LLF2" s="528"/>
      <c r="LLG2" s="528"/>
      <c r="LLH2" s="528"/>
      <c r="LLI2" s="528"/>
      <c r="LLJ2" s="528"/>
      <c r="LLK2" s="528"/>
      <c r="LLL2" s="528"/>
      <c r="LLM2" s="528"/>
      <c r="LLN2" s="528"/>
      <c r="LLO2" s="528"/>
      <c r="LLP2" s="528"/>
      <c r="LLQ2" s="528"/>
      <c r="LLR2" s="528"/>
      <c r="LLS2" s="528"/>
      <c r="LLT2" s="528"/>
      <c r="LLU2" s="528"/>
      <c r="LLV2" s="528"/>
      <c r="LLW2" s="528"/>
      <c r="LLX2" s="528"/>
      <c r="LLY2" s="528"/>
      <c r="LLZ2" s="528"/>
      <c r="LMA2" s="528"/>
      <c r="LMB2" s="528"/>
      <c r="LMC2" s="528"/>
      <c r="LMD2" s="528"/>
      <c r="LME2" s="528"/>
      <c r="LMF2" s="528"/>
      <c r="LMG2" s="528"/>
      <c r="LMH2" s="528"/>
      <c r="LMI2" s="528"/>
      <c r="LMJ2" s="528"/>
      <c r="LMK2" s="528"/>
      <c r="LML2" s="528"/>
      <c r="LMM2" s="528"/>
      <c r="LMN2" s="528"/>
      <c r="LMO2" s="528"/>
      <c r="LMP2" s="528"/>
      <c r="LMQ2" s="528"/>
      <c r="LMR2" s="528"/>
      <c r="LMS2" s="528"/>
      <c r="LMT2" s="528"/>
      <c r="LMU2" s="528"/>
      <c r="LMV2" s="528"/>
      <c r="LMW2" s="528"/>
      <c r="LMX2" s="528"/>
      <c r="LMY2" s="528"/>
      <c r="LMZ2" s="528"/>
      <c r="LNA2" s="528"/>
      <c r="LNB2" s="528"/>
      <c r="LNC2" s="528"/>
      <c r="LND2" s="528"/>
      <c r="LNE2" s="528"/>
      <c r="LNF2" s="528"/>
      <c r="LNG2" s="528"/>
      <c r="LNH2" s="528"/>
      <c r="LNI2" s="528"/>
      <c r="LNJ2" s="528"/>
      <c r="LNK2" s="528"/>
      <c r="LNL2" s="528"/>
      <c r="LNM2" s="528"/>
      <c r="LNN2" s="528"/>
      <c r="LNO2" s="528"/>
      <c r="LNP2" s="528"/>
      <c r="LNQ2" s="528"/>
      <c r="LNR2" s="528"/>
      <c r="LNS2" s="528"/>
      <c r="LNT2" s="528"/>
      <c r="LNU2" s="528"/>
      <c r="LNV2" s="528"/>
      <c r="LNW2" s="528"/>
      <c r="LNX2" s="528"/>
      <c r="LNY2" s="528"/>
      <c r="LNZ2" s="528"/>
      <c r="LOA2" s="528"/>
      <c r="LOB2" s="528"/>
      <c r="LOC2" s="528"/>
      <c r="LOD2" s="528"/>
      <c r="LOE2" s="528"/>
      <c r="LOF2" s="528"/>
      <c r="LOG2" s="528"/>
      <c r="LOH2" s="528"/>
      <c r="LOI2" s="528"/>
      <c r="LOJ2" s="528"/>
      <c r="LOK2" s="528"/>
      <c r="LOL2" s="528"/>
      <c r="LOM2" s="528"/>
      <c r="LON2" s="528"/>
      <c r="LOO2" s="528"/>
      <c r="LOP2" s="528"/>
      <c r="LOQ2" s="528"/>
      <c r="LOR2" s="528"/>
      <c r="LOS2" s="528"/>
      <c r="LOT2" s="528"/>
      <c r="LOU2" s="528"/>
      <c r="LOV2" s="528"/>
      <c r="LOW2" s="528"/>
      <c r="LOX2" s="528"/>
      <c r="LOY2" s="528"/>
      <c r="LOZ2" s="528"/>
      <c r="LPA2" s="528"/>
      <c r="LPB2" s="528"/>
      <c r="LPC2" s="528"/>
      <c r="LPD2" s="528"/>
      <c r="LPE2" s="528"/>
      <c r="LPF2" s="528"/>
      <c r="LPG2" s="528"/>
      <c r="LPH2" s="528"/>
      <c r="LPI2" s="528"/>
      <c r="LPJ2" s="528"/>
      <c r="LPK2" s="528"/>
      <c r="LPL2" s="528"/>
      <c r="LPM2" s="528"/>
      <c r="LPN2" s="528"/>
      <c r="LPO2" s="528"/>
      <c r="LPP2" s="528"/>
      <c r="LPQ2" s="528"/>
      <c r="LPR2" s="528"/>
      <c r="LPS2" s="528"/>
      <c r="LPT2" s="528"/>
      <c r="LPU2" s="528"/>
      <c r="LPV2" s="528"/>
      <c r="LPW2" s="528"/>
      <c r="LPX2" s="528"/>
      <c r="LPY2" s="528"/>
      <c r="LPZ2" s="528"/>
      <c r="LQA2" s="528"/>
      <c r="LQB2" s="528"/>
      <c r="LQC2" s="528"/>
      <c r="LQD2" s="528"/>
      <c r="LQE2" s="528"/>
      <c r="LQF2" s="528"/>
      <c r="LQG2" s="528"/>
      <c r="LQH2" s="528"/>
      <c r="LQI2" s="528"/>
      <c r="LQJ2" s="528"/>
      <c r="LQK2" s="528"/>
      <c r="LQL2" s="528"/>
      <c r="LQM2" s="528"/>
      <c r="LQN2" s="528"/>
      <c r="LQO2" s="528"/>
      <c r="LQP2" s="528"/>
      <c r="LQQ2" s="528"/>
      <c r="LQR2" s="528"/>
      <c r="LQS2" s="528"/>
      <c r="LQT2" s="528"/>
      <c r="LQU2" s="528"/>
      <c r="LQV2" s="528"/>
      <c r="LQW2" s="528"/>
      <c r="LQX2" s="528"/>
      <c r="LQY2" s="528"/>
      <c r="LQZ2" s="528"/>
      <c r="LRA2" s="528"/>
      <c r="LRB2" s="528"/>
      <c r="LRC2" s="528"/>
      <c r="LRD2" s="528"/>
      <c r="LRE2" s="528"/>
      <c r="LRF2" s="528"/>
      <c r="LRG2" s="528"/>
      <c r="LRH2" s="528"/>
      <c r="LRI2" s="528"/>
      <c r="LRJ2" s="528"/>
      <c r="LRK2" s="528"/>
      <c r="LRL2" s="528"/>
      <c r="LRM2" s="528"/>
      <c r="LRN2" s="528"/>
      <c r="LRO2" s="528"/>
      <c r="LRP2" s="528"/>
      <c r="LRQ2" s="528"/>
      <c r="LRR2" s="528"/>
      <c r="LRS2" s="528"/>
      <c r="LRT2" s="528"/>
      <c r="LRU2" s="528"/>
      <c r="LRV2" s="528"/>
      <c r="LRW2" s="528"/>
      <c r="LRX2" s="528"/>
      <c r="LRY2" s="528"/>
      <c r="LRZ2" s="528"/>
      <c r="LSA2" s="528"/>
      <c r="LSB2" s="528"/>
      <c r="LSC2" s="528"/>
      <c r="LSD2" s="528"/>
      <c r="LSE2" s="528"/>
      <c r="LSF2" s="528"/>
      <c r="LSG2" s="528"/>
      <c r="LSH2" s="528"/>
      <c r="LSI2" s="528"/>
      <c r="LSJ2" s="528"/>
      <c r="LSK2" s="528"/>
      <c r="LSL2" s="528"/>
      <c r="LSM2" s="528"/>
      <c r="LSN2" s="528"/>
      <c r="LSO2" s="528"/>
      <c r="LSP2" s="528"/>
      <c r="LSQ2" s="528"/>
      <c r="LSR2" s="528"/>
      <c r="LSS2" s="528"/>
      <c r="LST2" s="528"/>
      <c r="LSU2" s="528"/>
      <c r="LSV2" s="528"/>
      <c r="LSW2" s="528"/>
      <c r="LSX2" s="528"/>
      <c r="LSY2" s="528"/>
      <c r="LSZ2" s="528"/>
      <c r="LTA2" s="528"/>
      <c r="LTB2" s="528"/>
      <c r="LTC2" s="528"/>
      <c r="LTD2" s="528"/>
      <c r="LTE2" s="528"/>
      <c r="LTF2" s="528"/>
      <c r="LTG2" s="528"/>
      <c r="LTH2" s="528"/>
      <c r="LTI2" s="528"/>
      <c r="LTJ2" s="528"/>
      <c r="LTK2" s="528"/>
      <c r="LTL2" s="528"/>
      <c r="LTM2" s="528"/>
      <c r="LTN2" s="528"/>
      <c r="LTO2" s="528"/>
      <c r="LTP2" s="528"/>
      <c r="LTQ2" s="528"/>
      <c r="LTR2" s="528"/>
      <c r="LTS2" s="528"/>
      <c r="LTT2" s="528"/>
      <c r="LTU2" s="528"/>
      <c r="LTV2" s="528"/>
      <c r="LTW2" s="528"/>
      <c r="LTX2" s="528"/>
      <c r="LTY2" s="528"/>
      <c r="LTZ2" s="528"/>
      <c r="LUA2" s="528"/>
      <c r="LUB2" s="528"/>
      <c r="LUC2" s="528"/>
      <c r="LUD2" s="528"/>
      <c r="LUE2" s="528"/>
      <c r="LUF2" s="528"/>
      <c r="LUG2" s="528"/>
      <c r="LUH2" s="528"/>
      <c r="LUI2" s="528"/>
      <c r="LUJ2" s="528"/>
      <c r="LUK2" s="528"/>
      <c r="LUL2" s="528"/>
      <c r="LUM2" s="528"/>
      <c r="LUN2" s="528"/>
      <c r="LUO2" s="528"/>
      <c r="LUP2" s="528"/>
      <c r="LUQ2" s="528"/>
      <c r="LUR2" s="528"/>
      <c r="LUS2" s="528"/>
      <c r="LUT2" s="528"/>
      <c r="LUU2" s="528"/>
      <c r="LUV2" s="528"/>
      <c r="LUW2" s="528"/>
      <c r="LUX2" s="528"/>
      <c r="LUY2" s="528"/>
      <c r="LUZ2" s="528"/>
      <c r="LVA2" s="528"/>
      <c r="LVB2" s="528"/>
      <c r="LVC2" s="528"/>
      <c r="LVD2" s="528"/>
      <c r="LVE2" s="528"/>
      <c r="LVF2" s="528"/>
      <c r="LVG2" s="528"/>
      <c r="LVH2" s="528"/>
      <c r="LVI2" s="528"/>
      <c r="LVJ2" s="528"/>
      <c r="LVK2" s="528"/>
      <c r="LVL2" s="528"/>
      <c r="LVM2" s="528"/>
      <c r="LVN2" s="528"/>
      <c r="LVO2" s="528"/>
      <c r="LVP2" s="528"/>
      <c r="LVQ2" s="528"/>
      <c r="LVR2" s="528"/>
      <c r="LVS2" s="528"/>
      <c r="LVT2" s="528"/>
      <c r="LVU2" s="528"/>
      <c r="LVV2" s="528"/>
      <c r="LVW2" s="528"/>
      <c r="LVX2" s="528"/>
      <c r="LVY2" s="528"/>
      <c r="LVZ2" s="528"/>
      <c r="LWA2" s="528"/>
      <c r="LWB2" s="528"/>
      <c r="LWC2" s="528"/>
      <c r="LWD2" s="528"/>
      <c r="LWE2" s="528"/>
      <c r="LWF2" s="528"/>
      <c r="LWG2" s="528"/>
      <c r="LWH2" s="528"/>
      <c r="LWI2" s="528"/>
      <c r="LWJ2" s="528"/>
      <c r="LWK2" s="528"/>
      <c r="LWL2" s="528"/>
      <c r="LWM2" s="528"/>
      <c r="LWN2" s="528"/>
      <c r="LWO2" s="528"/>
      <c r="LWP2" s="528"/>
      <c r="LWQ2" s="528"/>
      <c r="LWR2" s="528"/>
      <c r="LWS2" s="528"/>
      <c r="LWT2" s="528"/>
      <c r="LWU2" s="528"/>
      <c r="LWV2" s="528"/>
      <c r="LWW2" s="528"/>
      <c r="LWX2" s="528"/>
      <c r="LWY2" s="528"/>
      <c r="LWZ2" s="528"/>
      <c r="LXA2" s="528"/>
      <c r="LXB2" s="528"/>
      <c r="LXC2" s="528"/>
      <c r="LXD2" s="528"/>
      <c r="LXE2" s="528"/>
      <c r="LXF2" s="528"/>
      <c r="LXG2" s="528"/>
      <c r="LXH2" s="528"/>
      <c r="LXI2" s="528"/>
      <c r="LXJ2" s="528"/>
      <c r="LXK2" s="528"/>
      <c r="LXL2" s="528"/>
      <c r="LXM2" s="528"/>
      <c r="LXN2" s="528"/>
      <c r="LXO2" s="528"/>
      <c r="LXP2" s="528"/>
      <c r="LXQ2" s="528"/>
      <c r="LXR2" s="528"/>
      <c r="LXS2" s="528"/>
      <c r="LXT2" s="528"/>
      <c r="LXU2" s="528"/>
      <c r="LXV2" s="528"/>
      <c r="LXW2" s="528"/>
      <c r="LXX2" s="528"/>
      <c r="LXY2" s="528"/>
      <c r="LXZ2" s="528"/>
      <c r="LYA2" s="528"/>
      <c r="LYB2" s="528"/>
      <c r="LYC2" s="528"/>
      <c r="LYD2" s="528"/>
      <c r="LYE2" s="528"/>
      <c r="LYF2" s="528"/>
      <c r="LYG2" s="528"/>
      <c r="LYH2" s="528"/>
      <c r="LYI2" s="528"/>
      <c r="LYJ2" s="528"/>
      <c r="LYK2" s="528"/>
      <c r="LYL2" s="528"/>
      <c r="LYM2" s="528"/>
      <c r="LYN2" s="528"/>
      <c r="LYO2" s="528"/>
      <c r="LYP2" s="528"/>
      <c r="LYQ2" s="528"/>
      <c r="LYR2" s="528"/>
      <c r="LYS2" s="528"/>
      <c r="LYT2" s="528"/>
      <c r="LYU2" s="528"/>
      <c r="LYV2" s="528"/>
      <c r="LYW2" s="528"/>
      <c r="LYX2" s="528"/>
      <c r="LYY2" s="528"/>
      <c r="LYZ2" s="528"/>
      <c r="LZA2" s="528"/>
      <c r="LZB2" s="528"/>
      <c r="LZC2" s="528"/>
      <c r="LZD2" s="528"/>
      <c r="LZE2" s="528"/>
      <c r="LZF2" s="528"/>
      <c r="LZG2" s="528"/>
      <c r="LZH2" s="528"/>
      <c r="LZI2" s="528"/>
      <c r="LZJ2" s="528"/>
      <c r="LZK2" s="528"/>
      <c r="LZL2" s="528"/>
      <c r="LZM2" s="528"/>
      <c r="LZN2" s="528"/>
      <c r="LZO2" s="528"/>
      <c r="LZP2" s="528"/>
      <c r="LZQ2" s="528"/>
      <c r="LZR2" s="528"/>
      <c r="LZS2" s="528"/>
      <c r="LZT2" s="528"/>
      <c r="LZU2" s="528"/>
      <c r="LZV2" s="528"/>
      <c r="LZW2" s="528"/>
      <c r="LZX2" s="528"/>
      <c r="LZY2" s="528"/>
      <c r="LZZ2" s="528"/>
      <c r="MAA2" s="528"/>
      <c r="MAB2" s="528"/>
      <c r="MAC2" s="528"/>
      <c r="MAD2" s="528"/>
      <c r="MAE2" s="528"/>
      <c r="MAF2" s="528"/>
      <c r="MAG2" s="528"/>
      <c r="MAH2" s="528"/>
      <c r="MAI2" s="528"/>
      <c r="MAJ2" s="528"/>
      <c r="MAK2" s="528"/>
      <c r="MAL2" s="528"/>
      <c r="MAM2" s="528"/>
      <c r="MAN2" s="528"/>
      <c r="MAO2" s="528"/>
      <c r="MAP2" s="528"/>
      <c r="MAQ2" s="528"/>
      <c r="MAR2" s="528"/>
      <c r="MAS2" s="528"/>
      <c r="MAT2" s="528"/>
      <c r="MAU2" s="528"/>
      <c r="MAV2" s="528"/>
      <c r="MAW2" s="528"/>
      <c r="MAX2" s="528"/>
      <c r="MAY2" s="528"/>
      <c r="MAZ2" s="528"/>
      <c r="MBA2" s="528"/>
      <c r="MBB2" s="528"/>
      <c r="MBC2" s="528"/>
      <c r="MBD2" s="528"/>
      <c r="MBE2" s="528"/>
      <c r="MBF2" s="528"/>
      <c r="MBG2" s="528"/>
      <c r="MBH2" s="528"/>
      <c r="MBI2" s="528"/>
      <c r="MBJ2" s="528"/>
      <c r="MBK2" s="528"/>
      <c r="MBL2" s="528"/>
      <c r="MBM2" s="528"/>
      <c r="MBN2" s="528"/>
      <c r="MBO2" s="528"/>
      <c r="MBP2" s="528"/>
      <c r="MBQ2" s="528"/>
      <c r="MBR2" s="528"/>
      <c r="MBS2" s="528"/>
      <c r="MBT2" s="528"/>
      <c r="MBU2" s="528"/>
      <c r="MBV2" s="528"/>
      <c r="MBW2" s="528"/>
      <c r="MBX2" s="528"/>
      <c r="MBY2" s="528"/>
      <c r="MBZ2" s="528"/>
      <c r="MCA2" s="528"/>
      <c r="MCB2" s="528"/>
      <c r="MCC2" s="528"/>
      <c r="MCD2" s="528"/>
      <c r="MCE2" s="528"/>
      <c r="MCF2" s="528"/>
      <c r="MCG2" s="528"/>
      <c r="MCH2" s="528"/>
      <c r="MCI2" s="528"/>
      <c r="MCJ2" s="528"/>
      <c r="MCK2" s="528"/>
      <c r="MCL2" s="528"/>
      <c r="MCM2" s="528"/>
      <c r="MCN2" s="528"/>
      <c r="MCO2" s="528"/>
      <c r="MCP2" s="528"/>
      <c r="MCQ2" s="528"/>
      <c r="MCR2" s="528"/>
      <c r="MCS2" s="528"/>
      <c r="MCT2" s="528"/>
      <c r="MCU2" s="528"/>
      <c r="MCV2" s="528"/>
      <c r="MCW2" s="528"/>
      <c r="MCX2" s="528"/>
      <c r="MCY2" s="528"/>
      <c r="MCZ2" s="528"/>
      <c r="MDA2" s="528"/>
      <c r="MDB2" s="528"/>
      <c r="MDC2" s="528"/>
      <c r="MDD2" s="528"/>
      <c r="MDE2" s="528"/>
      <c r="MDF2" s="528"/>
      <c r="MDG2" s="528"/>
      <c r="MDH2" s="528"/>
      <c r="MDI2" s="528"/>
      <c r="MDJ2" s="528"/>
      <c r="MDK2" s="528"/>
      <c r="MDL2" s="528"/>
      <c r="MDM2" s="528"/>
      <c r="MDN2" s="528"/>
      <c r="MDO2" s="528"/>
      <c r="MDP2" s="528"/>
      <c r="MDQ2" s="528"/>
      <c r="MDR2" s="528"/>
      <c r="MDS2" s="528"/>
      <c r="MDT2" s="528"/>
      <c r="MDU2" s="528"/>
      <c r="MDV2" s="528"/>
      <c r="MDW2" s="528"/>
      <c r="MDX2" s="528"/>
      <c r="MDY2" s="528"/>
      <c r="MDZ2" s="528"/>
      <c r="MEA2" s="528"/>
      <c r="MEB2" s="528"/>
      <c r="MEC2" s="528"/>
      <c r="MED2" s="528"/>
      <c r="MEE2" s="528"/>
      <c r="MEF2" s="528"/>
      <c r="MEG2" s="528"/>
      <c r="MEH2" s="528"/>
      <c r="MEI2" s="528"/>
      <c r="MEJ2" s="528"/>
      <c r="MEK2" s="528"/>
      <c r="MEL2" s="528"/>
      <c r="MEM2" s="528"/>
      <c r="MEN2" s="528"/>
      <c r="MEO2" s="528"/>
      <c r="MEP2" s="528"/>
      <c r="MEQ2" s="528"/>
      <c r="MER2" s="528"/>
      <c r="MES2" s="528"/>
      <c r="MET2" s="528"/>
      <c r="MEU2" s="528"/>
      <c r="MEV2" s="528"/>
      <c r="MEW2" s="528"/>
      <c r="MEX2" s="528"/>
      <c r="MEY2" s="528"/>
      <c r="MEZ2" s="528"/>
      <c r="MFA2" s="528"/>
      <c r="MFB2" s="528"/>
      <c r="MFC2" s="528"/>
      <c r="MFD2" s="528"/>
      <c r="MFE2" s="528"/>
      <c r="MFF2" s="528"/>
      <c r="MFG2" s="528"/>
      <c r="MFH2" s="528"/>
      <c r="MFI2" s="528"/>
      <c r="MFJ2" s="528"/>
      <c r="MFK2" s="528"/>
      <c r="MFL2" s="528"/>
      <c r="MFM2" s="528"/>
      <c r="MFN2" s="528"/>
      <c r="MFO2" s="528"/>
      <c r="MFP2" s="528"/>
      <c r="MFQ2" s="528"/>
      <c r="MFR2" s="528"/>
      <c r="MFS2" s="528"/>
      <c r="MFT2" s="528"/>
      <c r="MFU2" s="528"/>
      <c r="MFV2" s="528"/>
      <c r="MFW2" s="528"/>
      <c r="MFX2" s="528"/>
      <c r="MFY2" s="528"/>
      <c r="MFZ2" s="528"/>
      <c r="MGA2" s="528"/>
      <c r="MGB2" s="528"/>
      <c r="MGC2" s="528"/>
      <c r="MGD2" s="528"/>
      <c r="MGE2" s="528"/>
      <c r="MGF2" s="528"/>
      <c r="MGG2" s="528"/>
      <c r="MGH2" s="528"/>
      <c r="MGI2" s="528"/>
      <c r="MGJ2" s="528"/>
      <c r="MGK2" s="528"/>
      <c r="MGL2" s="528"/>
      <c r="MGM2" s="528"/>
      <c r="MGN2" s="528"/>
      <c r="MGO2" s="528"/>
      <c r="MGP2" s="528"/>
      <c r="MGQ2" s="528"/>
      <c r="MGR2" s="528"/>
      <c r="MGS2" s="528"/>
      <c r="MGT2" s="528"/>
      <c r="MGU2" s="528"/>
      <c r="MGV2" s="528"/>
      <c r="MGW2" s="528"/>
      <c r="MGX2" s="528"/>
      <c r="MGY2" s="528"/>
      <c r="MGZ2" s="528"/>
      <c r="MHA2" s="528"/>
      <c r="MHB2" s="528"/>
      <c r="MHC2" s="528"/>
      <c r="MHD2" s="528"/>
      <c r="MHE2" s="528"/>
      <c r="MHF2" s="528"/>
      <c r="MHG2" s="528"/>
      <c r="MHH2" s="528"/>
      <c r="MHI2" s="528"/>
      <c r="MHJ2" s="528"/>
      <c r="MHK2" s="528"/>
      <c r="MHL2" s="528"/>
      <c r="MHM2" s="528"/>
      <c r="MHN2" s="528"/>
      <c r="MHO2" s="528"/>
      <c r="MHP2" s="528"/>
      <c r="MHQ2" s="528"/>
      <c r="MHR2" s="528"/>
      <c r="MHS2" s="528"/>
      <c r="MHT2" s="528"/>
      <c r="MHU2" s="528"/>
      <c r="MHV2" s="528"/>
      <c r="MHW2" s="528"/>
      <c r="MHX2" s="528"/>
      <c r="MHY2" s="528"/>
      <c r="MHZ2" s="528"/>
      <c r="MIA2" s="528"/>
      <c r="MIB2" s="528"/>
      <c r="MIC2" s="528"/>
      <c r="MID2" s="528"/>
      <c r="MIE2" s="528"/>
      <c r="MIF2" s="528"/>
      <c r="MIG2" s="528"/>
      <c r="MIH2" s="528"/>
      <c r="MII2" s="528"/>
      <c r="MIJ2" s="528"/>
      <c r="MIK2" s="528"/>
      <c r="MIL2" s="528"/>
      <c r="MIM2" s="528"/>
      <c r="MIN2" s="528"/>
      <c r="MIO2" s="528"/>
      <c r="MIP2" s="528"/>
      <c r="MIQ2" s="528"/>
      <c r="MIR2" s="528"/>
      <c r="MIS2" s="528"/>
      <c r="MIT2" s="528"/>
      <c r="MIU2" s="528"/>
      <c r="MIV2" s="528"/>
      <c r="MIW2" s="528"/>
      <c r="MIX2" s="528"/>
      <c r="MIY2" s="528"/>
      <c r="MIZ2" s="528"/>
      <c r="MJA2" s="528"/>
      <c r="MJB2" s="528"/>
      <c r="MJC2" s="528"/>
      <c r="MJD2" s="528"/>
      <c r="MJE2" s="528"/>
      <c r="MJF2" s="528"/>
      <c r="MJG2" s="528"/>
      <c r="MJH2" s="528"/>
      <c r="MJI2" s="528"/>
      <c r="MJJ2" s="528"/>
      <c r="MJK2" s="528"/>
      <c r="MJL2" s="528"/>
      <c r="MJM2" s="528"/>
      <c r="MJN2" s="528"/>
      <c r="MJO2" s="528"/>
      <c r="MJP2" s="528"/>
      <c r="MJQ2" s="528"/>
      <c r="MJR2" s="528"/>
      <c r="MJS2" s="528"/>
      <c r="MJT2" s="528"/>
      <c r="MJU2" s="528"/>
      <c r="MJV2" s="528"/>
      <c r="MJW2" s="528"/>
      <c r="MJX2" s="528"/>
      <c r="MJY2" s="528"/>
      <c r="MJZ2" s="528"/>
      <c r="MKA2" s="528"/>
      <c r="MKB2" s="528"/>
      <c r="MKC2" s="528"/>
      <c r="MKD2" s="528"/>
      <c r="MKE2" s="528"/>
      <c r="MKF2" s="528"/>
      <c r="MKG2" s="528"/>
      <c r="MKH2" s="528"/>
      <c r="MKI2" s="528"/>
      <c r="MKJ2" s="528"/>
      <c r="MKK2" s="528"/>
      <c r="MKL2" s="528"/>
      <c r="MKM2" s="528"/>
      <c r="MKN2" s="528"/>
      <c r="MKO2" s="528"/>
      <c r="MKP2" s="528"/>
      <c r="MKQ2" s="528"/>
      <c r="MKR2" s="528"/>
      <c r="MKS2" s="528"/>
      <c r="MKT2" s="528"/>
      <c r="MKU2" s="528"/>
      <c r="MKV2" s="528"/>
      <c r="MKW2" s="528"/>
      <c r="MKX2" s="528"/>
      <c r="MKY2" s="528"/>
      <c r="MKZ2" s="528"/>
      <c r="MLA2" s="528"/>
      <c r="MLB2" s="528"/>
      <c r="MLC2" s="528"/>
      <c r="MLD2" s="528"/>
      <c r="MLE2" s="528"/>
      <c r="MLF2" s="528"/>
      <c r="MLG2" s="528"/>
      <c r="MLH2" s="528"/>
      <c r="MLI2" s="528"/>
      <c r="MLJ2" s="528"/>
      <c r="MLK2" s="528"/>
      <c r="MLL2" s="528"/>
      <c r="MLM2" s="528"/>
      <c r="MLN2" s="528"/>
      <c r="MLO2" s="528"/>
      <c r="MLP2" s="528"/>
      <c r="MLQ2" s="528"/>
      <c r="MLR2" s="528"/>
      <c r="MLS2" s="528"/>
      <c r="MLT2" s="528"/>
      <c r="MLU2" s="528"/>
      <c r="MLV2" s="528"/>
      <c r="MLW2" s="528"/>
      <c r="MLX2" s="528"/>
      <c r="MLY2" s="528"/>
      <c r="MLZ2" s="528"/>
      <c r="MMA2" s="528"/>
      <c r="MMB2" s="528"/>
      <c r="MMC2" s="528"/>
      <c r="MMD2" s="528"/>
      <c r="MME2" s="528"/>
      <c r="MMF2" s="528"/>
      <c r="MMG2" s="528"/>
      <c r="MMH2" s="528"/>
      <c r="MMI2" s="528"/>
      <c r="MMJ2" s="528"/>
      <c r="MMK2" s="528"/>
      <c r="MML2" s="528"/>
      <c r="MMM2" s="528"/>
      <c r="MMN2" s="528"/>
      <c r="MMO2" s="528"/>
      <c r="MMP2" s="528"/>
      <c r="MMQ2" s="528"/>
      <c r="MMR2" s="528"/>
      <c r="MMS2" s="528"/>
      <c r="MMT2" s="528"/>
      <c r="MMU2" s="528"/>
      <c r="MMV2" s="528"/>
      <c r="MMW2" s="528"/>
      <c r="MMX2" s="528"/>
      <c r="MMY2" s="528"/>
      <c r="MMZ2" s="528"/>
      <c r="MNA2" s="528"/>
      <c r="MNB2" s="528"/>
      <c r="MNC2" s="528"/>
      <c r="MND2" s="528"/>
      <c r="MNE2" s="528"/>
      <c r="MNF2" s="528"/>
      <c r="MNG2" s="528"/>
      <c r="MNH2" s="528"/>
      <c r="MNI2" s="528"/>
      <c r="MNJ2" s="528"/>
      <c r="MNK2" s="528"/>
      <c r="MNL2" s="528"/>
      <c r="MNM2" s="528"/>
      <c r="MNN2" s="528"/>
      <c r="MNO2" s="528"/>
      <c r="MNP2" s="528"/>
      <c r="MNQ2" s="528"/>
      <c r="MNR2" s="528"/>
      <c r="MNS2" s="528"/>
      <c r="MNT2" s="528"/>
      <c r="MNU2" s="528"/>
      <c r="MNV2" s="528"/>
      <c r="MNW2" s="528"/>
      <c r="MNX2" s="528"/>
      <c r="MNY2" s="528"/>
      <c r="MNZ2" s="528"/>
      <c r="MOA2" s="528"/>
      <c r="MOB2" s="528"/>
      <c r="MOC2" s="528"/>
      <c r="MOD2" s="528"/>
      <c r="MOE2" s="528"/>
      <c r="MOF2" s="528"/>
      <c r="MOG2" s="528"/>
      <c r="MOH2" s="528"/>
      <c r="MOI2" s="528"/>
      <c r="MOJ2" s="528"/>
      <c r="MOK2" s="528"/>
      <c r="MOL2" s="528"/>
      <c r="MOM2" s="528"/>
      <c r="MON2" s="528"/>
      <c r="MOO2" s="528"/>
      <c r="MOP2" s="528"/>
      <c r="MOQ2" s="528"/>
      <c r="MOR2" s="528"/>
      <c r="MOS2" s="528"/>
      <c r="MOT2" s="528"/>
      <c r="MOU2" s="528"/>
      <c r="MOV2" s="528"/>
      <c r="MOW2" s="528"/>
      <c r="MOX2" s="528"/>
      <c r="MOY2" s="528"/>
      <c r="MOZ2" s="528"/>
      <c r="MPA2" s="528"/>
      <c r="MPB2" s="528"/>
      <c r="MPC2" s="528"/>
      <c r="MPD2" s="528"/>
      <c r="MPE2" s="528"/>
      <c r="MPF2" s="528"/>
      <c r="MPG2" s="528"/>
      <c r="MPH2" s="528"/>
      <c r="MPI2" s="528"/>
      <c r="MPJ2" s="528"/>
      <c r="MPK2" s="528"/>
      <c r="MPL2" s="528"/>
      <c r="MPM2" s="528"/>
      <c r="MPN2" s="528"/>
      <c r="MPO2" s="528"/>
      <c r="MPP2" s="528"/>
      <c r="MPQ2" s="528"/>
      <c r="MPR2" s="528"/>
      <c r="MPS2" s="528"/>
      <c r="MPT2" s="528"/>
      <c r="MPU2" s="528"/>
      <c r="MPV2" s="528"/>
      <c r="MPW2" s="528"/>
      <c r="MPX2" s="528"/>
      <c r="MPY2" s="528"/>
      <c r="MPZ2" s="528"/>
      <c r="MQA2" s="528"/>
      <c r="MQB2" s="528"/>
      <c r="MQC2" s="528"/>
      <c r="MQD2" s="528"/>
      <c r="MQE2" s="528"/>
      <c r="MQF2" s="528"/>
      <c r="MQG2" s="528"/>
      <c r="MQH2" s="528"/>
      <c r="MQI2" s="528"/>
      <c r="MQJ2" s="528"/>
      <c r="MQK2" s="528"/>
      <c r="MQL2" s="528"/>
      <c r="MQM2" s="528"/>
      <c r="MQN2" s="528"/>
      <c r="MQO2" s="528"/>
      <c r="MQP2" s="528"/>
      <c r="MQQ2" s="528"/>
      <c r="MQR2" s="528"/>
      <c r="MQS2" s="528"/>
      <c r="MQT2" s="528"/>
      <c r="MQU2" s="528"/>
      <c r="MQV2" s="528"/>
      <c r="MQW2" s="528"/>
      <c r="MQX2" s="528"/>
      <c r="MQY2" s="528"/>
      <c r="MQZ2" s="528"/>
      <c r="MRA2" s="528"/>
      <c r="MRB2" s="528"/>
      <c r="MRC2" s="528"/>
      <c r="MRD2" s="528"/>
      <c r="MRE2" s="528"/>
      <c r="MRF2" s="528"/>
      <c r="MRG2" s="528"/>
      <c r="MRH2" s="528"/>
      <c r="MRI2" s="528"/>
      <c r="MRJ2" s="528"/>
      <c r="MRK2" s="528"/>
      <c r="MRL2" s="528"/>
      <c r="MRM2" s="528"/>
      <c r="MRN2" s="528"/>
      <c r="MRO2" s="528"/>
      <c r="MRP2" s="528"/>
      <c r="MRQ2" s="528"/>
      <c r="MRR2" s="528"/>
      <c r="MRS2" s="528"/>
      <c r="MRT2" s="528"/>
      <c r="MRU2" s="528"/>
      <c r="MRV2" s="528"/>
      <c r="MRW2" s="528"/>
      <c r="MRX2" s="528"/>
      <c r="MRY2" s="528"/>
      <c r="MRZ2" s="528"/>
      <c r="MSA2" s="528"/>
      <c r="MSB2" s="528"/>
      <c r="MSC2" s="528"/>
      <c r="MSD2" s="528"/>
      <c r="MSE2" s="528"/>
      <c r="MSF2" s="528"/>
      <c r="MSG2" s="528"/>
      <c r="MSH2" s="528"/>
      <c r="MSI2" s="528"/>
      <c r="MSJ2" s="528"/>
      <c r="MSK2" s="528"/>
      <c r="MSL2" s="528"/>
      <c r="MSM2" s="528"/>
      <c r="MSN2" s="528"/>
      <c r="MSO2" s="528"/>
      <c r="MSP2" s="528"/>
      <c r="MSQ2" s="528"/>
      <c r="MSR2" s="528"/>
      <c r="MSS2" s="528"/>
      <c r="MST2" s="528"/>
      <c r="MSU2" s="528"/>
      <c r="MSV2" s="528"/>
      <c r="MSW2" s="528"/>
      <c r="MSX2" s="528"/>
      <c r="MSY2" s="528"/>
      <c r="MSZ2" s="528"/>
      <c r="MTA2" s="528"/>
      <c r="MTB2" s="528"/>
      <c r="MTC2" s="528"/>
      <c r="MTD2" s="528"/>
      <c r="MTE2" s="528"/>
      <c r="MTF2" s="528"/>
      <c r="MTG2" s="528"/>
      <c r="MTH2" s="528"/>
      <c r="MTI2" s="528"/>
      <c r="MTJ2" s="528"/>
      <c r="MTK2" s="528"/>
      <c r="MTL2" s="528"/>
      <c r="MTM2" s="528"/>
      <c r="MTN2" s="528"/>
      <c r="MTO2" s="528"/>
      <c r="MTP2" s="528"/>
      <c r="MTQ2" s="528"/>
      <c r="MTR2" s="528"/>
      <c r="MTS2" s="528"/>
      <c r="MTT2" s="528"/>
      <c r="MTU2" s="528"/>
      <c r="MTV2" s="528"/>
      <c r="MTW2" s="528"/>
      <c r="MTX2" s="528"/>
      <c r="MTY2" s="528"/>
      <c r="MTZ2" s="528"/>
      <c r="MUA2" s="528"/>
      <c r="MUB2" s="528"/>
      <c r="MUC2" s="528"/>
      <c r="MUD2" s="528"/>
      <c r="MUE2" s="528"/>
      <c r="MUF2" s="528"/>
      <c r="MUG2" s="528"/>
      <c r="MUH2" s="528"/>
      <c r="MUI2" s="528"/>
      <c r="MUJ2" s="528"/>
      <c r="MUK2" s="528"/>
      <c r="MUL2" s="528"/>
      <c r="MUM2" s="528"/>
      <c r="MUN2" s="528"/>
      <c r="MUO2" s="528"/>
      <c r="MUP2" s="528"/>
      <c r="MUQ2" s="528"/>
      <c r="MUR2" s="528"/>
      <c r="MUS2" s="528"/>
      <c r="MUT2" s="528"/>
      <c r="MUU2" s="528"/>
      <c r="MUV2" s="528"/>
      <c r="MUW2" s="528"/>
      <c r="MUX2" s="528"/>
      <c r="MUY2" s="528"/>
      <c r="MUZ2" s="528"/>
      <c r="MVA2" s="528"/>
      <c r="MVB2" s="528"/>
      <c r="MVC2" s="528"/>
      <c r="MVD2" s="528"/>
      <c r="MVE2" s="528"/>
      <c r="MVF2" s="528"/>
      <c r="MVG2" s="528"/>
      <c r="MVH2" s="528"/>
      <c r="MVI2" s="528"/>
      <c r="MVJ2" s="528"/>
      <c r="MVK2" s="528"/>
      <c r="MVL2" s="528"/>
      <c r="MVM2" s="528"/>
      <c r="MVN2" s="528"/>
      <c r="MVO2" s="528"/>
      <c r="MVP2" s="528"/>
      <c r="MVQ2" s="528"/>
      <c r="MVR2" s="528"/>
      <c r="MVS2" s="528"/>
      <c r="MVT2" s="528"/>
      <c r="MVU2" s="528"/>
      <c r="MVV2" s="528"/>
      <c r="MVW2" s="528"/>
      <c r="MVX2" s="528"/>
      <c r="MVY2" s="528"/>
      <c r="MVZ2" s="528"/>
      <c r="MWA2" s="528"/>
      <c r="MWB2" s="528"/>
      <c r="MWC2" s="528"/>
      <c r="MWD2" s="528"/>
      <c r="MWE2" s="528"/>
      <c r="MWF2" s="528"/>
      <c r="MWG2" s="528"/>
      <c r="MWH2" s="528"/>
      <c r="MWI2" s="528"/>
      <c r="MWJ2" s="528"/>
      <c r="MWK2" s="528"/>
      <c r="MWL2" s="528"/>
      <c r="MWM2" s="528"/>
      <c r="MWN2" s="528"/>
      <c r="MWO2" s="528"/>
      <c r="MWP2" s="528"/>
      <c r="MWQ2" s="528"/>
      <c r="MWR2" s="528"/>
      <c r="MWS2" s="528"/>
      <c r="MWT2" s="528"/>
      <c r="MWU2" s="528"/>
      <c r="MWV2" s="528"/>
      <c r="MWW2" s="528"/>
      <c r="MWX2" s="528"/>
      <c r="MWY2" s="528"/>
      <c r="MWZ2" s="528"/>
      <c r="MXA2" s="528"/>
      <c r="MXB2" s="528"/>
      <c r="MXC2" s="528"/>
      <c r="MXD2" s="528"/>
      <c r="MXE2" s="528"/>
      <c r="MXF2" s="528"/>
      <c r="MXG2" s="528"/>
      <c r="MXH2" s="528"/>
      <c r="MXI2" s="528"/>
      <c r="MXJ2" s="528"/>
      <c r="MXK2" s="528"/>
      <c r="MXL2" s="528"/>
      <c r="MXM2" s="528"/>
      <c r="MXN2" s="528"/>
      <c r="MXO2" s="528"/>
      <c r="MXP2" s="528"/>
      <c r="MXQ2" s="528"/>
      <c r="MXR2" s="528"/>
      <c r="MXS2" s="528"/>
      <c r="MXT2" s="528"/>
      <c r="MXU2" s="528"/>
      <c r="MXV2" s="528"/>
      <c r="MXW2" s="528"/>
      <c r="MXX2" s="528"/>
      <c r="MXY2" s="528"/>
      <c r="MXZ2" s="528"/>
      <c r="MYA2" s="528"/>
      <c r="MYB2" s="528"/>
      <c r="MYC2" s="528"/>
      <c r="MYD2" s="528"/>
      <c r="MYE2" s="528"/>
      <c r="MYF2" s="528"/>
      <c r="MYG2" s="528"/>
      <c r="MYH2" s="528"/>
      <c r="MYI2" s="528"/>
      <c r="MYJ2" s="528"/>
      <c r="MYK2" s="528"/>
      <c r="MYL2" s="528"/>
      <c r="MYM2" s="528"/>
      <c r="MYN2" s="528"/>
      <c r="MYO2" s="528"/>
      <c r="MYP2" s="528"/>
      <c r="MYQ2" s="528"/>
      <c r="MYR2" s="528"/>
      <c r="MYS2" s="528"/>
      <c r="MYT2" s="528"/>
      <c r="MYU2" s="528"/>
      <c r="MYV2" s="528"/>
      <c r="MYW2" s="528"/>
      <c r="MYX2" s="528"/>
      <c r="MYY2" s="528"/>
      <c r="MYZ2" s="528"/>
      <c r="MZA2" s="528"/>
      <c r="MZB2" s="528"/>
      <c r="MZC2" s="528"/>
      <c r="MZD2" s="528"/>
      <c r="MZE2" s="528"/>
      <c r="MZF2" s="528"/>
      <c r="MZG2" s="528"/>
      <c r="MZH2" s="528"/>
      <c r="MZI2" s="528"/>
      <c r="MZJ2" s="528"/>
      <c r="MZK2" s="528"/>
      <c r="MZL2" s="528"/>
      <c r="MZM2" s="528"/>
      <c r="MZN2" s="528"/>
      <c r="MZO2" s="528"/>
      <c r="MZP2" s="528"/>
      <c r="MZQ2" s="528"/>
      <c r="MZR2" s="528"/>
      <c r="MZS2" s="528"/>
      <c r="MZT2" s="528"/>
      <c r="MZU2" s="528"/>
      <c r="MZV2" s="528"/>
      <c r="MZW2" s="528"/>
      <c r="MZX2" s="528"/>
      <c r="MZY2" s="528"/>
      <c r="MZZ2" s="528"/>
      <c r="NAA2" s="528"/>
      <c r="NAB2" s="528"/>
      <c r="NAC2" s="528"/>
      <c r="NAD2" s="528"/>
      <c r="NAE2" s="528"/>
      <c r="NAF2" s="528"/>
      <c r="NAG2" s="528"/>
      <c r="NAH2" s="528"/>
      <c r="NAI2" s="528"/>
      <c r="NAJ2" s="528"/>
      <c r="NAK2" s="528"/>
      <c r="NAL2" s="528"/>
      <c r="NAM2" s="528"/>
      <c r="NAN2" s="528"/>
      <c r="NAO2" s="528"/>
      <c r="NAP2" s="528"/>
      <c r="NAQ2" s="528"/>
      <c r="NAR2" s="528"/>
      <c r="NAS2" s="528"/>
      <c r="NAT2" s="528"/>
      <c r="NAU2" s="528"/>
      <c r="NAV2" s="528"/>
      <c r="NAW2" s="528"/>
      <c r="NAX2" s="528"/>
      <c r="NAY2" s="528"/>
      <c r="NAZ2" s="528"/>
      <c r="NBA2" s="528"/>
      <c r="NBB2" s="528"/>
      <c r="NBC2" s="528"/>
      <c r="NBD2" s="528"/>
      <c r="NBE2" s="528"/>
      <c r="NBF2" s="528"/>
      <c r="NBG2" s="528"/>
      <c r="NBH2" s="528"/>
      <c r="NBI2" s="528"/>
      <c r="NBJ2" s="528"/>
      <c r="NBK2" s="528"/>
      <c r="NBL2" s="528"/>
      <c r="NBM2" s="528"/>
      <c r="NBN2" s="528"/>
      <c r="NBO2" s="528"/>
      <c r="NBP2" s="528"/>
      <c r="NBQ2" s="528"/>
      <c r="NBR2" s="528"/>
      <c r="NBS2" s="528"/>
      <c r="NBT2" s="528"/>
      <c r="NBU2" s="528"/>
      <c r="NBV2" s="528"/>
      <c r="NBW2" s="528"/>
      <c r="NBX2" s="528"/>
      <c r="NBY2" s="528"/>
      <c r="NBZ2" s="528"/>
      <c r="NCA2" s="528"/>
      <c r="NCB2" s="528"/>
      <c r="NCC2" s="528"/>
      <c r="NCD2" s="528"/>
      <c r="NCE2" s="528"/>
      <c r="NCF2" s="528"/>
      <c r="NCG2" s="528"/>
      <c r="NCH2" s="528"/>
      <c r="NCI2" s="528"/>
      <c r="NCJ2" s="528"/>
      <c r="NCK2" s="528"/>
      <c r="NCL2" s="528"/>
      <c r="NCM2" s="528"/>
      <c r="NCN2" s="528"/>
      <c r="NCO2" s="528"/>
      <c r="NCP2" s="528"/>
      <c r="NCQ2" s="528"/>
      <c r="NCR2" s="528"/>
      <c r="NCS2" s="528"/>
      <c r="NCT2" s="528"/>
      <c r="NCU2" s="528"/>
      <c r="NCV2" s="528"/>
      <c r="NCW2" s="528"/>
      <c r="NCX2" s="528"/>
      <c r="NCY2" s="528"/>
      <c r="NCZ2" s="528"/>
      <c r="NDA2" s="528"/>
      <c r="NDB2" s="528"/>
      <c r="NDC2" s="528"/>
      <c r="NDD2" s="528"/>
      <c r="NDE2" s="528"/>
      <c r="NDF2" s="528"/>
      <c r="NDG2" s="528"/>
      <c r="NDH2" s="528"/>
      <c r="NDI2" s="528"/>
      <c r="NDJ2" s="528"/>
      <c r="NDK2" s="528"/>
      <c r="NDL2" s="528"/>
      <c r="NDM2" s="528"/>
      <c r="NDN2" s="528"/>
      <c r="NDO2" s="528"/>
      <c r="NDP2" s="528"/>
      <c r="NDQ2" s="528"/>
      <c r="NDR2" s="528"/>
      <c r="NDS2" s="528"/>
      <c r="NDT2" s="528"/>
      <c r="NDU2" s="528"/>
      <c r="NDV2" s="528"/>
      <c r="NDW2" s="528"/>
      <c r="NDX2" s="528"/>
      <c r="NDY2" s="528"/>
      <c r="NDZ2" s="528"/>
      <c r="NEA2" s="528"/>
      <c r="NEB2" s="528"/>
      <c r="NEC2" s="528"/>
      <c r="NED2" s="528"/>
      <c r="NEE2" s="528"/>
      <c r="NEF2" s="528"/>
      <c r="NEG2" s="528"/>
      <c r="NEH2" s="528"/>
      <c r="NEI2" s="528"/>
      <c r="NEJ2" s="528"/>
      <c r="NEK2" s="528"/>
      <c r="NEL2" s="528"/>
      <c r="NEM2" s="528"/>
      <c r="NEN2" s="528"/>
      <c r="NEO2" s="528"/>
      <c r="NEP2" s="528"/>
      <c r="NEQ2" s="528"/>
      <c r="NER2" s="528"/>
      <c r="NES2" s="528"/>
      <c r="NET2" s="528"/>
      <c r="NEU2" s="528"/>
      <c r="NEV2" s="528"/>
      <c r="NEW2" s="528"/>
      <c r="NEX2" s="528"/>
      <c r="NEY2" s="528"/>
      <c r="NEZ2" s="528"/>
      <c r="NFA2" s="528"/>
      <c r="NFB2" s="528"/>
      <c r="NFC2" s="528"/>
      <c r="NFD2" s="528"/>
      <c r="NFE2" s="528"/>
      <c r="NFF2" s="528"/>
      <c r="NFG2" s="528"/>
      <c r="NFH2" s="528"/>
      <c r="NFI2" s="528"/>
      <c r="NFJ2" s="528"/>
      <c r="NFK2" s="528"/>
      <c r="NFL2" s="528"/>
      <c r="NFM2" s="528"/>
      <c r="NFN2" s="528"/>
      <c r="NFO2" s="528"/>
      <c r="NFP2" s="528"/>
      <c r="NFQ2" s="528"/>
      <c r="NFR2" s="528"/>
      <c r="NFS2" s="528"/>
      <c r="NFT2" s="528"/>
      <c r="NFU2" s="528"/>
      <c r="NFV2" s="528"/>
      <c r="NFW2" s="528"/>
      <c r="NFX2" s="528"/>
      <c r="NFY2" s="528"/>
      <c r="NFZ2" s="528"/>
      <c r="NGA2" s="528"/>
      <c r="NGB2" s="528"/>
      <c r="NGC2" s="528"/>
      <c r="NGD2" s="528"/>
      <c r="NGE2" s="528"/>
      <c r="NGF2" s="528"/>
      <c r="NGG2" s="528"/>
      <c r="NGH2" s="528"/>
      <c r="NGI2" s="528"/>
      <c r="NGJ2" s="528"/>
      <c r="NGK2" s="528"/>
      <c r="NGL2" s="528"/>
      <c r="NGM2" s="528"/>
      <c r="NGN2" s="528"/>
      <c r="NGO2" s="528"/>
      <c r="NGP2" s="528"/>
      <c r="NGQ2" s="528"/>
      <c r="NGR2" s="528"/>
      <c r="NGS2" s="528"/>
      <c r="NGT2" s="528"/>
      <c r="NGU2" s="528"/>
      <c r="NGV2" s="528"/>
      <c r="NGW2" s="528"/>
      <c r="NGX2" s="528"/>
      <c r="NGY2" s="528"/>
      <c r="NGZ2" s="528"/>
      <c r="NHA2" s="528"/>
      <c r="NHB2" s="528"/>
      <c r="NHC2" s="528"/>
      <c r="NHD2" s="528"/>
      <c r="NHE2" s="528"/>
      <c r="NHF2" s="528"/>
      <c r="NHG2" s="528"/>
      <c r="NHH2" s="528"/>
      <c r="NHI2" s="528"/>
      <c r="NHJ2" s="528"/>
      <c r="NHK2" s="528"/>
      <c r="NHL2" s="528"/>
      <c r="NHM2" s="528"/>
      <c r="NHN2" s="528"/>
      <c r="NHO2" s="528"/>
      <c r="NHP2" s="528"/>
      <c r="NHQ2" s="528"/>
      <c r="NHR2" s="528"/>
      <c r="NHS2" s="528"/>
      <c r="NHT2" s="528"/>
      <c r="NHU2" s="528"/>
      <c r="NHV2" s="528"/>
      <c r="NHW2" s="528"/>
      <c r="NHX2" s="528"/>
      <c r="NHY2" s="528"/>
      <c r="NHZ2" s="528"/>
      <c r="NIA2" s="528"/>
      <c r="NIB2" s="528"/>
      <c r="NIC2" s="528"/>
      <c r="NID2" s="528"/>
      <c r="NIE2" s="528"/>
      <c r="NIF2" s="528"/>
      <c r="NIG2" s="528"/>
      <c r="NIH2" s="528"/>
      <c r="NII2" s="528"/>
      <c r="NIJ2" s="528"/>
      <c r="NIK2" s="528"/>
      <c r="NIL2" s="528"/>
      <c r="NIM2" s="528"/>
      <c r="NIN2" s="528"/>
      <c r="NIO2" s="528"/>
      <c r="NIP2" s="528"/>
      <c r="NIQ2" s="528"/>
      <c r="NIR2" s="528"/>
      <c r="NIS2" s="528"/>
      <c r="NIT2" s="528"/>
      <c r="NIU2" s="528"/>
      <c r="NIV2" s="528"/>
      <c r="NIW2" s="528"/>
      <c r="NIX2" s="528"/>
      <c r="NIY2" s="528"/>
      <c r="NIZ2" s="528"/>
      <c r="NJA2" s="528"/>
      <c r="NJB2" s="528"/>
      <c r="NJC2" s="528"/>
      <c r="NJD2" s="528"/>
      <c r="NJE2" s="528"/>
      <c r="NJF2" s="528"/>
      <c r="NJG2" s="528"/>
      <c r="NJH2" s="528"/>
      <c r="NJI2" s="528"/>
      <c r="NJJ2" s="528"/>
      <c r="NJK2" s="528"/>
      <c r="NJL2" s="528"/>
      <c r="NJM2" s="528"/>
      <c r="NJN2" s="528"/>
      <c r="NJO2" s="528"/>
      <c r="NJP2" s="528"/>
      <c r="NJQ2" s="528"/>
      <c r="NJR2" s="528"/>
      <c r="NJS2" s="528"/>
      <c r="NJT2" s="528"/>
      <c r="NJU2" s="528"/>
      <c r="NJV2" s="528"/>
      <c r="NJW2" s="528"/>
      <c r="NJX2" s="528"/>
      <c r="NJY2" s="528"/>
      <c r="NJZ2" s="528"/>
      <c r="NKA2" s="528"/>
      <c r="NKB2" s="528"/>
      <c r="NKC2" s="528"/>
      <c r="NKD2" s="528"/>
      <c r="NKE2" s="528"/>
      <c r="NKF2" s="528"/>
      <c r="NKG2" s="528"/>
      <c r="NKH2" s="528"/>
      <c r="NKI2" s="528"/>
      <c r="NKJ2" s="528"/>
      <c r="NKK2" s="528"/>
      <c r="NKL2" s="528"/>
      <c r="NKM2" s="528"/>
      <c r="NKN2" s="528"/>
      <c r="NKO2" s="528"/>
      <c r="NKP2" s="528"/>
      <c r="NKQ2" s="528"/>
      <c r="NKR2" s="528"/>
      <c r="NKS2" s="528"/>
      <c r="NKT2" s="528"/>
      <c r="NKU2" s="528"/>
      <c r="NKV2" s="528"/>
      <c r="NKW2" s="528"/>
      <c r="NKX2" s="528"/>
      <c r="NKY2" s="528"/>
      <c r="NKZ2" s="528"/>
      <c r="NLA2" s="528"/>
      <c r="NLB2" s="528"/>
      <c r="NLC2" s="528"/>
      <c r="NLD2" s="528"/>
      <c r="NLE2" s="528"/>
      <c r="NLF2" s="528"/>
      <c r="NLG2" s="528"/>
      <c r="NLH2" s="528"/>
      <c r="NLI2" s="528"/>
      <c r="NLJ2" s="528"/>
      <c r="NLK2" s="528"/>
      <c r="NLL2" s="528"/>
      <c r="NLM2" s="528"/>
      <c r="NLN2" s="528"/>
      <c r="NLO2" s="528"/>
      <c r="NLP2" s="528"/>
      <c r="NLQ2" s="528"/>
      <c r="NLR2" s="528"/>
      <c r="NLS2" s="528"/>
      <c r="NLT2" s="528"/>
      <c r="NLU2" s="528"/>
      <c r="NLV2" s="528"/>
      <c r="NLW2" s="528"/>
      <c r="NLX2" s="528"/>
      <c r="NLY2" s="528"/>
      <c r="NLZ2" s="528"/>
      <c r="NMA2" s="528"/>
      <c r="NMB2" s="528"/>
      <c r="NMC2" s="528"/>
      <c r="NMD2" s="528"/>
      <c r="NME2" s="528"/>
      <c r="NMF2" s="528"/>
      <c r="NMG2" s="528"/>
      <c r="NMH2" s="528"/>
      <c r="NMI2" s="528"/>
      <c r="NMJ2" s="528"/>
      <c r="NMK2" s="528"/>
      <c r="NML2" s="528"/>
      <c r="NMM2" s="528"/>
      <c r="NMN2" s="528"/>
      <c r="NMO2" s="528"/>
      <c r="NMP2" s="528"/>
      <c r="NMQ2" s="528"/>
      <c r="NMR2" s="528"/>
      <c r="NMS2" s="528"/>
      <c r="NMT2" s="528"/>
      <c r="NMU2" s="528"/>
      <c r="NMV2" s="528"/>
      <c r="NMW2" s="528"/>
      <c r="NMX2" s="528"/>
      <c r="NMY2" s="528"/>
      <c r="NMZ2" s="528"/>
      <c r="NNA2" s="528"/>
      <c r="NNB2" s="528"/>
      <c r="NNC2" s="528"/>
      <c r="NND2" s="528"/>
      <c r="NNE2" s="528"/>
      <c r="NNF2" s="528"/>
      <c r="NNG2" s="528"/>
      <c r="NNH2" s="528"/>
      <c r="NNI2" s="528"/>
      <c r="NNJ2" s="528"/>
      <c r="NNK2" s="528"/>
      <c r="NNL2" s="528"/>
      <c r="NNM2" s="528"/>
      <c r="NNN2" s="528"/>
      <c r="NNO2" s="528"/>
      <c r="NNP2" s="528"/>
      <c r="NNQ2" s="528"/>
      <c r="NNR2" s="528"/>
      <c r="NNS2" s="528"/>
      <c r="NNT2" s="528"/>
      <c r="NNU2" s="528"/>
      <c r="NNV2" s="528"/>
      <c r="NNW2" s="528"/>
      <c r="NNX2" s="528"/>
      <c r="NNY2" s="528"/>
      <c r="NNZ2" s="528"/>
      <c r="NOA2" s="528"/>
      <c r="NOB2" s="528"/>
      <c r="NOC2" s="528"/>
      <c r="NOD2" s="528"/>
      <c r="NOE2" s="528"/>
      <c r="NOF2" s="528"/>
      <c r="NOG2" s="528"/>
      <c r="NOH2" s="528"/>
      <c r="NOI2" s="528"/>
      <c r="NOJ2" s="528"/>
      <c r="NOK2" s="528"/>
      <c r="NOL2" s="528"/>
      <c r="NOM2" s="528"/>
      <c r="NON2" s="528"/>
      <c r="NOO2" s="528"/>
      <c r="NOP2" s="528"/>
      <c r="NOQ2" s="528"/>
      <c r="NOR2" s="528"/>
      <c r="NOS2" s="528"/>
      <c r="NOT2" s="528"/>
      <c r="NOU2" s="528"/>
      <c r="NOV2" s="528"/>
      <c r="NOW2" s="528"/>
      <c r="NOX2" s="528"/>
      <c r="NOY2" s="528"/>
      <c r="NOZ2" s="528"/>
      <c r="NPA2" s="528"/>
      <c r="NPB2" s="528"/>
      <c r="NPC2" s="528"/>
      <c r="NPD2" s="528"/>
      <c r="NPE2" s="528"/>
      <c r="NPF2" s="528"/>
      <c r="NPG2" s="528"/>
      <c r="NPH2" s="528"/>
      <c r="NPI2" s="528"/>
      <c r="NPJ2" s="528"/>
      <c r="NPK2" s="528"/>
      <c r="NPL2" s="528"/>
      <c r="NPM2" s="528"/>
      <c r="NPN2" s="528"/>
      <c r="NPO2" s="528"/>
      <c r="NPP2" s="528"/>
      <c r="NPQ2" s="528"/>
      <c r="NPR2" s="528"/>
      <c r="NPS2" s="528"/>
      <c r="NPT2" s="528"/>
      <c r="NPU2" s="528"/>
      <c r="NPV2" s="528"/>
      <c r="NPW2" s="528"/>
      <c r="NPX2" s="528"/>
      <c r="NPY2" s="528"/>
      <c r="NPZ2" s="528"/>
      <c r="NQA2" s="528"/>
      <c r="NQB2" s="528"/>
      <c r="NQC2" s="528"/>
      <c r="NQD2" s="528"/>
      <c r="NQE2" s="528"/>
      <c r="NQF2" s="528"/>
      <c r="NQG2" s="528"/>
      <c r="NQH2" s="528"/>
      <c r="NQI2" s="528"/>
      <c r="NQJ2" s="528"/>
      <c r="NQK2" s="528"/>
      <c r="NQL2" s="528"/>
      <c r="NQM2" s="528"/>
      <c r="NQN2" s="528"/>
      <c r="NQO2" s="528"/>
      <c r="NQP2" s="528"/>
      <c r="NQQ2" s="528"/>
      <c r="NQR2" s="528"/>
      <c r="NQS2" s="528"/>
      <c r="NQT2" s="528"/>
      <c r="NQU2" s="528"/>
      <c r="NQV2" s="528"/>
      <c r="NQW2" s="528"/>
      <c r="NQX2" s="528"/>
      <c r="NQY2" s="528"/>
      <c r="NQZ2" s="528"/>
      <c r="NRA2" s="528"/>
      <c r="NRB2" s="528"/>
      <c r="NRC2" s="528"/>
      <c r="NRD2" s="528"/>
      <c r="NRE2" s="528"/>
      <c r="NRF2" s="528"/>
      <c r="NRG2" s="528"/>
      <c r="NRH2" s="528"/>
      <c r="NRI2" s="528"/>
      <c r="NRJ2" s="528"/>
      <c r="NRK2" s="528"/>
      <c r="NRL2" s="528"/>
      <c r="NRM2" s="528"/>
      <c r="NRN2" s="528"/>
      <c r="NRO2" s="528"/>
      <c r="NRP2" s="528"/>
      <c r="NRQ2" s="528"/>
      <c r="NRR2" s="528"/>
      <c r="NRS2" s="528"/>
      <c r="NRT2" s="528"/>
      <c r="NRU2" s="528"/>
      <c r="NRV2" s="528"/>
      <c r="NRW2" s="528"/>
      <c r="NRX2" s="528"/>
      <c r="NRY2" s="528"/>
      <c r="NRZ2" s="528"/>
      <c r="NSA2" s="528"/>
      <c r="NSB2" s="528"/>
      <c r="NSC2" s="528"/>
      <c r="NSD2" s="528"/>
      <c r="NSE2" s="528"/>
      <c r="NSF2" s="528"/>
      <c r="NSG2" s="528"/>
      <c r="NSH2" s="528"/>
      <c r="NSI2" s="528"/>
      <c r="NSJ2" s="528"/>
      <c r="NSK2" s="528"/>
      <c r="NSL2" s="528"/>
      <c r="NSM2" s="528"/>
      <c r="NSN2" s="528"/>
      <c r="NSO2" s="528"/>
      <c r="NSP2" s="528"/>
      <c r="NSQ2" s="528"/>
      <c r="NSR2" s="528"/>
      <c r="NSS2" s="528"/>
      <c r="NST2" s="528"/>
      <c r="NSU2" s="528"/>
      <c r="NSV2" s="528"/>
      <c r="NSW2" s="528"/>
      <c r="NSX2" s="528"/>
      <c r="NSY2" s="528"/>
      <c r="NSZ2" s="528"/>
      <c r="NTA2" s="528"/>
      <c r="NTB2" s="528"/>
      <c r="NTC2" s="528"/>
      <c r="NTD2" s="528"/>
      <c r="NTE2" s="528"/>
      <c r="NTF2" s="528"/>
      <c r="NTG2" s="528"/>
      <c r="NTH2" s="528"/>
      <c r="NTI2" s="528"/>
      <c r="NTJ2" s="528"/>
      <c r="NTK2" s="528"/>
      <c r="NTL2" s="528"/>
      <c r="NTM2" s="528"/>
      <c r="NTN2" s="528"/>
      <c r="NTO2" s="528"/>
      <c r="NTP2" s="528"/>
      <c r="NTQ2" s="528"/>
      <c r="NTR2" s="528"/>
      <c r="NTS2" s="528"/>
      <c r="NTT2" s="528"/>
      <c r="NTU2" s="528"/>
      <c r="NTV2" s="528"/>
      <c r="NTW2" s="528"/>
      <c r="NTX2" s="528"/>
      <c r="NTY2" s="528"/>
      <c r="NTZ2" s="528"/>
      <c r="NUA2" s="528"/>
      <c r="NUB2" s="528"/>
      <c r="NUC2" s="528"/>
      <c r="NUD2" s="528"/>
      <c r="NUE2" s="528"/>
      <c r="NUF2" s="528"/>
      <c r="NUG2" s="528"/>
      <c r="NUH2" s="528"/>
      <c r="NUI2" s="528"/>
      <c r="NUJ2" s="528"/>
      <c r="NUK2" s="528"/>
      <c r="NUL2" s="528"/>
      <c r="NUM2" s="528"/>
      <c r="NUN2" s="528"/>
      <c r="NUO2" s="528"/>
      <c r="NUP2" s="528"/>
      <c r="NUQ2" s="528"/>
      <c r="NUR2" s="528"/>
      <c r="NUS2" s="528"/>
      <c r="NUT2" s="528"/>
      <c r="NUU2" s="528"/>
      <c r="NUV2" s="528"/>
      <c r="NUW2" s="528"/>
      <c r="NUX2" s="528"/>
      <c r="NUY2" s="528"/>
      <c r="NUZ2" s="528"/>
      <c r="NVA2" s="528"/>
      <c r="NVB2" s="528"/>
      <c r="NVC2" s="528"/>
      <c r="NVD2" s="528"/>
      <c r="NVE2" s="528"/>
      <c r="NVF2" s="528"/>
      <c r="NVG2" s="528"/>
      <c r="NVH2" s="528"/>
      <c r="NVI2" s="528"/>
      <c r="NVJ2" s="528"/>
      <c r="NVK2" s="528"/>
      <c r="NVL2" s="528"/>
      <c r="NVM2" s="528"/>
      <c r="NVN2" s="528"/>
      <c r="NVO2" s="528"/>
      <c r="NVP2" s="528"/>
      <c r="NVQ2" s="528"/>
      <c r="NVR2" s="528"/>
      <c r="NVS2" s="528"/>
      <c r="NVT2" s="528"/>
      <c r="NVU2" s="528"/>
      <c r="NVV2" s="528"/>
      <c r="NVW2" s="528"/>
      <c r="NVX2" s="528"/>
      <c r="NVY2" s="528"/>
      <c r="NVZ2" s="528"/>
      <c r="NWA2" s="528"/>
      <c r="NWB2" s="528"/>
      <c r="NWC2" s="528"/>
      <c r="NWD2" s="528"/>
      <c r="NWE2" s="528"/>
      <c r="NWF2" s="528"/>
      <c r="NWG2" s="528"/>
      <c r="NWH2" s="528"/>
      <c r="NWI2" s="528"/>
      <c r="NWJ2" s="528"/>
      <c r="NWK2" s="528"/>
      <c r="NWL2" s="528"/>
      <c r="NWM2" s="528"/>
      <c r="NWN2" s="528"/>
      <c r="NWO2" s="528"/>
      <c r="NWP2" s="528"/>
      <c r="NWQ2" s="528"/>
      <c r="NWR2" s="528"/>
      <c r="NWS2" s="528"/>
      <c r="NWT2" s="528"/>
      <c r="NWU2" s="528"/>
      <c r="NWV2" s="528"/>
      <c r="NWW2" s="528"/>
      <c r="NWX2" s="528"/>
      <c r="NWY2" s="528"/>
      <c r="NWZ2" s="528"/>
      <c r="NXA2" s="528"/>
      <c r="NXB2" s="528"/>
      <c r="NXC2" s="528"/>
      <c r="NXD2" s="528"/>
      <c r="NXE2" s="528"/>
      <c r="NXF2" s="528"/>
      <c r="NXG2" s="528"/>
      <c r="NXH2" s="528"/>
      <c r="NXI2" s="528"/>
      <c r="NXJ2" s="528"/>
      <c r="NXK2" s="528"/>
      <c r="NXL2" s="528"/>
      <c r="NXM2" s="528"/>
      <c r="NXN2" s="528"/>
      <c r="NXO2" s="528"/>
      <c r="NXP2" s="528"/>
      <c r="NXQ2" s="528"/>
      <c r="NXR2" s="528"/>
      <c r="NXS2" s="528"/>
      <c r="NXT2" s="528"/>
      <c r="NXU2" s="528"/>
      <c r="NXV2" s="528"/>
      <c r="NXW2" s="528"/>
      <c r="NXX2" s="528"/>
      <c r="NXY2" s="528"/>
      <c r="NXZ2" s="528"/>
      <c r="NYA2" s="528"/>
      <c r="NYB2" s="528"/>
      <c r="NYC2" s="528"/>
      <c r="NYD2" s="528"/>
      <c r="NYE2" s="528"/>
      <c r="NYF2" s="528"/>
      <c r="NYG2" s="528"/>
      <c r="NYH2" s="528"/>
      <c r="NYI2" s="528"/>
      <c r="NYJ2" s="528"/>
      <c r="NYK2" s="528"/>
      <c r="NYL2" s="528"/>
      <c r="NYM2" s="528"/>
      <c r="NYN2" s="528"/>
      <c r="NYO2" s="528"/>
      <c r="NYP2" s="528"/>
      <c r="NYQ2" s="528"/>
      <c r="NYR2" s="528"/>
      <c r="NYS2" s="528"/>
      <c r="NYT2" s="528"/>
      <c r="NYU2" s="528"/>
      <c r="NYV2" s="528"/>
      <c r="NYW2" s="528"/>
      <c r="NYX2" s="528"/>
      <c r="NYY2" s="528"/>
      <c r="NYZ2" s="528"/>
      <c r="NZA2" s="528"/>
      <c r="NZB2" s="528"/>
      <c r="NZC2" s="528"/>
      <c r="NZD2" s="528"/>
      <c r="NZE2" s="528"/>
      <c r="NZF2" s="528"/>
      <c r="NZG2" s="528"/>
      <c r="NZH2" s="528"/>
      <c r="NZI2" s="528"/>
      <c r="NZJ2" s="528"/>
      <c r="NZK2" s="528"/>
      <c r="NZL2" s="528"/>
      <c r="NZM2" s="528"/>
      <c r="NZN2" s="528"/>
      <c r="NZO2" s="528"/>
      <c r="NZP2" s="528"/>
      <c r="NZQ2" s="528"/>
      <c r="NZR2" s="528"/>
      <c r="NZS2" s="528"/>
      <c r="NZT2" s="528"/>
      <c r="NZU2" s="528"/>
      <c r="NZV2" s="528"/>
      <c r="NZW2" s="528"/>
      <c r="NZX2" s="528"/>
      <c r="NZY2" s="528"/>
      <c r="NZZ2" s="528"/>
      <c r="OAA2" s="528"/>
      <c r="OAB2" s="528"/>
      <c r="OAC2" s="528"/>
      <c r="OAD2" s="528"/>
      <c r="OAE2" s="528"/>
      <c r="OAF2" s="528"/>
      <c r="OAG2" s="528"/>
      <c r="OAH2" s="528"/>
      <c r="OAI2" s="528"/>
      <c r="OAJ2" s="528"/>
      <c r="OAK2" s="528"/>
      <c r="OAL2" s="528"/>
      <c r="OAM2" s="528"/>
      <c r="OAN2" s="528"/>
      <c r="OAO2" s="528"/>
      <c r="OAP2" s="528"/>
      <c r="OAQ2" s="528"/>
      <c r="OAR2" s="528"/>
      <c r="OAS2" s="528"/>
      <c r="OAT2" s="528"/>
      <c r="OAU2" s="528"/>
      <c r="OAV2" s="528"/>
      <c r="OAW2" s="528"/>
      <c r="OAX2" s="528"/>
      <c r="OAY2" s="528"/>
      <c r="OAZ2" s="528"/>
      <c r="OBA2" s="528"/>
      <c r="OBB2" s="528"/>
      <c r="OBC2" s="528"/>
      <c r="OBD2" s="528"/>
      <c r="OBE2" s="528"/>
      <c r="OBF2" s="528"/>
      <c r="OBG2" s="528"/>
      <c r="OBH2" s="528"/>
      <c r="OBI2" s="528"/>
      <c r="OBJ2" s="528"/>
      <c r="OBK2" s="528"/>
      <c r="OBL2" s="528"/>
      <c r="OBM2" s="528"/>
      <c r="OBN2" s="528"/>
      <c r="OBO2" s="528"/>
      <c r="OBP2" s="528"/>
      <c r="OBQ2" s="528"/>
      <c r="OBR2" s="528"/>
      <c r="OBS2" s="528"/>
      <c r="OBT2" s="528"/>
      <c r="OBU2" s="528"/>
      <c r="OBV2" s="528"/>
      <c r="OBW2" s="528"/>
      <c r="OBX2" s="528"/>
      <c r="OBY2" s="528"/>
      <c r="OBZ2" s="528"/>
      <c r="OCA2" s="528"/>
      <c r="OCB2" s="528"/>
      <c r="OCC2" s="528"/>
      <c r="OCD2" s="528"/>
      <c r="OCE2" s="528"/>
      <c r="OCF2" s="528"/>
      <c r="OCG2" s="528"/>
      <c r="OCH2" s="528"/>
      <c r="OCI2" s="528"/>
      <c r="OCJ2" s="528"/>
      <c r="OCK2" s="528"/>
      <c r="OCL2" s="528"/>
      <c r="OCM2" s="528"/>
      <c r="OCN2" s="528"/>
      <c r="OCO2" s="528"/>
      <c r="OCP2" s="528"/>
      <c r="OCQ2" s="528"/>
      <c r="OCR2" s="528"/>
      <c r="OCS2" s="528"/>
      <c r="OCT2" s="528"/>
      <c r="OCU2" s="528"/>
      <c r="OCV2" s="528"/>
      <c r="OCW2" s="528"/>
      <c r="OCX2" s="528"/>
      <c r="OCY2" s="528"/>
      <c r="OCZ2" s="528"/>
      <c r="ODA2" s="528"/>
      <c r="ODB2" s="528"/>
      <c r="ODC2" s="528"/>
      <c r="ODD2" s="528"/>
      <c r="ODE2" s="528"/>
      <c r="ODF2" s="528"/>
      <c r="ODG2" s="528"/>
      <c r="ODH2" s="528"/>
      <c r="ODI2" s="528"/>
      <c r="ODJ2" s="528"/>
      <c r="ODK2" s="528"/>
      <c r="ODL2" s="528"/>
      <c r="ODM2" s="528"/>
      <c r="ODN2" s="528"/>
      <c r="ODO2" s="528"/>
      <c r="ODP2" s="528"/>
      <c r="ODQ2" s="528"/>
      <c r="ODR2" s="528"/>
      <c r="ODS2" s="528"/>
      <c r="ODT2" s="528"/>
      <c r="ODU2" s="528"/>
      <c r="ODV2" s="528"/>
      <c r="ODW2" s="528"/>
      <c r="ODX2" s="528"/>
      <c r="ODY2" s="528"/>
      <c r="ODZ2" s="528"/>
      <c r="OEA2" s="528"/>
      <c r="OEB2" s="528"/>
      <c r="OEC2" s="528"/>
      <c r="OED2" s="528"/>
      <c r="OEE2" s="528"/>
      <c r="OEF2" s="528"/>
      <c r="OEG2" s="528"/>
      <c r="OEH2" s="528"/>
      <c r="OEI2" s="528"/>
      <c r="OEJ2" s="528"/>
      <c r="OEK2" s="528"/>
      <c r="OEL2" s="528"/>
      <c r="OEM2" s="528"/>
      <c r="OEN2" s="528"/>
      <c r="OEO2" s="528"/>
      <c r="OEP2" s="528"/>
      <c r="OEQ2" s="528"/>
      <c r="OER2" s="528"/>
      <c r="OES2" s="528"/>
      <c r="OET2" s="528"/>
      <c r="OEU2" s="528"/>
      <c r="OEV2" s="528"/>
      <c r="OEW2" s="528"/>
      <c r="OEX2" s="528"/>
      <c r="OEY2" s="528"/>
      <c r="OEZ2" s="528"/>
      <c r="OFA2" s="528"/>
      <c r="OFB2" s="528"/>
      <c r="OFC2" s="528"/>
      <c r="OFD2" s="528"/>
      <c r="OFE2" s="528"/>
      <c r="OFF2" s="528"/>
      <c r="OFG2" s="528"/>
      <c r="OFH2" s="528"/>
      <c r="OFI2" s="528"/>
      <c r="OFJ2" s="528"/>
      <c r="OFK2" s="528"/>
      <c r="OFL2" s="528"/>
      <c r="OFM2" s="528"/>
      <c r="OFN2" s="528"/>
      <c r="OFO2" s="528"/>
      <c r="OFP2" s="528"/>
      <c r="OFQ2" s="528"/>
      <c r="OFR2" s="528"/>
      <c r="OFS2" s="528"/>
      <c r="OFT2" s="528"/>
      <c r="OFU2" s="528"/>
      <c r="OFV2" s="528"/>
      <c r="OFW2" s="528"/>
      <c r="OFX2" s="528"/>
      <c r="OFY2" s="528"/>
      <c r="OFZ2" s="528"/>
      <c r="OGA2" s="528"/>
      <c r="OGB2" s="528"/>
      <c r="OGC2" s="528"/>
      <c r="OGD2" s="528"/>
      <c r="OGE2" s="528"/>
      <c r="OGF2" s="528"/>
      <c r="OGG2" s="528"/>
      <c r="OGH2" s="528"/>
      <c r="OGI2" s="528"/>
      <c r="OGJ2" s="528"/>
      <c r="OGK2" s="528"/>
      <c r="OGL2" s="528"/>
      <c r="OGM2" s="528"/>
      <c r="OGN2" s="528"/>
      <c r="OGO2" s="528"/>
      <c r="OGP2" s="528"/>
      <c r="OGQ2" s="528"/>
      <c r="OGR2" s="528"/>
      <c r="OGS2" s="528"/>
      <c r="OGT2" s="528"/>
      <c r="OGU2" s="528"/>
      <c r="OGV2" s="528"/>
      <c r="OGW2" s="528"/>
      <c r="OGX2" s="528"/>
      <c r="OGY2" s="528"/>
      <c r="OGZ2" s="528"/>
      <c r="OHA2" s="528"/>
      <c r="OHB2" s="528"/>
      <c r="OHC2" s="528"/>
      <c r="OHD2" s="528"/>
      <c r="OHE2" s="528"/>
      <c r="OHF2" s="528"/>
      <c r="OHG2" s="528"/>
      <c r="OHH2" s="528"/>
      <c r="OHI2" s="528"/>
      <c r="OHJ2" s="528"/>
      <c r="OHK2" s="528"/>
      <c r="OHL2" s="528"/>
      <c r="OHM2" s="528"/>
      <c r="OHN2" s="528"/>
      <c r="OHO2" s="528"/>
      <c r="OHP2" s="528"/>
      <c r="OHQ2" s="528"/>
      <c r="OHR2" s="528"/>
      <c r="OHS2" s="528"/>
      <c r="OHT2" s="528"/>
      <c r="OHU2" s="528"/>
      <c r="OHV2" s="528"/>
      <c r="OHW2" s="528"/>
      <c r="OHX2" s="528"/>
      <c r="OHY2" s="528"/>
      <c r="OHZ2" s="528"/>
      <c r="OIA2" s="528"/>
      <c r="OIB2" s="528"/>
      <c r="OIC2" s="528"/>
      <c r="OID2" s="528"/>
      <c r="OIE2" s="528"/>
      <c r="OIF2" s="528"/>
      <c r="OIG2" s="528"/>
      <c r="OIH2" s="528"/>
      <c r="OII2" s="528"/>
      <c r="OIJ2" s="528"/>
      <c r="OIK2" s="528"/>
      <c r="OIL2" s="528"/>
      <c r="OIM2" s="528"/>
      <c r="OIN2" s="528"/>
      <c r="OIO2" s="528"/>
      <c r="OIP2" s="528"/>
      <c r="OIQ2" s="528"/>
      <c r="OIR2" s="528"/>
      <c r="OIS2" s="528"/>
      <c r="OIT2" s="528"/>
      <c r="OIU2" s="528"/>
      <c r="OIV2" s="528"/>
      <c r="OIW2" s="528"/>
      <c r="OIX2" s="528"/>
      <c r="OIY2" s="528"/>
      <c r="OIZ2" s="528"/>
      <c r="OJA2" s="528"/>
      <c r="OJB2" s="528"/>
      <c r="OJC2" s="528"/>
      <c r="OJD2" s="528"/>
      <c r="OJE2" s="528"/>
      <c r="OJF2" s="528"/>
      <c r="OJG2" s="528"/>
      <c r="OJH2" s="528"/>
      <c r="OJI2" s="528"/>
      <c r="OJJ2" s="528"/>
      <c r="OJK2" s="528"/>
      <c r="OJL2" s="528"/>
      <c r="OJM2" s="528"/>
      <c r="OJN2" s="528"/>
      <c r="OJO2" s="528"/>
      <c r="OJP2" s="528"/>
      <c r="OJQ2" s="528"/>
      <c r="OJR2" s="528"/>
      <c r="OJS2" s="528"/>
      <c r="OJT2" s="528"/>
      <c r="OJU2" s="528"/>
      <c r="OJV2" s="528"/>
      <c r="OJW2" s="528"/>
      <c r="OJX2" s="528"/>
      <c r="OJY2" s="528"/>
      <c r="OJZ2" s="528"/>
      <c r="OKA2" s="528"/>
      <c r="OKB2" s="528"/>
      <c r="OKC2" s="528"/>
      <c r="OKD2" s="528"/>
      <c r="OKE2" s="528"/>
      <c r="OKF2" s="528"/>
      <c r="OKG2" s="528"/>
      <c r="OKH2" s="528"/>
      <c r="OKI2" s="528"/>
      <c r="OKJ2" s="528"/>
      <c r="OKK2" s="528"/>
      <c r="OKL2" s="528"/>
      <c r="OKM2" s="528"/>
      <c r="OKN2" s="528"/>
      <c r="OKO2" s="528"/>
      <c r="OKP2" s="528"/>
      <c r="OKQ2" s="528"/>
      <c r="OKR2" s="528"/>
      <c r="OKS2" s="528"/>
      <c r="OKT2" s="528"/>
      <c r="OKU2" s="528"/>
      <c r="OKV2" s="528"/>
      <c r="OKW2" s="528"/>
      <c r="OKX2" s="528"/>
      <c r="OKY2" s="528"/>
      <c r="OKZ2" s="528"/>
      <c r="OLA2" s="528"/>
      <c r="OLB2" s="528"/>
      <c r="OLC2" s="528"/>
      <c r="OLD2" s="528"/>
      <c r="OLE2" s="528"/>
      <c r="OLF2" s="528"/>
      <c r="OLG2" s="528"/>
      <c r="OLH2" s="528"/>
      <c r="OLI2" s="528"/>
      <c r="OLJ2" s="528"/>
      <c r="OLK2" s="528"/>
      <c r="OLL2" s="528"/>
      <c r="OLM2" s="528"/>
      <c r="OLN2" s="528"/>
      <c r="OLO2" s="528"/>
      <c r="OLP2" s="528"/>
      <c r="OLQ2" s="528"/>
      <c r="OLR2" s="528"/>
      <c r="OLS2" s="528"/>
      <c r="OLT2" s="528"/>
      <c r="OLU2" s="528"/>
      <c r="OLV2" s="528"/>
      <c r="OLW2" s="528"/>
      <c r="OLX2" s="528"/>
      <c r="OLY2" s="528"/>
      <c r="OLZ2" s="528"/>
      <c r="OMA2" s="528"/>
      <c r="OMB2" s="528"/>
      <c r="OMC2" s="528"/>
      <c r="OMD2" s="528"/>
      <c r="OME2" s="528"/>
      <c r="OMF2" s="528"/>
      <c r="OMG2" s="528"/>
      <c r="OMH2" s="528"/>
      <c r="OMI2" s="528"/>
      <c r="OMJ2" s="528"/>
      <c r="OMK2" s="528"/>
      <c r="OML2" s="528"/>
      <c r="OMM2" s="528"/>
      <c r="OMN2" s="528"/>
      <c r="OMO2" s="528"/>
      <c r="OMP2" s="528"/>
      <c r="OMQ2" s="528"/>
      <c r="OMR2" s="528"/>
      <c r="OMS2" s="528"/>
      <c r="OMT2" s="528"/>
      <c r="OMU2" s="528"/>
      <c r="OMV2" s="528"/>
      <c r="OMW2" s="528"/>
      <c r="OMX2" s="528"/>
      <c r="OMY2" s="528"/>
      <c r="OMZ2" s="528"/>
      <c r="ONA2" s="528"/>
      <c r="ONB2" s="528"/>
      <c r="ONC2" s="528"/>
      <c r="OND2" s="528"/>
      <c r="ONE2" s="528"/>
      <c r="ONF2" s="528"/>
      <c r="ONG2" s="528"/>
      <c r="ONH2" s="528"/>
      <c r="ONI2" s="528"/>
      <c r="ONJ2" s="528"/>
      <c r="ONK2" s="528"/>
      <c r="ONL2" s="528"/>
      <c r="ONM2" s="528"/>
      <c r="ONN2" s="528"/>
      <c r="ONO2" s="528"/>
      <c r="ONP2" s="528"/>
      <c r="ONQ2" s="528"/>
      <c r="ONR2" s="528"/>
      <c r="ONS2" s="528"/>
      <c r="ONT2" s="528"/>
      <c r="ONU2" s="528"/>
      <c r="ONV2" s="528"/>
      <c r="ONW2" s="528"/>
      <c r="ONX2" s="528"/>
      <c r="ONY2" s="528"/>
      <c r="ONZ2" s="528"/>
      <c r="OOA2" s="528"/>
      <c r="OOB2" s="528"/>
      <c r="OOC2" s="528"/>
      <c r="OOD2" s="528"/>
      <c r="OOE2" s="528"/>
      <c r="OOF2" s="528"/>
      <c r="OOG2" s="528"/>
      <c r="OOH2" s="528"/>
      <c r="OOI2" s="528"/>
      <c r="OOJ2" s="528"/>
      <c r="OOK2" s="528"/>
      <c r="OOL2" s="528"/>
      <c r="OOM2" s="528"/>
      <c r="OON2" s="528"/>
      <c r="OOO2" s="528"/>
      <c r="OOP2" s="528"/>
      <c r="OOQ2" s="528"/>
      <c r="OOR2" s="528"/>
      <c r="OOS2" s="528"/>
      <c r="OOT2" s="528"/>
      <c r="OOU2" s="528"/>
      <c r="OOV2" s="528"/>
      <c r="OOW2" s="528"/>
      <c r="OOX2" s="528"/>
      <c r="OOY2" s="528"/>
      <c r="OOZ2" s="528"/>
      <c r="OPA2" s="528"/>
      <c r="OPB2" s="528"/>
      <c r="OPC2" s="528"/>
      <c r="OPD2" s="528"/>
      <c r="OPE2" s="528"/>
      <c r="OPF2" s="528"/>
      <c r="OPG2" s="528"/>
      <c r="OPH2" s="528"/>
      <c r="OPI2" s="528"/>
      <c r="OPJ2" s="528"/>
      <c r="OPK2" s="528"/>
      <c r="OPL2" s="528"/>
      <c r="OPM2" s="528"/>
      <c r="OPN2" s="528"/>
      <c r="OPO2" s="528"/>
      <c r="OPP2" s="528"/>
      <c r="OPQ2" s="528"/>
      <c r="OPR2" s="528"/>
      <c r="OPS2" s="528"/>
      <c r="OPT2" s="528"/>
      <c r="OPU2" s="528"/>
      <c r="OPV2" s="528"/>
      <c r="OPW2" s="528"/>
      <c r="OPX2" s="528"/>
      <c r="OPY2" s="528"/>
      <c r="OPZ2" s="528"/>
      <c r="OQA2" s="528"/>
      <c r="OQB2" s="528"/>
      <c r="OQC2" s="528"/>
      <c r="OQD2" s="528"/>
      <c r="OQE2" s="528"/>
      <c r="OQF2" s="528"/>
      <c r="OQG2" s="528"/>
      <c r="OQH2" s="528"/>
      <c r="OQI2" s="528"/>
      <c r="OQJ2" s="528"/>
      <c r="OQK2" s="528"/>
      <c r="OQL2" s="528"/>
      <c r="OQM2" s="528"/>
      <c r="OQN2" s="528"/>
      <c r="OQO2" s="528"/>
      <c r="OQP2" s="528"/>
      <c r="OQQ2" s="528"/>
      <c r="OQR2" s="528"/>
      <c r="OQS2" s="528"/>
      <c r="OQT2" s="528"/>
      <c r="OQU2" s="528"/>
      <c r="OQV2" s="528"/>
      <c r="OQW2" s="528"/>
      <c r="OQX2" s="528"/>
      <c r="OQY2" s="528"/>
      <c r="OQZ2" s="528"/>
      <c r="ORA2" s="528"/>
      <c r="ORB2" s="528"/>
      <c r="ORC2" s="528"/>
      <c r="ORD2" s="528"/>
      <c r="ORE2" s="528"/>
      <c r="ORF2" s="528"/>
      <c r="ORG2" s="528"/>
      <c r="ORH2" s="528"/>
      <c r="ORI2" s="528"/>
      <c r="ORJ2" s="528"/>
      <c r="ORK2" s="528"/>
      <c r="ORL2" s="528"/>
      <c r="ORM2" s="528"/>
      <c r="ORN2" s="528"/>
      <c r="ORO2" s="528"/>
      <c r="ORP2" s="528"/>
      <c r="ORQ2" s="528"/>
      <c r="ORR2" s="528"/>
      <c r="ORS2" s="528"/>
      <c r="ORT2" s="528"/>
      <c r="ORU2" s="528"/>
      <c r="ORV2" s="528"/>
      <c r="ORW2" s="528"/>
      <c r="ORX2" s="528"/>
      <c r="ORY2" s="528"/>
      <c r="ORZ2" s="528"/>
      <c r="OSA2" s="528"/>
      <c r="OSB2" s="528"/>
      <c r="OSC2" s="528"/>
      <c r="OSD2" s="528"/>
      <c r="OSE2" s="528"/>
      <c r="OSF2" s="528"/>
      <c r="OSG2" s="528"/>
      <c r="OSH2" s="528"/>
      <c r="OSI2" s="528"/>
      <c r="OSJ2" s="528"/>
      <c r="OSK2" s="528"/>
      <c r="OSL2" s="528"/>
      <c r="OSM2" s="528"/>
      <c r="OSN2" s="528"/>
      <c r="OSO2" s="528"/>
      <c r="OSP2" s="528"/>
      <c r="OSQ2" s="528"/>
      <c r="OSR2" s="528"/>
      <c r="OSS2" s="528"/>
      <c r="OST2" s="528"/>
      <c r="OSU2" s="528"/>
      <c r="OSV2" s="528"/>
      <c r="OSW2" s="528"/>
      <c r="OSX2" s="528"/>
      <c r="OSY2" s="528"/>
      <c r="OSZ2" s="528"/>
      <c r="OTA2" s="528"/>
      <c r="OTB2" s="528"/>
      <c r="OTC2" s="528"/>
      <c r="OTD2" s="528"/>
      <c r="OTE2" s="528"/>
      <c r="OTF2" s="528"/>
      <c r="OTG2" s="528"/>
      <c r="OTH2" s="528"/>
      <c r="OTI2" s="528"/>
      <c r="OTJ2" s="528"/>
      <c r="OTK2" s="528"/>
      <c r="OTL2" s="528"/>
      <c r="OTM2" s="528"/>
      <c r="OTN2" s="528"/>
      <c r="OTO2" s="528"/>
      <c r="OTP2" s="528"/>
      <c r="OTQ2" s="528"/>
      <c r="OTR2" s="528"/>
      <c r="OTS2" s="528"/>
      <c r="OTT2" s="528"/>
      <c r="OTU2" s="528"/>
      <c r="OTV2" s="528"/>
      <c r="OTW2" s="528"/>
      <c r="OTX2" s="528"/>
      <c r="OTY2" s="528"/>
      <c r="OTZ2" s="528"/>
      <c r="OUA2" s="528"/>
      <c r="OUB2" s="528"/>
      <c r="OUC2" s="528"/>
      <c r="OUD2" s="528"/>
      <c r="OUE2" s="528"/>
      <c r="OUF2" s="528"/>
      <c r="OUG2" s="528"/>
      <c r="OUH2" s="528"/>
      <c r="OUI2" s="528"/>
      <c r="OUJ2" s="528"/>
      <c r="OUK2" s="528"/>
      <c r="OUL2" s="528"/>
      <c r="OUM2" s="528"/>
      <c r="OUN2" s="528"/>
      <c r="OUO2" s="528"/>
      <c r="OUP2" s="528"/>
      <c r="OUQ2" s="528"/>
      <c r="OUR2" s="528"/>
      <c r="OUS2" s="528"/>
      <c r="OUT2" s="528"/>
      <c r="OUU2" s="528"/>
      <c r="OUV2" s="528"/>
      <c r="OUW2" s="528"/>
      <c r="OUX2" s="528"/>
      <c r="OUY2" s="528"/>
      <c r="OUZ2" s="528"/>
      <c r="OVA2" s="528"/>
      <c r="OVB2" s="528"/>
      <c r="OVC2" s="528"/>
      <c r="OVD2" s="528"/>
      <c r="OVE2" s="528"/>
      <c r="OVF2" s="528"/>
      <c r="OVG2" s="528"/>
      <c r="OVH2" s="528"/>
      <c r="OVI2" s="528"/>
      <c r="OVJ2" s="528"/>
      <c r="OVK2" s="528"/>
      <c r="OVL2" s="528"/>
      <c r="OVM2" s="528"/>
      <c r="OVN2" s="528"/>
      <c r="OVO2" s="528"/>
      <c r="OVP2" s="528"/>
      <c r="OVQ2" s="528"/>
      <c r="OVR2" s="528"/>
      <c r="OVS2" s="528"/>
      <c r="OVT2" s="528"/>
      <c r="OVU2" s="528"/>
      <c r="OVV2" s="528"/>
      <c r="OVW2" s="528"/>
      <c r="OVX2" s="528"/>
      <c r="OVY2" s="528"/>
      <c r="OVZ2" s="528"/>
      <c r="OWA2" s="528"/>
      <c r="OWB2" s="528"/>
      <c r="OWC2" s="528"/>
      <c r="OWD2" s="528"/>
      <c r="OWE2" s="528"/>
      <c r="OWF2" s="528"/>
      <c r="OWG2" s="528"/>
      <c r="OWH2" s="528"/>
      <c r="OWI2" s="528"/>
      <c r="OWJ2" s="528"/>
      <c r="OWK2" s="528"/>
      <c r="OWL2" s="528"/>
      <c r="OWM2" s="528"/>
      <c r="OWN2" s="528"/>
      <c r="OWO2" s="528"/>
      <c r="OWP2" s="528"/>
      <c r="OWQ2" s="528"/>
      <c r="OWR2" s="528"/>
      <c r="OWS2" s="528"/>
      <c r="OWT2" s="528"/>
      <c r="OWU2" s="528"/>
      <c r="OWV2" s="528"/>
      <c r="OWW2" s="528"/>
      <c r="OWX2" s="528"/>
      <c r="OWY2" s="528"/>
      <c r="OWZ2" s="528"/>
      <c r="OXA2" s="528"/>
      <c r="OXB2" s="528"/>
      <c r="OXC2" s="528"/>
      <c r="OXD2" s="528"/>
      <c r="OXE2" s="528"/>
      <c r="OXF2" s="528"/>
      <c r="OXG2" s="528"/>
      <c r="OXH2" s="528"/>
      <c r="OXI2" s="528"/>
      <c r="OXJ2" s="528"/>
      <c r="OXK2" s="528"/>
      <c r="OXL2" s="528"/>
      <c r="OXM2" s="528"/>
      <c r="OXN2" s="528"/>
      <c r="OXO2" s="528"/>
      <c r="OXP2" s="528"/>
      <c r="OXQ2" s="528"/>
      <c r="OXR2" s="528"/>
      <c r="OXS2" s="528"/>
      <c r="OXT2" s="528"/>
      <c r="OXU2" s="528"/>
      <c r="OXV2" s="528"/>
      <c r="OXW2" s="528"/>
      <c r="OXX2" s="528"/>
      <c r="OXY2" s="528"/>
      <c r="OXZ2" s="528"/>
      <c r="OYA2" s="528"/>
      <c r="OYB2" s="528"/>
      <c r="OYC2" s="528"/>
      <c r="OYD2" s="528"/>
      <c r="OYE2" s="528"/>
      <c r="OYF2" s="528"/>
      <c r="OYG2" s="528"/>
      <c r="OYH2" s="528"/>
      <c r="OYI2" s="528"/>
      <c r="OYJ2" s="528"/>
      <c r="OYK2" s="528"/>
      <c r="OYL2" s="528"/>
      <c r="OYM2" s="528"/>
      <c r="OYN2" s="528"/>
      <c r="OYO2" s="528"/>
      <c r="OYP2" s="528"/>
      <c r="OYQ2" s="528"/>
      <c r="OYR2" s="528"/>
      <c r="OYS2" s="528"/>
      <c r="OYT2" s="528"/>
      <c r="OYU2" s="528"/>
      <c r="OYV2" s="528"/>
      <c r="OYW2" s="528"/>
      <c r="OYX2" s="528"/>
      <c r="OYY2" s="528"/>
      <c r="OYZ2" s="528"/>
      <c r="OZA2" s="528"/>
      <c r="OZB2" s="528"/>
      <c r="OZC2" s="528"/>
      <c r="OZD2" s="528"/>
      <c r="OZE2" s="528"/>
      <c r="OZF2" s="528"/>
      <c r="OZG2" s="528"/>
      <c r="OZH2" s="528"/>
      <c r="OZI2" s="528"/>
      <c r="OZJ2" s="528"/>
      <c r="OZK2" s="528"/>
      <c r="OZL2" s="528"/>
      <c r="OZM2" s="528"/>
      <c r="OZN2" s="528"/>
      <c r="OZO2" s="528"/>
      <c r="OZP2" s="528"/>
      <c r="OZQ2" s="528"/>
      <c r="OZR2" s="528"/>
      <c r="OZS2" s="528"/>
      <c r="OZT2" s="528"/>
      <c r="OZU2" s="528"/>
      <c r="OZV2" s="528"/>
      <c r="OZW2" s="528"/>
      <c r="OZX2" s="528"/>
      <c r="OZY2" s="528"/>
      <c r="OZZ2" s="528"/>
      <c r="PAA2" s="528"/>
      <c r="PAB2" s="528"/>
      <c r="PAC2" s="528"/>
      <c r="PAD2" s="528"/>
      <c r="PAE2" s="528"/>
      <c r="PAF2" s="528"/>
      <c r="PAG2" s="528"/>
      <c r="PAH2" s="528"/>
      <c r="PAI2" s="528"/>
      <c r="PAJ2" s="528"/>
      <c r="PAK2" s="528"/>
      <c r="PAL2" s="528"/>
      <c r="PAM2" s="528"/>
      <c r="PAN2" s="528"/>
      <c r="PAO2" s="528"/>
      <c r="PAP2" s="528"/>
      <c r="PAQ2" s="528"/>
      <c r="PAR2" s="528"/>
      <c r="PAS2" s="528"/>
      <c r="PAT2" s="528"/>
      <c r="PAU2" s="528"/>
      <c r="PAV2" s="528"/>
      <c r="PAW2" s="528"/>
      <c r="PAX2" s="528"/>
      <c r="PAY2" s="528"/>
      <c r="PAZ2" s="528"/>
      <c r="PBA2" s="528"/>
      <c r="PBB2" s="528"/>
      <c r="PBC2" s="528"/>
      <c r="PBD2" s="528"/>
      <c r="PBE2" s="528"/>
      <c r="PBF2" s="528"/>
      <c r="PBG2" s="528"/>
      <c r="PBH2" s="528"/>
      <c r="PBI2" s="528"/>
      <c r="PBJ2" s="528"/>
      <c r="PBK2" s="528"/>
      <c r="PBL2" s="528"/>
      <c r="PBM2" s="528"/>
      <c r="PBN2" s="528"/>
      <c r="PBO2" s="528"/>
      <c r="PBP2" s="528"/>
      <c r="PBQ2" s="528"/>
      <c r="PBR2" s="528"/>
      <c r="PBS2" s="528"/>
      <c r="PBT2" s="528"/>
      <c r="PBU2" s="528"/>
      <c r="PBV2" s="528"/>
      <c r="PBW2" s="528"/>
      <c r="PBX2" s="528"/>
      <c r="PBY2" s="528"/>
      <c r="PBZ2" s="528"/>
      <c r="PCA2" s="528"/>
      <c r="PCB2" s="528"/>
      <c r="PCC2" s="528"/>
      <c r="PCD2" s="528"/>
      <c r="PCE2" s="528"/>
      <c r="PCF2" s="528"/>
      <c r="PCG2" s="528"/>
      <c r="PCH2" s="528"/>
      <c r="PCI2" s="528"/>
      <c r="PCJ2" s="528"/>
      <c r="PCK2" s="528"/>
      <c r="PCL2" s="528"/>
      <c r="PCM2" s="528"/>
      <c r="PCN2" s="528"/>
      <c r="PCO2" s="528"/>
      <c r="PCP2" s="528"/>
      <c r="PCQ2" s="528"/>
      <c r="PCR2" s="528"/>
      <c r="PCS2" s="528"/>
      <c r="PCT2" s="528"/>
      <c r="PCU2" s="528"/>
      <c r="PCV2" s="528"/>
      <c r="PCW2" s="528"/>
      <c r="PCX2" s="528"/>
      <c r="PCY2" s="528"/>
      <c r="PCZ2" s="528"/>
      <c r="PDA2" s="528"/>
      <c r="PDB2" s="528"/>
      <c r="PDC2" s="528"/>
      <c r="PDD2" s="528"/>
      <c r="PDE2" s="528"/>
      <c r="PDF2" s="528"/>
      <c r="PDG2" s="528"/>
      <c r="PDH2" s="528"/>
      <c r="PDI2" s="528"/>
      <c r="PDJ2" s="528"/>
      <c r="PDK2" s="528"/>
      <c r="PDL2" s="528"/>
      <c r="PDM2" s="528"/>
      <c r="PDN2" s="528"/>
      <c r="PDO2" s="528"/>
      <c r="PDP2" s="528"/>
      <c r="PDQ2" s="528"/>
      <c r="PDR2" s="528"/>
      <c r="PDS2" s="528"/>
      <c r="PDT2" s="528"/>
      <c r="PDU2" s="528"/>
      <c r="PDV2" s="528"/>
      <c r="PDW2" s="528"/>
      <c r="PDX2" s="528"/>
      <c r="PDY2" s="528"/>
      <c r="PDZ2" s="528"/>
      <c r="PEA2" s="528"/>
      <c r="PEB2" s="528"/>
      <c r="PEC2" s="528"/>
      <c r="PED2" s="528"/>
      <c r="PEE2" s="528"/>
      <c r="PEF2" s="528"/>
      <c r="PEG2" s="528"/>
      <c r="PEH2" s="528"/>
      <c r="PEI2" s="528"/>
      <c r="PEJ2" s="528"/>
      <c r="PEK2" s="528"/>
      <c r="PEL2" s="528"/>
      <c r="PEM2" s="528"/>
      <c r="PEN2" s="528"/>
      <c r="PEO2" s="528"/>
      <c r="PEP2" s="528"/>
      <c r="PEQ2" s="528"/>
      <c r="PER2" s="528"/>
      <c r="PES2" s="528"/>
      <c r="PET2" s="528"/>
      <c r="PEU2" s="528"/>
      <c r="PEV2" s="528"/>
      <c r="PEW2" s="528"/>
      <c r="PEX2" s="528"/>
      <c r="PEY2" s="528"/>
      <c r="PEZ2" s="528"/>
      <c r="PFA2" s="528"/>
      <c r="PFB2" s="528"/>
      <c r="PFC2" s="528"/>
      <c r="PFD2" s="528"/>
      <c r="PFE2" s="528"/>
      <c r="PFF2" s="528"/>
      <c r="PFG2" s="528"/>
      <c r="PFH2" s="528"/>
      <c r="PFI2" s="528"/>
      <c r="PFJ2" s="528"/>
      <c r="PFK2" s="528"/>
      <c r="PFL2" s="528"/>
      <c r="PFM2" s="528"/>
      <c r="PFN2" s="528"/>
      <c r="PFO2" s="528"/>
      <c r="PFP2" s="528"/>
      <c r="PFQ2" s="528"/>
      <c r="PFR2" s="528"/>
      <c r="PFS2" s="528"/>
      <c r="PFT2" s="528"/>
      <c r="PFU2" s="528"/>
      <c r="PFV2" s="528"/>
      <c r="PFW2" s="528"/>
      <c r="PFX2" s="528"/>
      <c r="PFY2" s="528"/>
      <c r="PFZ2" s="528"/>
      <c r="PGA2" s="528"/>
      <c r="PGB2" s="528"/>
      <c r="PGC2" s="528"/>
      <c r="PGD2" s="528"/>
      <c r="PGE2" s="528"/>
      <c r="PGF2" s="528"/>
      <c r="PGG2" s="528"/>
      <c r="PGH2" s="528"/>
      <c r="PGI2" s="528"/>
      <c r="PGJ2" s="528"/>
      <c r="PGK2" s="528"/>
      <c r="PGL2" s="528"/>
      <c r="PGM2" s="528"/>
      <c r="PGN2" s="528"/>
      <c r="PGO2" s="528"/>
      <c r="PGP2" s="528"/>
      <c r="PGQ2" s="528"/>
      <c r="PGR2" s="528"/>
      <c r="PGS2" s="528"/>
      <c r="PGT2" s="528"/>
      <c r="PGU2" s="528"/>
      <c r="PGV2" s="528"/>
      <c r="PGW2" s="528"/>
      <c r="PGX2" s="528"/>
      <c r="PGY2" s="528"/>
      <c r="PGZ2" s="528"/>
      <c r="PHA2" s="528"/>
      <c r="PHB2" s="528"/>
      <c r="PHC2" s="528"/>
      <c r="PHD2" s="528"/>
      <c r="PHE2" s="528"/>
      <c r="PHF2" s="528"/>
      <c r="PHG2" s="528"/>
      <c r="PHH2" s="528"/>
      <c r="PHI2" s="528"/>
      <c r="PHJ2" s="528"/>
      <c r="PHK2" s="528"/>
      <c r="PHL2" s="528"/>
      <c r="PHM2" s="528"/>
      <c r="PHN2" s="528"/>
      <c r="PHO2" s="528"/>
      <c r="PHP2" s="528"/>
      <c r="PHQ2" s="528"/>
      <c r="PHR2" s="528"/>
      <c r="PHS2" s="528"/>
      <c r="PHT2" s="528"/>
      <c r="PHU2" s="528"/>
      <c r="PHV2" s="528"/>
      <c r="PHW2" s="528"/>
      <c r="PHX2" s="528"/>
      <c r="PHY2" s="528"/>
      <c r="PHZ2" s="528"/>
      <c r="PIA2" s="528"/>
      <c r="PIB2" s="528"/>
      <c r="PIC2" s="528"/>
      <c r="PID2" s="528"/>
      <c r="PIE2" s="528"/>
      <c r="PIF2" s="528"/>
      <c r="PIG2" s="528"/>
      <c r="PIH2" s="528"/>
      <c r="PII2" s="528"/>
      <c r="PIJ2" s="528"/>
      <c r="PIK2" s="528"/>
      <c r="PIL2" s="528"/>
      <c r="PIM2" s="528"/>
      <c r="PIN2" s="528"/>
      <c r="PIO2" s="528"/>
      <c r="PIP2" s="528"/>
      <c r="PIQ2" s="528"/>
      <c r="PIR2" s="528"/>
      <c r="PIS2" s="528"/>
      <c r="PIT2" s="528"/>
      <c r="PIU2" s="528"/>
      <c r="PIV2" s="528"/>
      <c r="PIW2" s="528"/>
      <c r="PIX2" s="528"/>
      <c r="PIY2" s="528"/>
      <c r="PIZ2" s="528"/>
      <c r="PJA2" s="528"/>
      <c r="PJB2" s="528"/>
      <c r="PJC2" s="528"/>
      <c r="PJD2" s="528"/>
      <c r="PJE2" s="528"/>
      <c r="PJF2" s="528"/>
      <c r="PJG2" s="528"/>
      <c r="PJH2" s="528"/>
      <c r="PJI2" s="528"/>
      <c r="PJJ2" s="528"/>
      <c r="PJK2" s="528"/>
      <c r="PJL2" s="528"/>
      <c r="PJM2" s="528"/>
      <c r="PJN2" s="528"/>
      <c r="PJO2" s="528"/>
      <c r="PJP2" s="528"/>
      <c r="PJQ2" s="528"/>
      <c r="PJR2" s="528"/>
      <c r="PJS2" s="528"/>
      <c r="PJT2" s="528"/>
      <c r="PJU2" s="528"/>
      <c r="PJV2" s="528"/>
      <c r="PJW2" s="528"/>
      <c r="PJX2" s="528"/>
      <c r="PJY2" s="528"/>
      <c r="PJZ2" s="528"/>
      <c r="PKA2" s="528"/>
      <c r="PKB2" s="528"/>
      <c r="PKC2" s="528"/>
      <c r="PKD2" s="528"/>
      <c r="PKE2" s="528"/>
      <c r="PKF2" s="528"/>
      <c r="PKG2" s="528"/>
      <c r="PKH2" s="528"/>
      <c r="PKI2" s="528"/>
      <c r="PKJ2" s="528"/>
      <c r="PKK2" s="528"/>
      <c r="PKL2" s="528"/>
      <c r="PKM2" s="528"/>
      <c r="PKN2" s="528"/>
      <c r="PKO2" s="528"/>
      <c r="PKP2" s="528"/>
      <c r="PKQ2" s="528"/>
      <c r="PKR2" s="528"/>
      <c r="PKS2" s="528"/>
      <c r="PKT2" s="528"/>
      <c r="PKU2" s="528"/>
      <c r="PKV2" s="528"/>
      <c r="PKW2" s="528"/>
      <c r="PKX2" s="528"/>
      <c r="PKY2" s="528"/>
      <c r="PKZ2" s="528"/>
      <c r="PLA2" s="528"/>
      <c r="PLB2" s="528"/>
      <c r="PLC2" s="528"/>
      <c r="PLD2" s="528"/>
      <c r="PLE2" s="528"/>
      <c r="PLF2" s="528"/>
      <c r="PLG2" s="528"/>
      <c r="PLH2" s="528"/>
      <c r="PLI2" s="528"/>
      <c r="PLJ2" s="528"/>
      <c r="PLK2" s="528"/>
      <c r="PLL2" s="528"/>
      <c r="PLM2" s="528"/>
      <c r="PLN2" s="528"/>
      <c r="PLO2" s="528"/>
      <c r="PLP2" s="528"/>
      <c r="PLQ2" s="528"/>
      <c r="PLR2" s="528"/>
      <c r="PLS2" s="528"/>
      <c r="PLT2" s="528"/>
      <c r="PLU2" s="528"/>
      <c r="PLV2" s="528"/>
      <c r="PLW2" s="528"/>
      <c r="PLX2" s="528"/>
      <c r="PLY2" s="528"/>
      <c r="PLZ2" s="528"/>
      <c r="PMA2" s="528"/>
      <c r="PMB2" s="528"/>
      <c r="PMC2" s="528"/>
      <c r="PMD2" s="528"/>
      <c r="PME2" s="528"/>
      <c r="PMF2" s="528"/>
      <c r="PMG2" s="528"/>
      <c r="PMH2" s="528"/>
      <c r="PMI2" s="528"/>
      <c r="PMJ2" s="528"/>
      <c r="PMK2" s="528"/>
      <c r="PML2" s="528"/>
      <c r="PMM2" s="528"/>
      <c r="PMN2" s="528"/>
      <c r="PMO2" s="528"/>
      <c r="PMP2" s="528"/>
      <c r="PMQ2" s="528"/>
      <c r="PMR2" s="528"/>
      <c r="PMS2" s="528"/>
      <c r="PMT2" s="528"/>
      <c r="PMU2" s="528"/>
      <c r="PMV2" s="528"/>
      <c r="PMW2" s="528"/>
      <c r="PMX2" s="528"/>
      <c r="PMY2" s="528"/>
      <c r="PMZ2" s="528"/>
      <c r="PNA2" s="528"/>
      <c r="PNB2" s="528"/>
      <c r="PNC2" s="528"/>
      <c r="PND2" s="528"/>
      <c r="PNE2" s="528"/>
      <c r="PNF2" s="528"/>
      <c r="PNG2" s="528"/>
      <c r="PNH2" s="528"/>
      <c r="PNI2" s="528"/>
      <c r="PNJ2" s="528"/>
      <c r="PNK2" s="528"/>
      <c r="PNL2" s="528"/>
      <c r="PNM2" s="528"/>
      <c r="PNN2" s="528"/>
      <c r="PNO2" s="528"/>
      <c r="PNP2" s="528"/>
      <c r="PNQ2" s="528"/>
      <c r="PNR2" s="528"/>
      <c r="PNS2" s="528"/>
      <c r="PNT2" s="528"/>
      <c r="PNU2" s="528"/>
      <c r="PNV2" s="528"/>
      <c r="PNW2" s="528"/>
      <c r="PNX2" s="528"/>
      <c r="PNY2" s="528"/>
      <c r="PNZ2" s="528"/>
      <c r="POA2" s="528"/>
      <c r="POB2" s="528"/>
      <c r="POC2" s="528"/>
      <c r="POD2" s="528"/>
      <c r="POE2" s="528"/>
      <c r="POF2" s="528"/>
      <c r="POG2" s="528"/>
      <c r="POH2" s="528"/>
      <c r="POI2" s="528"/>
      <c r="POJ2" s="528"/>
      <c r="POK2" s="528"/>
      <c r="POL2" s="528"/>
      <c r="POM2" s="528"/>
      <c r="PON2" s="528"/>
      <c r="POO2" s="528"/>
      <c r="POP2" s="528"/>
      <c r="POQ2" s="528"/>
      <c r="POR2" s="528"/>
      <c r="POS2" s="528"/>
      <c r="POT2" s="528"/>
      <c r="POU2" s="528"/>
      <c r="POV2" s="528"/>
      <c r="POW2" s="528"/>
      <c r="POX2" s="528"/>
      <c r="POY2" s="528"/>
      <c r="POZ2" s="528"/>
      <c r="PPA2" s="528"/>
      <c r="PPB2" s="528"/>
      <c r="PPC2" s="528"/>
      <c r="PPD2" s="528"/>
      <c r="PPE2" s="528"/>
      <c r="PPF2" s="528"/>
      <c r="PPG2" s="528"/>
      <c r="PPH2" s="528"/>
      <c r="PPI2" s="528"/>
      <c r="PPJ2" s="528"/>
      <c r="PPK2" s="528"/>
      <c r="PPL2" s="528"/>
      <c r="PPM2" s="528"/>
      <c r="PPN2" s="528"/>
      <c r="PPO2" s="528"/>
      <c r="PPP2" s="528"/>
      <c r="PPQ2" s="528"/>
      <c r="PPR2" s="528"/>
      <c r="PPS2" s="528"/>
      <c r="PPT2" s="528"/>
      <c r="PPU2" s="528"/>
      <c r="PPV2" s="528"/>
      <c r="PPW2" s="528"/>
      <c r="PPX2" s="528"/>
      <c r="PPY2" s="528"/>
      <c r="PPZ2" s="528"/>
      <c r="PQA2" s="528"/>
      <c r="PQB2" s="528"/>
      <c r="PQC2" s="528"/>
      <c r="PQD2" s="528"/>
      <c r="PQE2" s="528"/>
      <c r="PQF2" s="528"/>
      <c r="PQG2" s="528"/>
      <c r="PQH2" s="528"/>
      <c r="PQI2" s="528"/>
      <c r="PQJ2" s="528"/>
      <c r="PQK2" s="528"/>
      <c r="PQL2" s="528"/>
      <c r="PQM2" s="528"/>
      <c r="PQN2" s="528"/>
      <c r="PQO2" s="528"/>
      <c r="PQP2" s="528"/>
      <c r="PQQ2" s="528"/>
      <c r="PQR2" s="528"/>
      <c r="PQS2" s="528"/>
      <c r="PQT2" s="528"/>
      <c r="PQU2" s="528"/>
      <c r="PQV2" s="528"/>
      <c r="PQW2" s="528"/>
      <c r="PQX2" s="528"/>
      <c r="PQY2" s="528"/>
      <c r="PQZ2" s="528"/>
      <c r="PRA2" s="528"/>
      <c r="PRB2" s="528"/>
      <c r="PRC2" s="528"/>
      <c r="PRD2" s="528"/>
      <c r="PRE2" s="528"/>
      <c r="PRF2" s="528"/>
      <c r="PRG2" s="528"/>
      <c r="PRH2" s="528"/>
      <c r="PRI2" s="528"/>
      <c r="PRJ2" s="528"/>
      <c r="PRK2" s="528"/>
      <c r="PRL2" s="528"/>
      <c r="PRM2" s="528"/>
      <c r="PRN2" s="528"/>
      <c r="PRO2" s="528"/>
      <c r="PRP2" s="528"/>
      <c r="PRQ2" s="528"/>
      <c r="PRR2" s="528"/>
      <c r="PRS2" s="528"/>
      <c r="PRT2" s="528"/>
      <c r="PRU2" s="528"/>
      <c r="PRV2" s="528"/>
      <c r="PRW2" s="528"/>
      <c r="PRX2" s="528"/>
      <c r="PRY2" s="528"/>
      <c r="PRZ2" s="528"/>
      <c r="PSA2" s="528"/>
      <c r="PSB2" s="528"/>
      <c r="PSC2" s="528"/>
      <c r="PSD2" s="528"/>
      <c r="PSE2" s="528"/>
      <c r="PSF2" s="528"/>
      <c r="PSG2" s="528"/>
      <c r="PSH2" s="528"/>
      <c r="PSI2" s="528"/>
      <c r="PSJ2" s="528"/>
      <c r="PSK2" s="528"/>
      <c r="PSL2" s="528"/>
      <c r="PSM2" s="528"/>
      <c r="PSN2" s="528"/>
      <c r="PSO2" s="528"/>
      <c r="PSP2" s="528"/>
      <c r="PSQ2" s="528"/>
      <c r="PSR2" s="528"/>
      <c r="PSS2" s="528"/>
      <c r="PST2" s="528"/>
      <c r="PSU2" s="528"/>
      <c r="PSV2" s="528"/>
      <c r="PSW2" s="528"/>
      <c r="PSX2" s="528"/>
      <c r="PSY2" s="528"/>
      <c r="PSZ2" s="528"/>
      <c r="PTA2" s="528"/>
      <c r="PTB2" s="528"/>
      <c r="PTC2" s="528"/>
      <c r="PTD2" s="528"/>
      <c r="PTE2" s="528"/>
      <c r="PTF2" s="528"/>
      <c r="PTG2" s="528"/>
      <c r="PTH2" s="528"/>
      <c r="PTI2" s="528"/>
      <c r="PTJ2" s="528"/>
      <c r="PTK2" s="528"/>
      <c r="PTL2" s="528"/>
      <c r="PTM2" s="528"/>
      <c r="PTN2" s="528"/>
      <c r="PTO2" s="528"/>
      <c r="PTP2" s="528"/>
      <c r="PTQ2" s="528"/>
      <c r="PTR2" s="528"/>
      <c r="PTS2" s="528"/>
      <c r="PTT2" s="528"/>
      <c r="PTU2" s="528"/>
      <c r="PTV2" s="528"/>
      <c r="PTW2" s="528"/>
      <c r="PTX2" s="528"/>
      <c r="PTY2" s="528"/>
      <c r="PTZ2" s="528"/>
      <c r="PUA2" s="528"/>
      <c r="PUB2" s="528"/>
      <c r="PUC2" s="528"/>
      <c r="PUD2" s="528"/>
      <c r="PUE2" s="528"/>
      <c r="PUF2" s="528"/>
      <c r="PUG2" s="528"/>
      <c r="PUH2" s="528"/>
      <c r="PUI2" s="528"/>
      <c r="PUJ2" s="528"/>
      <c r="PUK2" s="528"/>
      <c r="PUL2" s="528"/>
      <c r="PUM2" s="528"/>
      <c r="PUN2" s="528"/>
      <c r="PUO2" s="528"/>
      <c r="PUP2" s="528"/>
      <c r="PUQ2" s="528"/>
      <c r="PUR2" s="528"/>
      <c r="PUS2" s="528"/>
      <c r="PUT2" s="528"/>
      <c r="PUU2" s="528"/>
      <c r="PUV2" s="528"/>
      <c r="PUW2" s="528"/>
      <c r="PUX2" s="528"/>
      <c r="PUY2" s="528"/>
      <c r="PUZ2" s="528"/>
      <c r="PVA2" s="528"/>
      <c r="PVB2" s="528"/>
      <c r="PVC2" s="528"/>
      <c r="PVD2" s="528"/>
      <c r="PVE2" s="528"/>
      <c r="PVF2" s="528"/>
      <c r="PVG2" s="528"/>
      <c r="PVH2" s="528"/>
      <c r="PVI2" s="528"/>
      <c r="PVJ2" s="528"/>
      <c r="PVK2" s="528"/>
      <c r="PVL2" s="528"/>
      <c r="PVM2" s="528"/>
      <c r="PVN2" s="528"/>
      <c r="PVO2" s="528"/>
      <c r="PVP2" s="528"/>
      <c r="PVQ2" s="528"/>
      <c r="PVR2" s="528"/>
      <c r="PVS2" s="528"/>
      <c r="PVT2" s="528"/>
      <c r="PVU2" s="528"/>
      <c r="PVV2" s="528"/>
      <c r="PVW2" s="528"/>
      <c r="PVX2" s="528"/>
      <c r="PVY2" s="528"/>
      <c r="PVZ2" s="528"/>
      <c r="PWA2" s="528"/>
      <c r="PWB2" s="528"/>
      <c r="PWC2" s="528"/>
      <c r="PWD2" s="528"/>
      <c r="PWE2" s="528"/>
      <c r="PWF2" s="528"/>
      <c r="PWG2" s="528"/>
      <c r="PWH2" s="528"/>
      <c r="PWI2" s="528"/>
      <c r="PWJ2" s="528"/>
      <c r="PWK2" s="528"/>
      <c r="PWL2" s="528"/>
      <c r="PWM2" s="528"/>
      <c r="PWN2" s="528"/>
      <c r="PWO2" s="528"/>
      <c r="PWP2" s="528"/>
      <c r="PWQ2" s="528"/>
      <c r="PWR2" s="528"/>
      <c r="PWS2" s="528"/>
      <c r="PWT2" s="528"/>
      <c r="PWU2" s="528"/>
      <c r="PWV2" s="528"/>
      <c r="PWW2" s="528"/>
      <c r="PWX2" s="528"/>
      <c r="PWY2" s="528"/>
      <c r="PWZ2" s="528"/>
      <c r="PXA2" s="528"/>
      <c r="PXB2" s="528"/>
      <c r="PXC2" s="528"/>
      <c r="PXD2" s="528"/>
      <c r="PXE2" s="528"/>
      <c r="PXF2" s="528"/>
      <c r="PXG2" s="528"/>
      <c r="PXH2" s="528"/>
      <c r="PXI2" s="528"/>
      <c r="PXJ2" s="528"/>
      <c r="PXK2" s="528"/>
      <c r="PXL2" s="528"/>
      <c r="PXM2" s="528"/>
      <c r="PXN2" s="528"/>
      <c r="PXO2" s="528"/>
      <c r="PXP2" s="528"/>
      <c r="PXQ2" s="528"/>
      <c r="PXR2" s="528"/>
      <c r="PXS2" s="528"/>
      <c r="PXT2" s="528"/>
      <c r="PXU2" s="528"/>
      <c r="PXV2" s="528"/>
      <c r="PXW2" s="528"/>
      <c r="PXX2" s="528"/>
      <c r="PXY2" s="528"/>
      <c r="PXZ2" s="528"/>
      <c r="PYA2" s="528"/>
      <c r="PYB2" s="528"/>
      <c r="PYC2" s="528"/>
      <c r="PYD2" s="528"/>
      <c r="PYE2" s="528"/>
      <c r="PYF2" s="528"/>
      <c r="PYG2" s="528"/>
      <c r="PYH2" s="528"/>
      <c r="PYI2" s="528"/>
      <c r="PYJ2" s="528"/>
      <c r="PYK2" s="528"/>
      <c r="PYL2" s="528"/>
      <c r="PYM2" s="528"/>
      <c r="PYN2" s="528"/>
      <c r="PYO2" s="528"/>
      <c r="PYP2" s="528"/>
      <c r="PYQ2" s="528"/>
      <c r="PYR2" s="528"/>
      <c r="PYS2" s="528"/>
      <c r="PYT2" s="528"/>
      <c r="PYU2" s="528"/>
      <c r="PYV2" s="528"/>
      <c r="PYW2" s="528"/>
      <c r="PYX2" s="528"/>
      <c r="PYY2" s="528"/>
      <c r="PYZ2" s="528"/>
      <c r="PZA2" s="528"/>
      <c r="PZB2" s="528"/>
      <c r="PZC2" s="528"/>
      <c r="PZD2" s="528"/>
      <c r="PZE2" s="528"/>
      <c r="PZF2" s="528"/>
      <c r="PZG2" s="528"/>
      <c r="PZH2" s="528"/>
      <c r="PZI2" s="528"/>
      <c r="PZJ2" s="528"/>
      <c r="PZK2" s="528"/>
      <c r="PZL2" s="528"/>
      <c r="PZM2" s="528"/>
      <c r="PZN2" s="528"/>
      <c r="PZO2" s="528"/>
      <c r="PZP2" s="528"/>
      <c r="PZQ2" s="528"/>
      <c r="PZR2" s="528"/>
      <c r="PZS2" s="528"/>
      <c r="PZT2" s="528"/>
      <c r="PZU2" s="528"/>
      <c r="PZV2" s="528"/>
      <c r="PZW2" s="528"/>
      <c r="PZX2" s="528"/>
      <c r="PZY2" s="528"/>
      <c r="PZZ2" s="528"/>
      <c r="QAA2" s="528"/>
      <c r="QAB2" s="528"/>
      <c r="QAC2" s="528"/>
      <c r="QAD2" s="528"/>
      <c r="QAE2" s="528"/>
      <c r="QAF2" s="528"/>
      <c r="QAG2" s="528"/>
      <c r="QAH2" s="528"/>
      <c r="QAI2" s="528"/>
      <c r="QAJ2" s="528"/>
      <c r="QAK2" s="528"/>
      <c r="QAL2" s="528"/>
      <c r="QAM2" s="528"/>
      <c r="QAN2" s="528"/>
      <c r="QAO2" s="528"/>
      <c r="QAP2" s="528"/>
      <c r="QAQ2" s="528"/>
      <c r="QAR2" s="528"/>
      <c r="QAS2" s="528"/>
      <c r="QAT2" s="528"/>
      <c r="QAU2" s="528"/>
      <c r="QAV2" s="528"/>
      <c r="QAW2" s="528"/>
      <c r="QAX2" s="528"/>
      <c r="QAY2" s="528"/>
      <c r="QAZ2" s="528"/>
      <c r="QBA2" s="528"/>
      <c r="QBB2" s="528"/>
      <c r="QBC2" s="528"/>
      <c r="QBD2" s="528"/>
      <c r="QBE2" s="528"/>
      <c r="QBF2" s="528"/>
      <c r="QBG2" s="528"/>
      <c r="QBH2" s="528"/>
      <c r="QBI2" s="528"/>
      <c r="QBJ2" s="528"/>
      <c r="QBK2" s="528"/>
      <c r="QBL2" s="528"/>
      <c r="QBM2" s="528"/>
      <c r="QBN2" s="528"/>
      <c r="QBO2" s="528"/>
      <c r="QBP2" s="528"/>
      <c r="QBQ2" s="528"/>
      <c r="QBR2" s="528"/>
      <c r="QBS2" s="528"/>
      <c r="QBT2" s="528"/>
      <c r="QBU2" s="528"/>
      <c r="QBV2" s="528"/>
      <c r="QBW2" s="528"/>
      <c r="QBX2" s="528"/>
      <c r="QBY2" s="528"/>
      <c r="QBZ2" s="528"/>
      <c r="QCA2" s="528"/>
      <c r="QCB2" s="528"/>
      <c r="QCC2" s="528"/>
      <c r="QCD2" s="528"/>
      <c r="QCE2" s="528"/>
      <c r="QCF2" s="528"/>
      <c r="QCG2" s="528"/>
      <c r="QCH2" s="528"/>
      <c r="QCI2" s="528"/>
      <c r="QCJ2" s="528"/>
      <c r="QCK2" s="528"/>
      <c r="QCL2" s="528"/>
      <c r="QCM2" s="528"/>
      <c r="QCN2" s="528"/>
      <c r="QCO2" s="528"/>
      <c r="QCP2" s="528"/>
      <c r="QCQ2" s="528"/>
      <c r="QCR2" s="528"/>
      <c r="QCS2" s="528"/>
      <c r="QCT2" s="528"/>
      <c r="QCU2" s="528"/>
      <c r="QCV2" s="528"/>
      <c r="QCW2" s="528"/>
      <c r="QCX2" s="528"/>
      <c r="QCY2" s="528"/>
      <c r="QCZ2" s="528"/>
      <c r="QDA2" s="528"/>
      <c r="QDB2" s="528"/>
      <c r="QDC2" s="528"/>
      <c r="QDD2" s="528"/>
      <c r="QDE2" s="528"/>
      <c r="QDF2" s="528"/>
      <c r="QDG2" s="528"/>
      <c r="QDH2" s="528"/>
      <c r="QDI2" s="528"/>
      <c r="QDJ2" s="528"/>
      <c r="QDK2" s="528"/>
      <c r="QDL2" s="528"/>
      <c r="QDM2" s="528"/>
      <c r="QDN2" s="528"/>
      <c r="QDO2" s="528"/>
      <c r="QDP2" s="528"/>
      <c r="QDQ2" s="528"/>
      <c r="QDR2" s="528"/>
      <c r="QDS2" s="528"/>
      <c r="QDT2" s="528"/>
      <c r="QDU2" s="528"/>
      <c r="QDV2" s="528"/>
      <c r="QDW2" s="528"/>
      <c r="QDX2" s="528"/>
      <c r="QDY2" s="528"/>
      <c r="QDZ2" s="528"/>
      <c r="QEA2" s="528"/>
      <c r="QEB2" s="528"/>
      <c r="QEC2" s="528"/>
      <c r="QED2" s="528"/>
      <c r="QEE2" s="528"/>
      <c r="QEF2" s="528"/>
      <c r="QEG2" s="528"/>
      <c r="QEH2" s="528"/>
      <c r="QEI2" s="528"/>
      <c r="QEJ2" s="528"/>
      <c r="QEK2" s="528"/>
      <c r="QEL2" s="528"/>
      <c r="QEM2" s="528"/>
      <c r="QEN2" s="528"/>
      <c r="QEO2" s="528"/>
      <c r="QEP2" s="528"/>
      <c r="QEQ2" s="528"/>
      <c r="QER2" s="528"/>
      <c r="QES2" s="528"/>
      <c r="QET2" s="528"/>
      <c r="QEU2" s="528"/>
      <c r="QEV2" s="528"/>
      <c r="QEW2" s="528"/>
      <c r="QEX2" s="528"/>
      <c r="QEY2" s="528"/>
      <c r="QEZ2" s="528"/>
      <c r="QFA2" s="528"/>
      <c r="QFB2" s="528"/>
      <c r="QFC2" s="528"/>
      <c r="QFD2" s="528"/>
      <c r="QFE2" s="528"/>
      <c r="QFF2" s="528"/>
      <c r="QFG2" s="528"/>
      <c r="QFH2" s="528"/>
      <c r="QFI2" s="528"/>
      <c r="QFJ2" s="528"/>
      <c r="QFK2" s="528"/>
      <c r="QFL2" s="528"/>
      <c r="QFM2" s="528"/>
      <c r="QFN2" s="528"/>
      <c r="QFO2" s="528"/>
      <c r="QFP2" s="528"/>
      <c r="QFQ2" s="528"/>
      <c r="QFR2" s="528"/>
      <c r="QFS2" s="528"/>
      <c r="QFT2" s="528"/>
      <c r="QFU2" s="528"/>
      <c r="QFV2" s="528"/>
      <c r="QFW2" s="528"/>
      <c r="QFX2" s="528"/>
      <c r="QFY2" s="528"/>
      <c r="QFZ2" s="528"/>
      <c r="QGA2" s="528"/>
      <c r="QGB2" s="528"/>
      <c r="QGC2" s="528"/>
      <c r="QGD2" s="528"/>
      <c r="QGE2" s="528"/>
      <c r="QGF2" s="528"/>
      <c r="QGG2" s="528"/>
      <c r="QGH2" s="528"/>
      <c r="QGI2" s="528"/>
      <c r="QGJ2" s="528"/>
      <c r="QGK2" s="528"/>
      <c r="QGL2" s="528"/>
      <c r="QGM2" s="528"/>
      <c r="QGN2" s="528"/>
      <c r="QGO2" s="528"/>
      <c r="QGP2" s="528"/>
      <c r="QGQ2" s="528"/>
      <c r="QGR2" s="528"/>
      <c r="QGS2" s="528"/>
      <c r="QGT2" s="528"/>
      <c r="QGU2" s="528"/>
      <c r="QGV2" s="528"/>
      <c r="QGW2" s="528"/>
      <c r="QGX2" s="528"/>
      <c r="QGY2" s="528"/>
      <c r="QGZ2" s="528"/>
      <c r="QHA2" s="528"/>
      <c r="QHB2" s="528"/>
      <c r="QHC2" s="528"/>
      <c r="QHD2" s="528"/>
      <c r="QHE2" s="528"/>
      <c r="QHF2" s="528"/>
      <c r="QHG2" s="528"/>
      <c r="QHH2" s="528"/>
      <c r="QHI2" s="528"/>
      <c r="QHJ2" s="528"/>
      <c r="QHK2" s="528"/>
      <c r="QHL2" s="528"/>
      <c r="QHM2" s="528"/>
      <c r="QHN2" s="528"/>
      <c r="QHO2" s="528"/>
      <c r="QHP2" s="528"/>
      <c r="QHQ2" s="528"/>
      <c r="QHR2" s="528"/>
      <c r="QHS2" s="528"/>
      <c r="QHT2" s="528"/>
      <c r="QHU2" s="528"/>
      <c r="QHV2" s="528"/>
      <c r="QHW2" s="528"/>
      <c r="QHX2" s="528"/>
      <c r="QHY2" s="528"/>
      <c r="QHZ2" s="528"/>
      <c r="QIA2" s="528"/>
      <c r="QIB2" s="528"/>
      <c r="QIC2" s="528"/>
      <c r="QID2" s="528"/>
      <c r="QIE2" s="528"/>
      <c r="QIF2" s="528"/>
      <c r="QIG2" s="528"/>
      <c r="QIH2" s="528"/>
      <c r="QII2" s="528"/>
      <c r="QIJ2" s="528"/>
      <c r="QIK2" s="528"/>
      <c r="QIL2" s="528"/>
      <c r="QIM2" s="528"/>
      <c r="QIN2" s="528"/>
      <c r="QIO2" s="528"/>
      <c r="QIP2" s="528"/>
      <c r="QIQ2" s="528"/>
      <c r="QIR2" s="528"/>
      <c r="QIS2" s="528"/>
      <c r="QIT2" s="528"/>
      <c r="QIU2" s="528"/>
      <c r="QIV2" s="528"/>
      <c r="QIW2" s="528"/>
      <c r="QIX2" s="528"/>
      <c r="QIY2" s="528"/>
      <c r="QIZ2" s="528"/>
      <c r="QJA2" s="528"/>
      <c r="QJB2" s="528"/>
      <c r="QJC2" s="528"/>
      <c r="QJD2" s="528"/>
      <c r="QJE2" s="528"/>
      <c r="QJF2" s="528"/>
      <c r="QJG2" s="528"/>
      <c r="QJH2" s="528"/>
      <c r="QJI2" s="528"/>
      <c r="QJJ2" s="528"/>
      <c r="QJK2" s="528"/>
      <c r="QJL2" s="528"/>
      <c r="QJM2" s="528"/>
      <c r="QJN2" s="528"/>
      <c r="QJO2" s="528"/>
      <c r="QJP2" s="528"/>
      <c r="QJQ2" s="528"/>
      <c r="QJR2" s="528"/>
      <c r="QJS2" s="528"/>
      <c r="QJT2" s="528"/>
      <c r="QJU2" s="528"/>
      <c r="QJV2" s="528"/>
      <c r="QJW2" s="528"/>
      <c r="QJX2" s="528"/>
      <c r="QJY2" s="528"/>
      <c r="QJZ2" s="528"/>
      <c r="QKA2" s="528"/>
      <c r="QKB2" s="528"/>
      <c r="QKC2" s="528"/>
      <c r="QKD2" s="528"/>
      <c r="QKE2" s="528"/>
      <c r="QKF2" s="528"/>
      <c r="QKG2" s="528"/>
      <c r="QKH2" s="528"/>
      <c r="QKI2" s="528"/>
      <c r="QKJ2" s="528"/>
      <c r="QKK2" s="528"/>
      <c r="QKL2" s="528"/>
      <c r="QKM2" s="528"/>
      <c r="QKN2" s="528"/>
      <c r="QKO2" s="528"/>
      <c r="QKP2" s="528"/>
      <c r="QKQ2" s="528"/>
      <c r="QKR2" s="528"/>
      <c r="QKS2" s="528"/>
      <c r="QKT2" s="528"/>
      <c r="QKU2" s="528"/>
      <c r="QKV2" s="528"/>
      <c r="QKW2" s="528"/>
      <c r="QKX2" s="528"/>
      <c r="QKY2" s="528"/>
      <c r="QKZ2" s="528"/>
      <c r="QLA2" s="528"/>
      <c r="QLB2" s="528"/>
      <c r="QLC2" s="528"/>
      <c r="QLD2" s="528"/>
      <c r="QLE2" s="528"/>
      <c r="QLF2" s="528"/>
      <c r="QLG2" s="528"/>
      <c r="QLH2" s="528"/>
      <c r="QLI2" s="528"/>
      <c r="QLJ2" s="528"/>
      <c r="QLK2" s="528"/>
      <c r="QLL2" s="528"/>
      <c r="QLM2" s="528"/>
      <c r="QLN2" s="528"/>
      <c r="QLO2" s="528"/>
      <c r="QLP2" s="528"/>
      <c r="QLQ2" s="528"/>
      <c r="QLR2" s="528"/>
      <c r="QLS2" s="528"/>
      <c r="QLT2" s="528"/>
      <c r="QLU2" s="528"/>
      <c r="QLV2" s="528"/>
      <c r="QLW2" s="528"/>
      <c r="QLX2" s="528"/>
      <c r="QLY2" s="528"/>
      <c r="QLZ2" s="528"/>
      <c r="QMA2" s="528"/>
      <c r="QMB2" s="528"/>
      <c r="QMC2" s="528"/>
      <c r="QMD2" s="528"/>
      <c r="QME2" s="528"/>
      <c r="QMF2" s="528"/>
      <c r="QMG2" s="528"/>
      <c r="QMH2" s="528"/>
      <c r="QMI2" s="528"/>
      <c r="QMJ2" s="528"/>
      <c r="QMK2" s="528"/>
      <c r="QML2" s="528"/>
      <c r="QMM2" s="528"/>
      <c r="QMN2" s="528"/>
      <c r="QMO2" s="528"/>
      <c r="QMP2" s="528"/>
      <c r="QMQ2" s="528"/>
      <c r="QMR2" s="528"/>
      <c r="QMS2" s="528"/>
      <c r="QMT2" s="528"/>
      <c r="QMU2" s="528"/>
      <c r="QMV2" s="528"/>
      <c r="QMW2" s="528"/>
      <c r="QMX2" s="528"/>
      <c r="QMY2" s="528"/>
      <c r="QMZ2" s="528"/>
      <c r="QNA2" s="528"/>
      <c r="QNB2" s="528"/>
      <c r="QNC2" s="528"/>
      <c r="QND2" s="528"/>
      <c r="QNE2" s="528"/>
      <c r="QNF2" s="528"/>
      <c r="QNG2" s="528"/>
      <c r="QNH2" s="528"/>
      <c r="QNI2" s="528"/>
      <c r="QNJ2" s="528"/>
      <c r="QNK2" s="528"/>
      <c r="QNL2" s="528"/>
      <c r="QNM2" s="528"/>
      <c r="QNN2" s="528"/>
      <c r="QNO2" s="528"/>
      <c r="QNP2" s="528"/>
      <c r="QNQ2" s="528"/>
      <c r="QNR2" s="528"/>
      <c r="QNS2" s="528"/>
      <c r="QNT2" s="528"/>
      <c r="QNU2" s="528"/>
      <c r="QNV2" s="528"/>
      <c r="QNW2" s="528"/>
      <c r="QNX2" s="528"/>
      <c r="QNY2" s="528"/>
      <c r="QNZ2" s="528"/>
      <c r="QOA2" s="528"/>
      <c r="QOB2" s="528"/>
      <c r="QOC2" s="528"/>
      <c r="QOD2" s="528"/>
      <c r="QOE2" s="528"/>
      <c r="QOF2" s="528"/>
      <c r="QOG2" s="528"/>
      <c r="QOH2" s="528"/>
      <c r="QOI2" s="528"/>
      <c r="QOJ2" s="528"/>
      <c r="QOK2" s="528"/>
      <c r="QOL2" s="528"/>
      <c r="QOM2" s="528"/>
      <c r="QON2" s="528"/>
      <c r="QOO2" s="528"/>
      <c r="QOP2" s="528"/>
      <c r="QOQ2" s="528"/>
      <c r="QOR2" s="528"/>
      <c r="QOS2" s="528"/>
      <c r="QOT2" s="528"/>
      <c r="QOU2" s="528"/>
      <c r="QOV2" s="528"/>
      <c r="QOW2" s="528"/>
      <c r="QOX2" s="528"/>
      <c r="QOY2" s="528"/>
      <c r="QOZ2" s="528"/>
      <c r="QPA2" s="528"/>
      <c r="QPB2" s="528"/>
      <c r="QPC2" s="528"/>
      <c r="QPD2" s="528"/>
      <c r="QPE2" s="528"/>
      <c r="QPF2" s="528"/>
      <c r="QPG2" s="528"/>
      <c r="QPH2" s="528"/>
      <c r="QPI2" s="528"/>
      <c r="QPJ2" s="528"/>
      <c r="QPK2" s="528"/>
      <c r="QPL2" s="528"/>
      <c r="QPM2" s="528"/>
      <c r="QPN2" s="528"/>
      <c r="QPO2" s="528"/>
      <c r="QPP2" s="528"/>
      <c r="QPQ2" s="528"/>
      <c r="QPR2" s="528"/>
      <c r="QPS2" s="528"/>
      <c r="QPT2" s="528"/>
      <c r="QPU2" s="528"/>
      <c r="QPV2" s="528"/>
      <c r="QPW2" s="528"/>
      <c r="QPX2" s="528"/>
      <c r="QPY2" s="528"/>
      <c r="QPZ2" s="528"/>
      <c r="QQA2" s="528"/>
      <c r="QQB2" s="528"/>
      <c r="QQC2" s="528"/>
      <c r="QQD2" s="528"/>
      <c r="QQE2" s="528"/>
      <c r="QQF2" s="528"/>
      <c r="QQG2" s="528"/>
      <c r="QQH2" s="528"/>
      <c r="QQI2" s="528"/>
      <c r="QQJ2" s="528"/>
      <c r="QQK2" s="528"/>
      <c r="QQL2" s="528"/>
      <c r="QQM2" s="528"/>
      <c r="QQN2" s="528"/>
      <c r="QQO2" s="528"/>
      <c r="QQP2" s="528"/>
      <c r="QQQ2" s="528"/>
      <c r="QQR2" s="528"/>
      <c r="QQS2" s="528"/>
      <c r="QQT2" s="528"/>
      <c r="QQU2" s="528"/>
      <c r="QQV2" s="528"/>
      <c r="QQW2" s="528"/>
      <c r="QQX2" s="528"/>
      <c r="QQY2" s="528"/>
      <c r="QQZ2" s="528"/>
      <c r="QRA2" s="528"/>
      <c r="QRB2" s="528"/>
      <c r="QRC2" s="528"/>
      <c r="QRD2" s="528"/>
      <c r="QRE2" s="528"/>
      <c r="QRF2" s="528"/>
      <c r="QRG2" s="528"/>
      <c r="QRH2" s="528"/>
      <c r="QRI2" s="528"/>
      <c r="QRJ2" s="528"/>
      <c r="QRK2" s="528"/>
      <c r="QRL2" s="528"/>
      <c r="QRM2" s="528"/>
      <c r="QRN2" s="528"/>
      <c r="QRO2" s="528"/>
      <c r="QRP2" s="528"/>
      <c r="QRQ2" s="528"/>
      <c r="QRR2" s="528"/>
      <c r="QRS2" s="528"/>
      <c r="QRT2" s="528"/>
      <c r="QRU2" s="528"/>
      <c r="QRV2" s="528"/>
      <c r="QRW2" s="528"/>
      <c r="QRX2" s="528"/>
      <c r="QRY2" s="528"/>
      <c r="QRZ2" s="528"/>
      <c r="QSA2" s="528"/>
      <c r="QSB2" s="528"/>
      <c r="QSC2" s="528"/>
      <c r="QSD2" s="528"/>
      <c r="QSE2" s="528"/>
      <c r="QSF2" s="528"/>
      <c r="QSG2" s="528"/>
      <c r="QSH2" s="528"/>
      <c r="QSI2" s="528"/>
      <c r="QSJ2" s="528"/>
      <c r="QSK2" s="528"/>
      <c r="QSL2" s="528"/>
      <c r="QSM2" s="528"/>
      <c r="QSN2" s="528"/>
      <c r="QSO2" s="528"/>
      <c r="QSP2" s="528"/>
      <c r="QSQ2" s="528"/>
      <c r="QSR2" s="528"/>
      <c r="QSS2" s="528"/>
      <c r="QST2" s="528"/>
      <c r="QSU2" s="528"/>
      <c r="QSV2" s="528"/>
      <c r="QSW2" s="528"/>
      <c r="QSX2" s="528"/>
      <c r="QSY2" s="528"/>
      <c r="QSZ2" s="528"/>
      <c r="QTA2" s="528"/>
      <c r="QTB2" s="528"/>
      <c r="QTC2" s="528"/>
      <c r="QTD2" s="528"/>
      <c r="QTE2" s="528"/>
      <c r="QTF2" s="528"/>
      <c r="QTG2" s="528"/>
      <c r="QTH2" s="528"/>
      <c r="QTI2" s="528"/>
      <c r="QTJ2" s="528"/>
      <c r="QTK2" s="528"/>
      <c r="QTL2" s="528"/>
      <c r="QTM2" s="528"/>
      <c r="QTN2" s="528"/>
      <c r="QTO2" s="528"/>
      <c r="QTP2" s="528"/>
      <c r="QTQ2" s="528"/>
      <c r="QTR2" s="528"/>
      <c r="QTS2" s="528"/>
      <c r="QTT2" s="528"/>
      <c r="QTU2" s="528"/>
      <c r="QTV2" s="528"/>
      <c r="QTW2" s="528"/>
      <c r="QTX2" s="528"/>
      <c r="QTY2" s="528"/>
      <c r="QTZ2" s="528"/>
      <c r="QUA2" s="528"/>
      <c r="QUB2" s="528"/>
      <c r="QUC2" s="528"/>
      <c r="QUD2" s="528"/>
      <c r="QUE2" s="528"/>
      <c r="QUF2" s="528"/>
      <c r="QUG2" s="528"/>
      <c r="QUH2" s="528"/>
      <c r="QUI2" s="528"/>
      <c r="QUJ2" s="528"/>
      <c r="QUK2" s="528"/>
      <c r="QUL2" s="528"/>
      <c r="QUM2" s="528"/>
      <c r="QUN2" s="528"/>
      <c r="QUO2" s="528"/>
      <c r="QUP2" s="528"/>
      <c r="QUQ2" s="528"/>
      <c r="QUR2" s="528"/>
      <c r="QUS2" s="528"/>
      <c r="QUT2" s="528"/>
      <c r="QUU2" s="528"/>
      <c r="QUV2" s="528"/>
      <c r="QUW2" s="528"/>
      <c r="QUX2" s="528"/>
      <c r="QUY2" s="528"/>
      <c r="QUZ2" s="528"/>
      <c r="QVA2" s="528"/>
      <c r="QVB2" s="528"/>
      <c r="QVC2" s="528"/>
      <c r="QVD2" s="528"/>
      <c r="QVE2" s="528"/>
      <c r="QVF2" s="528"/>
      <c r="QVG2" s="528"/>
      <c r="QVH2" s="528"/>
      <c r="QVI2" s="528"/>
      <c r="QVJ2" s="528"/>
      <c r="QVK2" s="528"/>
      <c r="QVL2" s="528"/>
      <c r="QVM2" s="528"/>
      <c r="QVN2" s="528"/>
      <c r="QVO2" s="528"/>
      <c r="QVP2" s="528"/>
      <c r="QVQ2" s="528"/>
      <c r="QVR2" s="528"/>
      <c r="QVS2" s="528"/>
      <c r="QVT2" s="528"/>
      <c r="QVU2" s="528"/>
      <c r="QVV2" s="528"/>
      <c r="QVW2" s="528"/>
      <c r="QVX2" s="528"/>
      <c r="QVY2" s="528"/>
      <c r="QVZ2" s="528"/>
      <c r="QWA2" s="528"/>
      <c r="QWB2" s="528"/>
      <c r="QWC2" s="528"/>
      <c r="QWD2" s="528"/>
      <c r="QWE2" s="528"/>
      <c r="QWF2" s="528"/>
      <c r="QWG2" s="528"/>
      <c r="QWH2" s="528"/>
      <c r="QWI2" s="528"/>
      <c r="QWJ2" s="528"/>
      <c r="QWK2" s="528"/>
      <c r="QWL2" s="528"/>
      <c r="QWM2" s="528"/>
      <c r="QWN2" s="528"/>
      <c r="QWO2" s="528"/>
      <c r="QWP2" s="528"/>
      <c r="QWQ2" s="528"/>
      <c r="QWR2" s="528"/>
      <c r="QWS2" s="528"/>
      <c r="QWT2" s="528"/>
      <c r="QWU2" s="528"/>
      <c r="QWV2" s="528"/>
      <c r="QWW2" s="528"/>
      <c r="QWX2" s="528"/>
      <c r="QWY2" s="528"/>
      <c r="QWZ2" s="528"/>
      <c r="QXA2" s="528"/>
      <c r="QXB2" s="528"/>
      <c r="QXC2" s="528"/>
      <c r="QXD2" s="528"/>
      <c r="QXE2" s="528"/>
      <c r="QXF2" s="528"/>
      <c r="QXG2" s="528"/>
      <c r="QXH2" s="528"/>
      <c r="QXI2" s="528"/>
      <c r="QXJ2" s="528"/>
      <c r="QXK2" s="528"/>
      <c r="QXL2" s="528"/>
      <c r="QXM2" s="528"/>
      <c r="QXN2" s="528"/>
      <c r="QXO2" s="528"/>
      <c r="QXP2" s="528"/>
      <c r="QXQ2" s="528"/>
      <c r="QXR2" s="528"/>
      <c r="QXS2" s="528"/>
      <c r="QXT2" s="528"/>
      <c r="QXU2" s="528"/>
      <c r="QXV2" s="528"/>
      <c r="QXW2" s="528"/>
      <c r="QXX2" s="528"/>
      <c r="QXY2" s="528"/>
      <c r="QXZ2" s="528"/>
      <c r="QYA2" s="528"/>
      <c r="QYB2" s="528"/>
      <c r="QYC2" s="528"/>
      <c r="QYD2" s="528"/>
      <c r="QYE2" s="528"/>
      <c r="QYF2" s="528"/>
      <c r="QYG2" s="528"/>
      <c r="QYH2" s="528"/>
      <c r="QYI2" s="528"/>
      <c r="QYJ2" s="528"/>
      <c r="QYK2" s="528"/>
      <c r="QYL2" s="528"/>
      <c r="QYM2" s="528"/>
      <c r="QYN2" s="528"/>
      <c r="QYO2" s="528"/>
      <c r="QYP2" s="528"/>
      <c r="QYQ2" s="528"/>
      <c r="QYR2" s="528"/>
      <c r="QYS2" s="528"/>
      <c r="QYT2" s="528"/>
      <c r="QYU2" s="528"/>
      <c r="QYV2" s="528"/>
      <c r="QYW2" s="528"/>
      <c r="QYX2" s="528"/>
      <c r="QYY2" s="528"/>
      <c r="QYZ2" s="528"/>
      <c r="QZA2" s="528"/>
      <c r="QZB2" s="528"/>
      <c r="QZC2" s="528"/>
      <c r="QZD2" s="528"/>
      <c r="QZE2" s="528"/>
      <c r="QZF2" s="528"/>
      <c r="QZG2" s="528"/>
      <c r="QZH2" s="528"/>
      <c r="QZI2" s="528"/>
      <c r="QZJ2" s="528"/>
      <c r="QZK2" s="528"/>
      <c r="QZL2" s="528"/>
      <c r="QZM2" s="528"/>
      <c r="QZN2" s="528"/>
      <c r="QZO2" s="528"/>
      <c r="QZP2" s="528"/>
      <c r="QZQ2" s="528"/>
      <c r="QZR2" s="528"/>
      <c r="QZS2" s="528"/>
      <c r="QZT2" s="528"/>
      <c r="QZU2" s="528"/>
      <c r="QZV2" s="528"/>
      <c r="QZW2" s="528"/>
      <c r="QZX2" s="528"/>
      <c r="QZY2" s="528"/>
      <c r="QZZ2" s="528"/>
      <c r="RAA2" s="528"/>
      <c r="RAB2" s="528"/>
      <c r="RAC2" s="528"/>
      <c r="RAD2" s="528"/>
      <c r="RAE2" s="528"/>
      <c r="RAF2" s="528"/>
      <c r="RAG2" s="528"/>
      <c r="RAH2" s="528"/>
      <c r="RAI2" s="528"/>
      <c r="RAJ2" s="528"/>
      <c r="RAK2" s="528"/>
      <c r="RAL2" s="528"/>
      <c r="RAM2" s="528"/>
      <c r="RAN2" s="528"/>
      <c r="RAO2" s="528"/>
      <c r="RAP2" s="528"/>
      <c r="RAQ2" s="528"/>
      <c r="RAR2" s="528"/>
      <c r="RAS2" s="528"/>
      <c r="RAT2" s="528"/>
      <c r="RAU2" s="528"/>
      <c r="RAV2" s="528"/>
      <c r="RAW2" s="528"/>
      <c r="RAX2" s="528"/>
      <c r="RAY2" s="528"/>
      <c r="RAZ2" s="528"/>
      <c r="RBA2" s="528"/>
      <c r="RBB2" s="528"/>
      <c r="RBC2" s="528"/>
      <c r="RBD2" s="528"/>
      <c r="RBE2" s="528"/>
      <c r="RBF2" s="528"/>
      <c r="RBG2" s="528"/>
      <c r="RBH2" s="528"/>
      <c r="RBI2" s="528"/>
      <c r="RBJ2" s="528"/>
      <c r="RBK2" s="528"/>
      <c r="RBL2" s="528"/>
      <c r="RBM2" s="528"/>
      <c r="RBN2" s="528"/>
      <c r="RBO2" s="528"/>
      <c r="RBP2" s="528"/>
      <c r="RBQ2" s="528"/>
      <c r="RBR2" s="528"/>
      <c r="RBS2" s="528"/>
      <c r="RBT2" s="528"/>
      <c r="RBU2" s="528"/>
      <c r="RBV2" s="528"/>
      <c r="RBW2" s="528"/>
      <c r="RBX2" s="528"/>
      <c r="RBY2" s="528"/>
      <c r="RBZ2" s="528"/>
      <c r="RCA2" s="528"/>
      <c r="RCB2" s="528"/>
      <c r="RCC2" s="528"/>
      <c r="RCD2" s="528"/>
      <c r="RCE2" s="528"/>
      <c r="RCF2" s="528"/>
      <c r="RCG2" s="528"/>
      <c r="RCH2" s="528"/>
      <c r="RCI2" s="528"/>
      <c r="RCJ2" s="528"/>
      <c r="RCK2" s="528"/>
      <c r="RCL2" s="528"/>
      <c r="RCM2" s="528"/>
      <c r="RCN2" s="528"/>
      <c r="RCO2" s="528"/>
      <c r="RCP2" s="528"/>
      <c r="RCQ2" s="528"/>
      <c r="RCR2" s="528"/>
      <c r="RCS2" s="528"/>
      <c r="RCT2" s="528"/>
      <c r="RCU2" s="528"/>
      <c r="RCV2" s="528"/>
      <c r="RCW2" s="528"/>
      <c r="RCX2" s="528"/>
      <c r="RCY2" s="528"/>
      <c r="RCZ2" s="528"/>
      <c r="RDA2" s="528"/>
      <c r="RDB2" s="528"/>
      <c r="RDC2" s="528"/>
      <c r="RDD2" s="528"/>
      <c r="RDE2" s="528"/>
      <c r="RDF2" s="528"/>
      <c r="RDG2" s="528"/>
      <c r="RDH2" s="528"/>
      <c r="RDI2" s="528"/>
      <c r="RDJ2" s="528"/>
      <c r="RDK2" s="528"/>
      <c r="RDL2" s="528"/>
      <c r="RDM2" s="528"/>
      <c r="RDN2" s="528"/>
      <c r="RDO2" s="528"/>
      <c r="RDP2" s="528"/>
      <c r="RDQ2" s="528"/>
      <c r="RDR2" s="528"/>
      <c r="RDS2" s="528"/>
      <c r="RDT2" s="528"/>
      <c r="RDU2" s="528"/>
      <c r="RDV2" s="528"/>
      <c r="RDW2" s="528"/>
      <c r="RDX2" s="528"/>
      <c r="RDY2" s="528"/>
      <c r="RDZ2" s="528"/>
      <c r="REA2" s="528"/>
      <c r="REB2" s="528"/>
      <c r="REC2" s="528"/>
      <c r="RED2" s="528"/>
      <c r="REE2" s="528"/>
      <c r="REF2" s="528"/>
      <c r="REG2" s="528"/>
      <c r="REH2" s="528"/>
      <c r="REI2" s="528"/>
      <c r="REJ2" s="528"/>
      <c r="REK2" s="528"/>
      <c r="REL2" s="528"/>
      <c r="REM2" s="528"/>
      <c r="REN2" s="528"/>
      <c r="REO2" s="528"/>
      <c r="REP2" s="528"/>
      <c r="REQ2" s="528"/>
      <c r="RER2" s="528"/>
      <c r="RES2" s="528"/>
      <c r="RET2" s="528"/>
      <c r="REU2" s="528"/>
      <c r="REV2" s="528"/>
      <c r="REW2" s="528"/>
      <c r="REX2" s="528"/>
      <c r="REY2" s="528"/>
      <c r="REZ2" s="528"/>
      <c r="RFA2" s="528"/>
      <c r="RFB2" s="528"/>
      <c r="RFC2" s="528"/>
      <c r="RFD2" s="528"/>
      <c r="RFE2" s="528"/>
      <c r="RFF2" s="528"/>
      <c r="RFG2" s="528"/>
      <c r="RFH2" s="528"/>
      <c r="RFI2" s="528"/>
      <c r="RFJ2" s="528"/>
      <c r="RFK2" s="528"/>
      <c r="RFL2" s="528"/>
      <c r="RFM2" s="528"/>
      <c r="RFN2" s="528"/>
      <c r="RFO2" s="528"/>
      <c r="RFP2" s="528"/>
      <c r="RFQ2" s="528"/>
      <c r="RFR2" s="528"/>
      <c r="RFS2" s="528"/>
      <c r="RFT2" s="528"/>
      <c r="RFU2" s="528"/>
      <c r="RFV2" s="528"/>
      <c r="RFW2" s="528"/>
      <c r="RFX2" s="528"/>
      <c r="RFY2" s="528"/>
      <c r="RFZ2" s="528"/>
      <c r="RGA2" s="528"/>
      <c r="RGB2" s="528"/>
      <c r="RGC2" s="528"/>
      <c r="RGD2" s="528"/>
      <c r="RGE2" s="528"/>
      <c r="RGF2" s="528"/>
      <c r="RGG2" s="528"/>
      <c r="RGH2" s="528"/>
      <c r="RGI2" s="528"/>
      <c r="RGJ2" s="528"/>
      <c r="RGK2" s="528"/>
      <c r="RGL2" s="528"/>
      <c r="RGM2" s="528"/>
      <c r="RGN2" s="528"/>
      <c r="RGO2" s="528"/>
      <c r="RGP2" s="528"/>
      <c r="RGQ2" s="528"/>
      <c r="RGR2" s="528"/>
      <c r="RGS2" s="528"/>
      <c r="RGT2" s="528"/>
      <c r="RGU2" s="528"/>
      <c r="RGV2" s="528"/>
      <c r="RGW2" s="528"/>
      <c r="RGX2" s="528"/>
      <c r="RGY2" s="528"/>
      <c r="RGZ2" s="528"/>
      <c r="RHA2" s="528"/>
      <c r="RHB2" s="528"/>
      <c r="RHC2" s="528"/>
      <c r="RHD2" s="528"/>
      <c r="RHE2" s="528"/>
      <c r="RHF2" s="528"/>
      <c r="RHG2" s="528"/>
      <c r="RHH2" s="528"/>
      <c r="RHI2" s="528"/>
      <c r="RHJ2" s="528"/>
      <c r="RHK2" s="528"/>
      <c r="RHL2" s="528"/>
      <c r="RHM2" s="528"/>
      <c r="RHN2" s="528"/>
      <c r="RHO2" s="528"/>
      <c r="RHP2" s="528"/>
      <c r="RHQ2" s="528"/>
      <c r="RHR2" s="528"/>
      <c r="RHS2" s="528"/>
      <c r="RHT2" s="528"/>
      <c r="RHU2" s="528"/>
      <c r="RHV2" s="528"/>
      <c r="RHW2" s="528"/>
      <c r="RHX2" s="528"/>
      <c r="RHY2" s="528"/>
      <c r="RHZ2" s="528"/>
      <c r="RIA2" s="528"/>
      <c r="RIB2" s="528"/>
      <c r="RIC2" s="528"/>
      <c r="RID2" s="528"/>
      <c r="RIE2" s="528"/>
      <c r="RIF2" s="528"/>
      <c r="RIG2" s="528"/>
      <c r="RIH2" s="528"/>
      <c r="RII2" s="528"/>
      <c r="RIJ2" s="528"/>
      <c r="RIK2" s="528"/>
      <c r="RIL2" s="528"/>
      <c r="RIM2" s="528"/>
      <c r="RIN2" s="528"/>
      <c r="RIO2" s="528"/>
      <c r="RIP2" s="528"/>
      <c r="RIQ2" s="528"/>
      <c r="RIR2" s="528"/>
      <c r="RIS2" s="528"/>
      <c r="RIT2" s="528"/>
      <c r="RIU2" s="528"/>
      <c r="RIV2" s="528"/>
      <c r="RIW2" s="528"/>
      <c r="RIX2" s="528"/>
      <c r="RIY2" s="528"/>
      <c r="RIZ2" s="528"/>
      <c r="RJA2" s="528"/>
      <c r="RJB2" s="528"/>
      <c r="RJC2" s="528"/>
      <c r="RJD2" s="528"/>
      <c r="RJE2" s="528"/>
      <c r="RJF2" s="528"/>
      <c r="RJG2" s="528"/>
      <c r="RJH2" s="528"/>
      <c r="RJI2" s="528"/>
      <c r="RJJ2" s="528"/>
      <c r="RJK2" s="528"/>
      <c r="RJL2" s="528"/>
      <c r="RJM2" s="528"/>
      <c r="RJN2" s="528"/>
      <c r="RJO2" s="528"/>
      <c r="RJP2" s="528"/>
      <c r="RJQ2" s="528"/>
      <c r="RJR2" s="528"/>
      <c r="RJS2" s="528"/>
      <c r="RJT2" s="528"/>
      <c r="RJU2" s="528"/>
      <c r="RJV2" s="528"/>
      <c r="RJW2" s="528"/>
      <c r="RJX2" s="528"/>
      <c r="RJY2" s="528"/>
      <c r="RJZ2" s="528"/>
      <c r="RKA2" s="528"/>
      <c r="RKB2" s="528"/>
      <c r="RKC2" s="528"/>
      <c r="RKD2" s="528"/>
      <c r="RKE2" s="528"/>
      <c r="RKF2" s="528"/>
      <c r="RKG2" s="528"/>
      <c r="RKH2" s="528"/>
      <c r="RKI2" s="528"/>
      <c r="RKJ2" s="528"/>
      <c r="RKK2" s="528"/>
      <c r="RKL2" s="528"/>
      <c r="RKM2" s="528"/>
      <c r="RKN2" s="528"/>
      <c r="RKO2" s="528"/>
      <c r="RKP2" s="528"/>
      <c r="RKQ2" s="528"/>
      <c r="RKR2" s="528"/>
      <c r="RKS2" s="528"/>
      <c r="RKT2" s="528"/>
      <c r="RKU2" s="528"/>
      <c r="RKV2" s="528"/>
      <c r="RKW2" s="528"/>
      <c r="RKX2" s="528"/>
      <c r="RKY2" s="528"/>
      <c r="RKZ2" s="528"/>
      <c r="RLA2" s="528"/>
      <c r="RLB2" s="528"/>
      <c r="RLC2" s="528"/>
      <c r="RLD2" s="528"/>
      <c r="RLE2" s="528"/>
      <c r="RLF2" s="528"/>
      <c r="RLG2" s="528"/>
      <c r="RLH2" s="528"/>
      <c r="RLI2" s="528"/>
      <c r="RLJ2" s="528"/>
      <c r="RLK2" s="528"/>
      <c r="RLL2" s="528"/>
      <c r="RLM2" s="528"/>
      <c r="RLN2" s="528"/>
      <c r="RLO2" s="528"/>
      <c r="RLP2" s="528"/>
      <c r="RLQ2" s="528"/>
      <c r="RLR2" s="528"/>
      <c r="RLS2" s="528"/>
      <c r="RLT2" s="528"/>
      <c r="RLU2" s="528"/>
      <c r="RLV2" s="528"/>
      <c r="RLW2" s="528"/>
      <c r="RLX2" s="528"/>
      <c r="RLY2" s="528"/>
      <c r="RLZ2" s="528"/>
      <c r="RMA2" s="528"/>
      <c r="RMB2" s="528"/>
      <c r="RMC2" s="528"/>
      <c r="RMD2" s="528"/>
      <c r="RME2" s="528"/>
      <c r="RMF2" s="528"/>
      <c r="RMG2" s="528"/>
      <c r="RMH2" s="528"/>
      <c r="RMI2" s="528"/>
      <c r="RMJ2" s="528"/>
      <c r="RMK2" s="528"/>
      <c r="RML2" s="528"/>
      <c r="RMM2" s="528"/>
      <c r="RMN2" s="528"/>
      <c r="RMO2" s="528"/>
      <c r="RMP2" s="528"/>
      <c r="RMQ2" s="528"/>
      <c r="RMR2" s="528"/>
      <c r="RMS2" s="528"/>
      <c r="RMT2" s="528"/>
      <c r="RMU2" s="528"/>
      <c r="RMV2" s="528"/>
      <c r="RMW2" s="528"/>
      <c r="RMX2" s="528"/>
      <c r="RMY2" s="528"/>
      <c r="RMZ2" s="528"/>
      <c r="RNA2" s="528"/>
      <c r="RNB2" s="528"/>
      <c r="RNC2" s="528"/>
      <c r="RND2" s="528"/>
      <c r="RNE2" s="528"/>
      <c r="RNF2" s="528"/>
      <c r="RNG2" s="528"/>
      <c r="RNH2" s="528"/>
      <c r="RNI2" s="528"/>
      <c r="RNJ2" s="528"/>
      <c r="RNK2" s="528"/>
      <c r="RNL2" s="528"/>
      <c r="RNM2" s="528"/>
      <c r="RNN2" s="528"/>
      <c r="RNO2" s="528"/>
      <c r="RNP2" s="528"/>
      <c r="RNQ2" s="528"/>
      <c r="RNR2" s="528"/>
      <c r="RNS2" s="528"/>
      <c r="RNT2" s="528"/>
      <c r="RNU2" s="528"/>
      <c r="RNV2" s="528"/>
      <c r="RNW2" s="528"/>
      <c r="RNX2" s="528"/>
      <c r="RNY2" s="528"/>
      <c r="RNZ2" s="528"/>
      <c r="ROA2" s="528"/>
      <c r="ROB2" s="528"/>
      <c r="ROC2" s="528"/>
      <c r="ROD2" s="528"/>
      <c r="ROE2" s="528"/>
      <c r="ROF2" s="528"/>
      <c r="ROG2" s="528"/>
      <c r="ROH2" s="528"/>
      <c r="ROI2" s="528"/>
      <c r="ROJ2" s="528"/>
      <c r="ROK2" s="528"/>
      <c r="ROL2" s="528"/>
      <c r="ROM2" s="528"/>
      <c r="RON2" s="528"/>
      <c r="ROO2" s="528"/>
      <c r="ROP2" s="528"/>
      <c r="ROQ2" s="528"/>
      <c r="ROR2" s="528"/>
      <c r="ROS2" s="528"/>
      <c r="ROT2" s="528"/>
      <c r="ROU2" s="528"/>
      <c r="ROV2" s="528"/>
      <c r="ROW2" s="528"/>
      <c r="ROX2" s="528"/>
      <c r="ROY2" s="528"/>
      <c r="ROZ2" s="528"/>
      <c r="RPA2" s="528"/>
      <c r="RPB2" s="528"/>
      <c r="RPC2" s="528"/>
      <c r="RPD2" s="528"/>
      <c r="RPE2" s="528"/>
      <c r="RPF2" s="528"/>
      <c r="RPG2" s="528"/>
      <c r="RPH2" s="528"/>
      <c r="RPI2" s="528"/>
      <c r="RPJ2" s="528"/>
      <c r="RPK2" s="528"/>
      <c r="RPL2" s="528"/>
      <c r="RPM2" s="528"/>
      <c r="RPN2" s="528"/>
      <c r="RPO2" s="528"/>
      <c r="RPP2" s="528"/>
      <c r="RPQ2" s="528"/>
      <c r="RPR2" s="528"/>
      <c r="RPS2" s="528"/>
      <c r="RPT2" s="528"/>
      <c r="RPU2" s="528"/>
      <c r="RPV2" s="528"/>
      <c r="RPW2" s="528"/>
      <c r="RPX2" s="528"/>
      <c r="RPY2" s="528"/>
      <c r="RPZ2" s="528"/>
      <c r="RQA2" s="528"/>
      <c r="RQB2" s="528"/>
      <c r="RQC2" s="528"/>
      <c r="RQD2" s="528"/>
      <c r="RQE2" s="528"/>
      <c r="RQF2" s="528"/>
      <c r="RQG2" s="528"/>
      <c r="RQH2" s="528"/>
      <c r="RQI2" s="528"/>
      <c r="RQJ2" s="528"/>
      <c r="RQK2" s="528"/>
      <c r="RQL2" s="528"/>
      <c r="RQM2" s="528"/>
      <c r="RQN2" s="528"/>
      <c r="RQO2" s="528"/>
      <c r="RQP2" s="528"/>
      <c r="RQQ2" s="528"/>
      <c r="RQR2" s="528"/>
      <c r="RQS2" s="528"/>
      <c r="RQT2" s="528"/>
      <c r="RQU2" s="528"/>
      <c r="RQV2" s="528"/>
      <c r="RQW2" s="528"/>
      <c r="RQX2" s="528"/>
      <c r="RQY2" s="528"/>
      <c r="RQZ2" s="528"/>
      <c r="RRA2" s="528"/>
      <c r="RRB2" s="528"/>
      <c r="RRC2" s="528"/>
      <c r="RRD2" s="528"/>
      <c r="RRE2" s="528"/>
      <c r="RRF2" s="528"/>
      <c r="RRG2" s="528"/>
      <c r="RRH2" s="528"/>
      <c r="RRI2" s="528"/>
      <c r="RRJ2" s="528"/>
      <c r="RRK2" s="528"/>
      <c r="RRL2" s="528"/>
      <c r="RRM2" s="528"/>
      <c r="RRN2" s="528"/>
      <c r="RRO2" s="528"/>
      <c r="RRP2" s="528"/>
      <c r="RRQ2" s="528"/>
      <c r="RRR2" s="528"/>
      <c r="RRS2" s="528"/>
      <c r="RRT2" s="528"/>
      <c r="RRU2" s="528"/>
      <c r="RRV2" s="528"/>
      <c r="RRW2" s="528"/>
      <c r="RRX2" s="528"/>
      <c r="RRY2" s="528"/>
      <c r="RRZ2" s="528"/>
      <c r="RSA2" s="528"/>
      <c r="RSB2" s="528"/>
      <c r="RSC2" s="528"/>
      <c r="RSD2" s="528"/>
      <c r="RSE2" s="528"/>
      <c r="RSF2" s="528"/>
      <c r="RSG2" s="528"/>
      <c r="RSH2" s="528"/>
      <c r="RSI2" s="528"/>
      <c r="RSJ2" s="528"/>
      <c r="RSK2" s="528"/>
      <c r="RSL2" s="528"/>
      <c r="RSM2" s="528"/>
      <c r="RSN2" s="528"/>
      <c r="RSO2" s="528"/>
      <c r="RSP2" s="528"/>
      <c r="RSQ2" s="528"/>
      <c r="RSR2" s="528"/>
      <c r="RSS2" s="528"/>
      <c r="RST2" s="528"/>
      <c r="RSU2" s="528"/>
      <c r="RSV2" s="528"/>
      <c r="RSW2" s="528"/>
      <c r="RSX2" s="528"/>
      <c r="RSY2" s="528"/>
      <c r="RSZ2" s="528"/>
      <c r="RTA2" s="528"/>
      <c r="RTB2" s="528"/>
      <c r="RTC2" s="528"/>
      <c r="RTD2" s="528"/>
      <c r="RTE2" s="528"/>
      <c r="RTF2" s="528"/>
      <c r="RTG2" s="528"/>
      <c r="RTH2" s="528"/>
      <c r="RTI2" s="528"/>
      <c r="RTJ2" s="528"/>
      <c r="RTK2" s="528"/>
      <c r="RTL2" s="528"/>
      <c r="RTM2" s="528"/>
      <c r="RTN2" s="528"/>
      <c r="RTO2" s="528"/>
      <c r="RTP2" s="528"/>
      <c r="RTQ2" s="528"/>
      <c r="RTR2" s="528"/>
      <c r="RTS2" s="528"/>
      <c r="RTT2" s="528"/>
      <c r="RTU2" s="528"/>
      <c r="RTV2" s="528"/>
      <c r="RTW2" s="528"/>
      <c r="RTX2" s="528"/>
      <c r="RTY2" s="528"/>
      <c r="RTZ2" s="528"/>
      <c r="RUA2" s="528"/>
      <c r="RUB2" s="528"/>
      <c r="RUC2" s="528"/>
      <c r="RUD2" s="528"/>
      <c r="RUE2" s="528"/>
      <c r="RUF2" s="528"/>
      <c r="RUG2" s="528"/>
      <c r="RUH2" s="528"/>
      <c r="RUI2" s="528"/>
      <c r="RUJ2" s="528"/>
      <c r="RUK2" s="528"/>
      <c r="RUL2" s="528"/>
      <c r="RUM2" s="528"/>
      <c r="RUN2" s="528"/>
      <c r="RUO2" s="528"/>
      <c r="RUP2" s="528"/>
      <c r="RUQ2" s="528"/>
      <c r="RUR2" s="528"/>
      <c r="RUS2" s="528"/>
      <c r="RUT2" s="528"/>
      <c r="RUU2" s="528"/>
      <c r="RUV2" s="528"/>
      <c r="RUW2" s="528"/>
      <c r="RUX2" s="528"/>
      <c r="RUY2" s="528"/>
      <c r="RUZ2" s="528"/>
      <c r="RVA2" s="528"/>
      <c r="RVB2" s="528"/>
      <c r="RVC2" s="528"/>
      <c r="RVD2" s="528"/>
      <c r="RVE2" s="528"/>
      <c r="RVF2" s="528"/>
      <c r="RVG2" s="528"/>
      <c r="RVH2" s="528"/>
      <c r="RVI2" s="528"/>
      <c r="RVJ2" s="528"/>
      <c r="RVK2" s="528"/>
      <c r="RVL2" s="528"/>
      <c r="RVM2" s="528"/>
      <c r="RVN2" s="528"/>
      <c r="RVO2" s="528"/>
      <c r="RVP2" s="528"/>
      <c r="RVQ2" s="528"/>
      <c r="RVR2" s="528"/>
      <c r="RVS2" s="528"/>
      <c r="RVT2" s="528"/>
      <c r="RVU2" s="528"/>
      <c r="RVV2" s="528"/>
      <c r="RVW2" s="528"/>
      <c r="RVX2" s="528"/>
      <c r="RVY2" s="528"/>
      <c r="RVZ2" s="528"/>
      <c r="RWA2" s="528"/>
      <c r="RWB2" s="528"/>
      <c r="RWC2" s="528"/>
      <c r="RWD2" s="528"/>
      <c r="RWE2" s="528"/>
      <c r="RWF2" s="528"/>
      <c r="RWG2" s="528"/>
      <c r="RWH2" s="528"/>
      <c r="RWI2" s="528"/>
      <c r="RWJ2" s="528"/>
      <c r="RWK2" s="528"/>
      <c r="RWL2" s="528"/>
      <c r="RWM2" s="528"/>
      <c r="RWN2" s="528"/>
      <c r="RWO2" s="528"/>
      <c r="RWP2" s="528"/>
      <c r="RWQ2" s="528"/>
      <c r="RWR2" s="528"/>
      <c r="RWS2" s="528"/>
      <c r="RWT2" s="528"/>
      <c r="RWU2" s="528"/>
      <c r="RWV2" s="528"/>
      <c r="RWW2" s="528"/>
      <c r="RWX2" s="528"/>
      <c r="RWY2" s="528"/>
      <c r="RWZ2" s="528"/>
      <c r="RXA2" s="528"/>
      <c r="RXB2" s="528"/>
      <c r="RXC2" s="528"/>
      <c r="RXD2" s="528"/>
      <c r="RXE2" s="528"/>
      <c r="RXF2" s="528"/>
      <c r="RXG2" s="528"/>
      <c r="RXH2" s="528"/>
      <c r="RXI2" s="528"/>
      <c r="RXJ2" s="528"/>
      <c r="RXK2" s="528"/>
      <c r="RXL2" s="528"/>
      <c r="RXM2" s="528"/>
      <c r="RXN2" s="528"/>
      <c r="RXO2" s="528"/>
      <c r="RXP2" s="528"/>
      <c r="RXQ2" s="528"/>
      <c r="RXR2" s="528"/>
      <c r="RXS2" s="528"/>
      <c r="RXT2" s="528"/>
      <c r="RXU2" s="528"/>
      <c r="RXV2" s="528"/>
      <c r="RXW2" s="528"/>
      <c r="RXX2" s="528"/>
      <c r="RXY2" s="528"/>
      <c r="RXZ2" s="528"/>
      <c r="RYA2" s="528"/>
      <c r="RYB2" s="528"/>
      <c r="RYC2" s="528"/>
      <c r="RYD2" s="528"/>
      <c r="RYE2" s="528"/>
      <c r="RYF2" s="528"/>
      <c r="RYG2" s="528"/>
      <c r="RYH2" s="528"/>
      <c r="RYI2" s="528"/>
      <c r="RYJ2" s="528"/>
      <c r="RYK2" s="528"/>
      <c r="RYL2" s="528"/>
      <c r="RYM2" s="528"/>
      <c r="RYN2" s="528"/>
      <c r="RYO2" s="528"/>
      <c r="RYP2" s="528"/>
      <c r="RYQ2" s="528"/>
      <c r="RYR2" s="528"/>
      <c r="RYS2" s="528"/>
      <c r="RYT2" s="528"/>
      <c r="RYU2" s="528"/>
      <c r="RYV2" s="528"/>
      <c r="RYW2" s="528"/>
      <c r="RYX2" s="528"/>
      <c r="RYY2" s="528"/>
      <c r="RYZ2" s="528"/>
      <c r="RZA2" s="528"/>
      <c r="RZB2" s="528"/>
      <c r="RZC2" s="528"/>
      <c r="RZD2" s="528"/>
      <c r="RZE2" s="528"/>
      <c r="RZF2" s="528"/>
      <c r="RZG2" s="528"/>
      <c r="RZH2" s="528"/>
      <c r="RZI2" s="528"/>
      <c r="RZJ2" s="528"/>
      <c r="RZK2" s="528"/>
      <c r="RZL2" s="528"/>
      <c r="RZM2" s="528"/>
      <c r="RZN2" s="528"/>
      <c r="RZO2" s="528"/>
      <c r="RZP2" s="528"/>
      <c r="RZQ2" s="528"/>
      <c r="RZR2" s="528"/>
      <c r="RZS2" s="528"/>
      <c r="RZT2" s="528"/>
      <c r="RZU2" s="528"/>
      <c r="RZV2" s="528"/>
      <c r="RZW2" s="528"/>
      <c r="RZX2" s="528"/>
      <c r="RZY2" s="528"/>
      <c r="RZZ2" s="528"/>
      <c r="SAA2" s="528"/>
      <c r="SAB2" s="528"/>
      <c r="SAC2" s="528"/>
      <c r="SAD2" s="528"/>
      <c r="SAE2" s="528"/>
      <c r="SAF2" s="528"/>
      <c r="SAG2" s="528"/>
      <c r="SAH2" s="528"/>
      <c r="SAI2" s="528"/>
      <c r="SAJ2" s="528"/>
      <c r="SAK2" s="528"/>
      <c r="SAL2" s="528"/>
      <c r="SAM2" s="528"/>
      <c r="SAN2" s="528"/>
      <c r="SAO2" s="528"/>
      <c r="SAP2" s="528"/>
      <c r="SAQ2" s="528"/>
      <c r="SAR2" s="528"/>
      <c r="SAS2" s="528"/>
      <c r="SAT2" s="528"/>
      <c r="SAU2" s="528"/>
      <c r="SAV2" s="528"/>
      <c r="SAW2" s="528"/>
      <c r="SAX2" s="528"/>
      <c r="SAY2" s="528"/>
      <c r="SAZ2" s="528"/>
      <c r="SBA2" s="528"/>
      <c r="SBB2" s="528"/>
      <c r="SBC2" s="528"/>
      <c r="SBD2" s="528"/>
      <c r="SBE2" s="528"/>
      <c r="SBF2" s="528"/>
      <c r="SBG2" s="528"/>
      <c r="SBH2" s="528"/>
      <c r="SBI2" s="528"/>
      <c r="SBJ2" s="528"/>
      <c r="SBK2" s="528"/>
      <c r="SBL2" s="528"/>
      <c r="SBM2" s="528"/>
      <c r="SBN2" s="528"/>
      <c r="SBO2" s="528"/>
      <c r="SBP2" s="528"/>
      <c r="SBQ2" s="528"/>
      <c r="SBR2" s="528"/>
      <c r="SBS2" s="528"/>
      <c r="SBT2" s="528"/>
      <c r="SBU2" s="528"/>
      <c r="SBV2" s="528"/>
      <c r="SBW2" s="528"/>
      <c r="SBX2" s="528"/>
      <c r="SBY2" s="528"/>
      <c r="SBZ2" s="528"/>
      <c r="SCA2" s="528"/>
      <c r="SCB2" s="528"/>
      <c r="SCC2" s="528"/>
      <c r="SCD2" s="528"/>
      <c r="SCE2" s="528"/>
      <c r="SCF2" s="528"/>
      <c r="SCG2" s="528"/>
      <c r="SCH2" s="528"/>
      <c r="SCI2" s="528"/>
      <c r="SCJ2" s="528"/>
      <c r="SCK2" s="528"/>
      <c r="SCL2" s="528"/>
      <c r="SCM2" s="528"/>
      <c r="SCN2" s="528"/>
      <c r="SCO2" s="528"/>
      <c r="SCP2" s="528"/>
      <c r="SCQ2" s="528"/>
      <c r="SCR2" s="528"/>
      <c r="SCS2" s="528"/>
      <c r="SCT2" s="528"/>
      <c r="SCU2" s="528"/>
      <c r="SCV2" s="528"/>
      <c r="SCW2" s="528"/>
      <c r="SCX2" s="528"/>
      <c r="SCY2" s="528"/>
      <c r="SCZ2" s="528"/>
      <c r="SDA2" s="528"/>
      <c r="SDB2" s="528"/>
      <c r="SDC2" s="528"/>
      <c r="SDD2" s="528"/>
      <c r="SDE2" s="528"/>
      <c r="SDF2" s="528"/>
      <c r="SDG2" s="528"/>
      <c r="SDH2" s="528"/>
      <c r="SDI2" s="528"/>
      <c r="SDJ2" s="528"/>
      <c r="SDK2" s="528"/>
      <c r="SDL2" s="528"/>
      <c r="SDM2" s="528"/>
      <c r="SDN2" s="528"/>
      <c r="SDO2" s="528"/>
      <c r="SDP2" s="528"/>
      <c r="SDQ2" s="528"/>
      <c r="SDR2" s="528"/>
      <c r="SDS2" s="528"/>
      <c r="SDT2" s="528"/>
      <c r="SDU2" s="528"/>
      <c r="SDV2" s="528"/>
      <c r="SDW2" s="528"/>
      <c r="SDX2" s="528"/>
      <c r="SDY2" s="528"/>
      <c r="SDZ2" s="528"/>
      <c r="SEA2" s="528"/>
      <c r="SEB2" s="528"/>
      <c r="SEC2" s="528"/>
      <c r="SED2" s="528"/>
      <c r="SEE2" s="528"/>
      <c r="SEF2" s="528"/>
      <c r="SEG2" s="528"/>
      <c r="SEH2" s="528"/>
      <c r="SEI2" s="528"/>
      <c r="SEJ2" s="528"/>
      <c r="SEK2" s="528"/>
      <c r="SEL2" s="528"/>
      <c r="SEM2" s="528"/>
      <c r="SEN2" s="528"/>
      <c r="SEO2" s="528"/>
      <c r="SEP2" s="528"/>
      <c r="SEQ2" s="528"/>
      <c r="SER2" s="528"/>
      <c r="SES2" s="528"/>
      <c r="SET2" s="528"/>
      <c r="SEU2" s="528"/>
      <c r="SEV2" s="528"/>
      <c r="SEW2" s="528"/>
      <c r="SEX2" s="528"/>
      <c r="SEY2" s="528"/>
      <c r="SEZ2" s="528"/>
      <c r="SFA2" s="528"/>
      <c r="SFB2" s="528"/>
      <c r="SFC2" s="528"/>
      <c r="SFD2" s="528"/>
      <c r="SFE2" s="528"/>
      <c r="SFF2" s="528"/>
      <c r="SFG2" s="528"/>
      <c r="SFH2" s="528"/>
      <c r="SFI2" s="528"/>
      <c r="SFJ2" s="528"/>
      <c r="SFK2" s="528"/>
      <c r="SFL2" s="528"/>
      <c r="SFM2" s="528"/>
      <c r="SFN2" s="528"/>
      <c r="SFO2" s="528"/>
      <c r="SFP2" s="528"/>
      <c r="SFQ2" s="528"/>
      <c r="SFR2" s="528"/>
      <c r="SFS2" s="528"/>
      <c r="SFT2" s="528"/>
      <c r="SFU2" s="528"/>
      <c r="SFV2" s="528"/>
      <c r="SFW2" s="528"/>
      <c r="SFX2" s="528"/>
      <c r="SFY2" s="528"/>
      <c r="SFZ2" s="528"/>
      <c r="SGA2" s="528"/>
      <c r="SGB2" s="528"/>
      <c r="SGC2" s="528"/>
      <c r="SGD2" s="528"/>
      <c r="SGE2" s="528"/>
      <c r="SGF2" s="528"/>
      <c r="SGG2" s="528"/>
      <c r="SGH2" s="528"/>
      <c r="SGI2" s="528"/>
      <c r="SGJ2" s="528"/>
      <c r="SGK2" s="528"/>
      <c r="SGL2" s="528"/>
      <c r="SGM2" s="528"/>
      <c r="SGN2" s="528"/>
      <c r="SGO2" s="528"/>
      <c r="SGP2" s="528"/>
      <c r="SGQ2" s="528"/>
      <c r="SGR2" s="528"/>
      <c r="SGS2" s="528"/>
      <c r="SGT2" s="528"/>
      <c r="SGU2" s="528"/>
      <c r="SGV2" s="528"/>
      <c r="SGW2" s="528"/>
      <c r="SGX2" s="528"/>
      <c r="SGY2" s="528"/>
      <c r="SGZ2" s="528"/>
      <c r="SHA2" s="528"/>
      <c r="SHB2" s="528"/>
      <c r="SHC2" s="528"/>
      <c r="SHD2" s="528"/>
      <c r="SHE2" s="528"/>
      <c r="SHF2" s="528"/>
      <c r="SHG2" s="528"/>
      <c r="SHH2" s="528"/>
      <c r="SHI2" s="528"/>
      <c r="SHJ2" s="528"/>
      <c r="SHK2" s="528"/>
      <c r="SHL2" s="528"/>
      <c r="SHM2" s="528"/>
      <c r="SHN2" s="528"/>
      <c r="SHO2" s="528"/>
      <c r="SHP2" s="528"/>
      <c r="SHQ2" s="528"/>
      <c r="SHR2" s="528"/>
      <c r="SHS2" s="528"/>
      <c r="SHT2" s="528"/>
      <c r="SHU2" s="528"/>
      <c r="SHV2" s="528"/>
      <c r="SHW2" s="528"/>
      <c r="SHX2" s="528"/>
      <c r="SHY2" s="528"/>
      <c r="SHZ2" s="528"/>
      <c r="SIA2" s="528"/>
      <c r="SIB2" s="528"/>
      <c r="SIC2" s="528"/>
      <c r="SID2" s="528"/>
      <c r="SIE2" s="528"/>
      <c r="SIF2" s="528"/>
      <c r="SIG2" s="528"/>
      <c r="SIH2" s="528"/>
      <c r="SII2" s="528"/>
      <c r="SIJ2" s="528"/>
      <c r="SIK2" s="528"/>
      <c r="SIL2" s="528"/>
      <c r="SIM2" s="528"/>
      <c r="SIN2" s="528"/>
      <c r="SIO2" s="528"/>
      <c r="SIP2" s="528"/>
      <c r="SIQ2" s="528"/>
      <c r="SIR2" s="528"/>
      <c r="SIS2" s="528"/>
      <c r="SIT2" s="528"/>
      <c r="SIU2" s="528"/>
      <c r="SIV2" s="528"/>
      <c r="SIW2" s="528"/>
      <c r="SIX2" s="528"/>
      <c r="SIY2" s="528"/>
      <c r="SIZ2" s="528"/>
      <c r="SJA2" s="528"/>
      <c r="SJB2" s="528"/>
      <c r="SJC2" s="528"/>
      <c r="SJD2" s="528"/>
      <c r="SJE2" s="528"/>
      <c r="SJF2" s="528"/>
      <c r="SJG2" s="528"/>
      <c r="SJH2" s="528"/>
      <c r="SJI2" s="528"/>
      <c r="SJJ2" s="528"/>
      <c r="SJK2" s="528"/>
      <c r="SJL2" s="528"/>
      <c r="SJM2" s="528"/>
      <c r="SJN2" s="528"/>
      <c r="SJO2" s="528"/>
      <c r="SJP2" s="528"/>
      <c r="SJQ2" s="528"/>
      <c r="SJR2" s="528"/>
      <c r="SJS2" s="528"/>
      <c r="SJT2" s="528"/>
      <c r="SJU2" s="528"/>
      <c r="SJV2" s="528"/>
      <c r="SJW2" s="528"/>
      <c r="SJX2" s="528"/>
      <c r="SJY2" s="528"/>
      <c r="SJZ2" s="528"/>
      <c r="SKA2" s="528"/>
      <c r="SKB2" s="528"/>
      <c r="SKC2" s="528"/>
      <c r="SKD2" s="528"/>
      <c r="SKE2" s="528"/>
      <c r="SKF2" s="528"/>
      <c r="SKG2" s="528"/>
      <c r="SKH2" s="528"/>
      <c r="SKI2" s="528"/>
      <c r="SKJ2" s="528"/>
      <c r="SKK2" s="528"/>
      <c r="SKL2" s="528"/>
      <c r="SKM2" s="528"/>
      <c r="SKN2" s="528"/>
      <c r="SKO2" s="528"/>
      <c r="SKP2" s="528"/>
      <c r="SKQ2" s="528"/>
      <c r="SKR2" s="528"/>
      <c r="SKS2" s="528"/>
      <c r="SKT2" s="528"/>
      <c r="SKU2" s="528"/>
      <c r="SKV2" s="528"/>
      <c r="SKW2" s="528"/>
      <c r="SKX2" s="528"/>
      <c r="SKY2" s="528"/>
      <c r="SKZ2" s="528"/>
      <c r="SLA2" s="528"/>
      <c r="SLB2" s="528"/>
      <c r="SLC2" s="528"/>
      <c r="SLD2" s="528"/>
      <c r="SLE2" s="528"/>
      <c r="SLF2" s="528"/>
      <c r="SLG2" s="528"/>
      <c r="SLH2" s="528"/>
      <c r="SLI2" s="528"/>
      <c r="SLJ2" s="528"/>
      <c r="SLK2" s="528"/>
      <c r="SLL2" s="528"/>
      <c r="SLM2" s="528"/>
      <c r="SLN2" s="528"/>
      <c r="SLO2" s="528"/>
      <c r="SLP2" s="528"/>
      <c r="SLQ2" s="528"/>
      <c r="SLR2" s="528"/>
      <c r="SLS2" s="528"/>
      <c r="SLT2" s="528"/>
      <c r="SLU2" s="528"/>
      <c r="SLV2" s="528"/>
      <c r="SLW2" s="528"/>
      <c r="SLX2" s="528"/>
      <c r="SLY2" s="528"/>
      <c r="SLZ2" s="528"/>
      <c r="SMA2" s="528"/>
      <c r="SMB2" s="528"/>
      <c r="SMC2" s="528"/>
      <c r="SMD2" s="528"/>
      <c r="SME2" s="528"/>
      <c r="SMF2" s="528"/>
      <c r="SMG2" s="528"/>
      <c r="SMH2" s="528"/>
      <c r="SMI2" s="528"/>
      <c r="SMJ2" s="528"/>
      <c r="SMK2" s="528"/>
      <c r="SML2" s="528"/>
      <c r="SMM2" s="528"/>
      <c r="SMN2" s="528"/>
      <c r="SMO2" s="528"/>
      <c r="SMP2" s="528"/>
      <c r="SMQ2" s="528"/>
      <c r="SMR2" s="528"/>
      <c r="SMS2" s="528"/>
      <c r="SMT2" s="528"/>
      <c r="SMU2" s="528"/>
      <c r="SMV2" s="528"/>
      <c r="SMW2" s="528"/>
      <c r="SMX2" s="528"/>
      <c r="SMY2" s="528"/>
      <c r="SMZ2" s="528"/>
      <c r="SNA2" s="528"/>
      <c r="SNB2" s="528"/>
      <c r="SNC2" s="528"/>
      <c r="SND2" s="528"/>
      <c r="SNE2" s="528"/>
      <c r="SNF2" s="528"/>
      <c r="SNG2" s="528"/>
      <c r="SNH2" s="528"/>
      <c r="SNI2" s="528"/>
      <c r="SNJ2" s="528"/>
      <c r="SNK2" s="528"/>
      <c r="SNL2" s="528"/>
      <c r="SNM2" s="528"/>
      <c r="SNN2" s="528"/>
      <c r="SNO2" s="528"/>
      <c r="SNP2" s="528"/>
      <c r="SNQ2" s="528"/>
      <c r="SNR2" s="528"/>
      <c r="SNS2" s="528"/>
      <c r="SNT2" s="528"/>
      <c r="SNU2" s="528"/>
      <c r="SNV2" s="528"/>
      <c r="SNW2" s="528"/>
      <c r="SNX2" s="528"/>
      <c r="SNY2" s="528"/>
      <c r="SNZ2" s="528"/>
      <c r="SOA2" s="528"/>
      <c r="SOB2" s="528"/>
      <c r="SOC2" s="528"/>
      <c r="SOD2" s="528"/>
      <c r="SOE2" s="528"/>
      <c r="SOF2" s="528"/>
      <c r="SOG2" s="528"/>
      <c r="SOH2" s="528"/>
      <c r="SOI2" s="528"/>
      <c r="SOJ2" s="528"/>
      <c r="SOK2" s="528"/>
      <c r="SOL2" s="528"/>
      <c r="SOM2" s="528"/>
      <c r="SON2" s="528"/>
      <c r="SOO2" s="528"/>
      <c r="SOP2" s="528"/>
      <c r="SOQ2" s="528"/>
      <c r="SOR2" s="528"/>
      <c r="SOS2" s="528"/>
      <c r="SOT2" s="528"/>
      <c r="SOU2" s="528"/>
      <c r="SOV2" s="528"/>
      <c r="SOW2" s="528"/>
      <c r="SOX2" s="528"/>
      <c r="SOY2" s="528"/>
      <c r="SOZ2" s="528"/>
      <c r="SPA2" s="528"/>
      <c r="SPB2" s="528"/>
      <c r="SPC2" s="528"/>
      <c r="SPD2" s="528"/>
      <c r="SPE2" s="528"/>
      <c r="SPF2" s="528"/>
      <c r="SPG2" s="528"/>
      <c r="SPH2" s="528"/>
      <c r="SPI2" s="528"/>
      <c r="SPJ2" s="528"/>
      <c r="SPK2" s="528"/>
      <c r="SPL2" s="528"/>
      <c r="SPM2" s="528"/>
      <c r="SPN2" s="528"/>
      <c r="SPO2" s="528"/>
      <c r="SPP2" s="528"/>
      <c r="SPQ2" s="528"/>
      <c r="SPR2" s="528"/>
      <c r="SPS2" s="528"/>
      <c r="SPT2" s="528"/>
      <c r="SPU2" s="528"/>
      <c r="SPV2" s="528"/>
      <c r="SPW2" s="528"/>
      <c r="SPX2" s="528"/>
      <c r="SPY2" s="528"/>
      <c r="SPZ2" s="528"/>
      <c r="SQA2" s="528"/>
      <c r="SQB2" s="528"/>
      <c r="SQC2" s="528"/>
      <c r="SQD2" s="528"/>
      <c r="SQE2" s="528"/>
      <c r="SQF2" s="528"/>
      <c r="SQG2" s="528"/>
      <c r="SQH2" s="528"/>
      <c r="SQI2" s="528"/>
      <c r="SQJ2" s="528"/>
      <c r="SQK2" s="528"/>
      <c r="SQL2" s="528"/>
      <c r="SQM2" s="528"/>
      <c r="SQN2" s="528"/>
      <c r="SQO2" s="528"/>
      <c r="SQP2" s="528"/>
      <c r="SQQ2" s="528"/>
      <c r="SQR2" s="528"/>
      <c r="SQS2" s="528"/>
      <c r="SQT2" s="528"/>
      <c r="SQU2" s="528"/>
      <c r="SQV2" s="528"/>
      <c r="SQW2" s="528"/>
      <c r="SQX2" s="528"/>
      <c r="SQY2" s="528"/>
      <c r="SQZ2" s="528"/>
      <c r="SRA2" s="528"/>
      <c r="SRB2" s="528"/>
      <c r="SRC2" s="528"/>
      <c r="SRD2" s="528"/>
      <c r="SRE2" s="528"/>
      <c r="SRF2" s="528"/>
      <c r="SRG2" s="528"/>
      <c r="SRH2" s="528"/>
      <c r="SRI2" s="528"/>
      <c r="SRJ2" s="528"/>
      <c r="SRK2" s="528"/>
      <c r="SRL2" s="528"/>
      <c r="SRM2" s="528"/>
      <c r="SRN2" s="528"/>
      <c r="SRO2" s="528"/>
      <c r="SRP2" s="528"/>
      <c r="SRQ2" s="528"/>
      <c r="SRR2" s="528"/>
      <c r="SRS2" s="528"/>
      <c r="SRT2" s="528"/>
      <c r="SRU2" s="528"/>
      <c r="SRV2" s="528"/>
      <c r="SRW2" s="528"/>
      <c r="SRX2" s="528"/>
      <c r="SRY2" s="528"/>
      <c r="SRZ2" s="528"/>
      <c r="SSA2" s="528"/>
      <c r="SSB2" s="528"/>
      <c r="SSC2" s="528"/>
      <c r="SSD2" s="528"/>
      <c r="SSE2" s="528"/>
      <c r="SSF2" s="528"/>
      <c r="SSG2" s="528"/>
      <c r="SSH2" s="528"/>
      <c r="SSI2" s="528"/>
      <c r="SSJ2" s="528"/>
      <c r="SSK2" s="528"/>
      <c r="SSL2" s="528"/>
      <c r="SSM2" s="528"/>
      <c r="SSN2" s="528"/>
      <c r="SSO2" s="528"/>
      <c r="SSP2" s="528"/>
      <c r="SSQ2" s="528"/>
      <c r="SSR2" s="528"/>
      <c r="SSS2" s="528"/>
      <c r="SST2" s="528"/>
      <c r="SSU2" s="528"/>
      <c r="SSV2" s="528"/>
      <c r="SSW2" s="528"/>
      <c r="SSX2" s="528"/>
      <c r="SSY2" s="528"/>
      <c r="SSZ2" s="528"/>
      <c r="STA2" s="528"/>
      <c r="STB2" s="528"/>
      <c r="STC2" s="528"/>
      <c r="STD2" s="528"/>
      <c r="STE2" s="528"/>
      <c r="STF2" s="528"/>
      <c r="STG2" s="528"/>
      <c r="STH2" s="528"/>
      <c r="STI2" s="528"/>
      <c r="STJ2" s="528"/>
      <c r="STK2" s="528"/>
      <c r="STL2" s="528"/>
      <c r="STM2" s="528"/>
      <c r="STN2" s="528"/>
      <c r="STO2" s="528"/>
      <c r="STP2" s="528"/>
      <c r="STQ2" s="528"/>
      <c r="STR2" s="528"/>
      <c r="STS2" s="528"/>
      <c r="STT2" s="528"/>
      <c r="STU2" s="528"/>
      <c r="STV2" s="528"/>
      <c r="STW2" s="528"/>
      <c r="STX2" s="528"/>
      <c r="STY2" s="528"/>
      <c r="STZ2" s="528"/>
      <c r="SUA2" s="528"/>
      <c r="SUB2" s="528"/>
      <c r="SUC2" s="528"/>
      <c r="SUD2" s="528"/>
      <c r="SUE2" s="528"/>
      <c r="SUF2" s="528"/>
      <c r="SUG2" s="528"/>
      <c r="SUH2" s="528"/>
      <c r="SUI2" s="528"/>
      <c r="SUJ2" s="528"/>
      <c r="SUK2" s="528"/>
      <c r="SUL2" s="528"/>
      <c r="SUM2" s="528"/>
      <c r="SUN2" s="528"/>
      <c r="SUO2" s="528"/>
      <c r="SUP2" s="528"/>
      <c r="SUQ2" s="528"/>
      <c r="SUR2" s="528"/>
      <c r="SUS2" s="528"/>
      <c r="SUT2" s="528"/>
      <c r="SUU2" s="528"/>
      <c r="SUV2" s="528"/>
      <c r="SUW2" s="528"/>
      <c r="SUX2" s="528"/>
      <c r="SUY2" s="528"/>
      <c r="SUZ2" s="528"/>
      <c r="SVA2" s="528"/>
      <c r="SVB2" s="528"/>
      <c r="SVC2" s="528"/>
      <c r="SVD2" s="528"/>
      <c r="SVE2" s="528"/>
      <c r="SVF2" s="528"/>
      <c r="SVG2" s="528"/>
      <c r="SVH2" s="528"/>
      <c r="SVI2" s="528"/>
      <c r="SVJ2" s="528"/>
      <c r="SVK2" s="528"/>
      <c r="SVL2" s="528"/>
      <c r="SVM2" s="528"/>
      <c r="SVN2" s="528"/>
      <c r="SVO2" s="528"/>
      <c r="SVP2" s="528"/>
      <c r="SVQ2" s="528"/>
      <c r="SVR2" s="528"/>
      <c r="SVS2" s="528"/>
      <c r="SVT2" s="528"/>
      <c r="SVU2" s="528"/>
      <c r="SVV2" s="528"/>
      <c r="SVW2" s="528"/>
      <c r="SVX2" s="528"/>
      <c r="SVY2" s="528"/>
      <c r="SVZ2" s="528"/>
      <c r="SWA2" s="528"/>
      <c r="SWB2" s="528"/>
      <c r="SWC2" s="528"/>
      <c r="SWD2" s="528"/>
      <c r="SWE2" s="528"/>
      <c r="SWF2" s="528"/>
      <c r="SWG2" s="528"/>
      <c r="SWH2" s="528"/>
      <c r="SWI2" s="528"/>
      <c r="SWJ2" s="528"/>
      <c r="SWK2" s="528"/>
      <c r="SWL2" s="528"/>
      <c r="SWM2" s="528"/>
      <c r="SWN2" s="528"/>
      <c r="SWO2" s="528"/>
      <c r="SWP2" s="528"/>
      <c r="SWQ2" s="528"/>
      <c r="SWR2" s="528"/>
      <c r="SWS2" s="528"/>
      <c r="SWT2" s="528"/>
      <c r="SWU2" s="528"/>
      <c r="SWV2" s="528"/>
      <c r="SWW2" s="528"/>
      <c r="SWX2" s="528"/>
      <c r="SWY2" s="528"/>
      <c r="SWZ2" s="528"/>
      <c r="SXA2" s="528"/>
      <c r="SXB2" s="528"/>
      <c r="SXC2" s="528"/>
      <c r="SXD2" s="528"/>
      <c r="SXE2" s="528"/>
      <c r="SXF2" s="528"/>
      <c r="SXG2" s="528"/>
      <c r="SXH2" s="528"/>
      <c r="SXI2" s="528"/>
      <c r="SXJ2" s="528"/>
      <c r="SXK2" s="528"/>
      <c r="SXL2" s="528"/>
      <c r="SXM2" s="528"/>
      <c r="SXN2" s="528"/>
      <c r="SXO2" s="528"/>
      <c r="SXP2" s="528"/>
      <c r="SXQ2" s="528"/>
      <c r="SXR2" s="528"/>
      <c r="SXS2" s="528"/>
      <c r="SXT2" s="528"/>
      <c r="SXU2" s="528"/>
      <c r="SXV2" s="528"/>
      <c r="SXW2" s="528"/>
      <c r="SXX2" s="528"/>
      <c r="SXY2" s="528"/>
      <c r="SXZ2" s="528"/>
      <c r="SYA2" s="528"/>
      <c r="SYB2" s="528"/>
      <c r="SYC2" s="528"/>
      <c r="SYD2" s="528"/>
      <c r="SYE2" s="528"/>
      <c r="SYF2" s="528"/>
      <c r="SYG2" s="528"/>
      <c r="SYH2" s="528"/>
      <c r="SYI2" s="528"/>
      <c r="SYJ2" s="528"/>
      <c r="SYK2" s="528"/>
      <c r="SYL2" s="528"/>
      <c r="SYM2" s="528"/>
      <c r="SYN2" s="528"/>
      <c r="SYO2" s="528"/>
      <c r="SYP2" s="528"/>
      <c r="SYQ2" s="528"/>
      <c r="SYR2" s="528"/>
      <c r="SYS2" s="528"/>
      <c r="SYT2" s="528"/>
      <c r="SYU2" s="528"/>
      <c r="SYV2" s="528"/>
      <c r="SYW2" s="528"/>
      <c r="SYX2" s="528"/>
      <c r="SYY2" s="528"/>
      <c r="SYZ2" s="528"/>
      <c r="SZA2" s="528"/>
      <c r="SZB2" s="528"/>
      <c r="SZC2" s="528"/>
      <c r="SZD2" s="528"/>
      <c r="SZE2" s="528"/>
      <c r="SZF2" s="528"/>
      <c r="SZG2" s="528"/>
      <c r="SZH2" s="528"/>
      <c r="SZI2" s="528"/>
      <c r="SZJ2" s="528"/>
      <c r="SZK2" s="528"/>
      <c r="SZL2" s="528"/>
      <c r="SZM2" s="528"/>
      <c r="SZN2" s="528"/>
      <c r="SZO2" s="528"/>
      <c r="SZP2" s="528"/>
      <c r="SZQ2" s="528"/>
      <c r="SZR2" s="528"/>
      <c r="SZS2" s="528"/>
      <c r="SZT2" s="528"/>
      <c r="SZU2" s="528"/>
      <c r="SZV2" s="528"/>
      <c r="SZW2" s="528"/>
      <c r="SZX2" s="528"/>
      <c r="SZY2" s="528"/>
      <c r="SZZ2" s="528"/>
      <c r="TAA2" s="528"/>
      <c r="TAB2" s="528"/>
      <c r="TAC2" s="528"/>
      <c r="TAD2" s="528"/>
      <c r="TAE2" s="528"/>
      <c r="TAF2" s="528"/>
      <c r="TAG2" s="528"/>
      <c r="TAH2" s="528"/>
      <c r="TAI2" s="528"/>
      <c r="TAJ2" s="528"/>
      <c r="TAK2" s="528"/>
      <c r="TAL2" s="528"/>
      <c r="TAM2" s="528"/>
      <c r="TAN2" s="528"/>
      <c r="TAO2" s="528"/>
      <c r="TAP2" s="528"/>
      <c r="TAQ2" s="528"/>
      <c r="TAR2" s="528"/>
      <c r="TAS2" s="528"/>
      <c r="TAT2" s="528"/>
      <c r="TAU2" s="528"/>
      <c r="TAV2" s="528"/>
      <c r="TAW2" s="528"/>
      <c r="TAX2" s="528"/>
      <c r="TAY2" s="528"/>
      <c r="TAZ2" s="528"/>
      <c r="TBA2" s="528"/>
      <c r="TBB2" s="528"/>
      <c r="TBC2" s="528"/>
      <c r="TBD2" s="528"/>
      <c r="TBE2" s="528"/>
      <c r="TBF2" s="528"/>
      <c r="TBG2" s="528"/>
      <c r="TBH2" s="528"/>
      <c r="TBI2" s="528"/>
      <c r="TBJ2" s="528"/>
      <c r="TBK2" s="528"/>
      <c r="TBL2" s="528"/>
      <c r="TBM2" s="528"/>
      <c r="TBN2" s="528"/>
      <c r="TBO2" s="528"/>
      <c r="TBP2" s="528"/>
      <c r="TBQ2" s="528"/>
      <c r="TBR2" s="528"/>
      <c r="TBS2" s="528"/>
      <c r="TBT2" s="528"/>
      <c r="TBU2" s="528"/>
      <c r="TBV2" s="528"/>
      <c r="TBW2" s="528"/>
      <c r="TBX2" s="528"/>
      <c r="TBY2" s="528"/>
      <c r="TBZ2" s="528"/>
      <c r="TCA2" s="528"/>
      <c r="TCB2" s="528"/>
      <c r="TCC2" s="528"/>
      <c r="TCD2" s="528"/>
      <c r="TCE2" s="528"/>
      <c r="TCF2" s="528"/>
      <c r="TCG2" s="528"/>
      <c r="TCH2" s="528"/>
      <c r="TCI2" s="528"/>
      <c r="TCJ2" s="528"/>
      <c r="TCK2" s="528"/>
      <c r="TCL2" s="528"/>
      <c r="TCM2" s="528"/>
      <c r="TCN2" s="528"/>
      <c r="TCO2" s="528"/>
      <c r="TCP2" s="528"/>
      <c r="TCQ2" s="528"/>
      <c r="TCR2" s="528"/>
      <c r="TCS2" s="528"/>
      <c r="TCT2" s="528"/>
      <c r="TCU2" s="528"/>
      <c r="TCV2" s="528"/>
      <c r="TCW2" s="528"/>
      <c r="TCX2" s="528"/>
      <c r="TCY2" s="528"/>
      <c r="TCZ2" s="528"/>
      <c r="TDA2" s="528"/>
      <c r="TDB2" s="528"/>
      <c r="TDC2" s="528"/>
      <c r="TDD2" s="528"/>
      <c r="TDE2" s="528"/>
      <c r="TDF2" s="528"/>
      <c r="TDG2" s="528"/>
      <c r="TDH2" s="528"/>
      <c r="TDI2" s="528"/>
      <c r="TDJ2" s="528"/>
      <c r="TDK2" s="528"/>
      <c r="TDL2" s="528"/>
      <c r="TDM2" s="528"/>
      <c r="TDN2" s="528"/>
      <c r="TDO2" s="528"/>
      <c r="TDP2" s="528"/>
      <c r="TDQ2" s="528"/>
      <c r="TDR2" s="528"/>
      <c r="TDS2" s="528"/>
      <c r="TDT2" s="528"/>
      <c r="TDU2" s="528"/>
      <c r="TDV2" s="528"/>
      <c r="TDW2" s="528"/>
      <c r="TDX2" s="528"/>
      <c r="TDY2" s="528"/>
      <c r="TDZ2" s="528"/>
      <c r="TEA2" s="528"/>
      <c r="TEB2" s="528"/>
      <c r="TEC2" s="528"/>
      <c r="TED2" s="528"/>
      <c r="TEE2" s="528"/>
      <c r="TEF2" s="528"/>
      <c r="TEG2" s="528"/>
      <c r="TEH2" s="528"/>
      <c r="TEI2" s="528"/>
      <c r="TEJ2" s="528"/>
      <c r="TEK2" s="528"/>
      <c r="TEL2" s="528"/>
      <c r="TEM2" s="528"/>
      <c r="TEN2" s="528"/>
      <c r="TEO2" s="528"/>
      <c r="TEP2" s="528"/>
      <c r="TEQ2" s="528"/>
      <c r="TER2" s="528"/>
      <c r="TES2" s="528"/>
      <c r="TET2" s="528"/>
      <c r="TEU2" s="528"/>
      <c r="TEV2" s="528"/>
      <c r="TEW2" s="528"/>
      <c r="TEX2" s="528"/>
      <c r="TEY2" s="528"/>
      <c r="TEZ2" s="528"/>
      <c r="TFA2" s="528"/>
      <c r="TFB2" s="528"/>
      <c r="TFC2" s="528"/>
      <c r="TFD2" s="528"/>
      <c r="TFE2" s="528"/>
      <c r="TFF2" s="528"/>
      <c r="TFG2" s="528"/>
      <c r="TFH2" s="528"/>
      <c r="TFI2" s="528"/>
      <c r="TFJ2" s="528"/>
      <c r="TFK2" s="528"/>
      <c r="TFL2" s="528"/>
      <c r="TFM2" s="528"/>
      <c r="TFN2" s="528"/>
      <c r="TFO2" s="528"/>
      <c r="TFP2" s="528"/>
      <c r="TFQ2" s="528"/>
      <c r="TFR2" s="528"/>
      <c r="TFS2" s="528"/>
      <c r="TFT2" s="528"/>
      <c r="TFU2" s="528"/>
      <c r="TFV2" s="528"/>
      <c r="TFW2" s="528"/>
      <c r="TFX2" s="528"/>
      <c r="TFY2" s="528"/>
      <c r="TFZ2" s="528"/>
      <c r="TGA2" s="528"/>
      <c r="TGB2" s="528"/>
      <c r="TGC2" s="528"/>
      <c r="TGD2" s="528"/>
      <c r="TGE2" s="528"/>
      <c r="TGF2" s="528"/>
      <c r="TGG2" s="528"/>
      <c r="TGH2" s="528"/>
      <c r="TGI2" s="528"/>
      <c r="TGJ2" s="528"/>
      <c r="TGK2" s="528"/>
      <c r="TGL2" s="528"/>
      <c r="TGM2" s="528"/>
      <c r="TGN2" s="528"/>
      <c r="TGO2" s="528"/>
      <c r="TGP2" s="528"/>
      <c r="TGQ2" s="528"/>
      <c r="TGR2" s="528"/>
      <c r="TGS2" s="528"/>
      <c r="TGT2" s="528"/>
      <c r="TGU2" s="528"/>
      <c r="TGV2" s="528"/>
      <c r="TGW2" s="528"/>
      <c r="TGX2" s="528"/>
      <c r="TGY2" s="528"/>
      <c r="TGZ2" s="528"/>
      <c r="THA2" s="528"/>
      <c r="THB2" s="528"/>
      <c r="THC2" s="528"/>
      <c r="THD2" s="528"/>
      <c r="THE2" s="528"/>
      <c r="THF2" s="528"/>
      <c r="THG2" s="528"/>
      <c r="THH2" s="528"/>
      <c r="THI2" s="528"/>
      <c r="THJ2" s="528"/>
      <c r="THK2" s="528"/>
      <c r="THL2" s="528"/>
      <c r="THM2" s="528"/>
      <c r="THN2" s="528"/>
      <c r="THO2" s="528"/>
      <c r="THP2" s="528"/>
      <c r="THQ2" s="528"/>
      <c r="THR2" s="528"/>
      <c r="THS2" s="528"/>
      <c r="THT2" s="528"/>
      <c r="THU2" s="528"/>
      <c r="THV2" s="528"/>
      <c r="THW2" s="528"/>
      <c r="THX2" s="528"/>
      <c r="THY2" s="528"/>
      <c r="THZ2" s="528"/>
      <c r="TIA2" s="528"/>
      <c r="TIB2" s="528"/>
      <c r="TIC2" s="528"/>
      <c r="TID2" s="528"/>
      <c r="TIE2" s="528"/>
      <c r="TIF2" s="528"/>
      <c r="TIG2" s="528"/>
      <c r="TIH2" s="528"/>
      <c r="TII2" s="528"/>
      <c r="TIJ2" s="528"/>
      <c r="TIK2" s="528"/>
      <c r="TIL2" s="528"/>
      <c r="TIM2" s="528"/>
      <c r="TIN2" s="528"/>
      <c r="TIO2" s="528"/>
      <c r="TIP2" s="528"/>
      <c r="TIQ2" s="528"/>
      <c r="TIR2" s="528"/>
      <c r="TIS2" s="528"/>
      <c r="TIT2" s="528"/>
      <c r="TIU2" s="528"/>
      <c r="TIV2" s="528"/>
      <c r="TIW2" s="528"/>
      <c r="TIX2" s="528"/>
      <c r="TIY2" s="528"/>
      <c r="TIZ2" s="528"/>
      <c r="TJA2" s="528"/>
      <c r="TJB2" s="528"/>
      <c r="TJC2" s="528"/>
      <c r="TJD2" s="528"/>
      <c r="TJE2" s="528"/>
      <c r="TJF2" s="528"/>
      <c r="TJG2" s="528"/>
      <c r="TJH2" s="528"/>
      <c r="TJI2" s="528"/>
      <c r="TJJ2" s="528"/>
      <c r="TJK2" s="528"/>
      <c r="TJL2" s="528"/>
      <c r="TJM2" s="528"/>
      <c r="TJN2" s="528"/>
      <c r="TJO2" s="528"/>
      <c r="TJP2" s="528"/>
      <c r="TJQ2" s="528"/>
      <c r="TJR2" s="528"/>
      <c r="TJS2" s="528"/>
      <c r="TJT2" s="528"/>
      <c r="TJU2" s="528"/>
      <c r="TJV2" s="528"/>
      <c r="TJW2" s="528"/>
      <c r="TJX2" s="528"/>
      <c r="TJY2" s="528"/>
      <c r="TJZ2" s="528"/>
      <c r="TKA2" s="528"/>
      <c r="TKB2" s="528"/>
      <c r="TKC2" s="528"/>
      <c r="TKD2" s="528"/>
      <c r="TKE2" s="528"/>
      <c r="TKF2" s="528"/>
      <c r="TKG2" s="528"/>
      <c r="TKH2" s="528"/>
      <c r="TKI2" s="528"/>
      <c r="TKJ2" s="528"/>
      <c r="TKK2" s="528"/>
      <c r="TKL2" s="528"/>
      <c r="TKM2" s="528"/>
      <c r="TKN2" s="528"/>
      <c r="TKO2" s="528"/>
      <c r="TKP2" s="528"/>
      <c r="TKQ2" s="528"/>
      <c r="TKR2" s="528"/>
      <c r="TKS2" s="528"/>
      <c r="TKT2" s="528"/>
      <c r="TKU2" s="528"/>
      <c r="TKV2" s="528"/>
      <c r="TKW2" s="528"/>
      <c r="TKX2" s="528"/>
      <c r="TKY2" s="528"/>
      <c r="TKZ2" s="528"/>
      <c r="TLA2" s="528"/>
      <c r="TLB2" s="528"/>
      <c r="TLC2" s="528"/>
      <c r="TLD2" s="528"/>
      <c r="TLE2" s="528"/>
      <c r="TLF2" s="528"/>
      <c r="TLG2" s="528"/>
      <c r="TLH2" s="528"/>
      <c r="TLI2" s="528"/>
      <c r="TLJ2" s="528"/>
      <c r="TLK2" s="528"/>
      <c r="TLL2" s="528"/>
      <c r="TLM2" s="528"/>
      <c r="TLN2" s="528"/>
      <c r="TLO2" s="528"/>
      <c r="TLP2" s="528"/>
      <c r="TLQ2" s="528"/>
      <c r="TLR2" s="528"/>
      <c r="TLS2" s="528"/>
      <c r="TLT2" s="528"/>
      <c r="TLU2" s="528"/>
      <c r="TLV2" s="528"/>
      <c r="TLW2" s="528"/>
      <c r="TLX2" s="528"/>
      <c r="TLY2" s="528"/>
      <c r="TLZ2" s="528"/>
      <c r="TMA2" s="528"/>
      <c r="TMB2" s="528"/>
      <c r="TMC2" s="528"/>
      <c r="TMD2" s="528"/>
      <c r="TME2" s="528"/>
      <c r="TMF2" s="528"/>
      <c r="TMG2" s="528"/>
      <c r="TMH2" s="528"/>
      <c r="TMI2" s="528"/>
      <c r="TMJ2" s="528"/>
      <c r="TMK2" s="528"/>
      <c r="TML2" s="528"/>
      <c r="TMM2" s="528"/>
      <c r="TMN2" s="528"/>
      <c r="TMO2" s="528"/>
      <c r="TMP2" s="528"/>
      <c r="TMQ2" s="528"/>
      <c r="TMR2" s="528"/>
      <c r="TMS2" s="528"/>
      <c r="TMT2" s="528"/>
      <c r="TMU2" s="528"/>
      <c r="TMV2" s="528"/>
      <c r="TMW2" s="528"/>
      <c r="TMX2" s="528"/>
      <c r="TMY2" s="528"/>
      <c r="TMZ2" s="528"/>
      <c r="TNA2" s="528"/>
      <c r="TNB2" s="528"/>
      <c r="TNC2" s="528"/>
      <c r="TND2" s="528"/>
      <c r="TNE2" s="528"/>
      <c r="TNF2" s="528"/>
      <c r="TNG2" s="528"/>
      <c r="TNH2" s="528"/>
      <c r="TNI2" s="528"/>
      <c r="TNJ2" s="528"/>
      <c r="TNK2" s="528"/>
      <c r="TNL2" s="528"/>
      <c r="TNM2" s="528"/>
      <c r="TNN2" s="528"/>
      <c r="TNO2" s="528"/>
      <c r="TNP2" s="528"/>
      <c r="TNQ2" s="528"/>
      <c r="TNR2" s="528"/>
      <c r="TNS2" s="528"/>
      <c r="TNT2" s="528"/>
      <c r="TNU2" s="528"/>
      <c r="TNV2" s="528"/>
      <c r="TNW2" s="528"/>
      <c r="TNX2" s="528"/>
      <c r="TNY2" s="528"/>
      <c r="TNZ2" s="528"/>
      <c r="TOA2" s="528"/>
      <c r="TOB2" s="528"/>
      <c r="TOC2" s="528"/>
      <c r="TOD2" s="528"/>
      <c r="TOE2" s="528"/>
      <c r="TOF2" s="528"/>
      <c r="TOG2" s="528"/>
      <c r="TOH2" s="528"/>
      <c r="TOI2" s="528"/>
      <c r="TOJ2" s="528"/>
      <c r="TOK2" s="528"/>
      <c r="TOL2" s="528"/>
      <c r="TOM2" s="528"/>
      <c r="TON2" s="528"/>
      <c r="TOO2" s="528"/>
      <c r="TOP2" s="528"/>
      <c r="TOQ2" s="528"/>
      <c r="TOR2" s="528"/>
      <c r="TOS2" s="528"/>
      <c r="TOT2" s="528"/>
      <c r="TOU2" s="528"/>
      <c r="TOV2" s="528"/>
      <c r="TOW2" s="528"/>
      <c r="TOX2" s="528"/>
      <c r="TOY2" s="528"/>
      <c r="TOZ2" s="528"/>
      <c r="TPA2" s="528"/>
      <c r="TPB2" s="528"/>
      <c r="TPC2" s="528"/>
      <c r="TPD2" s="528"/>
      <c r="TPE2" s="528"/>
      <c r="TPF2" s="528"/>
      <c r="TPG2" s="528"/>
      <c r="TPH2" s="528"/>
      <c r="TPI2" s="528"/>
      <c r="TPJ2" s="528"/>
      <c r="TPK2" s="528"/>
      <c r="TPL2" s="528"/>
      <c r="TPM2" s="528"/>
      <c r="TPN2" s="528"/>
      <c r="TPO2" s="528"/>
      <c r="TPP2" s="528"/>
      <c r="TPQ2" s="528"/>
      <c r="TPR2" s="528"/>
      <c r="TPS2" s="528"/>
      <c r="TPT2" s="528"/>
      <c r="TPU2" s="528"/>
      <c r="TPV2" s="528"/>
      <c r="TPW2" s="528"/>
      <c r="TPX2" s="528"/>
      <c r="TPY2" s="528"/>
      <c r="TPZ2" s="528"/>
      <c r="TQA2" s="528"/>
      <c r="TQB2" s="528"/>
      <c r="TQC2" s="528"/>
      <c r="TQD2" s="528"/>
      <c r="TQE2" s="528"/>
      <c r="TQF2" s="528"/>
      <c r="TQG2" s="528"/>
      <c r="TQH2" s="528"/>
      <c r="TQI2" s="528"/>
      <c r="TQJ2" s="528"/>
      <c r="TQK2" s="528"/>
      <c r="TQL2" s="528"/>
      <c r="TQM2" s="528"/>
      <c r="TQN2" s="528"/>
      <c r="TQO2" s="528"/>
      <c r="TQP2" s="528"/>
      <c r="TQQ2" s="528"/>
      <c r="TQR2" s="528"/>
      <c r="TQS2" s="528"/>
      <c r="TQT2" s="528"/>
      <c r="TQU2" s="528"/>
      <c r="TQV2" s="528"/>
      <c r="TQW2" s="528"/>
      <c r="TQX2" s="528"/>
      <c r="TQY2" s="528"/>
      <c r="TQZ2" s="528"/>
      <c r="TRA2" s="528"/>
      <c r="TRB2" s="528"/>
      <c r="TRC2" s="528"/>
      <c r="TRD2" s="528"/>
      <c r="TRE2" s="528"/>
      <c r="TRF2" s="528"/>
      <c r="TRG2" s="528"/>
      <c r="TRH2" s="528"/>
      <c r="TRI2" s="528"/>
      <c r="TRJ2" s="528"/>
      <c r="TRK2" s="528"/>
      <c r="TRL2" s="528"/>
      <c r="TRM2" s="528"/>
      <c r="TRN2" s="528"/>
      <c r="TRO2" s="528"/>
      <c r="TRP2" s="528"/>
      <c r="TRQ2" s="528"/>
      <c r="TRR2" s="528"/>
      <c r="TRS2" s="528"/>
      <c r="TRT2" s="528"/>
      <c r="TRU2" s="528"/>
      <c r="TRV2" s="528"/>
      <c r="TRW2" s="528"/>
      <c r="TRX2" s="528"/>
      <c r="TRY2" s="528"/>
      <c r="TRZ2" s="528"/>
      <c r="TSA2" s="528"/>
      <c r="TSB2" s="528"/>
      <c r="TSC2" s="528"/>
      <c r="TSD2" s="528"/>
      <c r="TSE2" s="528"/>
      <c r="TSF2" s="528"/>
      <c r="TSG2" s="528"/>
      <c r="TSH2" s="528"/>
      <c r="TSI2" s="528"/>
      <c r="TSJ2" s="528"/>
      <c r="TSK2" s="528"/>
      <c r="TSL2" s="528"/>
      <c r="TSM2" s="528"/>
      <c r="TSN2" s="528"/>
      <c r="TSO2" s="528"/>
      <c r="TSP2" s="528"/>
      <c r="TSQ2" s="528"/>
      <c r="TSR2" s="528"/>
      <c r="TSS2" s="528"/>
      <c r="TST2" s="528"/>
      <c r="TSU2" s="528"/>
      <c r="TSV2" s="528"/>
      <c r="TSW2" s="528"/>
      <c r="TSX2" s="528"/>
      <c r="TSY2" s="528"/>
      <c r="TSZ2" s="528"/>
      <c r="TTA2" s="528"/>
      <c r="TTB2" s="528"/>
      <c r="TTC2" s="528"/>
      <c r="TTD2" s="528"/>
      <c r="TTE2" s="528"/>
      <c r="TTF2" s="528"/>
      <c r="TTG2" s="528"/>
      <c r="TTH2" s="528"/>
      <c r="TTI2" s="528"/>
      <c r="TTJ2" s="528"/>
      <c r="TTK2" s="528"/>
      <c r="TTL2" s="528"/>
      <c r="TTM2" s="528"/>
      <c r="TTN2" s="528"/>
      <c r="TTO2" s="528"/>
      <c r="TTP2" s="528"/>
      <c r="TTQ2" s="528"/>
      <c r="TTR2" s="528"/>
      <c r="TTS2" s="528"/>
      <c r="TTT2" s="528"/>
      <c r="TTU2" s="528"/>
      <c r="TTV2" s="528"/>
      <c r="TTW2" s="528"/>
      <c r="TTX2" s="528"/>
      <c r="TTY2" s="528"/>
      <c r="TTZ2" s="528"/>
      <c r="TUA2" s="528"/>
      <c r="TUB2" s="528"/>
      <c r="TUC2" s="528"/>
      <c r="TUD2" s="528"/>
      <c r="TUE2" s="528"/>
      <c r="TUF2" s="528"/>
      <c r="TUG2" s="528"/>
      <c r="TUH2" s="528"/>
      <c r="TUI2" s="528"/>
      <c r="TUJ2" s="528"/>
      <c r="TUK2" s="528"/>
      <c r="TUL2" s="528"/>
      <c r="TUM2" s="528"/>
      <c r="TUN2" s="528"/>
      <c r="TUO2" s="528"/>
      <c r="TUP2" s="528"/>
      <c r="TUQ2" s="528"/>
      <c r="TUR2" s="528"/>
      <c r="TUS2" s="528"/>
      <c r="TUT2" s="528"/>
      <c r="TUU2" s="528"/>
      <c r="TUV2" s="528"/>
      <c r="TUW2" s="528"/>
      <c r="TUX2" s="528"/>
      <c r="TUY2" s="528"/>
      <c r="TUZ2" s="528"/>
      <c r="TVA2" s="528"/>
      <c r="TVB2" s="528"/>
      <c r="TVC2" s="528"/>
      <c r="TVD2" s="528"/>
      <c r="TVE2" s="528"/>
      <c r="TVF2" s="528"/>
      <c r="TVG2" s="528"/>
      <c r="TVH2" s="528"/>
      <c r="TVI2" s="528"/>
      <c r="TVJ2" s="528"/>
      <c r="TVK2" s="528"/>
      <c r="TVL2" s="528"/>
      <c r="TVM2" s="528"/>
      <c r="TVN2" s="528"/>
      <c r="TVO2" s="528"/>
      <c r="TVP2" s="528"/>
      <c r="TVQ2" s="528"/>
      <c r="TVR2" s="528"/>
      <c r="TVS2" s="528"/>
      <c r="TVT2" s="528"/>
      <c r="TVU2" s="528"/>
      <c r="TVV2" s="528"/>
      <c r="TVW2" s="528"/>
      <c r="TVX2" s="528"/>
      <c r="TVY2" s="528"/>
      <c r="TVZ2" s="528"/>
      <c r="TWA2" s="528"/>
      <c r="TWB2" s="528"/>
      <c r="TWC2" s="528"/>
      <c r="TWD2" s="528"/>
      <c r="TWE2" s="528"/>
      <c r="TWF2" s="528"/>
      <c r="TWG2" s="528"/>
      <c r="TWH2" s="528"/>
      <c r="TWI2" s="528"/>
      <c r="TWJ2" s="528"/>
      <c r="TWK2" s="528"/>
      <c r="TWL2" s="528"/>
      <c r="TWM2" s="528"/>
      <c r="TWN2" s="528"/>
      <c r="TWO2" s="528"/>
      <c r="TWP2" s="528"/>
      <c r="TWQ2" s="528"/>
      <c r="TWR2" s="528"/>
      <c r="TWS2" s="528"/>
      <c r="TWT2" s="528"/>
      <c r="TWU2" s="528"/>
      <c r="TWV2" s="528"/>
      <c r="TWW2" s="528"/>
      <c r="TWX2" s="528"/>
      <c r="TWY2" s="528"/>
      <c r="TWZ2" s="528"/>
      <c r="TXA2" s="528"/>
      <c r="TXB2" s="528"/>
      <c r="TXC2" s="528"/>
      <c r="TXD2" s="528"/>
      <c r="TXE2" s="528"/>
      <c r="TXF2" s="528"/>
      <c r="TXG2" s="528"/>
      <c r="TXH2" s="528"/>
      <c r="TXI2" s="528"/>
      <c r="TXJ2" s="528"/>
      <c r="TXK2" s="528"/>
      <c r="TXL2" s="528"/>
      <c r="TXM2" s="528"/>
      <c r="TXN2" s="528"/>
      <c r="TXO2" s="528"/>
      <c r="TXP2" s="528"/>
      <c r="TXQ2" s="528"/>
      <c r="TXR2" s="528"/>
      <c r="TXS2" s="528"/>
      <c r="TXT2" s="528"/>
      <c r="TXU2" s="528"/>
      <c r="TXV2" s="528"/>
      <c r="TXW2" s="528"/>
      <c r="TXX2" s="528"/>
      <c r="TXY2" s="528"/>
      <c r="TXZ2" s="528"/>
      <c r="TYA2" s="528"/>
      <c r="TYB2" s="528"/>
      <c r="TYC2" s="528"/>
      <c r="TYD2" s="528"/>
      <c r="TYE2" s="528"/>
      <c r="TYF2" s="528"/>
      <c r="TYG2" s="528"/>
      <c r="TYH2" s="528"/>
      <c r="TYI2" s="528"/>
      <c r="TYJ2" s="528"/>
      <c r="TYK2" s="528"/>
      <c r="TYL2" s="528"/>
      <c r="TYM2" s="528"/>
      <c r="TYN2" s="528"/>
      <c r="TYO2" s="528"/>
      <c r="TYP2" s="528"/>
      <c r="TYQ2" s="528"/>
      <c r="TYR2" s="528"/>
      <c r="TYS2" s="528"/>
      <c r="TYT2" s="528"/>
      <c r="TYU2" s="528"/>
      <c r="TYV2" s="528"/>
      <c r="TYW2" s="528"/>
      <c r="TYX2" s="528"/>
      <c r="TYY2" s="528"/>
      <c r="TYZ2" s="528"/>
      <c r="TZA2" s="528"/>
      <c r="TZB2" s="528"/>
      <c r="TZC2" s="528"/>
      <c r="TZD2" s="528"/>
      <c r="TZE2" s="528"/>
      <c r="TZF2" s="528"/>
      <c r="TZG2" s="528"/>
      <c r="TZH2" s="528"/>
      <c r="TZI2" s="528"/>
      <c r="TZJ2" s="528"/>
      <c r="TZK2" s="528"/>
      <c r="TZL2" s="528"/>
      <c r="TZM2" s="528"/>
      <c r="TZN2" s="528"/>
      <c r="TZO2" s="528"/>
      <c r="TZP2" s="528"/>
      <c r="TZQ2" s="528"/>
      <c r="TZR2" s="528"/>
      <c r="TZS2" s="528"/>
      <c r="TZT2" s="528"/>
      <c r="TZU2" s="528"/>
      <c r="TZV2" s="528"/>
      <c r="TZW2" s="528"/>
      <c r="TZX2" s="528"/>
      <c r="TZY2" s="528"/>
      <c r="TZZ2" s="528"/>
      <c r="UAA2" s="528"/>
      <c r="UAB2" s="528"/>
      <c r="UAC2" s="528"/>
      <c r="UAD2" s="528"/>
      <c r="UAE2" s="528"/>
      <c r="UAF2" s="528"/>
      <c r="UAG2" s="528"/>
      <c r="UAH2" s="528"/>
      <c r="UAI2" s="528"/>
      <c r="UAJ2" s="528"/>
      <c r="UAK2" s="528"/>
      <c r="UAL2" s="528"/>
      <c r="UAM2" s="528"/>
      <c r="UAN2" s="528"/>
      <c r="UAO2" s="528"/>
      <c r="UAP2" s="528"/>
      <c r="UAQ2" s="528"/>
      <c r="UAR2" s="528"/>
      <c r="UAS2" s="528"/>
      <c r="UAT2" s="528"/>
      <c r="UAU2" s="528"/>
      <c r="UAV2" s="528"/>
      <c r="UAW2" s="528"/>
      <c r="UAX2" s="528"/>
      <c r="UAY2" s="528"/>
      <c r="UAZ2" s="528"/>
      <c r="UBA2" s="528"/>
      <c r="UBB2" s="528"/>
      <c r="UBC2" s="528"/>
      <c r="UBD2" s="528"/>
      <c r="UBE2" s="528"/>
      <c r="UBF2" s="528"/>
      <c r="UBG2" s="528"/>
      <c r="UBH2" s="528"/>
      <c r="UBI2" s="528"/>
      <c r="UBJ2" s="528"/>
      <c r="UBK2" s="528"/>
      <c r="UBL2" s="528"/>
      <c r="UBM2" s="528"/>
      <c r="UBN2" s="528"/>
      <c r="UBO2" s="528"/>
      <c r="UBP2" s="528"/>
      <c r="UBQ2" s="528"/>
      <c r="UBR2" s="528"/>
      <c r="UBS2" s="528"/>
      <c r="UBT2" s="528"/>
      <c r="UBU2" s="528"/>
      <c r="UBV2" s="528"/>
      <c r="UBW2" s="528"/>
      <c r="UBX2" s="528"/>
      <c r="UBY2" s="528"/>
      <c r="UBZ2" s="528"/>
      <c r="UCA2" s="528"/>
      <c r="UCB2" s="528"/>
      <c r="UCC2" s="528"/>
      <c r="UCD2" s="528"/>
      <c r="UCE2" s="528"/>
      <c r="UCF2" s="528"/>
      <c r="UCG2" s="528"/>
      <c r="UCH2" s="528"/>
      <c r="UCI2" s="528"/>
      <c r="UCJ2" s="528"/>
      <c r="UCK2" s="528"/>
      <c r="UCL2" s="528"/>
      <c r="UCM2" s="528"/>
      <c r="UCN2" s="528"/>
      <c r="UCO2" s="528"/>
      <c r="UCP2" s="528"/>
      <c r="UCQ2" s="528"/>
      <c r="UCR2" s="528"/>
      <c r="UCS2" s="528"/>
      <c r="UCT2" s="528"/>
      <c r="UCU2" s="528"/>
      <c r="UCV2" s="528"/>
      <c r="UCW2" s="528"/>
      <c r="UCX2" s="528"/>
      <c r="UCY2" s="528"/>
      <c r="UCZ2" s="528"/>
      <c r="UDA2" s="528"/>
      <c r="UDB2" s="528"/>
      <c r="UDC2" s="528"/>
      <c r="UDD2" s="528"/>
      <c r="UDE2" s="528"/>
      <c r="UDF2" s="528"/>
      <c r="UDG2" s="528"/>
      <c r="UDH2" s="528"/>
      <c r="UDI2" s="528"/>
      <c r="UDJ2" s="528"/>
      <c r="UDK2" s="528"/>
      <c r="UDL2" s="528"/>
      <c r="UDM2" s="528"/>
      <c r="UDN2" s="528"/>
      <c r="UDO2" s="528"/>
      <c r="UDP2" s="528"/>
      <c r="UDQ2" s="528"/>
      <c r="UDR2" s="528"/>
      <c r="UDS2" s="528"/>
      <c r="UDT2" s="528"/>
      <c r="UDU2" s="528"/>
      <c r="UDV2" s="528"/>
      <c r="UDW2" s="528"/>
      <c r="UDX2" s="528"/>
      <c r="UDY2" s="528"/>
      <c r="UDZ2" s="528"/>
      <c r="UEA2" s="528"/>
      <c r="UEB2" s="528"/>
      <c r="UEC2" s="528"/>
      <c r="UED2" s="528"/>
      <c r="UEE2" s="528"/>
      <c r="UEF2" s="528"/>
      <c r="UEG2" s="528"/>
      <c r="UEH2" s="528"/>
      <c r="UEI2" s="528"/>
      <c r="UEJ2" s="528"/>
      <c r="UEK2" s="528"/>
      <c r="UEL2" s="528"/>
      <c r="UEM2" s="528"/>
      <c r="UEN2" s="528"/>
      <c r="UEO2" s="528"/>
      <c r="UEP2" s="528"/>
      <c r="UEQ2" s="528"/>
      <c r="UER2" s="528"/>
      <c r="UES2" s="528"/>
      <c r="UET2" s="528"/>
      <c r="UEU2" s="528"/>
      <c r="UEV2" s="528"/>
      <c r="UEW2" s="528"/>
      <c r="UEX2" s="528"/>
      <c r="UEY2" s="528"/>
      <c r="UEZ2" s="528"/>
      <c r="UFA2" s="528"/>
      <c r="UFB2" s="528"/>
      <c r="UFC2" s="528"/>
      <c r="UFD2" s="528"/>
      <c r="UFE2" s="528"/>
      <c r="UFF2" s="528"/>
      <c r="UFG2" s="528"/>
      <c r="UFH2" s="528"/>
      <c r="UFI2" s="528"/>
      <c r="UFJ2" s="528"/>
      <c r="UFK2" s="528"/>
      <c r="UFL2" s="528"/>
      <c r="UFM2" s="528"/>
      <c r="UFN2" s="528"/>
      <c r="UFO2" s="528"/>
      <c r="UFP2" s="528"/>
      <c r="UFQ2" s="528"/>
      <c r="UFR2" s="528"/>
      <c r="UFS2" s="528"/>
      <c r="UFT2" s="528"/>
      <c r="UFU2" s="528"/>
      <c r="UFV2" s="528"/>
      <c r="UFW2" s="528"/>
      <c r="UFX2" s="528"/>
      <c r="UFY2" s="528"/>
      <c r="UFZ2" s="528"/>
      <c r="UGA2" s="528"/>
      <c r="UGB2" s="528"/>
      <c r="UGC2" s="528"/>
      <c r="UGD2" s="528"/>
      <c r="UGE2" s="528"/>
      <c r="UGF2" s="528"/>
      <c r="UGG2" s="528"/>
      <c r="UGH2" s="528"/>
      <c r="UGI2" s="528"/>
      <c r="UGJ2" s="528"/>
      <c r="UGK2" s="528"/>
      <c r="UGL2" s="528"/>
      <c r="UGM2" s="528"/>
      <c r="UGN2" s="528"/>
      <c r="UGO2" s="528"/>
      <c r="UGP2" s="528"/>
      <c r="UGQ2" s="528"/>
      <c r="UGR2" s="528"/>
      <c r="UGS2" s="528"/>
      <c r="UGT2" s="528"/>
      <c r="UGU2" s="528"/>
      <c r="UGV2" s="528"/>
      <c r="UGW2" s="528"/>
      <c r="UGX2" s="528"/>
      <c r="UGY2" s="528"/>
      <c r="UGZ2" s="528"/>
      <c r="UHA2" s="528"/>
      <c r="UHB2" s="528"/>
      <c r="UHC2" s="528"/>
      <c r="UHD2" s="528"/>
      <c r="UHE2" s="528"/>
      <c r="UHF2" s="528"/>
      <c r="UHG2" s="528"/>
      <c r="UHH2" s="528"/>
      <c r="UHI2" s="528"/>
      <c r="UHJ2" s="528"/>
      <c r="UHK2" s="528"/>
      <c r="UHL2" s="528"/>
      <c r="UHM2" s="528"/>
      <c r="UHN2" s="528"/>
      <c r="UHO2" s="528"/>
      <c r="UHP2" s="528"/>
      <c r="UHQ2" s="528"/>
      <c r="UHR2" s="528"/>
      <c r="UHS2" s="528"/>
      <c r="UHT2" s="528"/>
      <c r="UHU2" s="528"/>
      <c r="UHV2" s="528"/>
      <c r="UHW2" s="528"/>
      <c r="UHX2" s="528"/>
      <c r="UHY2" s="528"/>
      <c r="UHZ2" s="528"/>
      <c r="UIA2" s="528"/>
      <c r="UIB2" s="528"/>
      <c r="UIC2" s="528"/>
      <c r="UID2" s="528"/>
      <c r="UIE2" s="528"/>
      <c r="UIF2" s="528"/>
      <c r="UIG2" s="528"/>
      <c r="UIH2" s="528"/>
      <c r="UII2" s="528"/>
      <c r="UIJ2" s="528"/>
      <c r="UIK2" s="528"/>
      <c r="UIL2" s="528"/>
      <c r="UIM2" s="528"/>
      <c r="UIN2" s="528"/>
      <c r="UIO2" s="528"/>
      <c r="UIP2" s="528"/>
      <c r="UIQ2" s="528"/>
      <c r="UIR2" s="528"/>
      <c r="UIS2" s="528"/>
      <c r="UIT2" s="528"/>
      <c r="UIU2" s="528"/>
      <c r="UIV2" s="528"/>
      <c r="UIW2" s="528"/>
      <c r="UIX2" s="528"/>
      <c r="UIY2" s="528"/>
      <c r="UIZ2" s="528"/>
      <c r="UJA2" s="528"/>
      <c r="UJB2" s="528"/>
      <c r="UJC2" s="528"/>
      <c r="UJD2" s="528"/>
      <c r="UJE2" s="528"/>
      <c r="UJF2" s="528"/>
      <c r="UJG2" s="528"/>
      <c r="UJH2" s="528"/>
      <c r="UJI2" s="528"/>
      <c r="UJJ2" s="528"/>
      <c r="UJK2" s="528"/>
      <c r="UJL2" s="528"/>
      <c r="UJM2" s="528"/>
      <c r="UJN2" s="528"/>
      <c r="UJO2" s="528"/>
      <c r="UJP2" s="528"/>
      <c r="UJQ2" s="528"/>
      <c r="UJR2" s="528"/>
      <c r="UJS2" s="528"/>
      <c r="UJT2" s="528"/>
      <c r="UJU2" s="528"/>
      <c r="UJV2" s="528"/>
      <c r="UJW2" s="528"/>
      <c r="UJX2" s="528"/>
      <c r="UJY2" s="528"/>
      <c r="UJZ2" s="528"/>
      <c r="UKA2" s="528"/>
      <c r="UKB2" s="528"/>
      <c r="UKC2" s="528"/>
      <c r="UKD2" s="528"/>
      <c r="UKE2" s="528"/>
      <c r="UKF2" s="528"/>
      <c r="UKG2" s="528"/>
      <c r="UKH2" s="528"/>
      <c r="UKI2" s="528"/>
      <c r="UKJ2" s="528"/>
      <c r="UKK2" s="528"/>
      <c r="UKL2" s="528"/>
      <c r="UKM2" s="528"/>
      <c r="UKN2" s="528"/>
      <c r="UKO2" s="528"/>
      <c r="UKP2" s="528"/>
      <c r="UKQ2" s="528"/>
      <c r="UKR2" s="528"/>
      <c r="UKS2" s="528"/>
      <c r="UKT2" s="528"/>
      <c r="UKU2" s="528"/>
      <c r="UKV2" s="528"/>
      <c r="UKW2" s="528"/>
      <c r="UKX2" s="528"/>
      <c r="UKY2" s="528"/>
      <c r="UKZ2" s="528"/>
      <c r="ULA2" s="528"/>
      <c r="ULB2" s="528"/>
      <c r="ULC2" s="528"/>
      <c r="ULD2" s="528"/>
      <c r="ULE2" s="528"/>
      <c r="ULF2" s="528"/>
      <c r="ULG2" s="528"/>
      <c r="ULH2" s="528"/>
      <c r="ULI2" s="528"/>
      <c r="ULJ2" s="528"/>
      <c r="ULK2" s="528"/>
      <c r="ULL2" s="528"/>
      <c r="ULM2" s="528"/>
      <c r="ULN2" s="528"/>
      <c r="ULO2" s="528"/>
      <c r="ULP2" s="528"/>
      <c r="ULQ2" s="528"/>
      <c r="ULR2" s="528"/>
      <c r="ULS2" s="528"/>
      <c r="ULT2" s="528"/>
      <c r="ULU2" s="528"/>
      <c r="ULV2" s="528"/>
      <c r="ULW2" s="528"/>
      <c r="ULX2" s="528"/>
      <c r="ULY2" s="528"/>
      <c r="ULZ2" s="528"/>
      <c r="UMA2" s="528"/>
      <c r="UMB2" s="528"/>
      <c r="UMC2" s="528"/>
      <c r="UMD2" s="528"/>
      <c r="UME2" s="528"/>
      <c r="UMF2" s="528"/>
      <c r="UMG2" s="528"/>
      <c r="UMH2" s="528"/>
      <c r="UMI2" s="528"/>
      <c r="UMJ2" s="528"/>
      <c r="UMK2" s="528"/>
      <c r="UML2" s="528"/>
      <c r="UMM2" s="528"/>
      <c r="UMN2" s="528"/>
      <c r="UMO2" s="528"/>
      <c r="UMP2" s="528"/>
      <c r="UMQ2" s="528"/>
      <c r="UMR2" s="528"/>
      <c r="UMS2" s="528"/>
      <c r="UMT2" s="528"/>
      <c r="UMU2" s="528"/>
      <c r="UMV2" s="528"/>
      <c r="UMW2" s="528"/>
      <c r="UMX2" s="528"/>
      <c r="UMY2" s="528"/>
      <c r="UMZ2" s="528"/>
      <c r="UNA2" s="528"/>
      <c r="UNB2" s="528"/>
      <c r="UNC2" s="528"/>
      <c r="UND2" s="528"/>
      <c r="UNE2" s="528"/>
      <c r="UNF2" s="528"/>
      <c r="UNG2" s="528"/>
      <c r="UNH2" s="528"/>
      <c r="UNI2" s="528"/>
      <c r="UNJ2" s="528"/>
      <c r="UNK2" s="528"/>
      <c r="UNL2" s="528"/>
      <c r="UNM2" s="528"/>
      <c r="UNN2" s="528"/>
      <c r="UNO2" s="528"/>
      <c r="UNP2" s="528"/>
      <c r="UNQ2" s="528"/>
      <c r="UNR2" s="528"/>
      <c r="UNS2" s="528"/>
      <c r="UNT2" s="528"/>
      <c r="UNU2" s="528"/>
      <c r="UNV2" s="528"/>
      <c r="UNW2" s="528"/>
      <c r="UNX2" s="528"/>
      <c r="UNY2" s="528"/>
      <c r="UNZ2" s="528"/>
      <c r="UOA2" s="528"/>
      <c r="UOB2" s="528"/>
      <c r="UOC2" s="528"/>
      <c r="UOD2" s="528"/>
      <c r="UOE2" s="528"/>
      <c r="UOF2" s="528"/>
      <c r="UOG2" s="528"/>
      <c r="UOH2" s="528"/>
      <c r="UOI2" s="528"/>
      <c r="UOJ2" s="528"/>
      <c r="UOK2" s="528"/>
      <c r="UOL2" s="528"/>
      <c r="UOM2" s="528"/>
      <c r="UON2" s="528"/>
      <c r="UOO2" s="528"/>
      <c r="UOP2" s="528"/>
      <c r="UOQ2" s="528"/>
      <c r="UOR2" s="528"/>
      <c r="UOS2" s="528"/>
      <c r="UOT2" s="528"/>
      <c r="UOU2" s="528"/>
      <c r="UOV2" s="528"/>
      <c r="UOW2" s="528"/>
      <c r="UOX2" s="528"/>
      <c r="UOY2" s="528"/>
      <c r="UOZ2" s="528"/>
      <c r="UPA2" s="528"/>
      <c r="UPB2" s="528"/>
      <c r="UPC2" s="528"/>
      <c r="UPD2" s="528"/>
      <c r="UPE2" s="528"/>
      <c r="UPF2" s="528"/>
      <c r="UPG2" s="528"/>
      <c r="UPH2" s="528"/>
      <c r="UPI2" s="528"/>
      <c r="UPJ2" s="528"/>
      <c r="UPK2" s="528"/>
      <c r="UPL2" s="528"/>
      <c r="UPM2" s="528"/>
      <c r="UPN2" s="528"/>
      <c r="UPO2" s="528"/>
      <c r="UPP2" s="528"/>
      <c r="UPQ2" s="528"/>
      <c r="UPR2" s="528"/>
      <c r="UPS2" s="528"/>
      <c r="UPT2" s="528"/>
      <c r="UPU2" s="528"/>
      <c r="UPV2" s="528"/>
      <c r="UPW2" s="528"/>
      <c r="UPX2" s="528"/>
      <c r="UPY2" s="528"/>
      <c r="UPZ2" s="528"/>
      <c r="UQA2" s="528"/>
      <c r="UQB2" s="528"/>
      <c r="UQC2" s="528"/>
      <c r="UQD2" s="528"/>
      <c r="UQE2" s="528"/>
      <c r="UQF2" s="528"/>
      <c r="UQG2" s="528"/>
      <c r="UQH2" s="528"/>
      <c r="UQI2" s="528"/>
      <c r="UQJ2" s="528"/>
      <c r="UQK2" s="528"/>
      <c r="UQL2" s="528"/>
      <c r="UQM2" s="528"/>
      <c r="UQN2" s="528"/>
      <c r="UQO2" s="528"/>
      <c r="UQP2" s="528"/>
      <c r="UQQ2" s="528"/>
      <c r="UQR2" s="528"/>
      <c r="UQS2" s="528"/>
      <c r="UQT2" s="528"/>
      <c r="UQU2" s="528"/>
      <c r="UQV2" s="528"/>
      <c r="UQW2" s="528"/>
      <c r="UQX2" s="528"/>
      <c r="UQY2" s="528"/>
      <c r="UQZ2" s="528"/>
      <c r="URA2" s="528"/>
      <c r="URB2" s="528"/>
      <c r="URC2" s="528"/>
      <c r="URD2" s="528"/>
      <c r="URE2" s="528"/>
      <c r="URF2" s="528"/>
      <c r="URG2" s="528"/>
      <c r="URH2" s="528"/>
      <c r="URI2" s="528"/>
      <c r="URJ2" s="528"/>
      <c r="URK2" s="528"/>
      <c r="URL2" s="528"/>
      <c r="URM2" s="528"/>
      <c r="URN2" s="528"/>
      <c r="URO2" s="528"/>
      <c r="URP2" s="528"/>
      <c r="URQ2" s="528"/>
      <c r="URR2" s="528"/>
      <c r="URS2" s="528"/>
      <c r="URT2" s="528"/>
      <c r="URU2" s="528"/>
      <c r="URV2" s="528"/>
      <c r="URW2" s="528"/>
      <c r="URX2" s="528"/>
      <c r="URY2" s="528"/>
      <c r="URZ2" s="528"/>
      <c r="USA2" s="528"/>
      <c r="USB2" s="528"/>
      <c r="USC2" s="528"/>
      <c r="USD2" s="528"/>
      <c r="USE2" s="528"/>
      <c r="USF2" s="528"/>
      <c r="USG2" s="528"/>
      <c r="USH2" s="528"/>
      <c r="USI2" s="528"/>
      <c r="USJ2" s="528"/>
      <c r="USK2" s="528"/>
      <c r="USL2" s="528"/>
      <c r="USM2" s="528"/>
      <c r="USN2" s="528"/>
      <c r="USO2" s="528"/>
      <c r="USP2" s="528"/>
      <c r="USQ2" s="528"/>
      <c r="USR2" s="528"/>
      <c r="USS2" s="528"/>
      <c r="UST2" s="528"/>
      <c r="USU2" s="528"/>
      <c r="USV2" s="528"/>
      <c r="USW2" s="528"/>
      <c r="USX2" s="528"/>
      <c r="USY2" s="528"/>
      <c r="USZ2" s="528"/>
      <c r="UTA2" s="528"/>
      <c r="UTB2" s="528"/>
      <c r="UTC2" s="528"/>
      <c r="UTD2" s="528"/>
      <c r="UTE2" s="528"/>
      <c r="UTF2" s="528"/>
      <c r="UTG2" s="528"/>
      <c r="UTH2" s="528"/>
      <c r="UTI2" s="528"/>
      <c r="UTJ2" s="528"/>
      <c r="UTK2" s="528"/>
      <c r="UTL2" s="528"/>
      <c r="UTM2" s="528"/>
      <c r="UTN2" s="528"/>
      <c r="UTO2" s="528"/>
      <c r="UTP2" s="528"/>
      <c r="UTQ2" s="528"/>
      <c r="UTR2" s="528"/>
      <c r="UTS2" s="528"/>
      <c r="UTT2" s="528"/>
      <c r="UTU2" s="528"/>
      <c r="UTV2" s="528"/>
      <c r="UTW2" s="528"/>
      <c r="UTX2" s="528"/>
      <c r="UTY2" s="528"/>
      <c r="UTZ2" s="528"/>
      <c r="UUA2" s="528"/>
      <c r="UUB2" s="528"/>
      <c r="UUC2" s="528"/>
      <c r="UUD2" s="528"/>
      <c r="UUE2" s="528"/>
      <c r="UUF2" s="528"/>
      <c r="UUG2" s="528"/>
      <c r="UUH2" s="528"/>
      <c r="UUI2" s="528"/>
      <c r="UUJ2" s="528"/>
      <c r="UUK2" s="528"/>
      <c r="UUL2" s="528"/>
      <c r="UUM2" s="528"/>
      <c r="UUN2" s="528"/>
      <c r="UUO2" s="528"/>
      <c r="UUP2" s="528"/>
      <c r="UUQ2" s="528"/>
      <c r="UUR2" s="528"/>
      <c r="UUS2" s="528"/>
      <c r="UUT2" s="528"/>
      <c r="UUU2" s="528"/>
      <c r="UUV2" s="528"/>
      <c r="UUW2" s="528"/>
      <c r="UUX2" s="528"/>
      <c r="UUY2" s="528"/>
      <c r="UUZ2" s="528"/>
      <c r="UVA2" s="528"/>
      <c r="UVB2" s="528"/>
      <c r="UVC2" s="528"/>
      <c r="UVD2" s="528"/>
      <c r="UVE2" s="528"/>
      <c r="UVF2" s="528"/>
      <c r="UVG2" s="528"/>
      <c r="UVH2" s="528"/>
      <c r="UVI2" s="528"/>
      <c r="UVJ2" s="528"/>
      <c r="UVK2" s="528"/>
      <c r="UVL2" s="528"/>
      <c r="UVM2" s="528"/>
      <c r="UVN2" s="528"/>
      <c r="UVO2" s="528"/>
      <c r="UVP2" s="528"/>
      <c r="UVQ2" s="528"/>
      <c r="UVR2" s="528"/>
      <c r="UVS2" s="528"/>
      <c r="UVT2" s="528"/>
      <c r="UVU2" s="528"/>
      <c r="UVV2" s="528"/>
      <c r="UVW2" s="528"/>
      <c r="UVX2" s="528"/>
      <c r="UVY2" s="528"/>
      <c r="UVZ2" s="528"/>
      <c r="UWA2" s="528"/>
      <c r="UWB2" s="528"/>
      <c r="UWC2" s="528"/>
      <c r="UWD2" s="528"/>
      <c r="UWE2" s="528"/>
      <c r="UWF2" s="528"/>
      <c r="UWG2" s="528"/>
      <c r="UWH2" s="528"/>
      <c r="UWI2" s="528"/>
      <c r="UWJ2" s="528"/>
      <c r="UWK2" s="528"/>
      <c r="UWL2" s="528"/>
      <c r="UWM2" s="528"/>
      <c r="UWN2" s="528"/>
      <c r="UWO2" s="528"/>
      <c r="UWP2" s="528"/>
      <c r="UWQ2" s="528"/>
      <c r="UWR2" s="528"/>
      <c r="UWS2" s="528"/>
      <c r="UWT2" s="528"/>
      <c r="UWU2" s="528"/>
      <c r="UWV2" s="528"/>
      <c r="UWW2" s="528"/>
      <c r="UWX2" s="528"/>
      <c r="UWY2" s="528"/>
      <c r="UWZ2" s="528"/>
      <c r="UXA2" s="528"/>
      <c r="UXB2" s="528"/>
      <c r="UXC2" s="528"/>
      <c r="UXD2" s="528"/>
      <c r="UXE2" s="528"/>
      <c r="UXF2" s="528"/>
      <c r="UXG2" s="528"/>
      <c r="UXH2" s="528"/>
      <c r="UXI2" s="528"/>
      <c r="UXJ2" s="528"/>
      <c r="UXK2" s="528"/>
      <c r="UXL2" s="528"/>
      <c r="UXM2" s="528"/>
      <c r="UXN2" s="528"/>
      <c r="UXO2" s="528"/>
      <c r="UXP2" s="528"/>
      <c r="UXQ2" s="528"/>
      <c r="UXR2" s="528"/>
      <c r="UXS2" s="528"/>
      <c r="UXT2" s="528"/>
      <c r="UXU2" s="528"/>
      <c r="UXV2" s="528"/>
      <c r="UXW2" s="528"/>
      <c r="UXX2" s="528"/>
      <c r="UXY2" s="528"/>
      <c r="UXZ2" s="528"/>
      <c r="UYA2" s="528"/>
      <c r="UYB2" s="528"/>
      <c r="UYC2" s="528"/>
      <c r="UYD2" s="528"/>
      <c r="UYE2" s="528"/>
      <c r="UYF2" s="528"/>
      <c r="UYG2" s="528"/>
      <c r="UYH2" s="528"/>
      <c r="UYI2" s="528"/>
      <c r="UYJ2" s="528"/>
      <c r="UYK2" s="528"/>
      <c r="UYL2" s="528"/>
      <c r="UYM2" s="528"/>
      <c r="UYN2" s="528"/>
      <c r="UYO2" s="528"/>
      <c r="UYP2" s="528"/>
      <c r="UYQ2" s="528"/>
      <c r="UYR2" s="528"/>
      <c r="UYS2" s="528"/>
      <c r="UYT2" s="528"/>
      <c r="UYU2" s="528"/>
      <c r="UYV2" s="528"/>
      <c r="UYW2" s="528"/>
      <c r="UYX2" s="528"/>
      <c r="UYY2" s="528"/>
      <c r="UYZ2" s="528"/>
      <c r="UZA2" s="528"/>
      <c r="UZB2" s="528"/>
      <c r="UZC2" s="528"/>
      <c r="UZD2" s="528"/>
      <c r="UZE2" s="528"/>
      <c r="UZF2" s="528"/>
      <c r="UZG2" s="528"/>
      <c r="UZH2" s="528"/>
      <c r="UZI2" s="528"/>
      <c r="UZJ2" s="528"/>
      <c r="UZK2" s="528"/>
      <c r="UZL2" s="528"/>
      <c r="UZM2" s="528"/>
      <c r="UZN2" s="528"/>
      <c r="UZO2" s="528"/>
      <c r="UZP2" s="528"/>
      <c r="UZQ2" s="528"/>
      <c r="UZR2" s="528"/>
      <c r="UZS2" s="528"/>
      <c r="UZT2" s="528"/>
      <c r="UZU2" s="528"/>
      <c r="UZV2" s="528"/>
      <c r="UZW2" s="528"/>
      <c r="UZX2" s="528"/>
      <c r="UZY2" s="528"/>
      <c r="UZZ2" s="528"/>
      <c r="VAA2" s="528"/>
      <c r="VAB2" s="528"/>
      <c r="VAC2" s="528"/>
      <c r="VAD2" s="528"/>
      <c r="VAE2" s="528"/>
      <c r="VAF2" s="528"/>
      <c r="VAG2" s="528"/>
      <c r="VAH2" s="528"/>
      <c r="VAI2" s="528"/>
      <c r="VAJ2" s="528"/>
      <c r="VAK2" s="528"/>
      <c r="VAL2" s="528"/>
      <c r="VAM2" s="528"/>
      <c r="VAN2" s="528"/>
      <c r="VAO2" s="528"/>
      <c r="VAP2" s="528"/>
      <c r="VAQ2" s="528"/>
      <c r="VAR2" s="528"/>
      <c r="VAS2" s="528"/>
      <c r="VAT2" s="528"/>
      <c r="VAU2" s="528"/>
      <c r="VAV2" s="528"/>
      <c r="VAW2" s="528"/>
      <c r="VAX2" s="528"/>
      <c r="VAY2" s="528"/>
      <c r="VAZ2" s="528"/>
      <c r="VBA2" s="528"/>
      <c r="VBB2" s="528"/>
      <c r="VBC2" s="528"/>
      <c r="VBD2" s="528"/>
      <c r="VBE2" s="528"/>
      <c r="VBF2" s="528"/>
      <c r="VBG2" s="528"/>
      <c r="VBH2" s="528"/>
      <c r="VBI2" s="528"/>
      <c r="VBJ2" s="528"/>
      <c r="VBK2" s="528"/>
      <c r="VBL2" s="528"/>
      <c r="VBM2" s="528"/>
      <c r="VBN2" s="528"/>
      <c r="VBO2" s="528"/>
      <c r="VBP2" s="528"/>
      <c r="VBQ2" s="528"/>
      <c r="VBR2" s="528"/>
      <c r="VBS2" s="528"/>
      <c r="VBT2" s="528"/>
      <c r="VBU2" s="528"/>
      <c r="VBV2" s="528"/>
      <c r="VBW2" s="528"/>
      <c r="VBX2" s="528"/>
      <c r="VBY2" s="528"/>
      <c r="VBZ2" s="528"/>
      <c r="VCA2" s="528"/>
      <c r="VCB2" s="528"/>
      <c r="VCC2" s="528"/>
      <c r="VCD2" s="528"/>
      <c r="VCE2" s="528"/>
      <c r="VCF2" s="528"/>
      <c r="VCG2" s="528"/>
      <c r="VCH2" s="528"/>
      <c r="VCI2" s="528"/>
      <c r="VCJ2" s="528"/>
      <c r="VCK2" s="528"/>
      <c r="VCL2" s="528"/>
      <c r="VCM2" s="528"/>
      <c r="VCN2" s="528"/>
      <c r="VCO2" s="528"/>
      <c r="VCP2" s="528"/>
      <c r="VCQ2" s="528"/>
      <c r="VCR2" s="528"/>
      <c r="VCS2" s="528"/>
      <c r="VCT2" s="528"/>
      <c r="VCU2" s="528"/>
      <c r="VCV2" s="528"/>
      <c r="VCW2" s="528"/>
      <c r="VCX2" s="528"/>
      <c r="VCY2" s="528"/>
      <c r="VCZ2" s="528"/>
      <c r="VDA2" s="528"/>
      <c r="VDB2" s="528"/>
      <c r="VDC2" s="528"/>
      <c r="VDD2" s="528"/>
      <c r="VDE2" s="528"/>
      <c r="VDF2" s="528"/>
      <c r="VDG2" s="528"/>
      <c r="VDH2" s="528"/>
      <c r="VDI2" s="528"/>
      <c r="VDJ2" s="528"/>
      <c r="VDK2" s="528"/>
      <c r="VDL2" s="528"/>
      <c r="VDM2" s="528"/>
      <c r="VDN2" s="528"/>
      <c r="VDO2" s="528"/>
      <c r="VDP2" s="528"/>
      <c r="VDQ2" s="528"/>
      <c r="VDR2" s="528"/>
      <c r="VDS2" s="528"/>
      <c r="VDT2" s="528"/>
      <c r="VDU2" s="528"/>
      <c r="VDV2" s="528"/>
      <c r="VDW2" s="528"/>
      <c r="VDX2" s="528"/>
      <c r="VDY2" s="528"/>
      <c r="VDZ2" s="528"/>
      <c r="VEA2" s="528"/>
      <c r="VEB2" s="528"/>
      <c r="VEC2" s="528"/>
      <c r="VED2" s="528"/>
      <c r="VEE2" s="528"/>
      <c r="VEF2" s="528"/>
      <c r="VEG2" s="528"/>
      <c r="VEH2" s="528"/>
      <c r="VEI2" s="528"/>
      <c r="VEJ2" s="528"/>
      <c r="VEK2" s="528"/>
      <c r="VEL2" s="528"/>
      <c r="VEM2" s="528"/>
      <c r="VEN2" s="528"/>
      <c r="VEO2" s="528"/>
      <c r="VEP2" s="528"/>
      <c r="VEQ2" s="528"/>
      <c r="VER2" s="528"/>
      <c r="VES2" s="528"/>
      <c r="VET2" s="528"/>
      <c r="VEU2" s="528"/>
      <c r="VEV2" s="528"/>
      <c r="VEW2" s="528"/>
      <c r="VEX2" s="528"/>
      <c r="VEY2" s="528"/>
      <c r="VEZ2" s="528"/>
      <c r="VFA2" s="528"/>
      <c r="VFB2" s="528"/>
      <c r="VFC2" s="528"/>
      <c r="VFD2" s="528"/>
      <c r="VFE2" s="528"/>
      <c r="VFF2" s="528"/>
      <c r="VFG2" s="528"/>
      <c r="VFH2" s="528"/>
      <c r="VFI2" s="528"/>
      <c r="VFJ2" s="528"/>
      <c r="VFK2" s="528"/>
      <c r="VFL2" s="528"/>
      <c r="VFM2" s="528"/>
      <c r="VFN2" s="528"/>
      <c r="VFO2" s="528"/>
      <c r="VFP2" s="528"/>
      <c r="VFQ2" s="528"/>
      <c r="VFR2" s="528"/>
      <c r="VFS2" s="528"/>
      <c r="VFT2" s="528"/>
      <c r="VFU2" s="528"/>
      <c r="VFV2" s="528"/>
      <c r="VFW2" s="528"/>
      <c r="VFX2" s="528"/>
      <c r="VFY2" s="528"/>
      <c r="VFZ2" s="528"/>
      <c r="VGA2" s="528"/>
      <c r="VGB2" s="528"/>
      <c r="VGC2" s="528"/>
      <c r="VGD2" s="528"/>
      <c r="VGE2" s="528"/>
      <c r="VGF2" s="528"/>
      <c r="VGG2" s="528"/>
      <c r="VGH2" s="528"/>
      <c r="VGI2" s="528"/>
      <c r="VGJ2" s="528"/>
      <c r="VGK2" s="528"/>
      <c r="VGL2" s="528"/>
      <c r="VGM2" s="528"/>
      <c r="VGN2" s="528"/>
      <c r="VGO2" s="528"/>
      <c r="VGP2" s="528"/>
      <c r="VGQ2" s="528"/>
      <c r="VGR2" s="528"/>
      <c r="VGS2" s="528"/>
      <c r="VGT2" s="528"/>
      <c r="VGU2" s="528"/>
      <c r="VGV2" s="528"/>
      <c r="VGW2" s="528"/>
      <c r="VGX2" s="528"/>
      <c r="VGY2" s="528"/>
      <c r="VGZ2" s="528"/>
      <c r="VHA2" s="528"/>
      <c r="VHB2" s="528"/>
      <c r="VHC2" s="528"/>
      <c r="VHD2" s="528"/>
      <c r="VHE2" s="528"/>
      <c r="VHF2" s="528"/>
      <c r="VHG2" s="528"/>
      <c r="VHH2" s="528"/>
      <c r="VHI2" s="528"/>
      <c r="VHJ2" s="528"/>
      <c r="VHK2" s="528"/>
      <c r="VHL2" s="528"/>
      <c r="VHM2" s="528"/>
      <c r="VHN2" s="528"/>
      <c r="VHO2" s="528"/>
      <c r="VHP2" s="528"/>
      <c r="VHQ2" s="528"/>
      <c r="VHR2" s="528"/>
      <c r="VHS2" s="528"/>
      <c r="VHT2" s="528"/>
      <c r="VHU2" s="528"/>
      <c r="VHV2" s="528"/>
      <c r="VHW2" s="528"/>
      <c r="VHX2" s="528"/>
      <c r="VHY2" s="528"/>
      <c r="VHZ2" s="528"/>
      <c r="VIA2" s="528"/>
      <c r="VIB2" s="528"/>
      <c r="VIC2" s="528"/>
      <c r="VID2" s="528"/>
      <c r="VIE2" s="528"/>
      <c r="VIF2" s="528"/>
      <c r="VIG2" s="528"/>
      <c r="VIH2" s="528"/>
      <c r="VII2" s="528"/>
      <c r="VIJ2" s="528"/>
      <c r="VIK2" s="528"/>
      <c r="VIL2" s="528"/>
      <c r="VIM2" s="528"/>
      <c r="VIN2" s="528"/>
      <c r="VIO2" s="528"/>
      <c r="VIP2" s="528"/>
      <c r="VIQ2" s="528"/>
      <c r="VIR2" s="528"/>
      <c r="VIS2" s="528"/>
      <c r="VIT2" s="528"/>
      <c r="VIU2" s="528"/>
      <c r="VIV2" s="528"/>
      <c r="VIW2" s="528"/>
      <c r="VIX2" s="528"/>
      <c r="VIY2" s="528"/>
      <c r="VIZ2" s="528"/>
      <c r="VJA2" s="528"/>
      <c r="VJB2" s="528"/>
      <c r="VJC2" s="528"/>
      <c r="VJD2" s="528"/>
      <c r="VJE2" s="528"/>
      <c r="VJF2" s="528"/>
      <c r="VJG2" s="528"/>
      <c r="VJH2" s="528"/>
      <c r="VJI2" s="528"/>
      <c r="VJJ2" s="528"/>
      <c r="VJK2" s="528"/>
      <c r="VJL2" s="528"/>
      <c r="VJM2" s="528"/>
      <c r="VJN2" s="528"/>
      <c r="VJO2" s="528"/>
      <c r="VJP2" s="528"/>
      <c r="VJQ2" s="528"/>
      <c r="VJR2" s="528"/>
      <c r="VJS2" s="528"/>
      <c r="VJT2" s="528"/>
      <c r="VJU2" s="528"/>
      <c r="VJV2" s="528"/>
      <c r="VJW2" s="528"/>
      <c r="VJX2" s="528"/>
      <c r="VJY2" s="528"/>
      <c r="VJZ2" s="528"/>
      <c r="VKA2" s="528"/>
      <c r="VKB2" s="528"/>
      <c r="VKC2" s="528"/>
      <c r="VKD2" s="528"/>
      <c r="VKE2" s="528"/>
      <c r="VKF2" s="528"/>
      <c r="VKG2" s="528"/>
      <c r="VKH2" s="528"/>
      <c r="VKI2" s="528"/>
      <c r="VKJ2" s="528"/>
      <c r="VKK2" s="528"/>
      <c r="VKL2" s="528"/>
      <c r="VKM2" s="528"/>
      <c r="VKN2" s="528"/>
      <c r="VKO2" s="528"/>
      <c r="VKP2" s="528"/>
      <c r="VKQ2" s="528"/>
      <c r="VKR2" s="528"/>
      <c r="VKS2" s="528"/>
      <c r="VKT2" s="528"/>
      <c r="VKU2" s="528"/>
      <c r="VKV2" s="528"/>
      <c r="VKW2" s="528"/>
      <c r="VKX2" s="528"/>
      <c r="VKY2" s="528"/>
      <c r="VKZ2" s="528"/>
      <c r="VLA2" s="528"/>
      <c r="VLB2" s="528"/>
      <c r="VLC2" s="528"/>
      <c r="VLD2" s="528"/>
      <c r="VLE2" s="528"/>
      <c r="VLF2" s="528"/>
      <c r="VLG2" s="528"/>
      <c r="VLH2" s="528"/>
      <c r="VLI2" s="528"/>
      <c r="VLJ2" s="528"/>
      <c r="VLK2" s="528"/>
      <c r="VLL2" s="528"/>
      <c r="VLM2" s="528"/>
      <c r="VLN2" s="528"/>
      <c r="VLO2" s="528"/>
      <c r="VLP2" s="528"/>
      <c r="VLQ2" s="528"/>
      <c r="VLR2" s="528"/>
      <c r="VLS2" s="528"/>
      <c r="VLT2" s="528"/>
      <c r="VLU2" s="528"/>
      <c r="VLV2" s="528"/>
      <c r="VLW2" s="528"/>
      <c r="VLX2" s="528"/>
      <c r="VLY2" s="528"/>
      <c r="VLZ2" s="528"/>
      <c r="VMA2" s="528"/>
      <c r="VMB2" s="528"/>
      <c r="VMC2" s="528"/>
      <c r="VMD2" s="528"/>
      <c r="VME2" s="528"/>
      <c r="VMF2" s="528"/>
      <c r="VMG2" s="528"/>
      <c r="VMH2" s="528"/>
      <c r="VMI2" s="528"/>
      <c r="VMJ2" s="528"/>
      <c r="VMK2" s="528"/>
      <c r="VML2" s="528"/>
      <c r="VMM2" s="528"/>
      <c r="VMN2" s="528"/>
      <c r="VMO2" s="528"/>
      <c r="VMP2" s="528"/>
      <c r="VMQ2" s="528"/>
      <c r="VMR2" s="528"/>
      <c r="VMS2" s="528"/>
      <c r="VMT2" s="528"/>
      <c r="VMU2" s="528"/>
      <c r="VMV2" s="528"/>
      <c r="VMW2" s="528"/>
      <c r="VMX2" s="528"/>
      <c r="VMY2" s="528"/>
      <c r="VMZ2" s="528"/>
      <c r="VNA2" s="528"/>
      <c r="VNB2" s="528"/>
      <c r="VNC2" s="528"/>
      <c r="VND2" s="528"/>
      <c r="VNE2" s="528"/>
      <c r="VNF2" s="528"/>
      <c r="VNG2" s="528"/>
      <c r="VNH2" s="528"/>
      <c r="VNI2" s="528"/>
      <c r="VNJ2" s="528"/>
      <c r="VNK2" s="528"/>
      <c r="VNL2" s="528"/>
      <c r="VNM2" s="528"/>
      <c r="VNN2" s="528"/>
      <c r="VNO2" s="528"/>
      <c r="VNP2" s="528"/>
      <c r="VNQ2" s="528"/>
      <c r="VNR2" s="528"/>
      <c r="VNS2" s="528"/>
      <c r="VNT2" s="528"/>
      <c r="VNU2" s="528"/>
      <c r="VNV2" s="528"/>
      <c r="VNW2" s="528"/>
      <c r="VNX2" s="528"/>
      <c r="VNY2" s="528"/>
      <c r="VNZ2" s="528"/>
      <c r="VOA2" s="528"/>
      <c r="VOB2" s="528"/>
      <c r="VOC2" s="528"/>
      <c r="VOD2" s="528"/>
      <c r="VOE2" s="528"/>
      <c r="VOF2" s="528"/>
      <c r="VOG2" s="528"/>
      <c r="VOH2" s="528"/>
      <c r="VOI2" s="528"/>
      <c r="VOJ2" s="528"/>
      <c r="VOK2" s="528"/>
      <c r="VOL2" s="528"/>
      <c r="VOM2" s="528"/>
      <c r="VON2" s="528"/>
      <c r="VOO2" s="528"/>
      <c r="VOP2" s="528"/>
      <c r="VOQ2" s="528"/>
      <c r="VOR2" s="528"/>
      <c r="VOS2" s="528"/>
      <c r="VOT2" s="528"/>
      <c r="VOU2" s="528"/>
      <c r="VOV2" s="528"/>
      <c r="VOW2" s="528"/>
      <c r="VOX2" s="528"/>
      <c r="VOY2" s="528"/>
      <c r="VOZ2" s="528"/>
      <c r="VPA2" s="528"/>
      <c r="VPB2" s="528"/>
      <c r="VPC2" s="528"/>
      <c r="VPD2" s="528"/>
      <c r="VPE2" s="528"/>
      <c r="VPF2" s="528"/>
      <c r="VPG2" s="528"/>
      <c r="VPH2" s="528"/>
      <c r="VPI2" s="528"/>
      <c r="VPJ2" s="528"/>
      <c r="VPK2" s="528"/>
      <c r="VPL2" s="528"/>
      <c r="VPM2" s="528"/>
      <c r="VPN2" s="528"/>
      <c r="VPO2" s="528"/>
      <c r="VPP2" s="528"/>
      <c r="VPQ2" s="528"/>
      <c r="VPR2" s="528"/>
      <c r="VPS2" s="528"/>
      <c r="VPT2" s="528"/>
      <c r="VPU2" s="528"/>
      <c r="VPV2" s="528"/>
      <c r="VPW2" s="528"/>
      <c r="VPX2" s="528"/>
      <c r="VPY2" s="528"/>
      <c r="VPZ2" s="528"/>
      <c r="VQA2" s="528"/>
      <c r="VQB2" s="528"/>
      <c r="VQC2" s="528"/>
      <c r="VQD2" s="528"/>
      <c r="VQE2" s="528"/>
      <c r="VQF2" s="528"/>
      <c r="VQG2" s="528"/>
      <c r="VQH2" s="528"/>
      <c r="VQI2" s="528"/>
      <c r="VQJ2" s="528"/>
      <c r="VQK2" s="528"/>
      <c r="VQL2" s="528"/>
      <c r="VQM2" s="528"/>
      <c r="VQN2" s="528"/>
      <c r="VQO2" s="528"/>
      <c r="VQP2" s="528"/>
      <c r="VQQ2" s="528"/>
      <c r="VQR2" s="528"/>
      <c r="VQS2" s="528"/>
      <c r="VQT2" s="528"/>
      <c r="VQU2" s="528"/>
      <c r="VQV2" s="528"/>
      <c r="VQW2" s="528"/>
      <c r="VQX2" s="528"/>
      <c r="VQY2" s="528"/>
      <c r="VQZ2" s="528"/>
      <c r="VRA2" s="528"/>
      <c r="VRB2" s="528"/>
      <c r="VRC2" s="528"/>
      <c r="VRD2" s="528"/>
      <c r="VRE2" s="528"/>
      <c r="VRF2" s="528"/>
      <c r="VRG2" s="528"/>
      <c r="VRH2" s="528"/>
      <c r="VRI2" s="528"/>
      <c r="VRJ2" s="528"/>
      <c r="VRK2" s="528"/>
      <c r="VRL2" s="528"/>
      <c r="VRM2" s="528"/>
      <c r="VRN2" s="528"/>
      <c r="VRO2" s="528"/>
      <c r="VRP2" s="528"/>
      <c r="VRQ2" s="528"/>
      <c r="VRR2" s="528"/>
      <c r="VRS2" s="528"/>
      <c r="VRT2" s="528"/>
      <c r="VRU2" s="528"/>
      <c r="VRV2" s="528"/>
      <c r="VRW2" s="528"/>
      <c r="VRX2" s="528"/>
      <c r="VRY2" s="528"/>
      <c r="VRZ2" s="528"/>
      <c r="VSA2" s="528"/>
      <c r="VSB2" s="528"/>
      <c r="VSC2" s="528"/>
      <c r="VSD2" s="528"/>
      <c r="VSE2" s="528"/>
      <c r="VSF2" s="528"/>
      <c r="VSG2" s="528"/>
      <c r="VSH2" s="528"/>
      <c r="VSI2" s="528"/>
      <c r="VSJ2" s="528"/>
      <c r="VSK2" s="528"/>
      <c r="VSL2" s="528"/>
      <c r="VSM2" s="528"/>
      <c r="VSN2" s="528"/>
      <c r="VSO2" s="528"/>
      <c r="VSP2" s="528"/>
      <c r="VSQ2" s="528"/>
      <c r="VSR2" s="528"/>
      <c r="VSS2" s="528"/>
      <c r="VST2" s="528"/>
      <c r="VSU2" s="528"/>
      <c r="VSV2" s="528"/>
      <c r="VSW2" s="528"/>
      <c r="VSX2" s="528"/>
      <c r="VSY2" s="528"/>
      <c r="VSZ2" s="528"/>
      <c r="VTA2" s="528"/>
      <c r="VTB2" s="528"/>
      <c r="VTC2" s="528"/>
      <c r="VTD2" s="528"/>
      <c r="VTE2" s="528"/>
      <c r="VTF2" s="528"/>
      <c r="VTG2" s="528"/>
      <c r="VTH2" s="528"/>
      <c r="VTI2" s="528"/>
      <c r="VTJ2" s="528"/>
      <c r="VTK2" s="528"/>
      <c r="VTL2" s="528"/>
      <c r="VTM2" s="528"/>
      <c r="VTN2" s="528"/>
      <c r="VTO2" s="528"/>
      <c r="VTP2" s="528"/>
      <c r="VTQ2" s="528"/>
      <c r="VTR2" s="528"/>
      <c r="VTS2" s="528"/>
      <c r="VTT2" s="528"/>
      <c r="VTU2" s="528"/>
      <c r="VTV2" s="528"/>
      <c r="VTW2" s="528"/>
      <c r="VTX2" s="528"/>
      <c r="VTY2" s="528"/>
      <c r="VTZ2" s="528"/>
      <c r="VUA2" s="528"/>
      <c r="VUB2" s="528"/>
      <c r="VUC2" s="528"/>
      <c r="VUD2" s="528"/>
      <c r="VUE2" s="528"/>
      <c r="VUF2" s="528"/>
      <c r="VUG2" s="528"/>
      <c r="VUH2" s="528"/>
      <c r="VUI2" s="528"/>
      <c r="VUJ2" s="528"/>
      <c r="VUK2" s="528"/>
      <c r="VUL2" s="528"/>
      <c r="VUM2" s="528"/>
      <c r="VUN2" s="528"/>
      <c r="VUO2" s="528"/>
      <c r="VUP2" s="528"/>
      <c r="VUQ2" s="528"/>
      <c r="VUR2" s="528"/>
      <c r="VUS2" s="528"/>
      <c r="VUT2" s="528"/>
      <c r="VUU2" s="528"/>
      <c r="VUV2" s="528"/>
      <c r="VUW2" s="528"/>
      <c r="VUX2" s="528"/>
      <c r="VUY2" s="528"/>
      <c r="VUZ2" s="528"/>
      <c r="VVA2" s="528"/>
      <c r="VVB2" s="528"/>
      <c r="VVC2" s="528"/>
      <c r="VVD2" s="528"/>
      <c r="VVE2" s="528"/>
      <c r="VVF2" s="528"/>
      <c r="VVG2" s="528"/>
      <c r="VVH2" s="528"/>
      <c r="VVI2" s="528"/>
      <c r="VVJ2" s="528"/>
      <c r="VVK2" s="528"/>
      <c r="VVL2" s="528"/>
      <c r="VVM2" s="528"/>
      <c r="VVN2" s="528"/>
      <c r="VVO2" s="528"/>
      <c r="VVP2" s="528"/>
      <c r="VVQ2" s="528"/>
      <c r="VVR2" s="528"/>
      <c r="VVS2" s="528"/>
      <c r="VVT2" s="528"/>
      <c r="VVU2" s="528"/>
      <c r="VVV2" s="528"/>
      <c r="VVW2" s="528"/>
      <c r="VVX2" s="528"/>
      <c r="VVY2" s="528"/>
      <c r="VVZ2" s="528"/>
      <c r="VWA2" s="528"/>
      <c r="VWB2" s="528"/>
      <c r="VWC2" s="528"/>
      <c r="VWD2" s="528"/>
      <c r="VWE2" s="528"/>
      <c r="VWF2" s="528"/>
      <c r="VWG2" s="528"/>
      <c r="VWH2" s="528"/>
      <c r="VWI2" s="528"/>
      <c r="VWJ2" s="528"/>
      <c r="VWK2" s="528"/>
      <c r="VWL2" s="528"/>
      <c r="VWM2" s="528"/>
      <c r="VWN2" s="528"/>
      <c r="VWO2" s="528"/>
      <c r="VWP2" s="528"/>
      <c r="VWQ2" s="528"/>
      <c r="VWR2" s="528"/>
      <c r="VWS2" s="528"/>
      <c r="VWT2" s="528"/>
      <c r="VWU2" s="528"/>
      <c r="VWV2" s="528"/>
      <c r="VWW2" s="528"/>
      <c r="VWX2" s="528"/>
      <c r="VWY2" s="528"/>
      <c r="VWZ2" s="528"/>
      <c r="VXA2" s="528"/>
      <c r="VXB2" s="528"/>
      <c r="VXC2" s="528"/>
      <c r="VXD2" s="528"/>
      <c r="VXE2" s="528"/>
      <c r="VXF2" s="528"/>
      <c r="VXG2" s="528"/>
      <c r="VXH2" s="528"/>
      <c r="VXI2" s="528"/>
      <c r="VXJ2" s="528"/>
      <c r="VXK2" s="528"/>
      <c r="VXL2" s="528"/>
      <c r="VXM2" s="528"/>
      <c r="VXN2" s="528"/>
      <c r="VXO2" s="528"/>
      <c r="VXP2" s="528"/>
      <c r="VXQ2" s="528"/>
      <c r="VXR2" s="528"/>
      <c r="VXS2" s="528"/>
      <c r="VXT2" s="528"/>
      <c r="VXU2" s="528"/>
      <c r="VXV2" s="528"/>
      <c r="VXW2" s="528"/>
      <c r="VXX2" s="528"/>
      <c r="VXY2" s="528"/>
      <c r="VXZ2" s="528"/>
      <c r="VYA2" s="528"/>
      <c r="VYB2" s="528"/>
      <c r="VYC2" s="528"/>
      <c r="VYD2" s="528"/>
      <c r="VYE2" s="528"/>
      <c r="VYF2" s="528"/>
      <c r="VYG2" s="528"/>
      <c r="VYH2" s="528"/>
      <c r="VYI2" s="528"/>
      <c r="VYJ2" s="528"/>
      <c r="VYK2" s="528"/>
      <c r="VYL2" s="528"/>
      <c r="VYM2" s="528"/>
      <c r="VYN2" s="528"/>
      <c r="VYO2" s="528"/>
      <c r="VYP2" s="528"/>
      <c r="VYQ2" s="528"/>
      <c r="VYR2" s="528"/>
      <c r="VYS2" s="528"/>
      <c r="VYT2" s="528"/>
      <c r="VYU2" s="528"/>
      <c r="VYV2" s="528"/>
      <c r="VYW2" s="528"/>
      <c r="VYX2" s="528"/>
      <c r="VYY2" s="528"/>
      <c r="VYZ2" s="528"/>
      <c r="VZA2" s="528"/>
      <c r="VZB2" s="528"/>
      <c r="VZC2" s="528"/>
      <c r="VZD2" s="528"/>
      <c r="VZE2" s="528"/>
      <c r="VZF2" s="528"/>
      <c r="VZG2" s="528"/>
      <c r="VZH2" s="528"/>
      <c r="VZI2" s="528"/>
      <c r="VZJ2" s="528"/>
      <c r="VZK2" s="528"/>
      <c r="VZL2" s="528"/>
      <c r="VZM2" s="528"/>
      <c r="VZN2" s="528"/>
      <c r="VZO2" s="528"/>
      <c r="VZP2" s="528"/>
      <c r="VZQ2" s="528"/>
      <c r="VZR2" s="528"/>
      <c r="VZS2" s="528"/>
      <c r="VZT2" s="528"/>
      <c r="VZU2" s="528"/>
      <c r="VZV2" s="528"/>
      <c r="VZW2" s="528"/>
      <c r="VZX2" s="528"/>
      <c r="VZY2" s="528"/>
      <c r="VZZ2" s="528"/>
      <c r="WAA2" s="528"/>
      <c r="WAB2" s="528"/>
      <c r="WAC2" s="528"/>
      <c r="WAD2" s="528"/>
      <c r="WAE2" s="528"/>
      <c r="WAF2" s="528"/>
      <c r="WAG2" s="528"/>
      <c r="WAH2" s="528"/>
      <c r="WAI2" s="528"/>
      <c r="WAJ2" s="528"/>
      <c r="WAK2" s="528"/>
      <c r="WAL2" s="528"/>
      <c r="WAM2" s="528"/>
      <c r="WAN2" s="528"/>
      <c r="WAO2" s="528"/>
      <c r="WAP2" s="528"/>
      <c r="WAQ2" s="528"/>
      <c r="WAR2" s="528"/>
      <c r="WAS2" s="528"/>
      <c r="WAT2" s="528"/>
      <c r="WAU2" s="528"/>
      <c r="WAV2" s="528"/>
      <c r="WAW2" s="528"/>
      <c r="WAX2" s="528"/>
      <c r="WAY2" s="528"/>
      <c r="WAZ2" s="528"/>
      <c r="WBA2" s="528"/>
      <c r="WBB2" s="528"/>
      <c r="WBC2" s="528"/>
      <c r="WBD2" s="528"/>
      <c r="WBE2" s="528"/>
      <c r="WBF2" s="528"/>
      <c r="WBG2" s="528"/>
      <c r="WBH2" s="528"/>
      <c r="WBI2" s="528"/>
      <c r="WBJ2" s="528"/>
      <c r="WBK2" s="528"/>
      <c r="WBL2" s="528"/>
      <c r="WBM2" s="528"/>
      <c r="WBN2" s="528"/>
      <c r="WBO2" s="528"/>
      <c r="WBP2" s="528"/>
      <c r="WBQ2" s="528"/>
      <c r="WBR2" s="528"/>
      <c r="WBS2" s="528"/>
      <c r="WBT2" s="528"/>
      <c r="WBU2" s="528"/>
      <c r="WBV2" s="528"/>
      <c r="WBW2" s="528"/>
      <c r="WBX2" s="528"/>
      <c r="WBY2" s="528"/>
      <c r="WBZ2" s="528"/>
      <c r="WCA2" s="528"/>
      <c r="WCB2" s="528"/>
      <c r="WCC2" s="528"/>
      <c r="WCD2" s="528"/>
      <c r="WCE2" s="528"/>
      <c r="WCF2" s="528"/>
      <c r="WCG2" s="528"/>
      <c r="WCH2" s="528"/>
      <c r="WCI2" s="528"/>
      <c r="WCJ2" s="528"/>
      <c r="WCK2" s="528"/>
      <c r="WCL2" s="528"/>
      <c r="WCM2" s="528"/>
      <c r="WCN2" s="528"/>
      <c r="WCO2" s="528"/>
      <c r="WCP2" s="528"/>
      <c r="WCQ2" s="528"/>
      <c r="WCR2" s="528"/>
      <c r="WCS2" s="528"/>
      <c r="WCT2" s="528"/>
      <c r="WCU2" s="528"/>
      <c r="WCV2" s="528"/>
      <c r="WCW2" s="528"/>
      <c r="WCX2" s="528"/>
      <c r="WCY2" s="528"/>
      <c r="WCZ2" s="528"/>
      <c r="WDA2" s="528"/>
      <c r="WDB2" s="528"/>
      <c r="WDC2" s="528"/>
      <c r="WDD2" s="528"/>
      <c r="WDE2" s="528"/>
      <c r="WDF2" s="528"/>
      <c r="WDG2" s="528"/>
      <c r="WDH2" s="528"/>
      <c r="WDI2" s="528"/>
      <c r="WDJ2" s="528"/>
      <c r="WDK2" s="528"/>
      <c r="WDL2" s="528"/>
      <c r="WDM2" s="528"/>
      <c r="WDN2" s="528"/>
      <c r="WDO2" s="528"/>
      <c r="WDP2" s="528"/>
      <c r="WDQ2" s="528"/>
      <c r="WDR2" s="528"/>
      <c r="WDS2" s="528"/>
      <c r="WDT2" s="528"/>
      <c r="WDU2" s="528"/>
      <c r="WDV2" s="528"/>
      <c r="WDW2" s="528"/>
      <c r="WDX2" s="528"/>
      <c r="WDY2" s="528"/>
      <c r="WDZ2" s="528"/>
      <c r="WEA2" s="528"/>
      <c r="WEB2" s="528"/>
      <c r="WEC2" s="528"/>
      <c r="WED2" s="528"/>
      <c r="WEE2" s="528"/>
      <c r="WEF2" s="528"/>
      <c r="WEG2" s="528"/>
      <c r="WEH2" s="528"/>
      <c r="WEI2" s="528"/>
      <c r="WEJ2" s="528"/>
      <c r="WEK2" s="528"/>
      <c r="WEL2" s="528"/>
      <c r="WEM2" s="528"/>
      <c r="WEN2" s="528"/>
      <c r="WEO2" s="528"/>
      <c r="WEP2" s="528"/>
      <c r="WEQ2" s="528"/>
      <c r="WER2" s="528"/>
      <c r="WES2" s="528"/>
      <c r="WET2" s="528"/>
      <c r="WEU2" s="528"/>
      <c r="WEV2" s="528"/>
      <c r="WEW2" s="528"/>
      <c r="WEX2" s="528"/>
      <c r="WEY2" s="528"/>
      <c r="WEZ2" s="528"/>
      <c r="WFA2" s="528"/>
      <c r="WFB2" s="528"/>
      <c r="WFC2" s="528"/>
      <c r="WFD2" s="528"/>
      <c r="WFE2" s="528"/>
      <c r="WFF2" s="528"/>
      <c r="WFG2" s="528"/>
      <c r="WFH2" s="528"/>
      <c r="WFI2" s="528"/>
      <c r="WFJ2" s="528"/>
      <c r="WFK2" s="528"/>
      <c r="WFL2" s="528"/>
      <c r="WFM2" s="528"/>
      <c r="WFN2" s="528"/>
      <c r="WFO2" s="528"/>
      <c r="WFP2" s="528"/>
      <c r="WFQ2" s="528"/>
      <c r="WFR2" s="528"/>
      <c r="WFS2" s="528"/>
      <c r="WFT2" s="528"/>
      <c r="WFU2" s="528"/>
      <c r="WFV2" s="528"/>
      <c r="WFW2" s="528"/>
      <c r="WFX2" s="528"/>
      <c r="WFY2" s="528"/>
      <c r="WFZ2" s="528"/>
      <c r="WGA2" s="528"/>
      <c r="WGB2" s="528"/>
      <c r="WGC2" s="528"/>
      <c r="WGD2" s="528"/>
      <c r="WGE2" s="528"/>
      <c r="WGF2" s="528"/>
      <c r="WGG2" s="528"/>
      <c r="WGH2" s="528"/>
      <c r="WGI2" s="528"/>
      <c r="WGJ2" s="528"/>
      <c r="WGK2" s="528"/>
      <c r="WGL2" s="528"/>
      <c r="WGM2" s="528"/>
      <c r="WGN2" s="528"/>
      <c r="WGO2" s="528"/>
      <c r="WGP2" s="528"/>
      <c r="WGQ2" s="528"/>
      <c r="WGR2" s="528"/>
      <c r="WGS2" s="528"/>
      <c r="WGT2" s="528"/>
      <c r="WGU2" s="528"/>
      <c r="WGV2" s="528"/>
      <c r="WGW2" s="528"/>
      <c r="WGX2" s="528"/>
      <c r="WGY2" s="528"/>
      <c r="WGZ2" s="528"/>
      <c r="WHA2" s="528"/>
      <c r="WHB2" s="528"/>
      <c r="WHC2" s="528"/>
      <c r="WHD2" s="528"/>
      <c r="WHE2" s="528"/>
      <c r="WHF2" s="528"/>
      <c r="WHG2" s="528"/>
      <c r="WHH2" s="528"/>
      <c r="WHI2" s="528"/>
      <c r="WHJ2" s="528"/>
      <c r="WHK2" s="528"/>
      <c r="WHL2" s="528"/>
      <c r="WHM2" s="528"/>
      <c r="WHN2" s="528"/>
      <c r="WHO2" s="528"/>
      <c r="WHP2" s="528"/>
      <c r="WHQ2" s="528"/>
      <c r="WHR2" s="528"/>
      <c r="WHS2" s="528"/>
      <c r="WHT2" s="528"/>
      <c r="WHU2" s="528"/>
      <c r="WHV2" s="528"/>
      <c r="WHW2" s="528"/>
      <c r="WHX2" s="528"/>
      <c r="WHY2" s="528"/>
      <c r="WHZ2" s="528"/>
      <c r="WIA2" s="528"/>
      <c r="WIB2" s="528"/>
      <c r="WIC2" s="528"/>
      <c r="WID2" s="528"/>
      <c r="WIE2" s="528"/>
      <c r="WIF2" s="528"/>
      <c r="WIG2" s="528"/>
      <c r="WIH2" s="528"/>
      <c r="WII2" s="528"/>
      <c r="WIJ2" s="528"/>
      <c r="WIK2" s="528"/>
      <c r="WIL2" s="528"/>
      <c r="WIM2" s="528"/>
      <c r="WIN2" s="528"/>
      <c r="WIO2" s="528"/>
      <c r="WIP2" s="528"/>
      <c r="WIQ2" s="528"/>
      <c r="WIR2" s="528"/>
      <c r="WIS2" s="528"/>
      <c r="WIT2" s="528"/>
      <c r="WIU2" s="528"/>
      <c r="WIV2" s="528"/>
      <c r="WIW2" s="528"/>
      <c r="WIX2" s="528"/>
      <c r="WIY2" s="528"/>
      <c r="WIZ2" s="528"/>
      <c r="WJA2" s="528"/>
      <c r="WJB2" s="528"/>
      <c r="WJC2" s="528"/>
      <c r="WJD2" s="528"/>
      <c r="WJE2" s="528"/>
      <c r="WJF2" s="528"/>
      <c r="WJG2" s="528"/>
      <c r="WJH2" s="528"/>
      <c r="WJI2" s="528"/>
      <c r="WJJ2" s="528"/>
      <c r="WJK2" s="528"/>
      <c r="WJL2" s="528"/>
      <c r="WJM2" s="528"/>
      <c r="WJN2" s="528"/>
      <c r="WJO2" s="528"/>
      <c r="WJP2" s="528"/>
      <c r="WJQ2" s="528"/>
      <c r="WJR2" s="528"/>
      <c r="WJS2" s="528"/>
      <c r="WJT2" s="528"/>
      <c r="WJU2" s="528"/>
      <c r="WJV2" s="528"/>
      <c r="WJW2" s="528"/>
      <c r="WJX2" s="528"/>
      <c r="WJY2" s="528"/>
      <c r="WJZ2" s="528"/>
      <c r="WKA2" s="528"/>
      <c r="WKB2" s="528"/>
      <c r="WKC2" s="528"/>
      <c r="WKD2" s="528"/>
      <c r="WKE2" s="528"/>
      <c r="WKF2" s="528"/>
      <c r="WKG2" s="528"/>
      <c r="WKH2" s="528"/>
      <c r="WKI2" s="528"/>
      <c r="WKJ2" s="528"/>
      <c r="WKK2" s="528"/>
      <c r="WKL2" s="528"/>
      <c r="WKM2" s="528"/>
      <c r="WKN2" s="528"/>
      <c r="WKO2" s="528"/>
      <c r="WKP2" s="528"/>
      <c r="WKQ2" s="528"/>
      <c r="WKR2" s="528"/>
      <c r="WKS2" s="528"/>
      <c r="WKT2" s="528"/>
      <c r="WKU2" s="528"/>
      <c r="WKV2" s="528"/>
      <c r="WKW2" s="528"/>
      <c r="WKX2" s="528"/>
      <c r="WKY2" s="528"/>
      <c r="WKZ2" s="528"/>
      <c r="WLA2" s="528"/>
      <c r="WLB2" s="528"/>
      <c r="WLC2" s="528"/>
      <c r="WLD2" s="528"/>
      <c r="WLE2" s="528"/>
      <c r="WLF2" s="528"/>
      <c r="WLG2" s="528"/>
      <c r="WLH2" s="528"/>
      <c r="WLI2" s="528"/>
      <c r="WLJ2" s="528"/>
      <c r="WLK2" s="528"/>
      <c r="WLL2" s="528"/>
      <c r="WLM2" s="528"/>
      <c r="WLN2" s="528"/>
      <c r="WLO2" s="528"/>
      <c r="WLP2" s="528"/>
      <c r="WLQ2" s="528"/>
      <c r="WLR2" s="528"/>
      <c r="WLS2" s="528"/>
      <c r="WLT2" s="528"/>
      <c r="WLU2" s="528"/>
      <c r="WLV2" s="528"/>
      <c r="WLW2" s="528"/>
      <c r="WLX2" s="528"/>
      <c r="WLY2" s="528"/>
      <c r="WLZ2" s="528"/>
      <c r="WMA2" s="528"/>
      <c r="WMB2" s="528"/>
      <c r="WMC2" s="528"/>
      <c r="WMD2" s="528"/>
      <c r="WME2" s="528"/>
      <c r="WMF2" s="528"/>
      <c r="WMG2" s="528"/>
      <c r="WMH2" s="528"/>
      <c r="WMI2" s="528"/>
      <c r="WMJ2" s="528"/>
      <c r="WMK2" s="528"/>
      <c r="WML2" s="528"/>
      <c r="WMM2" s="528"/>
      <c r="WMN2" s="528"/>
      <c r="WMO2" s="528"/>
      <c r="WMP2" s="528"/>
      <c r="WMQ2" s="528"/>
      <c r="WMR2" s="528"/>
      <c r="WMS2" s="528"/>
      <c r="WMT2" s="528"/>
      <c r="WMU2" s="528"/>
      <c r="WMV2" s="528"/>
      <c r="WMW2" s="528"/>
      <c r="WMX2" s="528"/>
      <c r="WMY2" s="528"/>
      <c r="WMZ2" s="528"/>
      <c r="WNA2" s="528"/>
      <c r="WNB2" s="528"/>
      <c r="WNC2" s="528"/>
      <c r="WND2" s="528"/>
      <c r="WNE2" s="528"/>
      <c r="WNF2" s="528"/>
      <c r="WNG2" s="528"/>
      <c r="WNH2" s="528"/>
      <c r="WNI2" s="528"/>
      <c r="WNJ2" s="528"/>
      <c r="WNK2" s="528"/>
      <c r="WNL2" s="528"/>
      <c r="WNM2" s="528"/>
      <c r="WNN2" s="528"/>
      <c r="WNO2" s="528"/>
      <c r="WNP2" s="528"/>
      <c r="WNQ2" s="528"/>
      <c r="WNR2" s="528"/>
      <c r="WNS2" s="528"/>
      <c r="WNT2" s="528"/>
      <c r="WNU2" s="528"/>
      <c r="WNV2" s="528"/>
      <c r="WNW2" s="528"/>
      <c r="WNX2" s="528"/>
      <c r="WNY2" s="528"/>
      <c r="WNZ2" s="528"/>
      <c r="WOA2" s="528"/>
      <c r="WOB2" s="528"/>
      <c r="WOC2" s="528"/>
      <c r="WOD2" s="528"/>
      <c r="WOE2" s="528"/>
      <c r="WOF2" s="528"/>
      <c r="WOG2" s="528"/>
      <c r="WOH2" s="528"/>
      <c r="WOI2" s="528"/>
      <c r="WOJ2" s="528"/>
      <c r="WOK2" s="528"/>
      <c r="WOL2" s="528"/>
      <c r="WOM2" s="528"/>
      <c r="WON2" s="528"/>
      <c r="WOO2" s="528"/>
      <c r="WOP2" s="528"/>
      <c r="WOQ2" s="528"/>
      <c r="WOR2" s="528"/>
      <c r="WOS2" s="528"/>
      <c r="WOT2" s="528"/>
      <c r="WOU2" s="528"/>
      <c r="WOV2" s="528"/>
      <c r="WOW2" s="528"/>
      <c r="WOX2" s="528"/>
      <c r="WOY2" s="528"/>
      <c r="WOZ2" s="528"/>
      <c r="WPA2" s="528"/>
      <c r="WPB2" s="528"/>
      <c r="WPC2" s="528"/>
      <c r="WPD2" s="528"/>
      <c r="WPE2" s="528"/>
      <c r="WPF2" s="528"/>
      <c r="WPG2" s="528"/>
      <c r="WPH2" s="528"/>
      <c r="WPI2" s="528"/>
      <c r="WPJ2" s="528"/>
      <c r="WPK2" s="528"/>
      <c r="WPL2" s="528"/>
      <c r="WPM2" s="528"/>
      <c r="WPN2" s="528"/>
      <c r="WPO2" s="528"/>
      <c r="WPP2" s="528"/>
      <c r="WPQ2" s="528"/>
      <c r="WPR2" s="528"/>
      <c r="WPS2" s="528"/>
      <c r="WPT2" s="528"/>
      <c r="WPU2" s="528"/>
      <c r="WPV2" s="528"/>
      <c r="WPW2" s="528"/>
      <c r="WPX2" s="528"/>
      <c r="WPY2" s="528"/>
      <c r="WPZ2" s="528"/>
      <c r="WQA2" s="528"/>
      <c r="WQB2" s="528"/>
      <c r="WQC2" s="528"/>
      <c r="WQD2" s="528"/>
      <c r="WQE2" s="528"/>
      <c r="WQF2" s="528"/>
      <c r="WQG2" s="528"/>
      <c r="WQH2" s="528"/>
      <c r="WQI2" s="528"/>
      <c r="WQJ2" s="528"/>
      <c r="WQK2" s="528"/>
      <c r="WQL2" s="528"/>
      <c r="WQM2" s="528"/>
      <c r="WQN2" s="528"/>
      <c r="WQO2" s="528"/>
      <c r="WQP2" s="528"/>
      <c r="WQQ2" s="528"/>
      <c r="WQR2" s="528"/>
      <c r="WQS2" s="528"/>
      <c r="WQT2" s="528"/>
      <c r="WQU2" s="528"/>
      <c r="WQV2" s="528"/>
      <c r="WQW2" s="528"/>
      <c r="WQX2" s="528"/>
      <c r="WQY2" s="528"/>
      <c r="WQZ2" s="528"/>
      <c r="WRA2" s="528"/>
      <c r="WRB2" s="528"/>
      <c r="WRC2" s="528"/>
      <c r="WRD2" s="528"/>
      <c r="WRE2" s="528"/>
      <c r="WRF2" s="528"/>
      <c r="WRG2" s="528"/>
      <c r="WRH2" s="528"/>
      <c r="WRI2" s="528"/>
      <c r="WRJ2" s="528"/>
      <c r="WRK2" s="528"/>
      <c r="WRL2" s="528"/>
      <c r="WRM2" s="528"/>
      <c r="WRN2" s="528"/>
      <c r="WRO2" s="528"/>
      <c r="WRP2" s="528"/>
      <c r="WRQ2" s="528"/>
      <c r="WRR2" s="528"/>
      <c r="WRS2" s="528"/>
      <c r="WRT2" s="528"/>
      <c r="WRU2" s="528"/>
      <c r="WRV2" s="528"/>
      <c r="WRW2" s="528"/>
      <c r="WRX2" s="528"/>
      <c r="WRY2" s="528"/>
      <c r="WRZ2" s="528"/>
      <c r="WSA2" s="528"/>
      <c r="WSB2" s="528"/>
      <c r="WSC2" s="528"/>
      <c r="WSD2" s="528"/>
      <c r="WSE2" s="528"/>
      <c r="WSF2" s="528"/>
      <c r="WSG2" s="528"/>
      <c r="WSH2" s="528"/>
      <c r="WSI2" s="528"/>
      <c r="WSJ2" s="528"/>
      <c r="WSK2" s="528"/>
      <c r="WSL2" s="528"/>
      <c r="WSM2" s="528"/>
      <c r="WSN2" s="528"/>
      <c r="WSO2" s="528"/>
      <c r="WSP2" s="528"/>
      <c r="WSQ2" s="528"/>
      <c r="WSR2" s="528"/>
      <c r="WSS2" s="528"/>
      <c r="WST2" s="528"/>
      <c r="WSU2" s="528"/>
      <c r="WSV2" s="528"/>
      <c r="WSW2" s="528"/>
      <c r="WSX2" s="528"/>
      <c r="WSY2" s="528"/>
      <c r="WSZ2" s="528"/>
      <c r="WTA2" s="528"/>
      <c r="WTB2" s="528"/>
      <c r="WTC2" s="528"/>
      <c r="WTD2" s="528"/>
      <c r="WTE2" s="528"/>
      <c r="WTF2" s="528"/>
      <c r="WTG2" s="528"/>
      <c r="WTH2" s="528"/>
      <c r="WTI2" s="528"/>
      <c r="WTJ2" s="528"/>
      <c r="WTK2" s="528"/>
      <c r="WTL2" s="528"/>
      <c r="WTM2" s="528"/>
      <c r="WTN2" s="528"/>
      <c r="WTO2" s="528"/>
      <c r="WTP2" s="528"/>
      <c r="WTQ2" s="528"/>
      <c r="WTR2" s="528"/>
      <c r="WTS2" s="528"/>
      <c r="WTT2" s="528"/>
      <c r="WTU2" s="528"/>
      <c r="WTV2" s="528"/>
      <c r="WTW2" s="528"/>
      <c r="WTX2" s="528"/>
      <c r="WTY2" s="528"/>
      <c r="WTZ2" s="528"/>
      <c r="WUA2" s="528"/>
      <c r="WUB2" s="528"/>
      <c r="WUC2" s="528"/>
      <c r="WUD2" s="528"/>
      <c r="WUE2" s="528"/>
      <c r="WUF2" s="528"/>
      <c r="WUG2" s="528"/>
      <c r="WUH2" s="528"/>
      <c r="WUI2" s="528"/>
      <c r="WUJ2" s="528"/>
      <c r="WUK2" s="528"/>
      <c r="WUL2" s="528"/>
      <c r="WUM2" s="528"/>
      <c r="WUN2" s="528"/>
      <c r="WUO2" s="528"/>
      <c r="WUP2" s="528"/>
      <c r="WUQ2" s="528"/>
      <c r="WUR2" s="528"/>
      <c r="WUS2" s="528"/>
      <c r="WUT2" s="528"/>
      <c r="WUU2" s="528"/>
      <c r="WUV2" s="528"/>
      <c r="WUW2" s="528"/>
      <c r="WUX2" s="528"/>
      <c r="WUY2" s="528"/>
      <c r="WUZ2" s="528"/>
      <c r="WVA2" s="528"/>
      <c r="WVB2" s="528"/>
      <c r="WVC2" s="528"/>
      <c r="WVD2" s="528"/>
      <c r="WVE2" s="528"/>
      <c r="WVF2" s="528"/>
      <c r="WVG2" s="528"/>
      <c r="WVH2" s="528"/>
      <c r="WVI2" s="528"/>
      <c r="WVJ2" s="528"/>
      <c r="WVK2" s="528"/>
      <c r="WVL2" s="528"/>
      <c r="WVM2" s="528"/>
      <c r="WVN2" s="528"/>
      <c r="WVO2" s="528"/>
      <c r="WVP2" s="528"/>
      <c r="WVQ2" s="528"/>
      <c r="WVR2" s="528"/>
      <c r="WVS2" s="528"/>
      <c r="WVT2" s="528"/>
      <c r="WVU2" s="528"/>
      <c r="WVV2" s="528"/>
      <c r="WVW2" s="528"/>
      <c r="WVX2" s="528"/>
      <c r="WVY2" s="528"/>
      <c r="WVZ2" s="528"/>
      <c r="WWA2" s="528"/>
      <c r="WWB2" s="528"/>
      <c r="WWC2" s="528"/>
      <c r="WWD2" s="528"/>
      <c r="WWE2" s="528"/>
      <c r="WWF2" s="528"/>
      <c r="WWG2" s="528"/>
      <c r="WWH2" s="528"/>
      <c r="WWI2" s="528"/>
      <c r="WWJ2" s="528"/>
      <c r="WWK2" s="528"/>
      <c r="WWL2" s="528"/>
      <c r="WWM2" s="528"/>
      <c r="WWN2" s="528"/>
      <c r="WWO2" s="528"/>
      <c r="WWP2" s="528"/>
      <c r="WWQ2" s="528"/>
      <c r="WWR2" s="528"/>
      <c r="WWS2" s="528"/>
      <c r="WWT2" s="528"/>
      <c r="WWU2" s="528"/>
      <c r="WWV2" s="528"/>
      <c r="WWW2" s="528"/>
      <c r="WWX2" s="528"/>
      <c r="WWY2" s="528"/>
      <c r="WWZ2" s="528"/>
      <c r="WXA2" s="528"/>
      <c r="WXB2" s="528"/>
      <c r="WXC2" s="528"/>
      <c r="WXD2" s="528"/>
      <c r="WXE2" s="528"/>
      <c r="WXF2" s="528"/>
      <c r="WXG2" s="528"/>
      <c r="WXH2" s="528"/>
      <c r="WXI2" s="528"/>
      <c r="WXJ2" s="528"/>
      <c r="WXK2" s="528"/>
      <c r="WXL2" s="528"/>
      <c r="WXM2" s="528"/>
      <c r="WXN2" s="528"/>
      <c r="WXO2" s="528"/>
      <c r="WXP2" s="528"/>
      <c r="WXQ2" s="528"/>
      <c r="WXR2" s="528"/>
      <c r="WXS2" s="528"/>
      <c r="WXT2" s="528"/>
      <c r="WXU2" s="528"/>
      <c r="WXV2" s="528"/>
      <c r="WXW2" s="528"/>
      <c r="WXX2" s="528"/>
      <c r="WXY2" s="528"/>
      <c r="WXZ2" s="528"/>
      <c r="WYA2" s="528"/>
      <c r="WYB2" s="528"/>
      <c r="WYC2" s="528"/>
      <c r="WYD2" s="528"/>
      <c r="WYE2" s="528"/>
      <c r="WYF2" s="528"/>
      <c r="WYG2" s="528"/>
      <c r="WYH2" s="528"/>
      <c r="WYI2" s="528"/>
      <c r="WYJ2" s="528"/>
      <c r="WYK2" s="528"/>
      <c r="WYL2" s="528"/>
      <c r="WYM2" s="528"/>
      <c r="WYN2" s="528"/>
      <c r="WYO2" s="528"/>
      <c r="WYP2" s="528"/>
      <c r="WYQ2" s="528"/>
      <c r="WYR2" s="528"/>
      <c r="WYS2" s="528"/>
      <c r="WYT2" s="528"/>
      <c r="WYU2" s="528"/>
      <c r="WYV2" s="528"/>
      <c r="WYW2" s="528"/>
      <c r="WYX2" s="528"/>
      <c r="WYY2" s="528"/>
      <c r="WYZ2" s="528"/>
      <c r="WZA2" s="528"/>
      <c r="WZB2" s="528"/>
      <c r="WZC2" s="528"/>
      <c r="WZD2" s="528"/>
      <c r="WZE2" s="528"/>
      <c r="WZF2" s="528"/>
      <c r="WZG2" s="528"/>
      <c r="WZH2" s="528"/>
      <c r="WZI2" s="528"/>
      <c r="WZJ2" s="528"/>
      <c r="WZK2" s="528"/>
      <c r="WZL2" s="528"/>
      <c r="WZM2" s="528"/>
      <c r="WZN2" s="528"/>
      <c r="WZO2" s="528"/>
      <c r="WZP2" s="528"/>
      <c r="WZQ2" s="528"/>
      <c r="WZR2" s="528"/>
      <c r="WZS2" s="528"/>
      <c r="WZT2" s="528"/>
      <c r="WZU2" s="528"/>
      <c r="WZV2" s="528"/>
      <c r="WZW2" s="528"/>
      <c r="WZX2" s="528"/>
      <c r="WZY2" s="528"/>
      <c r="WZZ2" s="528"/>
      <c r="XAA2" s="528"/>
      <c r="XAB2" s="528"/>
      <c r="XAC2" s="528"/>
      <c r="XAD2" s="528"/>
      <c r="XAE2" s="528"/>
      <c r="XAF2" s="528"/>
      <c r="XAG2" s="528"/>
      <c r="XAH2" s="528"/>
      <c r="XAI2" s="528"/>
      <c r="XAJ2" s="528"/>
      <c r="XAK2" s="528"/>
      <c r="XAL2" s="528"/>
      <c r="XAM2" s="528"/>
      <c r="XAN2" s="528"/>
      <c r="XAO2" s="528"/>
      <c r="XAP2" s="528"/>
      <c r="XAQ2" s="528"/>
      <c r="XAR2" s="528"/>
      <c r="XAS2" s="528"/>
      <c r="XAT2" s="528"/>
      <c r="XAU2" s="528"/>
      <c r="XAV2" s="528"/>
      <c r="XAW2" s="528"/>
      <c r="XAX2" s="528"/>
      <c r="XAY2" s="528"/>
      <c r="XAZ2" s="528"/>
      <c r="XBA2" s="528"/>
      <c r="XBB2" s="528"/>
      <c r="XBC2" s="528"/>
      <c r="XBD2" s="528"/>
      <c r="XBE2" s="528"/>
      <c r="XBF2" s="528"/>
      <c r="XBG2" s="528"/>
      <c r="XBH2" s="528"/>
      <c r="XBI2" s="528"/>
      <c r="XBJ2" s="528"/>
      <c r="XBK2" s="528"/>
      <c r="XBL2" s="528"/>
      <c r="XBM2" s="528"/>
      <c r="XBN2" s="528"/>
      <c r="XBO2" s="528"/>
      <c r="XBP2" s="528"/>
      <c r="XBQ2" s="528"/>
      <c r="XBR2" s="528"/>
      <c r="XBS2" s="528"/>
      <c r="XBT2" s="528"/>
      <c r="XBU2" s="528"/>
      <c r="XBV2" s="528"/>
      <c r="XBW2" s="528"/>
      <c r="XBX2" s="528"/>
      <c r="XBY2" s="528"/>
      <c r="XBZ2" s="528"/>
      <c r="XCA2" s="528"/>
      <c r="XCB2" s="528"/>
      <c r="XCC2" s="528"/>
      <c r="XCD2" s="528"/>
      <c r="XCE2" s="528"/>
      <c r="XCF2" s="528"/>
      <c r="XCG2" s="528"/>
      <c r="XCH2" s="528"/>
      <c r="XCI2" s="528"/>
      <c r="XCJ2" s="528"/>
      <c r="XCK2" s="528"/>
      <c r="XCL2" s="528"/>
      <c r="XCM2" s="528"/>
      <c r="XCN2" s="528"/>
      <c r="XCO2" s="528"/>
      <c r="XCP2" s="528"/>
      <c r="XCQ2" s="528"/>
      <c r="XCR2" s="528"/>
      <c r="XCS2" s="528"/>
      <c r="XCT2" s="528"/>
      <c r="XCU2" s="528"/>
      <c r="XCV2" s="528"/>
      <c r="XCW2" s="528"/>
      <c r="XCX2" s="528"/>
      <c r="XCY2" s="528"/>
      <c r="XCZ2" s="528"/>
      <c r="XDA2" s="528"/>
      <c r="XDB2" s="528"/>
      <c r="XDC2" s="528"/>
      <c r="XDD2" s="528"/>
      <c r="XDE2" s="528"/>
      <c r="XDF2" s="528"/>
      <c r="XDG2" s="528"/>
      <c r="XDH2" s="528"/>
      <c r="XDI2" s="528"/>
      <c r="XDJ2" s="528"/>
      <c r="XDK2" s="528"/>
      <c r="XDL2" s="528"/>
      <c r="XDM2" s="528"/>
      <c r="XDN2" s="528"/>
      <c r="XDO2" s="528"/>
      <c r="XDP2" s="528"/>
      <c r="XDQ2" s="528"/>
      <c r="XDR2" s="528"/>
      <c r="XDS2" s="528"/>
      <c r="XDT2" s="528"/>
      <c r="XDU2" s="528"/>
      <c r="XDV2" s="528"/>
      <c r="XDW2" s="528"/>
      <c r="XDX2" s="528"/>
      <c r="XDY2" s="528"/>
      <c r="XDZ2" s="528"/>
      <c r="XEA2" s="528"/>
      <c r="XEB2" s="528"/>
      <c r="XEC2" s="528"/>
      <c r="XED2" s="528"/>
      <c r="XEE2" s="528"/>
      <c r="XEF2" s="528"/>
      <c r="XEG2" s="528"/>
      <c r="XEH2" s="528"/>
      <c r="XEI2" s="528"/>
      <c r="XEJ2" s="528"/>
      <c r="XEK2" s="528"/>
      <c r="XEL2" s="528"/>
      <c r="XEM2" s="528"/>
      <c r="XEN2" s="528"/>
      <c r="XEO2" s="528"/>
      <c r="XEP2" s="528"/>
      <c r="XEQ2" s="528"/>
      <c r="XER2" s="528"/>
      <c r="XES2" s="528"/>
      <c r="XET2" s="528"/>
      <c r="XEU2" s="528"/>
      <c r="XEV2" s="528"/>
      <c r="XEW2" s="528"/>
      <c r="XEX2" s="528"/>
      <c r="XEY2" s="528"/>
      <c r="XEZ2" s="528"/>
      <c r="XFA2" s="528"/>
      <c r="XFB2" s="528"/>
      <c r="XFC2" s="528"/>
      <c r="XFD2" s="528"/>
    </row>
    <row r="3" spans="1:16384" ht="18">
      <c r="A3" s="703" t="s">
        <v>3217</v>
      </c>
      <c r="B3" s="694"/>
      <c r="C3" s="694"/>
      <c r="D3" s="694"/>
      <c r="E3" s="694"/>
      <c r="F3" s="694"/>
      <c r="G3" s="694"/>
      <c r="H3" s="694"/>
    </row>
    <row r="5" spans="1:16384">
      <c r="E5" s="704" t="s">
        <v>3218</v>
      </c>
      <c r="F5" s="705"/>
      <c r="G5" s="705"/>
      <c r="H5" s="706"/>
    </row>
    <row r="6" spans="1:16384">
      <c r="A6" s="529" t="s">
        <v>3219</v>
      </c>
      <c r="B6" s="707">
        <v>43705</v>
      </c>
      <c r="C6" s="706"/>
      <c r="E6" s="708" t="s">
        <v>3220</v>
      </c>
      <c r="F6" s="694"/>
      <c r="G6" s="694"/>
      <c r="H6" s="709"/>
    </row>
    <row r="7" spans="1:16384">
      <c r="A7" s="530" t="s">
        <v>3221</v>
      </c>
      <c r="B7" s="710">
        <v>43698</v>
      </c>
      <c r="C7" s="709"/>
      <c r="E7" s="708" t="s">
        <v>3222</v>
      </c>
      <c r="F7" s="694"/>
      <c r="G7" s="694"/>
      <c r="H7" s="709"/>
    </row>
    <row r="8" spans="1:16384">
      <c r="A8" s="531" t="s">
        <v>3223</v>
      </c>
      <c r="B8" s="711">
        <v>43699</v>
      </c>
      <c r="C8" s="712"/>
      <c r="E8" s="713" t="s">
        <v>3224</v>
      </c>
      <c r="F8" s="714"/>
      <c r="G8" s="714"/>
      <c r="H8" s="712"/>
    </row>
    <row r="10" spans="1:16384">
      <c r="A10" s="6" t="s">
        <v>3225</v>
      </c>
      <c r="B10" s="715" t="s">
        <v>3226</v>
      </c>
      <c r="C10" s="716"/>
      <c r="D10" s="717"/>
      <c r="F10" s="532" t="s">
        <v>3227</v>
      </c>
    </row>
    <row r="11" spans="1:16384">
      <c r="B11" s="693" t="s">
        <v>3228</v>
      </c>
      <c r="C11" s="694"/>
      <c r="D11" s="695"/>
      <c r="F11" s="718" t="s">
        <v>3229</v>
      </c>
      <c r="G11" s="694"/>
      <c r="H11" s="6">
        <v>82</v>
      </c>
    </row>
    <row r="12" spans="1:16384">
      <c r="B12" s="693" t="s">
        <v>3220</v>
      </c>
      <c r="C12" s="694"/>
      <c r="D12" s="695"/>
      <c r="F12" s="702" t="s">
        <v>3230</v>
      </c>
      <c r="G12" s="694"/>
      <c r="H12" s="694"/>
    </row>
    <row r="13" spans="1:16384">
      <c r="B13" s="693" t="s">
        <v>3231</v>
      </c>
      <c r="C13" s="694"/>
      <c r="D13" s="695"/>
    </row>
    <row r="14" spans="1:16384">
      <c r="B14" s="693" t="s">
        <v>3232</v>
      </c>
      <c r="C14" s="694"/>
      <c r="D14" s="695"/>
    </row>
    <row r="15" spans="1:16384">
      <c r="B15" s="696" t="s">
        <v>3233</v>
      </c>
      <c r="C15" s="697"/>
      <c r="D15" s="698"/>
    </row>
    <row r="19" spans="1:14">
      <c r="A19" s="6" t="s">
        <v>3234</v>
      </c>
      <c r="B19" s="699" t="s">
        <v>3235</v>
      </c>
      <c r="C19" s="700"/>
      <c r="D19" s="700"/>
      <c r="E19" s="700"/>
      <c r="F19" s="700"/>
      <c r="G19" s="700"/>
      <c r="H19" s="700"/>
      <c r="I19" s="700"/>
      <c r="J19" s="700"/>
      <c r="K19" s="700"/>
      <c r="L19" s="700"/>
      <c r="M19" s="700"/>
    </row>
    <row r="20" spans="1:14">
      <c r="B20" s="700"/>
      <c r="C20" s="700"/>
      <c r="D20" s="700"/>
      <c r="E20" s="700"/>
      <c r="F20" s="700"/>
      <c r="G20" s="700"/>
      <c r="H20" s="700"/>
      <c r="I20" s="700"/>
      <c r="J20" s="700"/>
      <c r="K20" s="700"/>
      <c r="L20" s="700"/>
      <c r="M20" s="700"/>
    </row>
    <row r="21" spans="1:14">
      <c r="B21" s="700"/>
      <c r="C21" s="700"/>
      <c r="D21" s="700"/>
      <c r="E21" s="700"/>
      <c r="F21" s="700"/>
      <c r="G21" s="700"/>
      <c r="H21" s="700"/>
      <c r="I21" s="700"/>
      <c r="J21" s="700"/>
      <c r="K21" s="700"/>
      <c r="L21" s="700"/>
      <c r="M21" s="700"/>
    </row>
    <row r="22" spans="1:14">
      <c r="B22" s="700"/>
      <c r="C22" s="700"/>
      <c r="D22" s="700"/>
      <c r="E22" s="700"/>
      <c r="F22" s="700"/>
      <c r="G22" s="700"/>
      <c r="H22" s="700"/>
      <c r="I22" s="700"/>
      <c r="J22" s="700"/>
      <c r="K22" s="700"/>
      <c r="L22" s="700"/>
      <c r="M22" s="700"/>
    </row>
    <row r="23" spans="1:14">
      <c r="B23" s="700"/>
      <c r="C23" s="700"/>
      <c r="D23" s="700"/>
      <c r="E23" s="700"/>
      <c r="F23" s="700"/>
      <c r="G23" s="700"/>
      <c r="H23" s="700"/>
      <c r="I23" s="700"/>
      <c r="J23" s="700"/>
      <c r="K23" s="700"/>
      <c r="L23" s="700"/>
      <c r="M23" s="700"/>
    </row>
    <row r="25" spans="1:14">
      <c r="B25" s="701" t="s">
        <v>3236</v>
      </c>
      <c r="C25" s="694"/>
      <c r="D25" s="694"/>
      <c r="E25" s="694"/>
      <c r="F25" s="694"/>
      <c r="G25" s="694"/>
    </row>
    <row r="26" spans="1:14">
      <c r="B26" s="694"/>
      <c r="C26" s="694"/>
      <c r="D26" s="694"/>
      <c r="E26" s="694"/>
      <c r="F26" s="694"/>
      <c r="G26" s="694"/>
    </row>
    <row r="28" spans="1:14">
      <c r="B28" s="94" t="s">
        <v>3237</v>
      </c>
      <c r="F28" s="94" t="s">
        <v>3238</v>
      </c>
      <c r="G28" s="94" t="s">
        <v>3239</v>
      </c>
      <c r="N28" s="6">
        <f>0.23/2</f>
        <v>0.115</v>
      </c>
    </row>
    <row r="29" spans="1:14">
      <c r="B29" s="6" t="s">
        <v>3240</v>
      </c>
      <c r="C29" s="6">
        <v>0</v>
      </c>
      <c r="D29" s="533" t="s">
        <v>3241</v>
      </c>
      <c r="F29" s="533" t="s">
        <v>3242</v>
      </c>
      <c r="G29" s="6">
        <v>37.46</v>
      </c>
      <c r="H29" s="533" t="s">
        <v>3243</v>
      </c>
      <c r="I29" s="533" t="s">
        <v>3244</v>
      </c>
      <c r="N29" s="6">
        <f>(0.23/2)/G30</f>
        <v>3.0359028511087642E-3</v>
      </c>
    </row>
    <row r="30" spans="1:14">
      <c r="B30" s="6" t="s">
        <v>3245</v>
      </c>
      <c r="C30" s="6">
        <v>3.5</v>
      </c>
      <c r="D30" s="533" t="s">
        <v>3241</v>
      </c>
      <c r="F30" s="533" t="s">
        <v>2596</v>
      </c>
      <c r="G30" s="6">
        <v>37.880000000000003</v>
      </c>
    </row>
    <row r="31" spans="1:14">
      <c r="B31" s="6" t="s">
        <v>3246</v>
      </c>
      <c r="C31" s="6">
        <v>7</v>
      </c>
      <c r="D31" s="533" t="s">
        <v>3241</v>
      </c>
      <c r="F31" s="533" t="s">
        <v>3247</v>
      </c>
      <c r="G31" s="6">
        <v>0.3</v>
      </c>
    </row>
    <row r="32" spans="1:14">
      <c r="B32" s="6" t="s">
        <v>3248</v>
      </c>
      <c r="C32" s="6">
        <v>14</v>
      </c>
      <c r="D32" s="533" t="s">
        <v>3241</v>
      </c>
      <c r="N32" s="602">
        <f>0.64/2</f>
        <v>0.32</v>
      </c>
    </row>
    <row r="33" spans="2:14">
      <c r="B33" s="6" t="s">
        <v>3249</v>
      </c>
      <c r="C33" s="6">
        <v>28</v>
      </c>
      <c r="D33" s="533" t="s">
        <v>3241</v>
      </c>
      <c r="F33" s="6" t="s">
        <v>3250</v>
      </c>
      <c r="G33" s="6">
        <v>111.82</v>
      </c>
      <c r="H33" s="533" t="s">
        <v>3251</v>
      </c>
      <c r="I33" s="533" t="s">
        <v>3244</v>
      </c>
      <c r="N33" s="602">
        <f>(0.32/2)/G34</f>
        <v>1.415929203539823E-3</v>
      </c>
    </row>
    <row r="34" spans="2:14">
      <c r="B34" s="6" t="s">
        <v>3252</v>
      </c>
      <c r="C34" s="6">
        <v>56</v>
      </c>
      <c r="D34" s="533" t="s">
        <v>3241</v>
      </c>
      <c r="F34" s="533" t="s">
        <v>2596</v>
      </c>
      <c r="G34" s="107">
        <v>113</v>
      </c>
    </row>
    <row r="35" spans="2:14">
      <c r="B35" s="6" t="s">
        <v>3253</v>
      </c>
      <c r="C35" s="6">
        <v>112</v>
      </c>
      <c r="D35" s="533" t="s">
        <v>3241</v>
      </c>
      <c r="F35" s="533" t="s">
        <v>3247</v>
      </c>
      <c r="G35" s="113">
        <v>0.61</v>
      </c>
    </row>
    <row r="36" spans="2:14">
      <c r="B36" s="6" t="s">
        <v>3254</v>
      </c>
      <c r="C36" s="6">
        <v>140</v>
      </c>
      <c r="D36" s="533" t="s">
        <v>3241</v>
      </c>
    </row>
    <row r="39" spans="2:14">
      <c r="B39" s="534" t="s">
        <v>3255</v>
      </c>
      <c r="C39" s="534" t="s">
        <v>3256</v>
      </c>
      <c r="D39" s="534" t="s">
        <v>3257</v>
      </c>
      <c r="E39" s="94" t="s">
        <v>3258</v>
      </c>
    </row>
    <row r="40" spans="2:14">
      <c r="B40" s="6">
        <v>16796</v>
      </c>
      <c r="C40" s="6" t="s">
        <v>3259</v>
      </c>
      <c r="D40" s="6">
        <v>1</v>
      </c>
      <c r="E40" s="6">
        <v>39.700000000000003</v>
      </c>
    </row>
    <row r="41" spans="2:14">
      <c r="B41" s="6">
        <v>16797</v>
      </c>
      <c r="C41" s="6" t="s">
        <v>3260</v>
      </c>
      <c r="D41" s="6">
        <v>2</v>
      </c>
      <c r="E41" s="6">
        <v>54.2</v>
      </c>
    </row>
    <row r="42" spans="2:14">
      <c r="B42" s="6">
        <v>16798</v>
      </c>
      <c r="C42" s="6" t="s">
        <v>3261</v>
      </c>
      <c r="D42" s="6">
        <v>3</v>
      </c>
      <c r="E42" s="6">
        <v>10.3</v>
      </c>
    </row>
    <row r="43" spans="2:14">
      <c r="B43" s="6">
        <v>16799</v>
      </c>
      <c r="C43" s="6" t="s">
        <v>3262</v>
      </c>
      <c r="D43" s="6">
        <v>4</v>
      </c>
      <c r="E43" s="6">
        <v>20.9</v>
      </c>
    </row>
    <row r="44" spans="2:14">
      <c r="B44" s="6">
        <v>16800</v>
      </c>
      <c r="C44" s="6" t="s">
        <v>3263</v>
      </c>
      <c r="D44" s="6">
        <v>5</v>
      </c>
      <c r="E44" s="6">
        <v>9.3000000000000007</v>
      </c>
    </row>
    <row r="45" spans="2:14">
      <c r="B45" s="6">
        <v>16801</v>
      </c>
      <c r="C45" s="6" t="s">
        <v>3264</v>
      </c>
      <c r="D45" s="6">
        <v>6</v>
      </c>
      <c r="E45" s="6">
        <v>40.5</v>
      </c>
    </row>
    <row r="46" spans="2:14">
      <c r="B46" s="6">
        <v>16802</v>
      </c>
      <c r="C46" s="6" t="s">
        <v>3265</v>
      </c>
      <c r="D46" s="6">
        <v>7</v>
      </c>
      <c r="E46" s="6">
        <v>203.7</v>
      </c>
    </row>
    <row r="47" spans="2:14">
      <c r="B47" s="6">
        <v>16803</v>
      </c>
      <c r="C47" s="6" t="s">
        <v>3266</v>
      </c>
      <c r="D47" s="6">
        <v>8</v>
      </c>
      <c r="E47" s="6">
        <v>183.1</v>
      </c>
    </row>
    <row r="48" spans="2:14">
      <c r="B48" s="6">
        <v>16804</v>
      </c>
      <c r="C48" s="6" t="s">
        <v>3267</v>
      </c>
      <c r="D48" s="6">
        <v>9</v>
      </c>
      <c r="E48" s="6">
        <v>184.7</v>
      </c>
    </row>
    <row r="49" spans="2:5">
      <c r="B49" s="6">
        <v>16805</v>
      </c>
      <c r="C49" s="6" t="s">
        <v>3268</v>
      </c>
      <c r="D49" s="6">
        <v>10</v>
      </c>
      <c r="E49" s="6">
        <v>111.1</v>
      </c>
    </row>
    <row r="50" spans="2:5">
      <c r="B50" s="6">
        <v>16806</v>
      </c>
      <c r="C50" s="6" t="s">
        <v>2947</v>
      </c>
      <c r="D50" s="6">
        <v>11</v>
      </c>
      <c r="E50" s="6">
        <v>0.3</v>
      </c>
    </row>
    <row r="51" spans="2:5">
      <c r="B51" s="6">
        <v>16807</v>
      </c>
      <c r="C51" s="6" t="s">
        <v>3269</v>
      </c>
      <c r="D51" s="6">
        <v>12</v>
      </c>
      <c r="E51" s="6">
        <v>359</v>
      </c>
    </row>
    <row r="52" spans="2:5">
      <c r="B52" s="6">
        <v>16808</v>
      </c>
      <c r="C52" s="6" t="s">
        <v>3270</v>
      </c>
      <c r="D52" s="6">
        <v>13</v>
      </c>
      <c r="E52" s="6">
        <v>347.7</v>
      </c>
    </row>
    <row r="53" spans="2:5">
      <c r="B53" s="6">
        <v>16809</v>
      </c>
      <c r="C53" s="6" t="s">
        <v>3271</v>
      </c>
      <c r="D53" s="6">
        <v>14</v>
      </c>
      <c r="E53" s="6">
        <v>322.5</v>
      </c>
    </row>
    <row r="54" spans="2:5">
      <c r="B54" s="6">
        <v>16810</v>
      </c>
      <c r="C54" s="6" t="s">
        <v>3272</v>
      </c>
      <c r="D54" s="6">
        <v>15</v>
      </c>
      <c r="E54" s="6">
        <v>343.6</v>
      </c>
    </row>
    <row r="55" spans="2:5">
      <c r="B55" s="6">
        <v>16811</v>
      </c>
      <c r="C55" s="6" t="s">
        <v>3273</v>
      </c>
      <c r="D55" s="6">
        <v>16</v>
      </c>
      <c r="E55" s="6">
        <v>244.3</v>
      </c>
    </row>
    <row r="56" spans="2:5">
      <c r="B56" s="6">
        <v>16812</v>
      </c>
      <c r="C56" s="6" t="s">
        <v>3274</v>
      </c>
      <c r="D56" s="6">
        <v>17</v>
      </c>
      <c r="E56" s="6">
        <v>241.7</v>
      </c>
    </row>
    <row r="57" spans="2:5">
      <c r="B57" s="6">
        <v>16813</v>
      </c>
      <c r="C57" s="6" t="s">
        <v>3275</v>
      </c>
      <c r="D57" s="6">
        <v>18</v>
      </c>
      <c r="E57" s="6">
        <v>271.39999999999998</v>
      </c>
    </row>
    <row r="58" spans="2:5">
      <c r="B58" s="6">
        <v>16814</v>
      </c>
      <c r="C58" s="6" t="s">
        <v>3276</v>
      </c>
      <c r="D58" s="6">
        <v>19</v>
      </c>
      <c r="E58" s="6">
        <v>189.5</v>
      </c>
    </row>
    <row r="59" spans="2:5">
      <c r="B59" s="6">
        <v>16815</v>
      </c>
      <c r="C59" s="6" t="s">
        <v>3277</v>
      </c>
      <c r="D59" s="6">
        <v>20</v>
      </c>
      <c r="E59" s="6">
        <v>186.1</v>
      </c>
    </row>
    <row r="60" spans="2:5">
      <c r="B60" s="6">
        <v>16816</v>
      </c>
      <c r="C60" s="6" t="s">
        <v>3278</v>
      </c>
      <c r="D60" s="6">
        <v>21</v>
      </c>
      <c r="E60" s="6">
        <v>192.8</v>
      </c>
    </row>
    <row r="61" spans="2:5">
      <c r="B61" s="6">
        <v>16817</v>
      </c>
      <c r="C61" s="6" t="s">
        <v>3279</v>
      </c>
      <c r="D61" s="6">
        <v>22</v>
      </c>
      <c r="E61" s="6">
        <v>392.9</v>
      </c>
    </row>
    <row r="62" spans="2:5">
      <c r="B62" s="6">
        <v>16818</v>
      </c>
      <c r="C62" s="6" t="s">
        <v>3280</v>
      </c>
      <c r="D62" s="6">
        <v>23</v>
      </c>
      <c r="E62" s="6">
        <v>369</v>
      </c>
    </row>
    <row r="63" spans="2:5">
      <c r="B63" s="6">
        <v>16819</v>
      </c>
      <c r="C63" s="6" t="s">
        <v>3281</v>
      </c>
      <c r="D63" s="6">
        <v>24</v>
      </c>
      <c r="E63" s="6">
        <v>391.1</v>
      </c>
    </row>
    <row r="64" spans="2:5">
      <c r="B64" s="6">
        <v>16820</v>
      </c>
      <c r="C64" s="6" t="s">
        <v>3282</v>
      </c>
      <c r="D64" s="6">
        <v>25</v>
      </c>
      <c r="E64" s="6">
        <v>349.8</v>
      </c>
    </row>
    <row r="65" spans="2:5">
      <c r="B65" s="6">
        <v>16821</v>
      </c>
      <c r="C65" s="6" t="s">
        <v>3283</v>
      </c>
      <c r="D65" s="6">
        <v>26</v>
      </c>
      <c r="E65" s="6">
        <v>257.2</v>
      </c>
    </row>
    <row r="66" spans="2:5">
      <c r="B66" s="6">
        <v>16822</v>
      </c>
      <c r="C66" s="6" t="s">
        <v>3284</v>
      </c>
      <c r="D66" s="6">
        <v>27</v>
      </c>
      <c r="E66" s="6">
        <v>201.5</v>
      </c>
    </row>
    <row r="67" spans="2:5">
      <c r="B67" s="6">
        <v>16823</v>
      </c>
      <c r="C67" s="6" t="s">
        <v>3285</v>
      </c>
      <c r="D67" s="6">
        <v>28</v>
      </c>
      <c r="E67" s="6">
        <v>293.39999999999998</v>
      </c>
    </row>
    <row r="68" spans="2:5">
      <c r="B68" s="6">
        <v>16824</v>
      </c>
      <c r="C68" s="6" t="s">
        <v>3286</v>
      </c>
      <c r="D68" s="6">
        <v>29</v>
      </c>
      <c r="E68" s="6">
        <v>235.7</v>
      </c>
    </row>
    <row r="69" spans="2:5">
      <c r="B69" s="6">
        <v>16825</v>
      </c>
      <c r="C69" s="6" t="s">
        <v>3287</v>
      </c>
      <c r="D69" s="6">
        <v>30</v>
      </c>
      <c r="E69" s="6">
        <v>279.2</v>
      </c>
    </row>
    <row r="70" spans="2:5">
      <c r="B70" s="6">
        <v>16826</v>
      </c>
      <c r="C70" s="6" t="s">
        <v>3288</v>
      </c>
      <c r="D70" s="6">
        <v>31</v>
      </c>
      <c r="E70" s="6">
        <v>269.10000000000002</v>
      </c>
    </row>
    <row r="71" spans="2:5">
      <c r="B71" s="6">
        <v>16827</v>
      </c>
      <c r="C71" s="6" t="s">
        <v>3289</v>
      </c>
      <c r="D71" s="6">
        <v>32</v>
      </c>
      <c r="E71" s="6">
        <v>235.7</v>
      </c>
    </row>
    <row r="72" spans="2:5">
      <c r="B72" s="6">
        <v>16828</v>
      </c>
      <c r="C72" s="6" t="s">
        <v>3290</v>
      </c>
      <c r="D72" s="6">
        <v>33</v>
      </c>
      <c r="E72" s="6">
        <v>263.10000000000002</v>
      </c>
    </row>
    <row r="73" spans="2:5">
      <c r="B73" s="6">
        <v>16829</v>
      </c>
      <c r="C73" s="6" t="s">
        <v>3291</v>
      </c>
      <c r="D73" s="6">
        <v>34</v>
      </c>
      <c r="E73" s="6">
        <v>227.4</v>
      </c>
    </row>
    <row r="74" spans="2:5">
      <c r="B74" s="6">
        <v>16830</v>
      </c>
      <c r="C74" s="6" t="s">
        <v>3292</v>
      </c>
      <c r="D74" s="6">
        <v>35</v>
      </c>
      <c r="E74" s="6">
        <v>373</v>
      </c>
    </row>
    <row r="75" spans="2:5">
      <c r="B75" s="6">
        <v>16831</v>
      </c>
      <c r="C75" s="6" t="s">
        <v>3293</v>
      </c>
      <c r="D75" s="6">
        <v>36</v>
      </c>
      <c r="E75" s="6">
        <v>304.5</v>
      </c>
    </row>
    <row r="76" spans="2:5">
      <c r="B76" s="6">
        <v>16832</v>
      </c>
      <c r="C76" s="6" t="s">
        <v>3294</v>
      </c>
      <c r="D76" s="6">
        <v>37</v>
      </c>
      <c r="E76" s="6">
        <v>331.4</v>
      </c>
    </row>
    <row r="77" spans="2:5">
      <c r="B77" s="6">
        <v>16833</v>
      </c>
      <c r="C77" s="6" t="s">
        <v>3295</v>
      </c>
      <c r="D77" s="6">
        <v>38</v>
      </c>
      <c r="E77" s="6">
        <v>352.1</v>
      </c>
    </row>
    <row r="78" spans="2:5">
      <c r="B78" s="6">
        <v>16834</v>
      </c>
      <c r="C78" s="6" t="s">
        <v>3296</v>
      </c>
      <c r="D78" s="6">
        <v>39</v>
      </c>
      <c r="E78" s="6">
        <v>486.8</v>
      </c>
    </row>
    <row r="79" spans="2:5">
      <c r="B79" s="6">
        <v>16835</v>
      </c>
      <c r="C79" s="6" t="s">
        <v>3297</v>
      </c>
      <c r="D79" s="6">
        <v>40</v>
      </c>
      <c r="E79" s="6">
        <v>548.1</v>
      </c>
    </row>
    <row r="80" spans="2:5">
      <c r="B80" s="6">
        <v>16836</v>
      </c>
      <c r="C80" s="6" t="s">
        <v>3298</v>
      </c>
      <c r="D80" s="6">
        <v>41</v>
      </c>
      <c r="E80" s="6">
        <v>326.2</v>
      </c>
    </row>
    <row r="81" spans="2:5">
      <c r="B81" s="6">
        <v>16837</v>
      </c>
      <c r="C81" s="6" t="s">
        <v>3299</v>
      </c>
      <c r="D81" s="6">
        <v>42</v>
      </c>
      <c r="E81" s="6">
        <v>288.89999999999998</v>
      </c>
    </row>
    <row r="82" spans="2:5">
      <c r="B82" s="6">
        <v>16838</v>
      </c>
      <c r="C82" s="6" t="s">
        <v>3300</v>
      </c>
      <c r="D82" s="6">
        <v>43</v>
      </c>
      <c r="E82" s="6">
        <v>256.60000000000002</v>
      </c>
    </row>
    <row r="83" spans="2:5">
      <c r="B83" s="6">
        <v>16839</v>
      </c>
      <c r="C83" s="6" t="s">
        <v>3301</v>
      </c>
      <c r="D83" s="6">
        <v>44</v>
      </c>
      <c r="E83" s="6">
        <v>261.89999999999998</v>
      </c>
    </row>
    <row r="84" spans="2:5">
      <c r="B84" s="6">
        <v>16840</v>
      </c>
      <c r="C84" s="6" t="s">
        <v>3302</v>
      </c>
      <c r="D84" s="6">
        <v>45</v>
      </c>
      <c r="E84" s="6">
        <v>297.2</v>
      </c>
    </row>
    <row r="85" spans="2:5">
      <c r="B85" s="6">
        <v>16841</v>
      </c>
      <c r="C85" s="6" t="s">
        <v>3303</v>
      </c>
      <c r="D85" s="6">
        <v>46</v>
      </c>
      <c r="E85" s="6">
        <v>272.89999999999998</v>
      </c>
    </row>
    <row r="86" spans="2:5">
      <c r="B86" s="6">
        <v>16842</v>
      </c>
      <c r="C86" s="6" t="s">
        <v>3206</v>
      </c>
      <c r="D86" s="6">
        <v>47</v>
      </c>
      <c r="E86" s="6">
        <v>0.3</v>
      </c>
    </row>
    <row r="87" spans="2:5">
      <c r="B87" s="6">
        <v>16843</v>
      </c>
      <c r="C87" s="6" t="s">
        <v>3304</v>
      </c>
      <c r="D87" s="6">
        <v>48</v>
      </c>
      <c r="E87" s="6">
        <v>273.5</v>
      </c>
    </row>
    <row r="88" spans="2:5">
      <c r="B88" s="6">
        <v>16844</v>
      </c>
      <c r="C88" s="6" t="s">
        <v>3305</v>
      </c>
      <c r="D88" s="6">
        <v>49</v>
      </c>
      <c r="E88" s="6">
        <v>382.6</v>
      </c>
    </row>
    <row r="89" spans="2:5">
      <c r="B89" s="6">
        <v>16845</v>
      </c>
      <c r="C89" s="6" t="s">
        <v>3306</v>
      </c>
      <c r="D89" s="6">
        <v>50</v>
      </c>
      <c r="E89" s="6">
        <v>430.6</v>
      </c>
    </row>
    <row r="90" spans="2:5">
      <c r="B90" s="6">
        <v>16846</v>
      </c>
      <c r="C90" s="6" t="s">
        <v>3307</v>
      </c>
      <c r="D90" s="6">
        <v>51</v>
      </c>
      <c r="E90" s="6">
        <v>551.1</v>
      </c>
    </row>
    <row r="91" spans="2:5">
      <c r="B91" s="6">
        <v>16847</v>
      </c>
      <c r="C91" s="6" t="s">
        <v>3308</v>
      </c>
      <c r="D91" s="6">
        <v>52</v>
      </c>
      <c r="E91" s="6">
        <v>481.8</v>
      </c>
    </row>
    <row r="92" spans="2:5">
      <c r="B92" s="6">
        <v>16848</v>
      </c>
      <c r="C92" s="6" t="s">
        <v>3309</v>
      </c>
      <c r="D92" s="6">
        <v>53</v>
      </c>
      <c r="E92" s="6">
        <v>199.6</v>
      </c>
    </row>
    <row r="93" spans="2:5">
      <c r="B93" s="6">
        <v>16849</v>
      </c>
      <c r="C93" s="6" t="s">
        <v>3310</v>
      </c>
      <c r="D93" s="6">
        <v>54</v>
      </c>
      <c r="E93" s="6">
        <v>150.4</v>
      </c>
    </row>
    <row r="94" spans="2:5">
      <c r="B94" s="6">
        <v>16850</v>
      </c>
      <c r="C94" s="6" t="s">
        <v>3311</v>
      </c>
      <c r="D94" s="6">
        <v>55</v>
      </c>
      <c r="E94" s="6">
        <v>334.1</v>
      </c>
    </row>
    <row r="95" spans="2:5">
      <c r="B95" s="6">
        <v>16851</v>
      </c>
      <c r="C95" s="6" t="s">
        <v>3312</v>
      </c>
      <c r="D95" s="6">
        <v>56</v>
      </c>
      <c r="E95" s="6">
        <v>217.2</v>
      </c>
    </row>
    <row r="96" spans="2:5">
      <c r="B96" s="6">
        <v>16852</v>
      </c>
      <c r="C96" s="6" t="s">
        <v>3313</v>
      </c>
      <c r="D96" s="6">
        <v>57</v>
      </c>
      <c r="E96" s="6">
        <v>284.60000000000002</v>
      </c>
    </row>
    <row r="97" spans="2:5">
      <c r="B97" s="6">
        <v>16853</v>
      </c>
      <c r="C97" s="6" t="s">
        <v>3314</v>
      </c>
      <c r="D97" s="6">
        <v>58</v>
      </c>
      <c r="E97" s="6">
        <v>293.7</v>
      </c>
    </row>
    <row r="98" spans="2:5">
      <c r="B98" s="6">
        <v>16854</v>
      </c>
      <c r="C98" s="6" t="s">
        <v>3208</v>
      </c>
      <c r="D98" s="6">
        <v>59</v>
      </c>
      <c r="E98" s="6">
        <v>0.2</v>
      </c>
    </row>
    <row r="99" spans="2:5">
      <c r="B99" s="6">
        <v>16855</v>
      </c>
      <c r="C99" s="6" t="s">
        <v>3315</v>
      </c>
      <c r="D99" s="6">
        <v>60</v>
      </c>
      <c r="E99" s="6">
        <v>338.6</v>
      </c>
    </row>
    <row r="100" spans="2:5">
      <c r="B100" s="6">
        <v>16856</v>
      </c>
      <c r="C100" s="6" t="s">
        <v>3316</v>
      </c>
      <c r="D100" s="6">
        <v>61</v>
      </c>
      <c r="E100" s="6">
        <v>339.6</v>
      </c>
    </row>
    <row r="101" spans="2:5">
      <c r="B101" s="6">
        <v>16857</v>
      </c>
      <c r="C101" s="6" t="s">
        <v>3317</v>
      </c>
      <c r="D101" s="6">
        <v>62</v>
      </c>
      <c r="E101" s="6">
        <v>252.4</v>
      </c>
    </row>
    <row r="102" spans="2:5">
      <c r="B102" s="6">
        <v>16858</v>
      </c>
      <c r="C102" s="6" t="s">
        <v>3318</v>
      </c>
      <c r="D102" s="6">
        <v>63</v>
      </c>
      <c r="E102" s="6">
        <v>256.60000000000002</v>
      </c>
    </row>
    <row r="103" spans="2:5">
      <c r="B103" s="6">
        <v>16859</v>
      </c>
      <c r="C103" s="6" t="s">
        <v>3319</v>
      </c>
      <c r="D103" s="6">
        <v>64</v>
      </c>
      <c r="E103" s="6">
        <v>204.5</v>
      </c>
    </row>
    <row r="104" spans="2:5">
      <c r="B104" s="6">
        <v>16860</v>
      </c>
      <c r="C104" s="6" t="s">
        <v>3320</v>
      </c>
      <c r="D104" s="6">
        <v>65</v>
      </c>
      <c r="E104" s="6">
        <v>283.2</v>
      </c>
    </row>
    <row r="105" spans="2:5">
      <c r="B105" s="6">
        <v>16861</v>
      </c>
      <c r="C105" s="6" t="s">
        <v>3321</v>
      </c>
      <c r="D105" s="6">
        <v>66</v>
      </c>
      <c r="E105" s="6">
        <v>263.7</v>
      </c>
    </row>
    <row r="106" spans="2:5">
      <c r="B106" s="6">
        <v>16862</v>
      </c>
      <c r="C106" s="6" t="s">
        <v>3322</v>
      </c>
      <c r="D106" s="6">
        <v>67</v>
      </c>
      <c r="E106" s="6">
        <v>287.7</v>
      </c>
    </row>
    <row r="107" spans="2:5">
      <c r="B107" s="6">
        <v>16863</v>
      </c>
      <c r="C107" s="6" t="s">
        <v>3323</v>
      </c>
      <c r="D107" s="6">
        <v>68</v>
      </c>
      <c r="E107" s="6">
        <v>244.3</v>
      </c>
    </row>
    <row r="108" spans="2:5">
      <c r="B108" s="6">
        <v>16864</v>
      </c>
      <c r="C108" s="6" t="s">
        <v>3324</v>
      </c>
      <c r="D108" s="6">
        <v>69</v>
      </c>
      <c r="E108" s="6">
        <v>270.60000000000002</v>
      </c>
    </row>
    <row r="109" spans="2:5">
      <c r="B109" s="6">
        <v>16865</v>
      </c>
      <c r="C109" s="6" t="s">
        <v>3325</v>
      </c>
      <c r="D109" s="6">
        <v>70</v>
      </c>
      <c r="E109" s="6">
        <v>443.8</v>
      </c>
    </row>
    <row r="110" spans="2:5">
      <c r="B110" s="6">
        <v>16866</v>
      </c>
      <c r="C110" s="6" t="s">
        <v>3326</v>
      </c>
      <c r="D110" s="6">
        <v>71</v>
      </c>
      <c r="E110" s="6">
        <v>359.3</v>
      </c>
    </row>
    <row r="111" spans="2:5">
      <c r="B111" s="6">
        <v>16867</v>
      </c>
      <c r="C111" s="6" t="s">
        <v>3327</v>
      </c>
      <c r="D111" s="6">
        <v>72</v>
      </c>
      <c r="E111" s="6">
        <v>340.6</v>
      </c>
    </row>
    <row r="112" spans="2:5">
      <c r="B112" s="6">
        <v>16868</v>
      </c>
      <c r="C112" s="6" t="s">
        <v>3328</v>
      </c>
      <c r="D112" s="6">
        <v>73</v>
      </c>
      <c r="E112" s="6">
        <v>315.5</v>
      </c>
    </row>
    <row r="113" spans="2:5">
      <c r="B113" s="6">
        <v>16869</v>
      </c>
      <c r="C113" s="6" t="s">
        <v>3329</v>
      </c>
      <c r="D113" s="6">
        <v>74</v>
      </c>
      <c r="E113" s="6">
        <v>282.60000000000002</v>
      </c>
    </row>
    <row r="114" spans="2:5">
      <c r="B114" s="6">
        <v>16870</v>
      </c>
      <c r="C114" s="6" t="s">
        <v>3330</v>
      </c>
      <c r="D114" s="6">
        <v>75</v>
      </c>
      <c r="E114" s="6">
        <v>223.4</v>
      </c>
    </row>
    <row r="115" spans="2:5">
      <c r="B115" s="6">
        <v>16871</v>
      </c>
      <c r="C115" s="6" t="s">
        <v>3331</v>
      </c>
      <c r="D115" s="6">
        <v>76</v>
      </c>
      <c r="E115" s="6">
        <v>301.7</v>
      </c>
    </row>
    <row r="116" spans="2:5">
      <c r="B116" s="6">
        <v>16872</v>
      </c>
      <c r="C116" s="6" t="s">
        <v>3332</v>
      </c>
      <c r="D116" s="6">
        <v>77</v>
      </c>
      <c r="E116" s="6">
        <v>418.2</v>
      </c>
    </row>
    <row r="117" spans="2:5">
      <c r="B117" s="6">
        <v>16873</v>
      </c>
      <c r="C117" s="6" t="s">
        <v>3333</v>
      </c>
      <c r="D117" s="6">
        <v>78</v>
      </c>
      <c r="E117" s="6">
        <v>630.6</v>
      </c>
    </row>
    <row r="118" spans="2:5">
      <c r="B118" s="6">
        <v>16874</v>
      </c>
      <c r="C118" s="6" t="s">
        <v>3334</v>
      </c>
      <c r="D118" s="6">
        <v>79</v>
      </c>
      <c r="E118" s="6">
        <v>546.6</v>
      </c>
    </row>
    <row r="119" spans="2:5">
      <c r="B119" s="6">
        <v>16875</v>
      </c>
      <c r="C119" s="6" t="s">
        <v>3209</v>
      </c>
      <c r="D119" s="6">
        <v>80</v>
      </c>
      <c r="E119" s="6">
        <v>0.3</v>
      </c>
    </row>
    <row r="120" spans="2:5">
      <c r="B120" s="6">
        <v>16876</v>
      </c>
      <c r="C120" s="6" t="s">
        <v>3335</v>
      </c>
      <c r="D120" s="6">
        <v>81</v>
      </c>
      <c r="E120" s="6">
        <v>335</v>
      </c>
    </row>
    <row r="121" spans="2:5">
      <c r="B121" s="6">
        <v>16877</v>
      </c>
      <c r="C121" s="6" t="s">
        <v>3336</v>
      </c>
      <c r="D121" s="6">
        <v>82</v>
      </c>
      <c r="E121" s="6">
        <v>345.1</v>
      </c>
    </row>
  </sheetData>
  <mergeCells count="18">
    <mergeCell ref="B12:D12"/>
    <mergeCell ref="F12:H12"/>
    <mergeCell ref="A3:H3"/>
    <mergeCell ref="E5:H5"/>
    <mergeCell ref="B6:C6"/>
    <mergeCell ref="E6:H6"/>
    <mergeCell ref="B7:C7"/>
    <mergeCell ref="E7:H7"/>
    <mergeCell ref="B8:C8"/>
    <mergeCell ref="E8:H8"/>
    <mergeCell ref="B10:D10"/>
    <mergeCell ref="B11:D11"/>
    <mergeCell ref="F11:G11"/>
    <mergeCell ref="B13:D13"/>
    <mergeCell ref="B14:D14"/>
    <mergeCell ref="B15:D15"/>
    <mergeCell ref="B19:M23"/>
    <mergeCell ref="B25:G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prep brines</vt:lpstr>
      <vt:lpstr>notes</vt:lpstr>
      <vt:lpstr>traps and logs</vt:lpstr>
      <vt:lpstr>PIC weights</vt:lpstr>
      <vt:lpstr>CHN weights</vt:lpstr>
      <vt:lpstr>PIC data</vt:lpstr>
      <vt:lpstr>CHN data</vt:lpstr>
      <vt:lpstr>BSi weights</vt:lpstr>
      <vt:lpstr>BSi raw results</vt:lpstr>
      <vt:lpstr>BSi_results and calculations</vt:lpstr>
      <vt:lpstr>pH_Sal</vt:lpstr>
      <vt:lpstr>sample processing comments</vt:lpstr>
      <vt:lpstr>depths</vt:lpstr>
      <vt:lpstr>photo labels</vt:lpstr>
      <vt:lpstr>mass filt</vt:lpstr>
      <vt:lpstr>report_47</vt:lpstr>
      <vt:lpstr>report_47_flagged</vt:lpstr>
      <vt:lpstr>netcdf_format</vt:lpstr>
      <vt:lpstr>main</vt:lpstr>
      <vt:lpstr>sample_archive</vt:lpstr>
      <vt:lpstr>quicklook plots</vt:lpstr>
      <vt:lpstr>sample jar labels</vt:lpstr>
      <vt:lpstr>netcdf_format!Print_Area</vt:lpstr>
      <vt:lpstr>'prep brines'!Print_Area</vt:lpstr>
      <vt:lpstr>netcdf_format!Print_Titles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Cathryn Wynn-Edwards</cp:lastModifiedBy>
  <cp:lastPrinted>2019-11-18T01:48:39Z</cp:lastPrinted>
  <dcterms:created xsi:type="dcterms:W3CDTF">2017-02-07T22:53:18Z</dcterms:created>
  <dcterms:modified xsi:type="dcterms:W3CDTF">2020-06-26T10:33:06Z</dcterms:modified>
</cp:coreProperties>
</file>